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E6A4E8F9-696A-4241-AC5A-5844BEFD3D30}" xr6:coauthVersionLast="31" xr6:coauthVersionMax="31" xr10:uidLastSave="{00000000-0000-0000-0000-000000000000}"/>
  <bookViews>
    <workbookView xWindow="0" yWindow="0" windowWidth="20400" windowHeight="8745"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iterate="1"/>
</workbook>
</file>

<file path=xl/calcChain.xml><?xml version="1.0" encoding="utf-8"?>
<calcChain xmlns="http://schemas.openxmlformats.org/spreadsheetml/2006/main">
  <c r="P286" i="72" l="1"/>
  <c r="O286" i="72"/>
  <c r="S55" i="78" l="1"/>
  <c r="J55" i="78"/>
  <c r="K173" i="75" l="1"/>
  <c r="F175" i="75"/>
  <c r="F165" i="75"/>
  <c r="F164" i="75"/>
  <c r="P164" i="75"/>
  <c r="F167" i="75" l="1"/>
  <c r="K165" i="75"/>
  <c r="P115" i="72" l="1"/>
  <c r="P111" i="72" s="1"/>
  <c r="L230" i="72" s="1"/>
  <c r="L1784" i="93" s="1"/>
  <c r="P207" i="72"/>
  <c r="P189" i="72" s="1"/>
  <c r="L229" i="72" s="1"/>
  <c r="L1783" i="93" s="1"/>
  <c r="O115" i="72"/>
  <c r="O111" i="72" s="1"/>
  <c r="K230" i="72" s="1"/>
  <c r="K1784" i="93" s="1"/>
  <c r="O207" i="72"/>
  <c r="O189" i="72" s="1"/>
  <c r="K229" i="72" s="1"/>
  <c r="K1783" i="93" s="1"/>
  <c r="G1472" i="93"/>
  <c r="G1470" i="93"/>
  <c r="Q47" i="75"/>
  <c r="Q804" i="93" s="1"/>
  <c r="Q46" i="75"/>
  <c r="Q803" i="93" s="1"/>
  <c r="Q45" i="75"/>
  <c r="Q802" i="93" s="1"/>
  <c r="Q44" i="75"/>
  <c r="Q801" i="93" s="1"/>
  <c r="Q43" i="75"/>
  <c r="Q800" i="93" s="1"/>
  <c r="Q42" i="75"/>
  <c r="Q799" i="93" s="1"/>
  <c r="Q41" i="75"/>
  <c r="Q798" i="93" s="1"/>
  <c r="Q40" i="75"/>
  <c r="Q797" i="93" s="1"/>
  <c r="Q39" i="75"/>
  <c r="Q796" i="93" s="1"/>
  <c r="Q38" i="75"/>
  <c r="Q795" i="93" s="1"/>
  <c r="Q37" i="75"/>
  <c r="Q794" i="93" s="1"/>
  <c r="Q36" i="75"/>
  <c r="Q793" i="93" s="1"/>
  <c r="Q35" i="75"/>
  <c r="Q792" i="93" s="1"/>
  <c r="Q34" i="75"/>
  <c r="Q791" i="93" s="1"/>
  <c r="Q33" i="75"/>
  <c r="Q790" i="93" s="1"/>
  <c r="Q32" i="75"/>
  <c r="Q789" i="93" s="1"/>
  <c r="Q31" i="75"/>
  <c r="Q788" i="93" s="1"/>
  <c r="Q30" i="75"/>
  <c r="Q787" i="93" s="1"/>
  <c r="Q29" i="75"/>
  <c r="Q786" i="93" s="1"/>
  <c r="Q28" i="75"/>
  <c r="Q785" i="93" s="1"/>
  <c r="Q27" i="75"/>
  <c r="Q784" i="93" s="1"/>
  <c r="Q26" i="75"/>
  <c r="Q783" i="93" s="1"/>
  <c r="Q25" i="75"/>
  <c r="Q782" i="93" s="1"/>
  <c r="Q24" i="75"/>
  <c r="Q781" i="93" s="1"/>
  <c r="Q23" i="75"/>
  <c r="Q780" i="93" s="1"/>
  <c r="Q22" i="75"/>
  <c r="Q779" i="93" s="1"/>
  <c r="Q21" i="75"/>
  <c r="Q778" i="93" s="1"/>
  <c r="Q20" i="75"/>
  <c r="Q777" i="93" s="1"/>
  <c r="Q19" i="75"/>
  <c r="Q776" i="93" s="1"/>
  <c r="Q18" i="75"/>
  <c r="Q775" i="93" s="1"/>
  <c r="Q17" i="75"/>
  <c r="Q774" i="93" s="1"/>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N95" i="93" s="1"/>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Q31" i="72"/>
  <c r="Q1585" i="93" s="1"/>
  <c r="O1979" i="93"/>
  <c r="Q1979" i="93" s="1"/>
  <c r="O1972" i="93"/>
  <c r="R1968" i="93" s="1"/>
  <c r="O1923" i="93"/>
  <c r="Q1923" i="93" s="1"/>
  <c r="S1918" i="93"/>
  <c r="P1918" i="93"/>
  <c r="P1919" i="93"/>
  <c r="P1920" i="93"/>
  <c r="P1921" i="93"/>
  <c r="O1908" i="93"/>
  <c r="Q1908" i="93" s="1"/>
  <c r="O1901" i="93"/>
  <c r="O1873" i="93"/>
  <c r="L1873" i="93" s="1"/>
  <c r="O1871" i="93"/>
  <c r="O1864" i="93"/>
  <c r="Q1864" i="93" s="1"/>
  <c r="O1863" i="93"/>
  <c r="O1862" i="93"/>
  <c r="Q1862" i="93" s="1"/>
  <c r="O1859" i="93"/>
  <c r="Q1859" i="93" s="1"/>
  <c r="O1858" i="93"/>
  <c r="L1858" i="93" s="1"/>
  <c r="O1849" i="93"/>
  <c r="Q1849" i="93" s="1"/>
  <c r="U1842" i="93"/>
  <c r="U1841" i="93"/>
  <c r="O1828" i="93"/>
  <c r="O1831" i="93"/>
  <c r="O1766" i="93"/>
  <c r="T1767" i="93" s="1"/>
  <c r="O1763" i="93"/>
  <c r="Q1763" i="93" s="1"/>
  <c r="O1762" i="93"/>
  <c r="Q1762" i="93" s="1"/>
  <c r="T1726" i="93"/>
  <c r="O1691" i="93"/>
  <c r="Q1691" i="93" s="1"/>
  <c r="O1682" i="93"/>
  <c r="Q1682" i="93" s="1"/>
  <c r="O1681" i="93"/>
  <c r="Q1681" i="93" s="1"/>
  <c r="O1680" i="93"/>
  <c r="Q1680" i="93" s="1"/>
  <c r="O1679" i="93"/>
  <c r="Q1679" i="93" s="1"/>
  <c r="O1673" i="93"/>
  <c r="Q1673" i="93" s="1"/>
  <c r="O1667" i="93"/>
  <c r="L1667" i="93" s="1"/>
  <c r="O1659" i="93"/>
  <c r="Q1659" i="93" s="1"/>
  <c r="O1658" i="93"/>
  <c r="Q1658" i="93" s="1"/>
  <c r="O1657" i="93"/>
  <c r="Q1657" i="93" s="1"/>
  <c r="O1656" i="93"/>
  <c r="O1643" i="93"/>
  <c r="Q1643" i="93" s="1"/>
  <c r="O1641" i="93"/>
  <c r="Q1641" i="93" s="1"/>
  <c r="O1640" i="93"/>
  <c r="Q1640" i="93" s="1"/>
  <c r="O1639" i="93"/>
  <c r="Q1639" i="93" s="1"/>
  <c r="O1637" i="93"/>
  <c r="Q1637" i="93" s="1"/>
  <c r="O1636" i="93"/>
  <c r="Q1636" i="93" s="1"/>
  <c r="O1635" i="93"/>
  <c r="Q1635" i="93" s="1"/>
  <c r="O1614" i="93"/>
  <c r="Q1614" i="93" s="1"/>
  <c r="A2013" i="93"/>
  <c r="A2010" i="93"/>
  <c r="P1991" i="93"/>
  <c r="O1991" i="93"/>
  <c r="P1990" i="93"/>
  <c r="O1990" i="93"/>
  <c r="P1979" i="93"/>
  <c r="P1972"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O1921" i="93"/>
  <c r="P1944" i="93"/>
  <c r="O1944" i="93"/>
  <c r="P1923" i="93"/>
  <c r="P1943" i="93"/>
  <c r="O1943" i="93"/>
  <c r="P1942" i="93"/>
  <c r="O1942" i="93"/>
  <c r="P1941" i="93"/>
  <c r="O1941" i="93"/>
  <c r="L1941" i="93" s="1"/>
  <c r="O1920" i="93"/>
  <c r="O1919" i="93"/>
  <c r="O1918" i="93"/>
  <c r="J1902" i="93"/>
  <c r="I1902" i="93"/>
  <c r="H1902" i="93"/>
  <c r="P1909" i="93"/>
  <c r="O1909" i="93"/>
  <c r="P1908" i="93"/>
  <c r="P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P1872" i="93"/>
  <c r="O1872" i="93"/>
  <c r="P1871" i="93"/>
  <c r="P1864" i="93"/>
  <c r="P1863" i="93"/>
  <c r="P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P1858" i="93"/>
  <c r="P1850" i="93"/>
  <c r="O1850" i="93"/>
  <c r="P1849" i="93"/>
  <c r="P1842" i="93"/>
  <c r="O1842" i="93"/>
  <c r="P1841" i="93"/>
  <c r="O1841" i="93"/>
  <c r="K1833" i="93"/>
  <c r="J1833" i="93"/>
  <c r="P1818" i="93"/>
  <c r="O1818" i="93"/>
  <c r="P1817" i="93"/>
  <c r="O1817" i="93"/>
  <c r="P1831" i="93"/>
  <c r="P1830" i="93"/>
  <c r="O1830" i="93"/>
  <c r="P1829" i="93"/>
  <c r="O1829" i="93"/>
  <c r="M1829" i="93" s="1"/>
  <c r="P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996" i="93" s="1"/>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P1762" i="93"/>
  <c r="L1752" i="93"/>
  <c r="K1752" i="93"/>
  <c r="L1751" i="93"/>
  <c r="K1751" i="93"/>
  <c r="L1750" i="93"/>
  <c r="K1750" i="93"/>
  <c r="G1756" i="93"/>
  <c r="F1756" i="93"/>
  <c r="L1749" i="93"/>
  <c r="K1749" i="93"/>
  <c r="L1747" i="93"/>
  <c r="K1747" i="93"/>
  <c r="J1732" i="93"/>
  <c r="I1732" i="93"/>
  <c r="J1731" i="93"/>
  <c r="I1731" i="93"/>
  <c r="D1718" i="93"/>
  <c r="D1722" i="93" s="1"/>
  <c r="E1718" i="93"/>
  <c r="F1718" i="93"/>
  <c r="D1719" i="93"/>
  <c r="D1723" i="93" s="1"/>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H1723" i="93" s="1"/>
  <c r="G1719" i="93"/>
  <c r="G1723" i="93" s="1"/>
  <c r="H1718" i="93"/>
  <c r="H1722" i="93" s="1"/>
  <c r="G1718" i="93"/>
  <c r="G1722" i="93" s="1"/>
  <c r="H1717" i="93"/>
  <c r="H1721" i="93" s="1"/>
  <c r="G1717" i="93"/>
  <c r="G1721" i="93" s="1"/>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P1698" i="93"/>
  <c r="O1698" i="93"/>
  <c r="P1697" i="93"/>
  <c r="O1697" i="93"/>
  <c r="P1696" i="93"/>
  <c r="O1696" i="93"/>
  <c r="P1695" i="93"/>
  <c r="O1695" i="93"/>
  <c r="P1694" i="93"/>
  <c r="O1694" i="93"/>
  <c r="P1693" i="93"/>
  <c r="O1693" i="93"/>
  <c r="P1692" i="93"/>
  <c r="O1692" i="93"/>
  <c r="P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P1682" i="93"/>
  <c r="N1682" i="93"/>
  <c r="M1682" i="93"/>
  <c r="L1682" i="93"/>
  <c r="K1682" i="93"/>
  <c r="J1682" i="93"/>
  <c r="I1682" i="93"/>
  <c r="H1682" i="93"/>
  <c r="G1682" i="93"/>
  <c r="F1682" i="93"/>
  <c r="E1682" i="93"/>
  <c r="D1682" i="93"/>
  <c r="C1682" i="93"/>
  <c r="P1681" i="93"/>
  <c r="N1681" i="93"/>
  <c r="M1681" i="93"/>
  <c r="L1681" i="93"/>
  <c r="K1681" i="93"/>
  <c r="J1681" i="93"/>
  <c r="I1681" i="93"/>
  <c r="H1681" i="93"/>
  <c r="G1681" i="93"/>
  <c r="F1681" i="93"/>
  <c r="E1681" i="93"/>
  <c r="D1681" i="93"/>
  <c r="C1681" i="93"/>
  <c r="P1680" i="93"/>
  <c r="N1680" i="93"/>
  <c r="M1680" i="93"/>
  <c r="L1680" i="93"/>
  <c r="K1680" i="93"/>
  <c r="J1680" i="93"/>
  <c r="I1680" i="93"/>
  <c r="H1680" i="93"/>
  <c r="G1680" i="93"/>
  <c r="F1680" i="93"/>
  <c r="E1680" i="93"/>
  <c r="D1680" i="93"/>
  <c r="C1680" i="93"/>
  <c r="P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P1658" i="93"/>
  <c r="P1657" i="93"/>
  <c r="P1656" i="93"/>
  <c r="P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L1891" i="93" s="1"/>
  <c r="P1835" i="93"/>
  <c r="O1835" i="93"/>
  <c r="P182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P1640" i="93"/>
  <c r="P1639" i="93"/>
  <c r="P1637" i="93"/>
  <c r="P1636" i="93"/>
  <c r="P1635" i="93"/>
  <c r="P1631" i="93"/>
  <c r="O1631" i="93"/>
  <c r="P1630" i="93"/>
  <c r="O1630" i="93"/>
  <c r="P1629" i="93"/>
  <c r="O1629" i="93"/>
  <c r="P1625" i="93"/>
  <c r="O1625" i="93"/>
  <c r="P1624" i="93"/>
  <c r="O1624" i="93"/>
  <c r="P1623" i="93"/>
  <c r="O1623" i="93"/>
  <c r="P1615" i="93"/>
  <c r="O1615" i="93"/>
  <c r="P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M1995" i="93"/>
  <c r="M1560" i="93" s="1"/>
  <c r="O82" i="75"/>
  <c r="O1974" i="93" s="1"/>
  <c r="L1970" i="93"/>
  <c r="L1923" i="93"/>
  <c r="J1916" i="93"/>
  <c r="L1910" i="93"/>
  <c r="I1910" i="93"/>
  <c r="C1910" i="93"/>
  <c r="N1901" i="93"/>
  <c r="I1891" i="93"/>
  <c r="O1879" i="93"/>
  <c r="L1849" i="93"/>
  <c r="J1849" i="93"/>
  <c r="L1848" i="93"/>
  <c r="H1827" i="93"/>
  <c r="I1769" i="93"/>
  <c r="J1767" i="93"/>
  <c r="M1764" i="93"/>
  <c r="I1764" i="93"/>
  <c r="E1764" i="93"/>
  <c r="D1721" i="93"/>
  <c r="F1714" i="93"/>
  <c r="J1667" i="93"/>
  <c r="I1651" i="93"/>
  <c r="H1637" i="93"/>
  <c r="J1622" i="93"/>
  <c r="A1555" i="93"/>
  <c r="N303" i="73"/>
  <c r="M303" i="73" s="1"/>
  <c r="M1397" i="93" s="1"/>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N40" i="68"/>
  <c r="N39" i="68"/>
  <c r="F85" i="74" s="1"/>
  <c r="N38" i="68"/>
  <c r="H84" i="74" s="1"/>
  <c r="H1040" i="93" s="1"/>
  <c r="H1047" i="93" s="1"/>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J1025" i="93" s="1"/>
  <c r="I69" i="74"/>
  <c r="I1025" i="93" s="1"/>
  <c r="H69" i="74"/>
  <c r="H1025" i="93" s="1"/>
  <c r="G69" i="74"/>
  <c r="G1025" i="93" s="1"/>
  <c r="F69" i="74"/>
  <c r="F1025" i="93" s="1"/>
  <c r="E69" i="74"/>
  <c r="E1025" i="93" s="1"/>
  <c r="D69" i="74"/>
  <c r="D1025" i="93" s="1"/>
  <c r="C69" i="74"/>
  <c r="C1025" i="93" s="1"/>
  <c r="B69" i="74"/>
  <c r="B1025" i="93" s="1"/>
  <c r="K68" i="74"/>
  <c r="K1024" i="93" s="1"/>
  <c r="J68" i="74"/>
  <c r="J1024" i="93" s="1"/>
  <c r="I68" i="74"/>
  <c r="I1024" i="93" s="1"/>
  <c r="H68" i="74"/>
  <c r="H1024" i="93" s="1"/>
  <c r="G68" i="74"/>
  <c r="G1024" i="93" s="1"/>
  <c r="F68" i="74"/>
  <c r="F1024" i="93" s="1"/>
  <c r="E68" i="74"/>
  <c r="E1024" i="93" s="1"/>
  <c r="D68" i="74"/>
  <c r="D1024" i="93" s="1"/>
  <c r="C68" i="74"/>
  <c r="C1024" i="93" s="1"/>
  <c r="B68" i="74"/>
  <c r="B1024" i="93" s="1"/>
  <c r="C38" i="74"/>
  <c r="C994" i="93" s="1"/>
  <c r="D38" i="74"/>
  <c r="D994" i="93" s="1"/>
  <c r="E38" i="74"/>
  <c r="E994" i="93" s="1"/>
  <c r="F38" i="74"/>
  <c r="F994" i="93" s="1"/>
  <c r="G38" i="74"/>
  <c r="G994" i="93" s="1"/>
  <c r="H38" i="74"/>
  <c r="H994" i="93" s="1"/>
  <c r="I38" i="74"/>
  <c r="I994" i="93" s="1"/>
  <c r="J38" i="74"/>
  <c r="J994" i="93" s="1"/>
  <c r="K38" i="74"/>
  <c r="K994" i="93" s="1"/>
  <c r="C39" i="74"/>
  <c r="C995" i="93" s="1"/>
  <c r="D39" i="74"/>
  <c r="D995" i="93" s="1"/>
  <c r="E39" i="74"/>
  <c r="E995" i="93" s="1"/>
  <c r="F39" i="74"/>
  <c r="F995" i="93" s="1"/>
  <c r="G39" i="74"/>
  <c r="G995" i="93" s="1"/>
  <c r="H39" i="74"/>
  <c r="H995" i="93" s="1"/>
  <c r="I39" i="74"/>
  <c r="I995" i="93" s="1"/>
  <c r="J39" i="74"/>
  <c r="J995" i="93" s="1"/>
  <c r="K39" i="74"/>
  <c r="K995" i="93" s="1"/>
  <c r="C40" i="74"/>
  <c r="C996" i="93" s="1"/>
  <c r="D40" i="74"/>
  <c r="D996" i="93" s="1"/>
  <c r="E40" i="74"/>
  <c r="E996" i="93" s="1"/>
  <c r="F40" i="74"/>
  <c r="F996" i="93" s="1"/>
  <c r="G40" i="74"/>
  <c r="G996" i="93" s="1"/>
  <c r="H40" i="74"/>
  <c r="H996" i="93" s="1"/>
  <c r="I40" i="74"/>
  <c r="I996" i="93" s="1"/>
  <c r="J40" i="74"/>
  <c r="J996" i="93" s="1"/>
  <c r="K40" i="74"/>
  <c r="K996" i="93" s="1"/>
  <c r="B38" i="74"/>
  <c r="B994" i="93" s="1"/>
  <c r="B39" i="74"/>
  <c r="B995" i="93" s="1"/>
  <c r="B40" i="74"/>
  <c r="B996" i="93" s="1"/>
  <c r="K1043" i="93"/>
  <c r="J1043" i="93"/>
  <c r="I1043" i="93"/>
  <c r="H1043" i="93"/>
  <c r="G1043" i="93"/>
  <c r="F1043" i="93"/>
  <c r="E1043" i="93"/>
  <c r="D1043" i="93"/>
  <c r="C1043" i="93"/>
  <c r="B1043" i="93"/>
  <c r="K84" i="74"/>
  <c r="K1040" i="93" s="1"/>
  <c r="K1047" i="93" s="1"/>
  <c r="F84" i="74"/>
  <c r="F1040" i="93" s="1"/>
  <c r="K1015" i="93"/>
  <c r="J1015" i="93"/>
  <c r="I1015" i="93"/>
  <c r="H1015" i="93"/>
  <c r="G1015" i="93"/>
  <c r="F59" i="74"/>
  <c r="F1015" i="93" s="1"/>
  <c r="E59" i="74"/>
  <c r="E1015" i="93" s="1"/>
  <c r="D59" i="74"/>
  <c r="D1015" i="93" s="1"/>
  <c r="C59" i="74"/>
  <c r="C1015" i="93" s="1"/>
  <c r="B59" i="74"/>
  <c r="B1015" i="93" s="1"/>
  <c r="K1013" i="93"/>
  <c r="J1013" i="93"/>
  <c r="I1013" i="93"/>
  <c r="H1013" i="93"/>
  <c r="G1013" i="93"/>
  <c r="F1013" i="93"/>
  <c r="E1013" i="93"/>
  <c r="D1013" i="93"/>
  <c r="C1013" i="93"/>
  <c r="B1013" i="93"/>
  <c r="J54" i="74"/>
  <c r="J1010" i="93" s="1"/>
  <c r="J1018" i="93" s="1"/>
  <c r="C54" i="74"/>
  <c r="C1010" i="93" s="1"/>
  <c r="C1018" i="93" s="1"/>
  <c r="C24" i="74"/>
  <c r="C980" i="93" s="1"/>
  <c r="C988" i="93" s="1"/>
  <c r="H24" i="74"/>
  <c r="H980" i="93" s="1"/>
  <c r="H988" i="93" s="1"/>
  <c r="D25" i="74"/>
  <c r="D981" i="93" s="1"/>
  <c r="D989" i="93" s="1"/>
  <c r="C26" i="74"/>
  <c r="C982" i="93" s="1"/>
  <c r="C990" i="93" s="1"/>
  <c r="C983" i="93"/>
  <c r="D983" i="93"/>
  <c r="E983" i="93"/>
  <c r="F983" i="93"/>
  <c r="G983" i="93"/>
  <c r="H983" i="93"/>
  <c r="I983" i="93"/>
  <c r="J983" i="93"/>
  <c r="K983" i="93"/>
  <c r="B983" i="93"/>
  <c r="K965" i="93"/>
  <c r="K964" i="93"/>
  <c r="G965" i="93"/>
  <c r="G964" i="93"/>
  <c r="G961" i="93"/>
  <c r="B964" i="93"/>
  <c r="A1010" i="93"/>
  <c r="A1040" i="93" s="1"/>
  <c r="A1068" i="93" s="1"/>
  <c r="C969" i="93"/>
  <c r="D969" i="93" s="1"/>
  <c r="F1061" i="93"/>
  <c r="F1062" i="93"/>
  <c r="E1061" i="93"/>
  <c r="E1062" i="93"/>
  <c r="D1061" i="93"/>
  <c r="D1062" i="93"/>
  <c r="C1061" i="93"/>
  <c r="C1062" i="93"/>
  <c r="B1061" i="93"/>
  <c r="B1062" i="93"/>
  <c r="A988" i="93"/>
  <c r="A1018" i="93" s="1"/>
  <c r="A1047" i="93" s="1"/>
  <c r="A1075" i="93" s="1"/>
  <c r="K1033" i="93"/>
  <c r="K1034" i="93"/>
  <c r="J1033" i="93"/>
  <c r="J1034" i="93"/>
  <c r="I1033" i="93"/>
  <c r="I1034" i="93"/>
  <c r="H1033" i="93"/>
  <c r="H1034" i="93"/>
  <c r="G1033" i="93"/>
  <c r="G1034" i="93"/>
  <c r="F1033" i="93"/>
  <c r="F1034" i="93"/>
  <c r="E1033" i="93"/>
  <c r="E1034" i="93"/>
  <c r="D1033" i="93"/>
  <c r="D1034" i="93"/>
  <c r="C1033" i="93"/>
  <c r="C1034" i="93"/>
  <c r="B1033" i="93"/>
  <c r="B1034" i="93"/>
  <c r="A1020" i="93"/>
  <c r="A1049" i="93" s="1"/>
  <c r="A1077" i="93" s="1"/>
  <c r="A1012" i="93"/>
  <c r="A1042" i="93" s="1"/>
  <c r="A1070" i="93" s="1"/>
  <c r="A1011" i="93"/>
  <c r="A1041" i="93" s="1"/>
  <c r="A1069" i="93" s="1"/>
  <c r="A1009" i="93"/>
  <c r="A1039" i="93" s="1"/>
  <c r="A1067" i="93" s="1"/>
  <c r="K1003" i="93"/>
  <c r="K1004" i="93"/>
  <c r="J1003" i="93"/>
  <c r="J1004" i="93"/>
  <c r="I1003" i="93"/>
  <c r="I1004" i="93"/>
  <c r="H1003" i="93"/>
  <c r="H1004" i="93"/>
  <c r="G1003" i="93"/>
  <c r="G1004" i="93"/>
  <c r="F1003" i="93"/>
  <c r="F1004" i="93"/>
  <c r="E1003" i="93"/>
  <c r="E1004" i="93"/>
  <c r="D1003" i="93"/>
  <c r="D1004" i="93"/>
  <c r="C1003" i="93"/>
  <c r="C1004" i="93"/>
  <c r="B1003" i="93"/>
  <c r="B1004" i="93"/>
  <c r="A989" i="93"/>
  <c r="A1019" i="93" s="1"/>
  <c r="A1048" i="93" s="1"/>
  <c r="A1076" i="93" s="1"/>
  <c r="A987" i="93"/>
  <c r="A1017" i="93" s="1"/>
  <c r="A1046" i="93" s="1"/>
  <c r="A1074" i="93" s="1"/>
  <c r="K973" i="93"/>
  <c r="K974" i="93"/>
  <c r="J973" i="93"/>
  <c r="J974" i="93"/>
  <c r="I973" i="93"/>
  <c r="I974" i="93"/>
  <c r="H973" i="93"/>
  <c r="H974" i="93"/>
  <c r="G973" i="93"/>
  <c r="G974" i="93"/>
  <c r="F973" i="93"/>
  <c r="F974" i="93"/>
  <c r="E973" i="93"/>
  <c r="E974" i="93"/>
  <c r="D973" i="93"/>
  <c r="D974" i="93"/>
  <c r="C973" i="93"/>
  <c r="C974" i="93"/>
  <c r="J21" i="76"/>
  <c r="K21" i="76"/>
  <c r="I12" i="75" s="1"/>
  <c r="K12" i="75" s="1"/>
  <c r="L12" i="75" s="1"/>
  <c r="L21" i="76"/>
  <c r="I19" i="75"/>
  <c r="K19" i="75" s="1"/>
  <c r="L19" i="75" s="1"/>
  <c r="I20" i="75"/>
  <c r="K20" i="75" s="1"/>
  <c r="L20" i="75" s="1"/>
  <c r="I21" i="75"/>
  <c r="K21" i="75" s="1"/>
  <c r="L21" i="75" s="1"/>
  <c r="I22" i="75"/>
  <c r="K22" i="75" s="1"/>
  <c r="L22" i="75" s="1"/>
  <c r="I23" i="75"/>
  <c r="K23" i="75" s="1"/>
  <c r="L23" i="75" s="1"/>
  <c r="I24" i="75"/>
  <c r="K24" i="75" s="1"/>
  <c r="L24" i="75" s="1"/>
  <c r="I25" i="75"/>
  <c r="K25" i="75" s="1"/>
  <c r="L25" i="75" s="1"/>
  <c r="I26" i="75"/>
  <c r="K26" i="75" s="1"/>
  <c r="L26" i="75" s="1"/>
  <c r="I27" i="75"/>
  <c r="K27" i="75" s="1"/>
  <c r="L27" i="75" s="1"/>
  <c r="I28" i="75"/>
  <c r="K28" i="75" s="1"/>
  <c r="L28" i="75" s="1"/>
  <c r="I29" i="75"/>
  <c r="K29" i="75" s="1"/>
  <c r="L29" i="75" s="1"/>
  <c r="I30" i="75"/>
  <c r="K30" i="75" s="1"/>
  <c r="L30" i="75" s="1"/>
  <c r="I31" i="75"/>
  <c r="K31" i="75" s="1"/>
  <c r="L31" i="75" s="1"/>
  <c r="I32" i="75"/>
  <c r="K32" i="75" s="1"/>
  <c r="L32" i="75" s="1"/>
  <c r="I33" i="75"/>
  <c r="K33" i="75" s="1"/>
  <c r="L33" i="75" s="1"/>
  <c r="I34" i="75"/>
  <c r="K34" i="75" s="1"/>
  <c r="L34" i="75" s="1"/>
  <c r="I35" i="75"/>
  <c r="K35" i="75" s="1"/>
  <c r="L35" i="75" s="1"/>
  <c r="I36" i="75"/>
  <c r="K36" i="75" s="1"/>
  <c r="L36" i="75" s="1"/>
  <c r="I37" i="75"/>
  <c r="K37" i="75" s="1"/>
  <c r="L37" i="75" s="1"/>
  <c r="I38" i="75"/>
  <c r="K38" i="75" s="1"/>
  <c r="L38" i="75" s="1"/>
  <c r="I39" i="75"/>
  <c r="K39" i="75" s="1"/>
  <c r="L39" i="75" s="1"/>
  <c r="I40" i="75"/>
  <c r="K40" i="75" s="1"/>
  <c r="L40" i="75" s="1"/>
  <c r="I41" i="75"/>
  <c r="K41" i="75" s="1"/>
  <c r="L41" i="75" s="1"/>
  <c r="I42" i="75"/>
  <c r="K42" i="75" s="1"/>
  <c r="L42" i="75" s="1"/>
  <c r="I43" i="75"/>
  <c r="K43" i="75" s="1"/>
  <c r="L43" i="75" s="1"/>
  <c r="I44" i="75"/>
  <c r="K44" i="75" s="1"/>
  <c r="L44" i="75" s="1"/>
  <c r="I45" i="75"/>
  <c r="K45" i="75" s="1"/>
  <c r="L45" i="75" s="1"/>
  <c r="I46" i="75"/>
  <c r="K46" i="75" s="1"/>
  <c r="L46" i="75" s="1"/>
  <c r="I47" i="75"/>
  <c r="K47" i="75" s="1"/>
  <c r="L47" i="75" s="1"/>
  <c r="B973" i="93"/>
  <c r="B974" i="93"/>
  <c r="K963" i="93"/>
  <c r="G962" i="93"/>
  <c r="K961" i="93"/>
  <c r="A957" i="93"/>
  <c r="P922" i="93"/>
  <c r="P923" i="93"/>
  <c r="K938" i="93"/>
  <c r="L938" i="93"/>
  <c r="K939" i="93"/>
  <c r="L939" i="93"/>
  <c r="K940" i="93"/>
  <c r="L940" i="93"/>
  <c r="K941" i="93"/>
  <c r="L941" i="93"/>
  <c r="K929" i="93"/>
  <c r="K928" i="93"/>
  <c r="K930" i="93"/>
  <c r="K931" i="93"/>
  <c r="L929" i="93"/>
  <c r="L930" i="93"/>
  <c r="L931" i="93"/>
  <c r="K922" i="93"/>
  <c r="K921" i="93"/>
  <c r="L921"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I914" i="93"/>
  <c r="H915" i="93"/>
  <c r="G915" i="93"/>
  <c r="K914" i="93"/>
  <c r="J914" i="93"/>
  <c r="H914" i="93"/>
  <c r="H916" i="93" s="1"/>
  <c r="G914" i="93"/>
  <c r="G916" i="93" s="1"/>
  <c r="H910" i="93"/>
  <c r="I910" i="93"/>
  <c r="I911" i="93"/>
  <c r="J910" i="93"/>
  <c r="K910" i="93"/>
  <c r="H911" i="93"/>
  <c r="J911" i="93"/>
  <c r="K911" i="93"/>
  <c r="G911" i="93"/>
  <c r="P906" i="93"/>
  <c r="O906" i="93"/>
  <c r="N906" i="93"/>
  <c r="N905" i="93"/>
  <c r="M906" i="93"/>
  <c r="L906" i="93"/>
  <c r="K906" i="93"/>
  <c r="J906" i="93"/>
  <c r="J905" i="93"/>
  <c r="I906" i="93"/>
  <c r="H906" i="93"/>
  <c r="G906" i="93"/>
  <c r="P905" i="93"/>
  <c r="O905" i="93"/>
  <c r="M905" i="93"/>
  <c r="L905" i="93"/>
  <c r="K905" i="93"/>
  <c r="I905" i="93"/>
  <c r="I907" i="93" s="1"/>
  <c r="H905" i="93"/>
  <c r="H907" i="93" s="1"/>
  <c r="G905" i="93"/>
  <c r="P902" i="93"/>
  <c r="O902" i="93"/>
  <c r="N902" i="93"/>
  <c r="M902" i="93"/>
  <c r="L902" i="93"/>
  <c r="K902" i="93"/>
  <c r="J902" i="93"/>
  <c r="I902" i="93"/>
  <c r="H902" i="93"/>
  <c r="G902" i="93"/>
  <c r="P901" i="93"/>
  <c r="O901" i="93"/>
  <c r="N901" i="93"/>
  <c r="M901" i="93"/>
  <c r="L901" i="93"/>
  <c r="K901" i="93"/>
  <c r="J901" i="93"/>
  <c r="I901" i="93"/>
  <c r="H901" i="93"/>
  <c r="G901" i="93"/>
  <c r="P897" i="93"/>
  <c r="P896" i="93"/>
  <c r="O897" i="93"/>
  <c r="N897" i="93"/>
  <c r="M897" i="93"/>
  <c r="M896" i="93"/>
  <c r="L897" i="93"/>
  <c r="L896" i="93"/>
  <c r="K897" i="93"/>
  <c r="J897" i="93"/>
  <c r="I897" i="93"/>
  <c r="I896" i="93"/>
  <c r="H897" i="93"/>
  <c r="H896" i="93"/>
  <c r="G897" i="93"/>
  <c r="O896" i="93"/>
  <c r="N896" i="93"/>
  <c r="K896" i="93"/>
  <c r="J896" i="93"/>
  <c r="G896" i="93"/>
  <c r="P893" i="93"/>
  <c r="P892" i="93"/>
  <c r="O893" i="93"/>
  <c r="O894" i="93" s="1"/>
  <c r="N893" i="93"/>
  <c r="M893" i="93"/>
  <c r="M892" i="93"/>
  <c r="L893" i="93"/>
  <c r="L892" i="93"/>
  <c r="K893" i="93"/>
  <c r="J893" i="93"/>
  <c r="I893" i="93"/>
  <c r="I892" i="93"/>
  <c r="H893" i="93"/>
  <c r="H892" i="93"/>
  <c r="G893" i="93"/>
  <c r="O892" i="93"/>
  <c r="N892" i="93"/>
  <c r="K892" i="93"/>
  <c r="J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K884" i="93"/>
  <c r="L883" i="93"/>
  <c r="M883" i="93"/>
  <c r="N883" i="93"/>
  <c r="O883" i="93"/>
  <c r="O884" i="93"/>
  <c r="P883" i="93"/>
  <c r="H884" i="93"/>
  <c r="I884" i="93"/>
  <c r="J884" i="93"/>
  <c r="L884" i="93"/>
  <c r="M884" i="93"/>
  <c r="N884" i="93"/>
  <c r="P884" i="93"/>
  <c r="G884" i="93"/>
  <c r="G883" i="93"/>
  <c r="K838" i="93"/>
  <c r="J838" i="93"/>
  <c r="L838" i="93"/>
  <c r="M838" i="93"/>
  <c r="N838" i="93"/>
  <c r="K839" i="93"/>
  <c r="J839" i="93"/>
  <c r="L839" i="93"/>
  <c r="M839" i="93"/>
  <c r="N839" i="93"/>
  <c r="P804" i="93"/>
  <c r="P803" i="93"/>
  <c r="P802" i="93"/>
  <c r="C802" i="93"/>
  <c r="N802" i="93"/>
  <c r="P801" i="93"/>
  <c r="P800" i="93"/>
  <c r="P799" i="93"/>
  <c r="P798" i="93"/>
  <c r="P797" i="93"/>
  <c r="P796" i="93"/>
  <c r="P795" i="93"/>
  <c r="P794" i="93"/>
  <c r="P793" i="93"/>
  <c r="P792" i="93"/>
  <c r="P791" i="93"/>
  <c r="P790" i="93"/>
  <c r="P789" i="93"/>
  <c r="P788" i="93"/>
  <c r="P787" i="93"/>
  <c r="P786" i="93"/>
  <c r="P785" i="93"/>
  <c r="P784" i="93"/>
  <c r="P783" i="93"/>
  <c r="P782" i="93"/>
  <c r="C782" i="93"/>
  <c r="N782" i="93"/>
  <c r="P781" i="93"/>
  <c r="P780" i="93"/>
  <c r="JM780" i="93" s="1"/>
  <c r="P779" i="93"/>
  <c r="P778" i="93"/>
  <c r="C778" i="93"/>
  <c r="N778" i="93"/>
  <c r="P777" i="93"/>
  <c r="P776" i="93"/>
  <c r="P775" i="93"/>
  <c r="P774" i="93"/>
  <c r="GQ774" i="93" s="1"/>
  <c r="C774" i="93"/>
  <c r="N774" i="93"/>
  <c r="P773" i="93"/>
  <c r="P772" i="93"/>
  <c r="P771" i="93"/>
  <c r="P770" i="93"/>
  <c r="C770" i="93"/>
  <c r="N770" i="93"/>
  <c r="P769" i="93"/>
  <c r="P768" i="93"/>
  <c r="P767" i="93"/>
  <c r="O804" i="93"/>
  <c r="O803" i="93"/>
  <c r="O802" i="93"/>
  <c r="O801" i="93"/>
  <c r="O800" i="93"/>
  <c r="O799" i="93"/>
  <c r="O798" i="93"/>
  <c r="O797" i="93"/>
  <c r="O796" i="93"/>
  <c r="O795" i="93"/>
  <c r="O794" i="93"/>
  <c r="O793" i="93"/>
  <c r="O792" i="93"/>
  <c r="O791" i="93"/>
  <c r="O790" i="93"/>
  <c r="C790" i="93"/>
  <c r="B790" i="93"/>
  <c r="M790" i="93"/>
  <c r="O789" i="93"/>
  <c r="O788" i="93"/>
  <c r="O787" i="93"/>
  <c r="O786" i="93"/>
  <c r="O785" i="93"/>
  <c r="O784" i="93"/>
  <c r="O783" i="93"/>
  <c r="O782" i="93"/>
  <c r="B782" i="93"/>
  <c r="M782" i="93"/>
  <c r="O781" i="93"/>
  <c r="O780" i="93"/>
  <c r="O779" i="93"/>
  <c r="O778" i="93"/>
  <c r="O777" i="93"/>
  <c r="O776" i="93"/>
  <c r="O775" i="93"/>
  <c r="O774" i="93"/>
  <c r="B774" i="93"/>
  <c r="M774" i="93"/>
  <c r="O773" i="93"/>
  <c r="O772" i="93"/>
  <c r="C772" i="93"/>
  <c r="E772" i="93"/>
  <c r="N772" i="93"/>
  <c r="O771" i="93"/>
  <c r="O770" i="93"/>
  <c r="O769" i="93"/>
  <c r="O768" i="93"/>
  <c r="O767" i="93"/>
  <c r="C767" i="93"/>
  <c r="E767" i="93"/>
  <c r="N767" i="93"/>
  <c r="N804" i="93"/>
  <c r="C804" i="93"/>
  <c r="E804" i="93"/>
  <c r="N803" i="93"/>
  <c r="N801" i="93"/>
  <c r="C801" i="93"/>
  <c r="N800" i="93"/>
  <c r="C800" i="93"/>
  <c r="E800" i="93"/>
  <c r="N799" i="93"/>
  <c r="N798" i="93"/>
  <c r="N797" i="93"/>
  <c r="N796" i="93"/>
  <c r="HF796" i="93" s="1"/>
  <c r="N795" i="93"/>
  <c r="N794" i="93"/>
  <c r="N793" i="93"/>
  <c r="N792" i="93"/>
  <c r="N791" i="93"/>
  <c r="GW791" i="93" s="1"/>
  <c r="N790" i="93"/>
  <c r="N789" i="93"/>
  <c r="N788" i="93"/>
  <c r="N787" i="93"/>
  <c r="N786" i="93"/>
  <c r="N785" i="93"/>
  <c r="N784" i="93"/>
  <c r="N783" i="93"/>
  <c r="N781" i="93"/>
  <c r="N780" i="93"/>
  <c r="N779" i="93"/>
  <c r="N777" i="93"/>
  <c r="N776" i="93"/>
  <c r="N775" i="93"/>
  <c r="N773" i="93"/>
  <c r="C773" i="93"/>
  <c r="E773" i="93"/>
  <c r="N771" i="93"/>
  <c r="N769" i="93"/>
  <c r="C769" i="93"/>
  <c r="N768" i="93"/>
  <c r="M804" i="93"/>
  <c r="M803" i="93"/>
  <c r="M802" i="93"/>
  <c r="M801" i="93"/>
  <c r="M800" i="93"/>
  <c r="M799" i="93"/>
  <c r="M798" i="93"/>
  <c r="M797" i="93"/>
  <c r="M796" i="93"/>
  <c r="M795" i="93"/>
  <c r="M794" i="93"/>
  <c r="C794" i="93"/>
  <c r="B794" i="93"/>
  <c r="M793" i="93"/>
  <c r="M792" i="93"/>
  <c r="M791" i="93"/>
  <c r="M789" i="93"/>
  <c r="M788" i="93"/>
  <c r="M787" i="93"/>
  <c r="M786" i="93"/>
  <c r="C786" i="93"/>
  <c r="B786" i="93"/>
  <c r="M785" i="93"/>
  <c r="M784" i="93"/>
  <c r="M783" i="93"/>
  <c r="M781" i="93"/>
  <c r="M780" i="93"/>
  <c r="M779" i="93"/>
  <c r="M778" i="93"/>
  <c r="B778" i="93"/>
  <c r="M777" i="93"/>
  <c r="M776" i="93"/>
  <c r="M775" i="93"/>
  <c r="M773" i="93"/>
  <c r="M772" i="93"/>
  <c r="M771" i="93"/>
  <c r="M770" i="93"/>
  <c r="B770" i="93"/>
  <c r="M769" i="93"/>
  <c r="M768" i="93"/>
  <c r="C768" i="93"/>
  <c r="M767" i="93"/>
  <c r="B767" i="93"/>
  <c r="J804" i="93"/>
  <c r="J803" i="93"/>
  <c r="C803" i="93"/>
  <c r="J802" i="93"/>
  <c r="J801" i="93"/>
  <c r="J800" i="93"/>
  <c r="CV800" i="93" s="1"/>
  <c r="J799" i="93"/>
  <c r="C799" i="93"/>
  <c r="J798" i="93"/>
  <c r="J797" i="93"/>
  <c r="J796" i="93"/>
  <c r="C796" i="93"/>
  <c r="J795" i="93"/>
  <c r="C795" i="93"/>
  <c r="J794" i="93"/>
  <c r="J793" i="93"/>
  <c r="J792" i="93"/>
  <c r="C792" i="93"/>
  <c r="J791" i="93"/>
  <c r="C791" i="93"/>
  <c r="J790" i="93"/>
  <c r="J789" i="93"/>
  <c r="J788" i="93"/>
  <c r="C788" i="93"/>
  <c r="FV788" i="93" s="1"/>
  <c r="J787" i="93"/>
  <c r="C787" i="93"/>
  <c r="J786" i="93"/>
  <c r="J785" i="93"/>
  <c r="J784" i="93"/>
  <c r="J783" i="93"/>
  <c r="C783" i="93"/>
  <c r="J782" i="93"/>
  <c r="J781" i="93"/>
  <c r="J780" i="93"/>
  <c r="J779" i="93"/>
  <c r="C779" i="93"/>
  <c r="J778" i="93"/>
  <c r="J777" i="93"/>
  <c r="J776" i="93"/>
  <c r="J775" i="93"/>
  <c r="C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A767" i="93" s="1"/>
  <c r="G804" i="93"/>
  <c r="G803" i="93"/>
  <c r="G802" i="93"/>
  <c r="G801" i="93"/>
  <c r="G800" i="93"/>
  <c r="G799" i="93"/>
  <c r="G798" i="93"/>
  <c r="G797" i="93"/>
  <c r="A797" i="93" s="1"/>
  <c r="G796" i="93"/>
  <c r="G795" i="93"/>
  <c r="G794" i="93"/>
  <c r="G793" i="93"/>
  <c r="G792" i="93"/>
  <c r="G791" i="93"/>
  <c r="G790" i="93"/>
  <c r="G789" i="93"/>
  <c r="G788" i="93"/>
  <c r="G787" i="93"/>
  <c r="G786" i="93"/>
  <c r="G785" i="93"/>
  <c r="G784" i="93"/>
  <c r="G783" i="93"/>
  <c r="G782" i="93"/>
  <c r="G781" i="93"/>
  <c r="A781" i="93" s="1"/>
  <c r="G780" i="93"/>
  <c r="G779" i="93"/>
  <c r="G778" i="93"/>
  <c r="G777" i="93"/>
  <c r="G776" i="93"/>
  <c r="G775" i="93"/>
  <c r="G774" i="93"/>
  <c r="G773" i="93"/>
  <c r="A773" i="93" s="1"/>
  <c r="G772" i="93"/>
  <c r="G771" i="93"/>
  <c r="G770" i="93"/>
  <c r="G769" i="93"/>
  <c r="G768" i="93"/>
  <c r="G767" i="93"/>
  <c r="F804" i="93"/>
  <c r="F803" i="93"/>
  <c r="A803" i="93" s="1"/>
  <c r="F802" i="93"/>
  <c r="F801" i="93"/>
  <c r="F800" i="93"/>
  <c r="F799" i="93"/>
  <c r="F798" i="93"/>
  <c r="F797" i="93"/>
  <c r="F796" i="93"/>
  <c r="F795" i="93"/>
  <c r="A795" i="93" s="1"/>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3" i="93"/>
  <c r="E802" i="93"/>
  <c r="E801" i="93"/>
  <c r="E799" i="93"/>
  <c r="E798" i="93"/>
  <c r="E797" i="93"/>
  <c r="E796" i="93"/>
  <c r="E795" i="93"/>
  <c r="E794" i="93"/>
  <c r="E793" i="93"/>
  <c r="E792" i="93"/>
  <c r="E791" i="93"/>
  <c r="E790" i="93"/>
  <c r="E789" i="93"/>
  <c r="E788" i="93"/>
  <c r="E787" i="93"/>
  <c r="E786" i="93"/>
  <c r="E785" i="93"/>
  <c r="E784" i="93"/>
  <c r="E783" i="93"/>
  <c r="A783" i="93" s="1"/>
  <c r="E782" i="93"/>
  <c r="E781" i="93"/>
  <c r="E780" i="93"/>
  <c r="E779" i="93"/>
  <c r="E778" i="93"/>
  <c r="E777" i="93"/>
  <c r="E776" i="93"/>
  <c r="E775" i="93"/>
  <c r="E805" i="93" s="1"/>
  <c r="E774" i="93"/>
  <c r="E771" i="93"/>
  <c r="E770" i="93"/>
  <c r="E769" i="93"/>
  <c r="JM769" i="93" s="1"/>
  <c r="E768" i="93"/>
  <c r="D804" i="93"/>
  <c r="D803" i="93"/>
  <c r="D802" i="93"/>
  <c r="D801" i="93"/>
  <c r="D800" i="93"/>
  <c r="D799" i="93"/>
  <c r="D798" i="93"/>
  <c r="D797" i="93"/>
  <c r="D796" i="93"/>
  <c r="D795" i="93"/>
  <c r="D794" i="93"/>
  <c r="A794" i="93" s="1"/>
  <c r="D793" i="93"/>
  <c r="D792" i="93"/>
  <c r="D791" i="93"/>
  <c r="D790" i="93"/>
  <c r="D789" i="93"/>
  <c r="D788" i="93"/>
  <c r="D787" i="93"/>
  <c r="D786" i="93"/>
  <c r="A786" i="93" s="1"/>
  <c r="D785" i="93"/>
  <c r="D784" i="93"/>
  <c r="D783" i="93"/>
  <c r="D782" i="93"/>
  <c r="D781" i="93"/>
  <c r="D780" i="93"/>
  <c r="D779" i="93"/>
  <c r="D778" i="93"/>
  <c r="D777" i="93"/>
  <c r="D776" i="93"/>
  <c r="D775" i="93"/>
  <c r="D774" i="93"/>
  <c r="D773" i="93"/>
  <c r="D772" i="93"/>
  <c r="D771" i="93"/>
  <c r="D770" i="93"/>
  <c r="D769" i="93"/>
  <c r="D768" i="93"/>
  <c r="D767" i="93"/>
  <c r="B802" i="93"/>
  <c r="C798" i="93"/>
  <c r="C797" i="93"/>
  <c r="C793" i="93"/>
  <c r="HP793" i="93" s="1"/>
  <c r="C789" i="93"/>
  <c r="C785" i="93"/>
  <c r="IV785" i="93" s="1"/>
  <c r="C784" i="93"/>
  <c r="C781" i="93"/>
  <c r="C780" i="93"/>
  <c r="JJ780" i="93" s="1"/>
  <c r="C777" i="93"/>
  <c r="C776" i="93"/>
  <c r="C771" i="93"/>
  <c r="B768" i="93"/>
  <c r="B769" i="93"/>
  <c r="B771" i="93"/>
  <c r="B772" i="93"/>
  <c r="B773" i="93"/>
  <c r="B775" i="93"/>
  <c r="B776" i="93"/>
  <c r="B777" i="93"/>
  <c r="B779" i="93"/>
  <c r="B780" i="93"/>
  <c r="B781" i="93"/>
  <c r="B783" i="93"/>
  <c r="B784" i="93"/>
  <c r="AF784" i="93" s="1"/>
  <c r="B785" i="93"/>
  <c r="B787" i="93"/>
  <c r="B788" i="93"/>
  <c r="B789" i="93"/>
  <c r="B791" i="93"/>
  <c r="B792" i="93"/>
  <c r="B793" i="93"/>
  <c r="B795" i="93"/>
  <c r="B796" i="93"/>
  <c r="B797" i="93"/>
  <c r="B798" i="93"/>
  <c r="B799" i="93"/>
  <c r="B800" i="93"/>
  <c r="B801" i="93"/>
  <c r="CD801" i="93" s="1"/>
  <c r="B803" i="93"/>
  <c r="B804" i="93"/>
  <c r="G910" i="93"/>
  <c r="P950" i="93"/>
  <c r="O950" i="93"/>
  <c r="N950" i="93"/>
  <c r="M950" i="93"/>
  <c r="L950" i="93"/>
  <c r="K950" i="93"/>
  <c r="J950" i="93"/>
  <c r="I950" i="93"/>
  <c r="H950" i="93"/>
  <c r="G950" i="93"/>
  <c r="F950" i="93"/>
  <c r="E950" i="93"/>
  <c r="D950" i="93"/>
  <c r="C950" i="93"/>
  <c r="B950" i="93"/>
  <c r="A950" i="93"/>
  <c r="P921" i="93"/>
  <c r="P924" i="93" s="1"/>
  <c r="O923" i="93"/>
  <c r="N923" i="93"/>
  <c r="J941" i="93"/>
  <c r="I941" i="93"/>
  <c r="L937" i="93"/>
  <c r="K937" i="93"/>
  <c r="J931" i="93"/>
  <c r="I931" i="93"/>
  <c r="L928" i="93"/>
  <c r="G937" i="93"/>
  <c r="F945" i="93" s="1"/>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I879" i="93"/>
  <c r="F763" i="93"/>
  <c r="G762" i="93"/>
  <c r="R918" i="93"/>
  <c r="R913" i="93"/>
  <c r="S909" i="93"/>
  <c r="R904" i="93"/>
  <c r="J903" i="93"/>
  <c r="S900" i="93"/>
  <c r="R895" i="93"/>
  <c r="S891" i="93"/>
  <c r="R886" i="93"/>
  <c r="R882" i="93"/>
  <c r="R881" i="93"/>
  <c r="R879" i="93"/>
  <c r="R869" i="93"/>
  <c r="R860" i="93"/>
  <c r="R842" i="93"/>
  <c r="R828" i="93"/>
  <c r="R824" i="93"/>
  <c r="R820" i="93"/>
  <c r="R810" i="93"/>
  <c r="JR805" i="93"/>
  <c r="GM796" i="93"/>
  <c r="FR796" i="93"/>
  <c r="FA791" i="93"/>
  <c r="DA791" i="93"/>
  <c r="BP791" i="93"/>
  <c r="AN791" i="93"/>
  <c r="HC788" i="93"/>
  <c r="HA788" i="93"/>
  <c r="GI788" i="93"/>
  <c r="GH788" i="93"/>
  <c r="EZ785" i="93"/>
  <c r="EX785" i="93"/>
  <c r="DU785" i="93"/>
  <c r="DP785" i="93"/>
  <c r="BZ785" i="93"/>
  <c r="BY785" i="93"/>
  <c r="BP785" i="93"/>
  <c r="BN785" i="93"/>
  <c r="AJ785" i="93"/>
  <c r="AH785" i="93"/>
  <c r="Y785" i="93"/>
  <c r="X785" i="93"/>
  <c r="CX784" i="93"/>
  <c r="BW784" i="93"/>
  <c r="HF782" i="93"/>
  <c r="GJ782" i="93"/>
  <c r="FZ782" i="93"/>
  <c r="FA781" i="93"/>
  <c r="EY781" i="93"/>
  <c r="EX781" i="93"/>
  <c r="EW781" i="93"/>
  <c r="JN780" i="93"/>
  <c r="HF780" i="93"/>
  <c r="GS780" i="93"/>
  <c r="GP780" i="93"/>
  <c r="GC780" i="93"/>
  <c r="EW780" i="93"/>
  <c r="DC780" i="93"/>
  <c r="CT780" i="93"/>
  <c r="CC780" i="93"/>
  <c r="AM780" i="93"/>
  <c r="JQ779" i="93"/>
  <c r="JP779" i="93"/>
  <c r="JO779" i="93"/>
  <c r="JM779" i="93"/>
  <c r="JL779" i="93"/>
  <c r="JK779" i="93"/>
  <c r="JJ779" i="93"/>
  <c r="JI779" i="93"/>
  <c r="JH779" i="93"/>
  <c r="JG779" i="93"/>
  <c r="JE779" i="93"/>
  <c r="JD779" i="93"/>
  <c r="JC779" i="93"/>
  <c r="IC779" i="93"/>
  <c r="IB779" i="93"/>
  <c r="IA779" i="93"/>
  <c r="HY779" i="93"/>
  <c r="HX779" i="93"/>
  <c r="HW779" i="93"/>
  <c r="HU779" i="93"/>
  <c r="HT779" i="93"/>
  <c r="HS779" i="93"/>
  <c r="HQ779" i="93"/>
  <c r="HP779" i="93"/>
  <c r="HO779" i="93"/>
  <c r="HM779" i="93"/>
  <c r="HL779" i="93"/>
  <c r="HK779" i="93"/>
  <c r="HI779" i="93"/>
  <c r="HH779" i="93"/>
  <c r="HG779" i="93"/>
  <c r="HE779" i="93"/>
  <c r="HD779" i="93"/>
  <c r="HC779" i="93"/>
  <c r="HA779" i="93"/>
  <c r="GZ779" i="93"/>
  <c r="GY779" i="93"/>
  <c r="GW779" i="93"/>
  <c r="GV779" i="93"/>
  <c r="GU779" i="93"/>
  <c r="GS779" i="93"/>
  <c r="GR779" i="93"/>
  <c r="GQ779" i="93"/>
  <c r="GO779" i="93"/>
  <c r="GN779" i="93"/>
  <c r="GM779" i="93"/>
  <c r="GK779" i="93"/>
  <c r="GJ779" i="93"/>
  <c r="GI779" i="93"/>
  <c r="GG779" i="93"/>
  <c r="GF779" i="93"/>
  <c r="GE779" i="93"/>
  <c r="GC779" i="93"/>
  <c r="GB779" i="93"/>
  <c r="GA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DC779" i="93"/>
  <c r="DB779" i="93"/>
  <c r="DA779" i="93"/>
  <c r="CZ779" i="93"/>
  <c r="CY779" i="93"/>
  <c r="CX779" i="93"/>
  <c r="CW779" i="93"/>
  <c r="CT779" i="93"/>
  <c r="BY779" i="93"/>
  <c r="BX779" i="93"/>
  <c r="BW779" i="93"/>
  <c r="BV779" i="93"/>
  <c r="BU779" i="93"/>
  <c r="IH778" i="93"/>
  <c r="HX778" i="93"/>
  <c r="HH778" i="93"/>
  <c r="GZ778" i="93"/>
  <c r="GR778" i="93"/>
  <c r="GB778" i="93"/>
  <c r="FT778" i="93"/>
  <c r="FL778" i="93"/>
  <c r="CZ778" i="93"/>
  <c r="BV778" i="93"/>
  <c r="JN777" i="93"/>
  <c r="JJ777"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JQ776" i="93"/>
  <c r="JP776" i="93"/>
  <c r="JO776" i="93"/>
  <c r="JN776" i="93"/>
  <c r="JM776" i="93"/>
  <c r="JL776" i="93"/>
  <c r="JK776" i="93"/>
  <c r="JJ776" i="93"/>
  <c r="JI776" i="93"/>
  <c r="JH776" i="93"/>
  <c r="JG776" i="93"/>
  <c r="JF776" i="93"/>
  <c r="JE776" i="93"/>
  <c r="JD776" i="93"/>
  <c r="JC776" i="93"/>
  <c r="IH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EG776" i="93"/>
  <c r="DK776" i="93"/>
  <c r="DC776" i="93"/>
  <c r="DB776" i="93"/>
  <c r="DA776" i="93"/>
  <c r="CZ776" i="93"/>
  <c r="CY776" i="93"/>
  <c r="CS776" i="93"/>
  <c r="BY776" i="93"/>
  <c r="BX776" i="93"/>
  <c r="BW776" i="93"/>
  <c r="BV776" i="93"/>
  <c r="BU776" i="93"/>
  <c r="AH776" i="93"/>
  <c r="CH775" i="93"/>
  <c r="AH775" i="93"/>
  <c r="HR774" i="93"/>
  <c r="GL774" i="93"/>
  <c r="GA774" i="93"/>
  <c r="FP774" i="93"/>
  <c r="FF774" i="93"/>
  <c r="JQ772" i="93"/>
  <c r="JP772" i="93"/>
  <c r="JO772" i="93"/>
  <c r="JN772" i="93"/>
  <c r="JM772" i="93"/>
  <c r="JL772" i="93"/>
  <c r="JI772" i="93"/>
  <c r="JH772" i="93"/>
  <c r="JE772" i="93"/>
  <c r="JD772" i="93"/>
  <c r="IC772" i="93"/>
  <c r="IB772" i="93"/>
  <c r="IA772" i="93"/>
  <c r="HZ772" i="93"/>
  <c r="HY772" i="93"/>
  <c r="HX772" i="93"/>
  <c r="HW772" i="93"/>
  <c r="HV772" i="93"/>
  <c r="HU772" i="93"/>
  <c r="HT772" i="93"/>
  <c r="HS772" i="93"/>
  <c r="HR772" i="93"/>
  <c r="HQ772" i="93"/>
  <c r="HP772" i="93"/>
  <c r="HO772" i="93"/>
  <c r="HN772" i="93"/>
  <c r="HM772" i="93"/>
  <c r="HL772" i="93"/>
  <c r="HK772" i="93"/>
  <c r="HJ772" i="93"/>
  <c r="HI772" i="93"/>
  <c r="HH772" i="93"/>
  <c r="HG772" i="93"/>
  <c r="HF772" i="93"/>
  <c r="HE772" i="93"/>
  <c r="HD772" i="93"/>
  <c r="HC772" i="93"/>
  <c r="HB772" i="93"/>
  <c r="HA772" i="93"/>
  <c r="GZ772" i="93"/>
  <c r="GY772" i="93"/>
  <c r="GX772" i="93"/>
  <c r="GW772" i="93"/>
  <c r="GV772" i="93"/>
  <c r="GU772" i="93"/>
  <c r="GT772" i="93"/>
  <c r="GS772" i="93"/>
  <c r="GR772" i="93"/>
  <c r="GQ772" i="93"/>
  <c r="GP772" i="93"/>
  <c r="GO772" i="93"/>
  <c r="GN772" i="93"/>
  <c r="GM772" i="93"/>
  <c r="GL772" i="93"/>
  <c r="GK772" i="93"/>
  <c r="GJ772" i="93"/>
  <c r="GI772" i="93"/>
  <c r="GH772" i="93"/>
  <c r="GG772" i="93"/>
  <c r="GF772" i="93"/>
  <c r="GE772" i="93"/>
  <c r="GD772" i="93"/>
  <c r="GC772" i="93"/>
  <c r="GB772" i="93"/>
  <c r="GA772" i="93"/>
  <c r="FZ772" i="93"/>
  <c r="FY772" i="93"/>
  <c r="FX772" i="93"/>
  <c r="FW772" i="93"/>
  <c r="FV772" i="93"/>
  <c r="FU772" i="93"/>
  <c r="FT772" i="93"/>
  <c r="FS772" i="93"/>
  <c r="FR772" i="93"/>
  <c r="FQ772" i="93"/>
  <c r="FP772" i="93"/>
  <c r="FO772" i="93"/>
  <c r="FN772" i="93"/>
  <c r="FM772" i="93"/>
  <c r="FL772" i="93"/>
  <c r="FK772" i="93"/>
  <c r="FJ772" i="93"/>
  <c r="FI772" i="93"/>
  <c r="FH772" i="93"/>
  <c r="FG772" i="93"/>
  <c r="FF772" i="93"/>
  <c r="FE772" i="93"/>
  <c r="FD772" i="93"/>
  <c r="FC772" i="93"/>
  <c r="FB772" i="93"/>
  <c r="FA772" i="93"/>
  <c r="EZ772" i="93"/>
  <c r="EY772" i="93"/>
  <c r="EX772" i="93"/>
  <c r="EW772" i="93"/>
  <c r="DL772" i="93"/>
  <c r="DC772" i="93"/>
  <c r="DB772" i="93"/>
  <c r="DA772" i="93"/>
  <c r="CZ772" i="93"/>
  <c r="CY772" i="93"/>
  <c r="CX772" i="93"/>
  <c r="CW772" i="93"/>
  <c r="CV772" i="93"/>
  <c r="CU772" i="93"/>
  <c r="CT772" i="93"/>
  <c r="BY772" i="93"/>
  <c r="BX772" i="93"/>
  <c r="BW772" i="93"/>
  <c r="BV772" i="93"/>
  <c r="BU772" i="93"/>
  <c r="BP772" i="93"/>
  <c r="JQ771" i="93"/>
  <c r="JP771" i="93"/>
  <c r="JO771" i="93"/>
  <c r="JN771" i="93"/>
  <c r="JM771" i="93"/>
  <c r="IL771" i="93"/>
  <c r="IH771" i="93"/>
  <c r="ID771" i="93"/>
  <c r="IC771" i="93"/>
  <c r="IB771" i="93"/>
  <c r="IA771" i="93"/>
  <c r="HZ771" i="93"/>
  <c r="HY771" i="93"/>
  <c r="HX771" i="93"/>
  <c r="HW771" i="93"/>
  <c r="HV771" i="93"/>
  <c r="HU771" i="93"/>
  <c r="HT771" i="93"/>
  <c r="HS771" i="93"/>
  <c r="HR771" i="93"/>
  <c r="HQ771" i="93"/>
  <c r="HP771" i="93"/>
  <c r="HO771" i="93"/>
  <c r="HN771" i="93"/>
  <c r="HM771" i="93"/>
  <c r="HL771" i="93"/>
  <c r="HK771" i="93"/>
  <c r="HJ771" i="93"/>
  <c r="HI771" i="93"/>
  <c r="HH771" i="93"/>
  <c r="HG771" i="93"/>
  <c r="HF771" i="93"/>
  <c r="HE771" i="93"/>
  <c r="HD771" i="93"/>
  <c r="HC771" i="93"/>
  <c r="HB771" i="93"/>
  <c r="HA771" i="93"/>
  <c r="GZ771" i="93"/>
  <c r="GY771" i="93"/>
  <c r="GX771" i="93"/>
  <c r="GW771" i="93"/>
  <c r="GV771" i="93"/>
  <c r="GU771" i="93"/>
  <c r="GT771" i="93"/>
  <c r="GS771" i="93"/>
  <c r="GR771" i="93"/>
  <c r="GQ771" i="93"/>
  <c r="GP771" i="93"/>
  <c r="GO771" i="93"/>
  <c r="GN771" i="93"/>
  <c r="GM771" i="93"/>
  <c r="GL771" i="93"/>
  <c r="GK771" i="93"/>
  <c r="GJ771" i="93"/>
  <c r="GI771" i="93"/>
  <c r="GH771" i="93"/>
  <c r="GG771" i="93"/>
  <c r="GF771" i="93"/>
  <c r="GE771" i="93"/>
  <c r="GD771" i="93"/>
  <c r="GC771" i="93"/>
  <c r="GB771" i="93"/>
  <c r="GA771" i="93"/>
  <c r="FZ771" i="93"/>
  <c r="FY771" i="93"/>
  <c r="FX771" i="93"/>
  <c r="FW771" i="93"/>
  <c r="FV771" i="93"/>
  <c r="FU771" i="93"/>
  <c r="FT771" i="93"/>
  <c r="FS771" i="93"/>
  <c r="FR771" i="93"/>
  <c r="FQ771" i="93"/>
  <c r="FP771" i="93"/>
  <c r="FO771" i="93"/>
  <c r="FN771" i="93"/>
  <c r="FM771" i="93"/>
  <c r="FL771" i="93"/>
  <c r="FK771" i="93"/>
  <c r="FJ771" i="93"/>
  <c r="FI771" i="93"/>
  <c r="FH771" i="93"/>
  <c r="FG771" i="93"/>
  <c r="FF771" i="93"/>
  <c r="FE771" i="93"/>
  <c r="FD771" i="93"/>
  <c r="FC771" i="93"/>
  <c r="FB771" i="93"/>
  <c r="FA771" i="93"/>
  <c r="EZ771" i="93"/>
  <c r="EY771" i="93"/>
  <c r="EX771" i="93"/>
  <c r="EW771" i="93"/>
  <c r="DC771" i="93"/>
  <c r="DB771" i="93"/>
  <c r="DA771" i="93"/>
  <c r="CZ771" i="93"/>
  <c r="CY771" i="93"/>
  <c r="CW771" i="93"/>
  <c r="CV771" i="93"/>
  <c r="CP771" i="93"/>
  <c r="CL771" i="93"/>
  <c r="CD771" i="93"/>
  <c r="BZ771" i="93"/>
  <c r="BY771" i="93"/>
  <c r="BX771" i="93"/>
  <c r="BW771" i="93"/>
  <c r="BV771" i="93"/>
  <c r="BU771" i="93"/>
  <c r="BQ771" i="93"/>
  <c r="BI771" i="93"/>
  <c r="BA771" i="93"/>
  <c r="AS771" i="93"/>
  <c r="AO771" i="93"/>
  <c r="AK771" i="93"/>
  <c r="AG771" i="93"/>
  <c r="AC771" i="93"/>
  <c r="Y771" i="93"/>
  <c r="IZ769" i="93"/>
  <c r="IV769" i="93"/>
  <c r="IR769" i="93"/>
  <c r="IN769" i="93"/>
  <c r="IJ769" i="93"/>
  <c r="IF769" i="93"/>
  <c r="HZ769" i="93"/>
  <c r="HV769" i="93"/>
  <c r="HR769" i="93"/>
  <c r="HN769" i="93"/>
  <c r="HJ769" i="93"/>
  <c r="HF769" i="93"/>
  <c r="HB769" i="93"/>
  <c r="GX769" i="93"/>
  <c r="GT769" i="93"/>
  <c r="GP769" i="93"/>
  <c r="GL769" i="93"/>
  <c r="GH769" i="93"/>
  <c r="GD769" i="93"/>
  <c r="FZ769" i="93"/>
  <c r="FV769" i="93"/>
  <c r="FR769" i="93"/>
  <c r="FN769" i="93"/>
  <c r="FJ769" i="93"/>
  <c r="FF769" i="93"/>
  <c r="FB769" i="93"/>
  <c r="EW769" i="93"/>
  <c r="EV769" i="93"/>
  <c r="ER769" i="93"/>
  <c r="EN769" i="93"/>
  <c r="EJ769" i="93"/>
  <c r="EF769" i="93"/>
  <c r="EB769" i="93"/>
  <c r="DX769" i="93"/>
  <c r="DT769" i="93"/>
  <c r="DP769" i="93"/>
  <c r="DL769" i="93"/>
  <c r="DH769" i="93"/>
  <c r="DD769" i="93"/>
  <c r="DC769" i="93"/>
  <c r="DB769" i="93"/>
  <c r="DA769" i="93"/>
  <c r="CZ769" i="93"/>
  <c r="CY769" i="93"/>
  <c r="CR769" i="93"/>
  <c r="CN769" i="93"/>
  <c r="CJ769" i="93"/>
  <c r="CF769" i="93"/>
  <c r="CB769" i="93"/>
  <c r="BY769" i="93"/>
  <c r="BX769" i="93"/>
  <c r="BW769" i="93"/>
  <c r="BV769" i="93"/>
  <c r="BU769" i="93"/>
  <c r="AN769" i="93"/>
  <c r="AJ769" i="93"/>
  <c r="AF769" i="93"/>
  <c r="AB769" i="93"/>
  <c r="X769" i="93"/>
  <c r="JQ768" i="93"/>
  <c r="JP768" i="93"/>
  <c r="JO768" i="93"/>
  <c r="JN768" i="93"/>
  <c r="JM768" i="93"/>
  <c r="JL768" i="93"/>
  <c r="JK768" i="93"/>
  <c r="JJ768" i="93"/>
  <c r="JI768" i="93"/>
  <c r="JH768" i="93"/>
  <c r="JG768" i="93"/>
  <c r="JF768" i="93"/>
  <c r="JE768" i="93"/>
  <c r="JD768" i="93"/>
  <c r="JC768" i="93"/>
  <c r="IC768" i="93"/>
  <c r="IB768" i="93"/>
  <c r="IA768" i="93"/>
  <c r="HZ768" i="93"/>
  <c r="HY768" i="93"/>
  <c r="HX768" i="93"/>
  <c r="HW768" i="93"/>
  <c r="HV768" i="93"/>
  <c r="HU768" i="93"/>
  <c r="HT768" i="93"/>
  <c r="HS768" i="93"/>
  <c r="HR768" i="93"/>
  <c r="HQ768" i="93"/>
  <c r="HP768" i="93"/>
  <c r="HO768" i="93"/>
  <c r="HN768" i="93"/>
  <c r="HM768" i="93"/>
  <c r="HL768" i="93"/>
  <c r="HK768" i="93"/>
  <c r="HJ768" i="93"/>
  <c r="HI768" i="93"/>
  <c r="HH768" i="93"/>
  <c r="HG768" i="93"/>
  <c r="HF768" i="93"/>
  <c r="HE768" i="93"/>
  <c r="HD768" i="93"/>
  <c r="HC768" i="93"/>
  <c r="HB768" i="93"/>
  <c r="HA768" i="93"/>
  <c r="GZ768" i="93"/>
  <c r="GY768" i="93"/>
  <c r="GX768" i="93"/>
  <c r="GW768" i="93"/>
  <c r="GV768" i="93"/>
  <c r="GU768" i="93"/>
  <c r="GT768" i="93"/>
  <c r="GS768" i="93"/>
  <c r="GR768" i="93"/>
  <c r="GQ768" i="93"/>
  <c r="GP768" i="93"/>
  <c r="GO768" i="93"/>
  <c r="GN768" i="93"/>
  <c r="GM768" i="93"/>
  <c r="GL768" i="93"/>
  <c r="GK768" i="93"/>
  <c r="GJ768" i="93"/>
  <c r="GI768" i="93"/>
  <c r="GH768" i="93"/>
  <c r="GG768" i="93"/>
  <c r="GF768" i="93"/>
  <c r="GE768" i="93"/>
  <c r="GD768" i="93"/>
  <c r="GC768" i="93"/>
  <c r="GB768" i="93"/>
  <c r="GA768" i="93"/>
  <c r="FZ768" i="93"/>
  <c r="FY768" i="93"/>
  <c r="FX768" i="93"/>
  <c r="FW768" i="93"/>
  <c r="FV768" i="93"/>
  <c r="FU768" i="93"/>
  <c r="FT768" i="93"/>
  <c r="FS768" i="93"/>
  <c r="FR768" i="93"/>
  <c r="FQ768" i="93"/>
  <c r="FP768" i="93"/>
  <c r="FO768" i="93"/>
  <c r="FN768" i="93"/>
  <c r="FM768" i="93"/>
  <c r="FL768" i="93"/>
  <c r="FK768" i="93"/>
  <c r="FJ768" i="93"/>
  <c r="FI768" i="93"/>
  <c r="FH768" i="93"/>
  <c r="FG768" i="93"/>
  <c r="FF768" i="93"/>
  <c r="FE768" i="93"/>
  <c r="FD768" i="93"/>
  <c r="FC768" i="93"/>
  <c r="FB768" i="93"/>
  <c r="FA768" i="93"/>
  <c r="EZ768" i="93"/>
  <c r="EY768" i="93"/>
  <c r="EX768" i="93"/>
  <c r="EW768" i="93"/>
  <c r="DC768" i="93"/>
  <c r="DB768" i="93"/>
  <c r="CY768" i="93"/>
  <c r="CX768" i="93"/>
  <c r="CU768" i="93"/>
  <c r="CT768" i="93"/>
  <c r="BW768" i="93"/>
  <c r="BV768" i="93"/>
  <c r="JP767" i="93"/>
  <c r="JO767" i="93"/>
  <c r="JN767" i="93"/>
  <c r="JL767" i="93"/>
  <c r="JK767" i="93"/>
  <c r="JG767" i="93"/>
  <c r="JF767" i="93"/>
  <c r="IC767" i="93"/>
  <c r="IB767" i="93"/>
  <c r="HZ767" i="93"/>
  <c r="HY767" i="93"/>
  <c r="HX767" i="93"/>
  <c r="HV767" i="93"/>
  <c r="HU767" i="93"/>
  <c r="HT767" i="93"/>
  <c r="HR767" i="93"/>
  <c r="HQ767" i="93"/>
  <c r="HP767" i="93"/>
  <c r="HN767" i="93"/>
  <c r="HM767" i="93"/>
  <c r="HL767" i="93"/>
  <c r="HJ767" i="93"/>
  <c r="HI767" i="93"/>
  <c r="HH767" i="93"/>
  <c r="HF767" i="93"/>
  <c r="HE767" i="93"/>
  <c r="HD767" i="93"/>
  <c r="HB767" i="93"/>
  <c r="HA767" i="93"/>
  <c r="GZ767" i="93"/>
  <c r="GX767" i="93"/>
  <c r="GW767" i="93"/>
  <c r="GV767" i="93"/>
  <c r="GT767" i="93"/>
  <c r="GS767" i="93"/>
  <c r="GR767" i="93"/>
  <c r="GP767" i="93"/>
  <c r="GO767" i="93"/>
  <c r="GN767" i="93"/>
  <c r="GL767" i="93"/>
  <c r="GK767" i="93"/>
  <c r="GJ767" i="93"/>
  <c r="GH767" i="93"/>
  <c r="GG767" i="93"/>
  <c r="GF767" i="93"/>
  <c r="GD767" i="93"/>
  <c r="GC767" i="93"/>
  <c r="GB767" i="93"/>
  <c r="FZ767" i="93"/>
  <c r="FY767" i="93"/>
  <c r="FX767" i="93"/>
  <c r="FV767" i="93"/>
  <c r="FU767" i="93"/>
  <c r="FT767" i="93"/>
  <c r="FR767" i="93"/>
  <c r="FQ767" i="93"/>
  <c r="FP767" i="93"/>
  <c r="FN767" i="93"/>
  <c r="FM767" i="93"/>
  <c r="FL767" i="93"/>
  <c r="FJ767" i="93"/>
  <c r="FI767" i="93"/>
  <c r="FH767" i="93"/>
  <c r="FF767" i="93"/>
  <c r="FE767" i="93"/>
  <c r="FD767" i="93"/>
  <c r="FB767" i="93"/>
  <c r="FA767" i="93"/>
  <c r="EZ767" i="93"/>
  <c r="EX767" i="93"/>
  <c r="EW767" i="93"/>
  <c r="CA767" i="93"/>
  <c r="U760" i="93"/>
  <c r="A758" i="93"/>
  <c r="U758" i="93" s="1"/>
  <c r="K942" i="93"/>
  <c r="F925" i="93"/>
  <c r="JF772" i="93"/>
  <c r="JJ772" i="93"/>
  <c r="JC772" i="93"/>
  <c r="JG772" i="93"/>
  <c r="IJ772" i="93"/>
  <c r="AJ772" i="93"/>
  <c r="CF772" i="93"/>
  <c r="EB772" i="93"/>
  <c r="IZ772" i="93"/>
  <c r="AZ772" i="93"/>
  <c r="CX771" i="93"/>
  <c r="Z771" i="93"/>
  <c r="AH771" i="93"/>
  <c r="AP771" i="93"/>
  <c r="BF771" i="93"/>
  <c r="CG771" i="93"/>
  <c r="CO771" i="93"/>
  <c r="IK771" i="93"/>
  <c r="AD771" i="93"/>
  <c r="AL771" i="93"/>
  <c r="AX771" i="93"/>
  <c r="BN771" i="93"/>
  <c r="CC771" i="93"/>
  <c r="CK771" i="93"/>
  <c r="CS771" i="93"/>
  <c r="IG771" i="93"/>
  <c r="JE769" i="93"/>
  <c r="EX769" i="93"/>
  <c r="FC769" i="93"/>
  <c r="FG769" i="93"/>
  <c r="FK769" i="93"/>
  <c r="FO769" i="93"/>
  <c r="FS769" i="93"/>
  <c r="FW769" i="93"/>
  <c r="GA769" i="93"/>
  <c r="GE769" i="93"/>
  <c r="GI769" i="93"/>
  <c r="GM769" i="93"/>
  <c r="GQ769" i="93"/>
  <c r="GU769" i="93"/>
  <c r="GY769" i="93"/>
  <c r="HC769" i="93"/>
  <c r="HG769" i="93"/>
  <c r="HK769" i="93"/>
  <c r="HO769" i="93"/>
  <c r="HS769" i="93"/>
  <c r="HW769" i="93"/>
  <c r="IA769" i="93"/>
  <c r="EZ769" i="93"/>
  <c r="FD769" i="93"/>
  <c r="FH769" i="93"/>
  <c r="FL769" i="93"/>
  <c r="FP769" i="93"/>
  <c r="FT769" i="93"/>
  <c r="FX769" i="93"/>
  <c r="GB769" i="93"/>
  <c r="GF769" i="93"/>
  <c r="GJ769" i="93"/>
  <c r="GN769" i="93"/>
  <c r="GR769" i="93"/>
  <c r="GV769" i="93"/>
  <c r="GZ769" i="93"/>
  <c r="HD769" i="93"/>
  <c r="HH769" i="93"/>
  <c r="HP769" i="93"/>
  <c r="HT769" i="93"/>
  <c r="HX769" i="93"/>
  <c r="IB769" i="93"/>
  <c r="FA769" i="93"/>
  <c r="FE769" i="93"/>
  <c r="FI769" i="93"/>
  <c r="FM769" i="93"/>
  <c r="FQ769" i="93"/>
  <c r="FU769" i="93"/>
  <c r="FY769" i="93"/>
  <c r="GC769" i="93"/>
  <c r="GG769" i="93"/>
  <c r="GK769" i="93"/>
  <c r="GO769" i="93"/>
  <c r="GS769" i="93"/>
  <c r="GW769" i="93"/>
  <c r="HA769" i="93"/>
  <c r="HE769" i="93"/>
  <c r="HI769" i="93"/>
  <c r="HM769" i="93"/>
  <c r="HQ769" i="93"/>
  <c r="HU769" i="93"/>
  <c r="HY769" i="93"/>
  <c r="JQ769" i="93"/>
  <c r="AG769" i="93"/>
  <c r="CK769" i="93"/>
  <c r="DE769" i="93"/>
  <c r="DY769" i="93"/>
  <c r="EK769" i="93"/>
  <c r="JA769" i="93"/>
  <c r="Y769" i="93"/>
  <c r="AK769" i="93"/>
  <c r="AO769" i="93"/>
  <c r="CS769" i="93"/>
  <c r="DM769" i="93"/>
  <c r="DU769" i="93"/>
  <c r="EG769" i="93"/>
  <c r="ES769" i="93"/>
  <c r="IG769" i="93"/>
  <c r="IO769" i="93"/>
  <c r="IW769" i="93"/>
  <c r="Z769" i="93"/>
  <c r="AD769" i="93"/>
  <c r="AH769" i="93"/>
  <c r="AL769" i="93"/>
  <c r="AP769" i="93"/>
  <c r="BZ769" i="93"/>
  <c r="CD769" i="93"/>
  <c r="CH769" i="93"/>
  <c r="CL769" i="93"/>
  <c r="CP769" i="93"/>
  <c r="DF769" i="93"/>
  <c r="DJ769" i="93"/>
  <c r="DN769" i="93"/>
  <c r="DR769" i="93"/>
  <c r="DV769" i="93"/>
  <c r="DZ769" i="93"/>
  <c r="ED769" i="93"/>
  <c r="EH769" i="93"/>
  <c r="EL769" i="93"/>
  <c r="EP769" i="93"/>
  <c r="ET769" i="93"/>
  <c r="ID769" i="93"/>
  <c r="IH769" i="93"/>
  <c r="IL769" i="93"/>
  <c r="IP769" i="93"/>
  <c r="IT769" i="93"/>
  <c r="IX769" i="93"/>
  <c r="JB769" i="93"/>
  <c r="AC769" i="93"/>
  <c r="CC769" i="93"/>
  <c r="CO769" i="93"/>
  <c r="DI769" i="93"/>
  <c r="DQ769" i="93"/>
  <c r="EC769" i="93"/>
  <c r="EO769" i="93"/>
  <c r="IK769" i="93"/>
  <c r="IS769" i="93"/>
  <c r="W769" i="93"/>
  <c r="AA769" i="93"/>
  <c r="AE769" i="93"/>
  <c r="AI769" i="93"/>
  <c r="AM769" i="93"/>
  <c r="CA769" i="93"/>
  <c r="CE769" i="93"/>
  <c r="CI769" i="93"/>
  <c r="CM769" i="93"/>
  <c r="CQ769" i="93"/>
  <c r="DG769" i="93"/>
  <c r="DK769" i="93"/>
  <c r="DO769" i="93"/>
  <c r="DS769" i="93"/>
  <c r="DW769" i="93"/>
  <c r="EA769" i="93"/>
  <c r="EE769" i="93"/>
  <c r="EI769" i="93"/>
  <c r="EM769" i="93"/>
  <c r="EQ769" i="93"/>
  <c r="EU769" i="93"/>
  <c r="IE769" i="93"/>
  <c r="II769" i="93"/>
  <c r="IM769" i="93"/>
  <c r="IQ769" i="93"/>
  <c r="IU769" i="93"/>
  <c r="CV768" i="93"/>
  <c r="CZ768" i="93"/>
  <c r="BX768" i="93"/>
  <c r="BU768" i="93"/>
  <c r="BY768" i="93"/>
  <c r="CW768" i="93"/>
  <c r="JC767" i="93"/>
  <c r="JH767" i="93"/>
  <c r="JD767" i="93"/>
  <c r="EY767" i="93"/>
  <c r="FC767" i="93"/>
  <c r="FG767" i="93"/>
  <c r="FK767" i="93"/>
  <c r="FO767" i="93"/>
  <c r="FS767" i="93"/>
  <c r="FW767" i="93"/>
  <c r="GA767" i="93"/>
  <c r="GE767" i="93"/>
  <c r="GI767" i="93"/>
  <c r="GM767" i="93"/>
  <c r="GQ767" i="93"/>
  <c r="GU767" i="93"/>
  <c r="GY767" i="93"/>
  <c r="HC767" i="93"/>
  <c r="HG767" i="93"/>
  <c r="HK767" i="93"/>
  <c r="HO767" i="93"/>
  <c r="HS767" i="93"/>
  <c r="HW767" i="93"/>
  <c r="IA767" i="93"/>
  <c r="JE767" i="93"/>
  <c r="JI767" i="93"/>
  <c r="JM767" i="93"/>
  <c r="BZ767" i="93"/>
  <c r="O1583" i="93"/>
  <c r="P1567" i="93" s="1"/>
  <c r="F1569" i="93"/>
  <c r="P1564" i="93" s="1"/>
  <c r="O1569" i="93"/>
  <c r="P1566" i="93" s="1"/>
  <c r="J1569" i="93"/>
  <c r="P1565" i="93" s="1"/>
  <c r="F1047" i="93"/>
  <c r="G912" i="93"/>
  <c r="HC786" i="93"/>
  <c r="FM786" i="93"/>
  <c r="HN786" i="93"/>
  <c r="FW786" i="93"/>
  <c r="GM790" i="93"/>
  <c r="HC790" i="93"/>
  <c r="GC794" i="93"/>
  <c r="HI794" i="93"/>
  <c r="GC798" i="93"/>
  <c r="HT798" i="93"/>
  <c r="FK774" i="93"/>
  <c r="GF774" i="93"/>
  <c r="HB774" i="93"/>
  <c r="FD778" i="93"/>
  <c r="GJ778" i="93"/>
  <c r="FD782" i="93"/>
  <c r="GH786" i="93"/>
  <c r="HZ791" i="93"/>
  <c r="HV791" i="93"/>
  <c r="HR791" i="93"/>
  <c r="HN791" i="93"/>
  <c r="HJ791" i="93"/>
  <c r="HF791" i="93"/>
  <c r="HB791" i="93"/>
  <c r="GX791" i="93"/>
  <c r="IA791" i="93"/>
  <c r="HW791" i="93"/>
  <c r="HS791" i="93"/>
  <c r="HO791" i="93"/>
  <c r="HK791" i="93"/>
  <c r="HG791" i="93"/>
  <c r="HC791" i="93"/>
  <c r="IC791" i="93"/>
  <c r="HU791" i="93"/>
  <c r="HM791" i="93"/>
  <c r="HE791" i="93"/>
  <c r="GY791" i="93"/>
  <c r="GT791" i="93"/>
  <c r="GP791" i="93"/>
  <c r="GL791" i="93"/>
  <c r="GH791" i="93"/>
  <c r="GD791" i="93"/>
  <c r="FZ791" i="93"/>
  <c r="FV791" i="93"/>
  <c r="FR791" i="93"/>
  <c r="FN791" i="93"/>
  <c r="FJ791" i="93"/>
  <c r="FF791" i="93"/>
  <c r="FB791" i="93"/>
  <c r="HX791" i="93"/>
  <c r="HP791" i="93"/>
  <c r="HH791" i="93"/>
  <c r="GZ791" i="93"/>
  <c r="GU791" i="93"/>
  <c r="GQ791" i="93"/>
  <c r="GM791" i="93"/>
  <c r="GI791" i="93"/>
  <c r="GE791" i="93"/>
  <c r="GA791" i="93"/>
  <c r="FW791" i="93"/>
  <c r="FS791" i="93"/>
  <c r="FO791" i="93"/>
  <c r="FK791" i="93"/>
  <c r="FG791" i="93"/>
  <c r="FC791" i="93"/>
  <c r="IA799" i="93"/>
  <c r="HW799" i="93"/>
  <c r="HS799" i="93"/>
  <c r="HO799" i="93"/>
  <c r="HK799" i="93"/>
  <c r="HG799" i="93"/>
  <c r="HC799" i="93"/>
  <c r="GY799" i="93"/>
  <c r="GU799" i="93"/>
  <c r="GQ799" i="93"/>
  <c r="GM799" i="93"/>
  <c r="GI799" i="93"/>
  <c r="GE799" i="93"/>
  <c r="GA799" i="93"/>
  <c r="FW799" i="93"/>
  <c r="FS799" i="93"/>
  <c r="FO799" i="93"/>
  <c r="FK799" i="93"/>
  <c r="FG799" i="93"/>
  <c r="FC799" i="93"/>
  <c r="IB799" i="93"/>
  <c r="HX799" i="93"/>
  <c r="HT799" i="93"/>
  <c r="HP799" i="93"/>
  <c r="HL799" i="93"/>
  <c r="HH799" i="93"/>
  <c r="HD799" i="93"/>
  <c r="GZ799" i="93"/>
  <c r="GV799" i="93"/>
  <c r="GR799" i="93"/>
  <c r="GN799" i="93"/>
  <c r="GJ799" i="93"/>
  <c r="GF799" i="93"/>
  <c r="GB799" i="93"/>
  <c r="FX799" i="93"/>
  <c r="FT799" i="93"/>
  <c r="FP799" i="93"/>
  <c r="FL799" i="93"/>
  <c r="FH799" i="93"/>
  <c r="FD799" i="93"/>
  <c r="HZ799" i="93"/>
  <c r="HR799" i="93"/>
  <c r="HJ799" i="93"/>
  <c r="HB799" i="93"/>
  <c r="GT799" i="93"/>
  <c r="GL799" i="93"/>
  <c r="GD799" i="93"/>
  <c r="FV799" i="93"/>
  <c r="FN799" i="93"/>
  <c r="FF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C797" i="93"/>
  <c r="IR797" i="93"/>
  <c r="EN797" i="93"/>
  <c r="ED797" i="93"/>
  <c r="DS797" i="93"/>
  <c r="DH797" i="93"/>
  <c r="JB797" i="93"/>
  <c r="IQ797" i="93"/>
  <c r="EU797" i="93"/>
  <c r="EJ797" i="93"/>
  <c r="DZ797" i="93"/>
  <c r="DO797" i="93"/>
  <c r="DD797" i="93"/>
  <c r="DU786" i="93"/>
  <c r="IB800" i="93"/>
  <c r="FI801" i="93"/>
  <c r="FU801" i="93"/>
  <c r="GJ801" i="93"/>
  <c r="GZ801" i="93"/>
  <c r="JQ777" i="93"/>
  <c r="JO785" i="93"/>
  <c r="JN793" i="93"/>
  <c r="JL797" i="93"/>
  <c r="A777" i="93"/>
  <c r="Z778" i="93"/>
  <c r="DI778" i="93"/>
  <c r="ET778" i="93"/>
  <c r="IU778" i="93"/>
  <c r="CZ790" i="93"/>
  <c r="AK798" i="93"/>
  <c r="BY774" i="93"/>
  <c r="BN778" i="93"/>
  <c r="CU778" i="93"/>
  <c r="EA778" i="93"/>
  <c r="DB786" i="93"/>
  <c r="AW790" i="93"/>
  <c r="IM793" i="93"/>
  <c r="II793" i="93"/>
  <c r="IE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CT801" i="93"/>
  <c r="CI801" i="93"/>
  <c r="BZ801" i="93"/>
  <c r="BN801" i="93"/>
  <c r="BC801" i="93"/>
  <c r="AT801" i="93"/>
  <c r="AH801" i="93"/>
  <c r="W801" i="93"/>
  <c r="IF801" i="93"/>
  <c r="DC801" i="93"/>
  <c r="CQ801" i="93"/>
  <c r="CH801" i="93"/>
  <c r="BV801" i="93"/>
  <c r="BK801" i="93"/>
  <c r="BB801" i="93"/>
  <c r="AP801" i="93"/>
  <c r="AE801" i="93"/>
  <c r="CT774" i="93"/>
  <c r="CC778" i="93"/>
  <c r="BY786" i="93"/>
  <c r="AK778" i="93"/>
  <c r="CM778" i="93"/>
  <c r="CR794" i="93"/>
  <c r="AT778" i="93"/>
  <c r="BI786" i="93"/>
  <c r="AW771" i="93"/>
  <c r="BE771" i="93"/>
  <c r="BM771" i="93"/>
  <c r="CU771" i="93"/>
  <c r="BC778" i="93"/>
  <c r="CV779" i="93"/>
  <c r="BA787" i="93"/>
  <c r="BK787" i="93"/>
  <c r="CW787" i="93"/>
  <c r="AU791" i="93"/>
  <c r="BJ791" i="93"/>
  <c r="CU791" i="93"/>
  <c r="BD792" i="93"/>
  <c r="AT771" i="93"/>
  <c r="BB771" i="93"/>
  <c r="BJ771" i="93"/>
  <c r="BR771" i="93"/>
  <c r="CT771" i="93"/>
  <c r="BN775" i="93"/>
  <c r="AW787" i="93"/>
  <c r="BG787" i="93"/>
  <c r="BR787" i="93"/>
  <c r="BD791" i="93"/>
  <c r="BR791" i="93"/>
  <c r="CT791" i="93"/>
  <c r="JH781" i="93"/>
  <c r="JQ785" i="93"/>
  <c r="JD797" i="93"/>
  <c r="JO797" i="93"/>
  <c r="JD777" i="93"/>
  <c r="JL777" i="93"/>
  <c r="JP777" i="93"/>
  <c r="JI781" i="93"/>
  <c r="JF785" i="93"/>
  <c r="JJ785" i="93"/>
  <c r="JN785" i="93"/>
  <c r="JM793" i="93"/>
  <c r="JQ793" i="93"/>
  <c r="JF797" i="93"/>
  <c r="JK797" i="93"/>
  <c r="JP797" i="93"/>
  <c r="JN769" i="93"/>
  <c r="JC777" i="93"/>
  <c r="JG777" i="93"/>
  <c r="JK777" i="93"/>
  <c r="JO777" i="93"/>
  <c r="JL781" i="93"/>
  <c r="JE785" i="93"/>
  <c r="JI785" i="93"/>
  <c r="JM785" i="93"/>
  <c r="JP793" i="93"/>
  <c r="JJ797" i="93"/>
  <c r="A769" i="93"/>
  <c r="JK769" i="93"/>
  <c r="JO769" i="93"/>
  <c r="JH777" i="93"/>
  <c r="JH769" i="93"/>
  <c r="JL769" i="93"/>
  <c r="JE777" i="93"/>
  <c r="JI777" i="93"/>
  <c r="JM777" i="93"/>
  <c r="JJ781" i="93"/>
  <c r="A785" i="93"/>
  <c r="JC785" i="93"/>
  <c r="JG785" i="93"/>
  <c r="JK785" i="93"/>
  <c r="JG797" i="93"/>
  <c r="JP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DA774" i="93"/>
  <c r="CW774" i="93"/>
  <c r="CS774" i="93"/>
  <c r="B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JJ782" i="93"/>
  <c r="HX782" i="93"/>
  <c r="HN782" i="93"/>
  <c r="GX782" i="93"/>
  <c r="GB782" i="93"/>
  <c r="FG782" i="93"/>
  <c r="JQ782" i="93"/>
  <c r="JK782" i="93"/>
  <c r="JF782" i="93"/>
  <c r="HZ782" i="93"/>
  <c r="HT782" i="93"/>
  <c r="HO782" i="93"/>
  <c r="HJ782" i="93"/>
  <c r="HD782" i="93"/>
  <c r="GY782" i="93"/>
  <c r="GT782" i="93"/>
  <c r="GN782" i="93"/>
  <c r="GI782" i="93"/>
  <c r="GD782" i="93"/>
  <c r="FX782" i="93"/>
  <c r="FS782" i="93"/>
  <c r="FN782" i="93"/>
  <c r="FH782" i="93"/>
  <c r="FC782" i="93"/>
  <c r="EX782" i="93"/>
  <c r="JO782" i="93"/>
  <c r="JE782" i="93"/>
  <c r="HS782" i="93"/>
  <c r="HH782" i="93"/>
  <c r="HC782" i="93"/>
  <c r="GR782" i="93"/>
  <c r="GM782" i="93"/>
  <c r="GH782" i="93"/>
  <c r="FW782" i="93"/>
  <c r="FR782" i="93"/>
  <c r="FL782" i="93"/>
  <c r="FB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M794" i="93"/>
  <c r="CC794" i="93"/>
  <c r="BW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Q794" i="93"/>
  <c r="CF794" i="93"/>
  <c r="BX794" i="93"/>
  <c r="AI794" i="93"/>
  <c r="X794" i="93"/>
  <c r="JO794" i="93"/>
  <c r="JG794" i="93"/>
  <c r="IU794" i="93"/>
  <c r="IC794" i="93"/>
  <c r="HU794" i="93"/>
  <c r="HM794" i="93"/>
  <c r="HE794" i="93"/>
  <c r="GW794" i="93"/>
  <c r="GO794" i="93"/>
  <c r="GG794" i="93"/>
  <c r="FY794" i="93"/>
  <c r="FQ794" i="93"/>
  <c r="FI794" i="93"/>
  <c r="FA794" i="93"/>
  <c r="EO794" i="93"/>
  <c r="DX794" i="93"/>
  <c r="DD794" i="93"/>
  <c r="CI794" i="93"/>
  <c r="BU794" i="93"/>
  <c r="AK794" i="93"/>
  <c r="JP794" i="93"/>
  <c r="JH794" i="93"/>
  <c r="IV794" i="93"/>
  <c r="IE794" i="93"/>
  <c r="HV794" i="93"/>
  <c r="HN794" i="93"/>
  <c r="HF794" i="93"/>
  <c r="GX794" i="93"/>
  <c r="GP794" i="93"/>
  <c r="GH794" i="93"/>
  <c r="FZ794" i="93"/>
  <c r="FR794" i="93"/>
  <c r="FJ794" i="93"/>
  <c r="FB794" i="93"/>
  <c r="ES794" i="93"/>
  <c r="DY794" i="93"/>
  <c r="DE794" i="93"/>
  <c r="CK794" i="93"/>
  <c r="BV794" i="93"/>
  <c r="AM794" i="93"/>
  <c r="JD794" i="93"/>
  <c r="HZ794" i="93"/>
  <c r="HJ794" i="93"/>
  <c r="GT794" i="93"/>
  <c r="GD794" i="93"/>
  <c r="FN794" i="93"/>
  <c r="EX794" i="93"/>
  <c r="DP794" i="93"/>
  <c r="CS794" i="93"/>
  <c r="AC794" i="93"/>
  <c r="JK794" i="93"/>
  <c r="IK794" i="93"/>
  <c r="HQ794" i="93"/>
  <c r="HA794" i="93"/>
  <c r="GK794" i="93"/>
  <c r="FU794" i="93"/>
  <c r="FE794" i="93"/>
  <c r="EF794" i="93"/>
  <c r="CZ794" i="93"/>
  <c r="BY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CU774" i="93"/>
  <c r="CZ774" i="93"/>
  <c r="FG774" i="93"/>
  <c r="FL774" i="93"/>
  <c r="FW774" i="93"/>
  <c r="GH774" i="93"/>
  <c r="GM774" i="93"/>
  <c r="GX774" i="93"/>
  <c r="HC774" i="93"/>
  <c r="HN774" i="93"/>
  <c r="AM778" i="93"/>
  <c r="AU778" i="93"/>
  <c r="BO778" i="93"/>
  <c r="BW778" i="93"/>
  <c r="CO778" i="93"/>
  <c r="CV778" i="93"/>
  <c r="DK778" i="93"/>
  <c r="DS778" i="93"/>
  <c r="EM778" i="93"/>
  <c r="FG778" i="93"/>
  <c r="FO778" i="93"/>
  <c r="FW778" i="93"/>
  <c r="GM778" i="93"/>
  <c r="GU778" i="93"/>
  <c r="HK778" i="93"/>
  <c r="HS778" i="93"/>
  <c r="IM778" i="93"/>
  <c r="JA778"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DA794" i="93"/>
  <c r="FF794" i="93"/>
  <c r="GL794" i="93"/>
  <c r="JL794" i="93"/>
  <c r="ET798" i="93"/>
  <c r="IC798" i="93"/>
  <c r="BV774" i="93"/>
  <c r="CV774" i="93"/>
  <c r="EX774" i="93"/>
  <c r="FC774" i="93"/>
  <c r="FH774" i="93"/>
  <c r="FN774" i="93"/>
  <c r="FX774" i="93"/>
  <c r="GD774" i="93"/>
  <c r="GI774" i="93"/>
  <c r="GN774" i="93"/>
  <c r="GT774" i="93"/>
  <c r="GY774" i="93"/>
  <c r="HD774" i="93"/>
  <c r="HJ774" i="93"/>
  <c r="HT774" i="93"/>
  <c r="HZ774" i="93"/>
  <c r="JQ774" i="93"/>
  <c r="BC774" i="93"/>
  <c r="BW774" i="93"/>
  <c r="CX774" i="93"/>
  <c r="DC774" i="93"/>
  <c r="EY774" i="93"/>
  <c r="FD774" i="93"/>
  <c r="FJ774" i="93"/>
  <c r="FO774" i="93"/>
  <c r="FT774" i="93"/>
  <c r="FZ774" i="93"/>
  <c r="GE774" i="93"/>
  <c r="GJ774" i="93"/>
  <c r="GP774" i="93"/>
  <c r="GU774" i="93"/>
  <c r="GZ774" i="93"/>
  <c r="HF774" i="93"/>
  <c r="HK774" i="93"/>
  <c r="HP774" i="93"/>
  <c r="HV774" i="93"/>
  <c r="IA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BX782" i="93"/>
  <c r="EZ782" i="93"/>
  <c r="FK782" i="93"/>
  <c r="FV782" i="93"/>
  <c r="GF782" i="93"/>
  <c r="GQ782" i="93"/>
  <c r="HB782" i="93"/>
  <c r="HL782" i="93"/>
  <c r="HW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HG802" i="93"/>
  <c r="FX802" i="93"/>
  <c r="FY802" i="93"/>
  <c r="W774" i="93"/>
  <c r="BU774" i="93"/>
  <c r="FB774" i="93"/>
  <c r="FR774" i="93"/>
  <c r="GB774" i="93"/>
  <c r="GR774" i="93"/>
  <c r="HH774" i="93"/>
  <c r="HS774" i="93"/>
  <c r="HX774" i="93"/>
  <c r="JO774" i="93"/>
  <c r="AD778" i="93"/>
  <c r="BF778" i="93"/>
  <c r="CE778" i="93"/>
  <c r="DB778" i="93"/>
  <c r="ED778" i="93"/>
  <c r="EY778" i="93"/>
  <c r="GE778" i="93"/>
  <c r="HC778" i="93"/>
  <c r="IA778" i="93"/>
  <c r="JJ778" i="93"/>
  <c r="GA782" i="93"/>
  <c r="HG782" i="93"/>
  <c r="CE786" i="93"/>
  <c r="FF786" i="93"/>
  <c r="JI786" i="93"/>
  <c r="BY790" i="93"/>
  <c r="FH790" i="93"/>
  <c r="HD790" i="93"/>
  <c r="IT790" i="93"/>
  <c r="HR794" i="93"/>
  <c r="BG798" i="93"/>
  <c r="GM798" i="93"/>
  <c r="DB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EY782" i="93"/>
  <c r="FJ782" i="93"/>
  <c r="FT782" i="93"/>
  <c r="GE782" i="93"/>
  <c r="GP782" i="93"/>
  <c r="GZ782" i="93"/>
  <c r="HK782" i="93"/>
  <c r="HV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DM794" i="93"/>
  <c r="FM794" i="93"/>
  <c r="GS794" i="93"/>
  <c r="HY794" i="93"/>
  <c r="CE798" i="93"/>
  <c r="FH798" i="93"/>
  <c r="GY798" i="93"/>
  <c r="JF798"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DB801" i="93"/>
  <c r="JQ801" i="93"/>
  <c r="JM801" i="93"/>
  <c r="JI801" i="93"/>
  <c r="IK801" i="93"/>
  <c r="IG801" i="93"/>
  <c r="IC801" i="93"/>
  <c r="HY801" i="93"/>
  <c r="HU801" i="93"/>
  <c r="HQ801" i="93"/>
  <c r="IM801" i="93"/>
  <c r="IE801" i="93"/>
  <c r="HW801" i="93"/>
  <c r="HO801" i="93"/>
  <c r="HI801" i="93"/>
  <c r="HD801" i="93"/>
  <c r="GY801" i="93"/>
  <c r="GS801" i="93"/>
  <c r="GN801" i="93"/>
  <c r="GI801" i="93"/>
  <c r="GC801" i="93"/>
  <c r="FX801" i="93"/>
  <c r="FS801" i="93"/>
  <c r="FM801" i="93"/>
  <c r="FH801" i="93"/>
  <c r="FC801" i="93"/>
  <c r="EW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IJ801" i="93"/>
  <c r="IB801" i="93"/>
  <c r="HT801" i="93"/>
  <c r="HM801" i="93"/>
  <c r="HH801" i="93"/>
  <c r="HC801" i="93"/>
  <c r="GW801" i="93"/>
  <c r="GR801" i="93"/>
  <c r="GM801" i="93"/>
  <c r="GG801" i="93"/>
  <c r="GB801" i="93"/>
  <c r="FW801" i="93"/>
  <c r="FQ801" i="93"/>
  <c r="FL801" i="93"/>
  <c r="FG801" i="93"/>
  <c r="FA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FE801" i="93"/>
  <c r="FP801" i="93"/>
  <c r="GA801" i="93"/>
  <c r="GK801" i="93"/>
  <c r="GV801" i="93"/>
  <c r="HG801" i="93"/>
  <c r="HS801" i="93"/>
  <c r="II801" i="93"/>
  <c r="JO801"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EV788" i="93"/>
  <c r="BI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AZ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AP776" i="93"/>
  <c r="AK776" i="93"/>
  <c r="AE776" i="93"/>
  <c r="Z776" i="93"/>
  <c r="IY776" i="93"/>
  <c r="IT776" i="93"/>
  <c r="IO776" i="93"/>
  <c r="II776" i="93"/>
  <c r="ID776" i="93"/>
  <c r="ES776" i="93"/>
  <c r="EM776" i="93"/>
  <c r="EH776" i="93"/>
  <c r="EC776" i="93"/>
  <c r="DW776" i="93"/>
  <c r="DR776" i="93"/>
  <c r="DM776" i="93"/>
  <c r="DG776" i="93"/>
  <c r="CO776" i="93"/>
  <c r="CI776" i="93"/>
  <c r="CD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L768" i="93"/>
  <c r="IW768" i="93"/>
  <c r="IG768" i="93"/>
  <c r="IJ768" i="93"/>
  <c r="ER768" i="93"/>
  <c r="EQ768" i="93"/>
  <c r="X772" i="93"/>
  <c r="AN772" i="93"/>
  <c r="BD772" i="93"/>
  <c r="BT772" i="93"/>
  <c r="CJ772" i="93"/>
  <c r="DP772" i="93"/>
  <c r="EF772" i="93"/>
  <c r="EV772" i="93"/>
  <c r="IN772" i="93"/>
  <c r="AM776" i="93"/>
  <c r="CC776" i="93"/>
  <c r="DQ776" i="93"/>
  <c r="EL776" i="93"/>
  <c r="IM776" i="93"/>
  <c r="W780" i="93"/>
  <c r="AS780" i="93"/>
  <c r="BN780" i="93"/>
  <c r="CH780" i="93"/>
  <c r="DV780" i="93"/>
  <c r="EQ780" i="93"/>
  <c r="IS780" i="93"/>
  <c r="AK784" i="93"/>
  <c r="BF784" i="93"/>
  <c r="BZ784" i="93"/>
  <c r="DR784" i="93"/>
  <c r="EN784" i="93"/>
  <c r="IJ784" i="93"/>
  <c r="AI792" i="93"/>
  <c r="BL792" i="93"/>
  <c r="CH792" i="93"/>
  <c r="DJ792" i="93"/>
  <c r="EL792" i="93"/>
  <c r="IJ792" i="93"/>
  <c r="AA796" i="93"/>
  <c r="BC796" i="93"/>
  <c r="CA796" i="93"/>
  <c r="DZ796" i="93"/>
  <c r="AV800" i="93"/>
  <c r="BZ800" i="93"/>
  <c r="EI800" i="93"/>
  <c r="IN800" i="93"/>
  <c r="AI804" i="93"/>
  <c r="EV804" i="93"/>
  <c r="EU768" i="93"/>
  <c r="AB772" i="93"/>
  <c r="AR772" i="93"/>
  <c r="BH772" i="93"/>
  <c r="CN772" i="93"/>
  <c r="DD772" i="93"/>
  <c r="DT772" i="93"/>
  <c r="EJ772" i="93"/>
  <c r="IR772" i="93"/>
  <c r="W776" i="93"/>
  <c r="CH776" i="93"/>
  <c r="DV776" i="93"/>
  <c r="EQ776" i="93"/>
  <c r="IS776" i="93"/>
  <c r="AC780" i="93"/>
  <c r="AX780" i="93"/>
  <c r="BS780" i="93"/>
  <c r="CM780" i="93"/>
  <c r="DF780" i="93"/>
  <c r="EA780" i="93"/>
  <c r="IX780" i="93"/>
  <c r="AP784" i="93"/>
  <c r="BL784" i="93"/>
  <c r="CF784" i="93"/>
  <c r="DX784" i="93"/>
  <c r="ES784" i="93"/>
  <c r="IO784" i="93"/>
  <c r="AQ792" i="93"/>
  <c r="BS792" i="93"/>
  <c r="CP792" i="93"/>
  <c r="DP792" i="93"/>
  <c r="ET792" i="93"/>
  <c r="IQ792" i="93"/>
  <c r="AH796" i="93"/>
  <c r="BK796" i="93"/>
  <c r="CI796" i="93"/>
  <c r="DD796" i="93"/>
  <c r="EH796" i="93"/>
  <c r="IH796" i="93"/>
  <c r="BG800" i="93"/>
  <c r="CJ800" i="93"/>
  <c r="DF800" i="93"/>
  <c r="EQ800" i="93"/>
  <c r="IV800" i="93"/>
  <c r="AV804" i="93"/>
  <c r="CE804" i="93"/>
  <c r="DK804" i="93"/>
  <c r="AF772" i="93"/>
  <c r="AV772" i="93"/>
  <c r="BL772" i="93"/>
  <c r="CB772" i="93"/>
  <c r="CR772" i="93"/>
  <c r="DH772" i="93"/>
  <c r="DX772" i="93"/>
  <c r="EN772" i="93"/>
  <c r="IF772" i="93"/>
  <c r="IV772" i="93"/>
  <c r="AC776" i="93"/>
  <c r="CM776" i="93"/>
  <c r="DF776" i="93"/>
  <c r="EA776" i="93"/>
  <c r="IX776" i="93"/>
  <c r="AH780" i="93"/>
  <c r="BC780" i="93"/>
  <c r="CS780" i="93"/>
  <c r="DK780" i="93"/>
  <c r="EG780" i="93"/>
  <c r="IH780" i="93"/>
  <c r="Z784" i="93"/>
  <c r="AV784" i="93"/>
  <c r="BQ784" i="93"/>
  <c r="CK784" i="93"/>
  <c r="DH784" i="93"/>
  <c r="EC784" i="93"/>
  <c r="IT784" i="93"/>
  <c r="AX792" i="93"/>
  <c r="DX792" i="93"/>
  <c r="IY792" i="93"/>
  <c r="AP796" i="93"/>
  <c r="BR796" i="93"/>
  <c r="CP796" i="93"/>
  <c r="DL796" i="93"/>
  <c r="EN796" i="93"/>
  <c r="IN796" i="93"/>
  <c r="AD800" i="93"/>
  <c r="BO800" i="93"/>
  <c r="CR800" i="93"/>
  <c r="DO800" i="93"/>
  <c r="BI804" i="93"/>
  <c r="CS804" i="93"/>
  <c r="DU804" i="93"/>
  <c r="IN804" i="93"/>
  <c r="II803" i="93"/>
  <c r="EQ803" i="93"/>
  <c r="CE803" i="93"/>
  <c r="BO803" i="93"/>
  <c r="IT803" i="93"/>
  <c r="ID803" i="93"/>
  <c r="BQ803" i="93"/>
  <c r="BA803" i="93"/>
  <c r="DN803" i="93"/>
  <c r="CG803" i="93"/>
  <c r="DZ803" i="93"/>
  <c r="CL803" i="93"/>
  <c r="IG799" i="93"/>
  <c r="EK799" i="93"/>
  <c r="CC799" i="93"/>
  <c r="BI799" i="93"/>
  <c r="IJ799" i="93"/>
  <c r="EP799" i="93"/>
  <c r="BN799" i="93"/>
  <c r="AX799" i="93"/>
  <c r="EF799" i="93"/>
  <c r="DK799" i="93"/>
  <c r="IT795" i="93"/>
  <c r="IH795" i="93"/>
  <c r="CP795" i="93"/>
  <c r="CD795" i="93"/>
  <c r="Z795" i="93"/>
  <c r="IS795" i="93"/>
  <c r="CE795" i="93"/>
  <c r="BE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DG783" i="93"/>
  <c r="CQ783" i="93"/>
  <c r="AE783" i="93"/>
  <c r="AA783" i="93"/>
  <c r="DX779" i="93"/>
  <c r="DT779" i="93"/>
  <c r="AZ779" i="93"/>
  <c r="AV779" i="93"/>
  <c r="AJ775" i="93"/>
  <c r="W771" i="93"/>
  <c r="AA771" i="93"/>
  <c r="AE771" i="93"/>
  <c r="AI771" i="93"/>
  <c r="AM771" i="93"/>
  <c r="AQ771" i="93"/>
  <c r="AU771" i="93"/>
  <c r="AY771" i="93"/>
  <c r="BC771" i="93"/>
  <c r="BG771" i="93"/>
  <c r="BK771" i="93"/>
  <c r="BO771" i="93"/>
  <c r="BS771" i="93"/>
  <c r="CA771" i="93"/>
  <c r="CE771" i="93"/>
  <c r="CI771" i="93"/>
  <c r="CM771" i="93"/>
  <c r="CQ771" i="93"/>
  <c r="DS771" i="93"/>
  <c r="EA771" i="93"/>
  <c r="IE771" i="93"/>
  <c r="II771" i="93"/>
  <c r="IM771" i="93"/>
  <c r="IY771" i="93"/>
  <c r="AE775" i="93"/>
  <c r="ED775" i="93"/>
  <c r="CE779" i="93"/>
  <c r="CK779" i="93"/>
  <c r="Y783" i="93"/>
  <c r="AD783" i="93"/>
  <c r="EB783" i="93"/>
  <c r="EG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AF795" i="93"/>
  <c r="DT795" i="93"/>
  <c r="EI795" i="93"/>
  <c r="CB799" i="93"/>
  <c r="DH799" i="93"/>
  <c r="CJ803" i="93"/>
  <c r="DJ803" i="93"/>
  <c r="EU802" i="93"/>
  <c r="EQ802" i="93"/>
  <c r="IK802" i="93"/>
  <c r="ET802" i="93"/>
  <c r="CL802" i="93"/>
  <c r="CH802" i="93"/>
  <c r="AP802" i="93"/>
  <c r="AL802" i="93"/>
  <c r="EN802" i="93"/>
  <c r="EG802" i="93"/>
  <c r="BE802" i="93"/>
  <c r="AZ802" i="93"/>
  <c r="EK802" i="93"/>
  <c r="EB802" i="93"/>
  <c r="AW802" i="93"/>
  <c r="AQ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AX794" i="93"/>
  <c r="AT794" i="93"/>
  <c r="AP794" i="93"/>
  <c r="AL794" i="93"/>
  <c r="AH794" i="93"/>
  <c r="AD794" i="93"/>
  <c r="Z794" i="93"/>
  <c r="IY794" i="93"/>
  <c r="IS794" i="93"/>
  <c r="IN794" i="93"/>
  <c r="II794" i="93"/>
  <c r="ER794" i="93"/>
  <c r="EM794" i="93"/>
  <c r="EG794" i="93"/>
  <c r="EB794" i="93"/>
  <c r="DW794" i="93"/>
  <c r="DQ794" i="93"/>
  <c r="DL794" i="93"/>
  <c r="DG794" i="93"/>
  <c r="CO794" i="93"/>
  <c r="CJ794" i="93"/>
  <c r="CE794" i="93"/>
  <c r="BK794" i="93"/>
  <c r="BE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IH782" i="93"/>
  <c r="ID782" i="93"/>
  <c r="DV782" i="93"/>
  <c r="DR782" i="93"/>
  <c r="CD782" i="93"/>
  <c r="BZ782" i="93"/>
  <c r="AT782" i="93"/>
  <c r="AP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AV770" i="93"/>
  <c r="AZ770" i="93"/>
  <c r="CJ770" i="93"/>
  <c r="CN770" i="93"/>
  <c r="DX770" i="93"/>
  <c r="EB770" i="93"/>
  <c r="IJ770" i="93"/>
  <c r="IN770" i="93"/>
  <c r="X771" i="93"/>
  <c r="AB771" i="93"/>
  <c r="AF771" i="93"/>
  <c r="AJ771" i="93"/>
  <c r="AN771" i="93"/>
  <c r="AR771" i="93"/>
  <c r="AV771" i="93"/>
  <c r="AZ771" i="93"/>
  <c r="BD771" i="93"/>
  <c r="BH771" i="93"/>
  <c r="BL771" i="93"/>
  <c r="BP771" i="93"/>
  <c r="BT771" i="93"/>
  <c r="CB771" i="93"/>
  <c r="CF771" i="93"/>
  <c r="CJ771" i="93"/>
  <c r="CN771" i="93"/>
  <c r="CR771" i="93"/>
  <c r="DL771" i="93"/>
  <c r="DP771" i="93"/>
  <c r="ER771" i="93"/>
  <c r="EV771" i="93"/>
  <c r="IF771" i="93"/>
  <c r="IJ771" i="93"/>
  <c r="AP774" i="93"/>
  <c r="AG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L779" i="93"/>
  <c r="AQ779" i="93"/>
  <c r="CG779" i="93"/>
  <c r="CL779" i="93"/>
  <c r="EE779" i="93"/>
  <c r="EK779" i="93"/>
  <c r="JB779" i="93"/>
  <c r="X782" i="93"/>
  <c r="BI782" i="93"/>
  <c r="BO782" i="93"/>
  <c r="DK782" i="93"/>
  <c r="DP782" i="93"/>
  <c r="IG782" i="93"/>
  <c r="IM782" i="93"/>
  <c r="AV783" i="93"/>
  <c r="BA783" i="93"/>
  <c r="CP783" i="93"/>
  <c r="DH783" i="93"/>
  <c r="ES783" i="93"/>
  <c r="ID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BQ794" i="93"/>
  <c r="CA794" i="93"/>
  <c r="CG794" i="93"/>
  <c r="CN794" i="93"/>
  <c r="DH794" i="93"/>
  <c r="DO794" i="93"/>
  <c r="DU794" i="93"/>
  <c r="EC794" i="93"/>
  <c r="EJ794" i="93"/>
  <c r="EQ794" i="93"/>
  <c r="IJ794" i="93"/>
  <c r="IQ794" i="93"/>
  <c r="IW794" i="93"/>
  <c r="AV795" i="93"/>
  <c r="BC795" i="93"/>
  <c r="DO795" i="93"/>
  <c r="DU795" i="93"/>
  <c r="Y798" i="93"/>
  <c r="AF798" i="93"/>
  <c r="AN798" i="93"/>
  <c r="AU798" i="93"/>
  <c r="BA798" i="93"/>
  <c r="BI798" i="93"/>
  <c r="BP798" i="93"/>
  <c r="CA798" i="93"/>
  <c r="CI798" i="93"/>
  <c r="CO798" i="93"/>
  <c r="DK798" i="93"/>
  <c r="DS798" i="93"/>
  <c r="EC798" i="93"/>
  <c r="EM798" i="93"/>
  <c r="IK798" i="93"/>
  <c r="IU798" i="93"/>
  <c r="AE799" i="93"/>
  <c r="AP799" i="93"/>
  <c r="DV799" i="93"/>
  <c r="ED799" i="93"/>
  <c r="BC802" i="93"/>
  <c r="BM802" i="93"/>
  <c r="ID802" i="93"/>
  <c r="IR802" i="93"/>
  <c r="DL803" i="93"/>
  <c r="DY803"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K737" i="93"/>
  <c r="K738" i="93"/>
  <c r="K739" i="93"/>
  <c r="J740" i="93"/>
  <c r="I740" i="93"/>
  <c r="M739" i="93"/>
  <c r="L739" i="93"/>
  <c r="J739" i="93"/>
  <c r="I739" i="93"/>
  <c r="M738" i="93"/>
  <c r="M737" i="93"/>
  <c r="L738" i="93"/>
  <c r="L737" i="93"/>
  <c r="J738" i="93"/>
  <c r="I738" i="93"/>
  <c r="I737" i="93"/>
  <c r="J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D721" i="93"/>
  <c r="D722" i="93"/>
  <c r="D723" i="93"/>
  <c r="E728"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E722"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M717" i="93"/>
  <c r="L717" i="93"/>
  <c r="J717" i="93"/>
  <c r="I717" i="93"/>
  <c r="E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6" i="93"/>
  <c r="K576"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N604" i="93"/>
  <c r="O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T565" i="93"/>
  <c r="S565" i="93"/>
  <c r="T564" i="93"/>
  <c r="S564" i="93"/>
  <c r="Q565" i="93"/>
  <c r="P565" i="93"/>
  <c r="Q564" i="93"/>
  <c r="P564" i="93"/>
  <c r="N565" i="93"/>
  <c r="M565" i="93"/>
  <c r="N564" i="93"/>
  <c r="M564" i="93"/>
  <c r="K565" i="93"/>
  <c r="J565" i="93"/>
  <c r="K564" i="93"/>
  <c r="J564" i="93"/>
  <c r="H565" i="93"/>
  <c r="G565" i="93"/>
  <c r="H564" i="93"/>
  <c r="G564" i="93"/>
  <c r="Q561" i="93"/>
  <c r="P560" i="93"/>
  <c r="Q560" i="93"/>
  <c r="P561"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5" i="93"/>
  <c r="T515" i="93"/>
  <c r="S516"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E504" i="93"/>
  <c r="H504" i="93"/>
  <c r="G505" i="93"/>
  <c r="H505" i="93"/>
  <c r="G506" i="93"/>
  <c r="H506" i="93"/>
  <c r="G507" i="93"/>
  <c r="H507" i="93"/>
  <c r="G508" i="93"/>
  <c r="H508" i="93"/>
  <c r="G509" i="93"/>
  <c r="H509" i="93"/>
  <c r="G510" i="93"/>
  <c r="H510" i="93"/>
  <c r="G511" i="93"/>
  <c r="H511" i="93"/>
  <c r="G512" i="93"/>
  <c r="C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1" i="93"/>
  <c r="Q471" i="93"/>
  <c r="P472"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C451" i="93"/>
  <c r="H451" i="93"/>
  <c r="G452" i="93"/>
  <c r="C452" i="93"/>
  <c r="H452" i="93"/>
  <c r="D451" i="93"/>
  <c r="E451" i="93"/>
  <c r="F451"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G118" i="93"/>
  <c r="F551" i="93" s="1"/>
  <c r="W548" i="93"/>
  <c r="O548" i="93"/>
  <c r="V547" i="93"/>
  <c r="W542" i="93"/>
  <c r="O542" i="93"/>
  <c r="V541" i="93"/>
  <c r="F538" i="93"/>
  <c r="F537" i="93"/>
  <c r="B533" i="93"/>
  <c r="B532" i="93"/>
  <c r="W531" i="93"/>
  <c r="O531" i="93"/>
  <c r="V529" i="93"/>
  <c r="V527" i="93"/>
  <c r="W520" i="93"/>
  <c r="O520" i="93"/>
  <c r="V519" i="93"/>
  <c r="W514" i="93"/>
  <c r="O514" i="93"/>
  <c r="V513" i="93"/>
  <c r="W501" i="93"/>
  <c r="O501" i="93"/>
  <c r="V500" i="93"/>
  <c r="W487" i="93"/>
  <c r="O487" i="93"/>
  <c r="W485" i="93"/>
  <c r="W482" i="93"/>
  <c r="O482" i="93"/>
  <c r="W476" i="93"/>
  <c r="O476" i="93"/>
  <c r="V474" i="93"/>
  <c r="D471" i="93"/>
  <c r="D472" i="93"/>
  <c r="D473" i="93"/>
  <c r="G33" i="93"/>
  <c r="F472" i="93" s="1"/>
  <c r="W470" i="93"/>
  <c r="O470" i="93"/>
  <c r="V469" i="93"/>
  <c r="W464" i="93"/>
  <c r="O464" i="93"/>
  <c r="V463" i="93"/>
  <c r="V453" i="93"/>
  <c r="V459" i="93"/>
  <c r="W460" i="93"/>
  <c r="O460" i="93"/>
  <c r="W454" i="93"/>
  <c r="O454"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N401" i="93"/>
  <c r="O401" i="93"/>
  <c r="N402" i="93"/>
  <c r="O402" i="93"/>
  <c r="N403"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F33" i="93"/>
  <c r="L32" i="93"/>
  <c r="K32" i="93"/>
  <c r="J32" i="93"/>
  <c r="I32" i="93"/>
  <c r="H32" i="93"/>
  <c r="G32" i="93"/>
  <c r="F32" i="93"/>
  <c r="H31" i="93"/>
  <c r="G31" i="93"/>
  <c r="F31" i="93"/>
  <c r="M27" i="93"/>
  <c r="F27" i="93"/>
  <c r="O26" i="93"/>
  <c r="F26" i="93"/>
  <c r="F25" i="93"/>
  <c r="O23" i="93"/>
  <c r="O22" i="93"/>
  <c r="F22" i="93"/>
  <c r="O17" i="93"/>
  <c r="P97" i="93"/>
  <c r="P95" i="93"/>
  <c r="P94" i="93"/>
  <c r="P66" i="93"/>
  <c r="O81" i="75"/>
  <c r="N66" i="93" s="1"/>
  <c r="O20" i="93"/>
  <c r="A5" i="93"/>
  <c r="A2" i="93"/>
  <c r="D53" i="92"/>
  <c r="H52" i="92"/>
  <c r="C52" i="92"/>
  <c r="F37" i="72"/>
  <c r="F1591" i="93" s="1"/>
  <c r="A206" i="85"/>
  <c r="A10" i="83"/>
  <c r="I9" i="92"/>
  <c r="G11" i="91"/>
  <c r="F197" i="90"/>
  <c r="F73" i="89"/>
  <c r="E170" i="90" s="1"/>
  <c r="D101" i="90"/>
  <c r="E163" i="90"/>
  <c r="C16" i="90"/>
  <c r="A206" i="90"/>
  <c r="A200" i="90"/>
  <c r="C5" i="90"/>
  <c r="C8" i="84"/>
  <c r="A2" i="88" s="1"/>
  <c r="E8" i="84"/>
  <c r="H2" i="91" s="1"/>
  <c r="E9" i="89"/>
  <c r="H7" i="92" s="1"/>
  <c r="E50" i="89"/>
  <c r="G49" i="89"/>
  <c r="E49" i="89"/>
  <c r="F30" i="89"/>
  <c r="D62" i="90"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C54" i="86"/>
  <c r="G34" i="86"/>
  <c r="H34" i="86"/>
  <c r="I34" i="86"/>
  <c r="F34" i="86"/>
  <c r="H52" i="86"/>
  <c r="G52" i="86"/>
  <c r="F52" i="86"/>
  <c r="E52" i="86"/>
  <c r="D52" i="86"/>
  <c r="C52" i="86"/>
  <c r="E51" i="86"/>
  <c r="F51" i="86"/>
  <c r="G51" i="86"/>
  <c r="C51" i="86"/>
  <c r="H31" i="86"/>
  <c r="I31" i="86"/>
  <c r="H32" i="86"/>
  <c r="I32" i="86"/>
  <c r="G32" i="86"/>
  <c r="F32" i="86"/>
  <c r="E31" i="86"/>
  <c r="E32" i="86"/>
  <c r="C31" i="86"/>
  <c r="C32" i="86"/>
  <c r="E11" i="86"/>
  <c r="F11" i="86"/>
  <c r="H11" i="86"/>
  <c r="I11" i="86"/>
  <c r="E12" i="86"/>
  <c r="G12" i="86"/>
  <c r="H12" i="86"/>
  <c r="I12" i="86"/>
  <c r="D12" i="86"/>
  <c r="C12" i="86"/>
  <c r="H49" i="86"/>
  <c r="E6" i="86"/>
  <c r="K5" i="86" s="1"/>
  <c r="E5" i="86"/>
  <c r="E4" i="86"/>
  <c r="G49" i="86"/>
  <c r="F49" i="86"/>
  <c r="E49" i="86"/>
  <c r="D49" i="86"/>
  <c r="O61" i="85"/>
  <c r="F75" i="89"/>
  <c r="E183" i="90" s="1"/>
  <c r="F71" i="89"/>
  <c r="E166" i="90" s="1"/>
  <c r="K24" i="88"/>
  <c r="Q61" i="85"/>
  <c r="N61" i="85"/>
  <c r="L61" i="85"/>
  <c r="F103" i="92"/>
  <c r="E96" i="90"/>
  <c r="E92" i="90"/>
  <c r="F39" i="89"/>
  <c r="D79" i="90" s="1"/>
  <c r="H4" i="86"/>
  <c r="H56" i="86" s="1"/>
  <c r="G128" i="75"/>
  <c r="B17" i="74" s="1"/>
  <c r="C55" i="84" s="1"/>
  <c r="C28" i="90"/>
  <c r="G5" i="92" s="1"/>
  <c r="E28" i="89"/>
  <c r="O6" i="86"/>
  <c r="O12" i="86" s="1"/>
  <c r="P1840" i="93"/>
  <c r="O1840" i="93"/>
  <c r="C30" i="84"/>
  <c r="C32" i="84"/>
  <c r="B32" i="84"/>
  <c r="C31" i="84"/>
  <c r="B31" i="84"/>
  <c r="C25" i="84"/>
  <c r="D15" i="83"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65" i="89" s="1"/>
  <c r="D14" i="84"/>
  <c r="F102" i="78"/>
  <c r="F101" i="78"/>
  <c r="G6" i="74"/>
  <c r="F101" i="92"/>
  <c r="F95" i="92"/>
  <c r="I65" i="92"/>
  <c r="E184" i="90"/>
  <c r="E81" i="90"/>
  <c r="A47" i="84"/>
  <c r="B18" i="82"/>
  <c r="B38" i="82"/>
  <c r="B32" i="82"/>
  <c r="B35" i="82" s="1"/>
  <c r="B36" i="82" s="1"/>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A3" i="73"/>
  <c r="H3" i="73" s="1"/>
  <c r="L317" i="72"/>
  <c r="P442" i="72"/>
  <c r="E36" i="72"/>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c r="O1562" i="93" s="1"/>
  <c r="O29" i="72"/>
  <c r="P13" i="72" s="1"/>
  <c r="L137" i="72"/>
  <c r="L119" i="72"/>
  <c r="Q137" i="72"/>
  <c r="Q119" i="72"/>
  <c r="Q126" i="72"/>
  <c r="Q127" i="72"/>
  <c r="Q128" i="72"/>
  <c r="Q125" i="72"/>
  <c r="J113" i="72"/>
  <c r="H83" i="72"/>
  <c r="K71" i="74"/>
  <c r="K1027" i="93" s="1"/>
  <c r="J71" i="74"/>
  <c r="J1027" i="93" s="1"/>
  <c r="I71" i="74"/>
  <c r="I1027" i="93" s="1"/>
  <c r="H71" i="74"/>
  <c r="H1027" i="93" s="1"/>
  <c r="M441" i="72"/>
  <c r="M6" i="72" s="1"/>
  <c r="P362" i="72"/>
  <c r="P1916" i="93" s="1"/>
  <c r="O362" i="72"/>
  <c r="O1916" i="93" s="1"/>
  <c r="L1916"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O346" i="72"/>
  <c r="E38" i="72" s="1"/>
  <c r="E1592" i="93" s="1"/>
  <c r="P324" i="72"/>
  <c r="P443" i="72" s="1"/>
  <c r="G330" i="72"/>
  <c r="G1884" i="93" s="1"/>
  <c r="O325" i="72"/>
  <c r="K308" i="72"/>
  <c r="J180" i="72"/>
  <c r="J1734" i="93" s="1"/>
  <c r="J181" i="72"/>
  <c r="J1735" i="93" s="1"/>
  <c r="I181" i="72"/>
  <c r="I1735" i="93" s="1"/>
  <c r="I180" i="72"/>
  <c r="I1734" i="93" s="1"/>
  <c r="P1761" i="93"/>
  <c r="P1743" i="93"/>
  <c r="O95" i="72"/>
  <c r="K102" i="72"/>
  <c r="P94" i="72"/>
  <c r="P1648" i="93" s="1"/>
  <c r="O94" i="72"/>
  <c r="E31" i="72" s="1"/>
  <c r="E1585" i="93" s="1"/>
  <c r="P57" i="72"/>
  <c r="M279" i="72" s="1"/>
  <c r="M1833" i="93" s="1"/>
  <c r="O57" i="72"/>
  <c r="O1611" i="93" s="1"/>
  <c r="B96" i="78"/>
  <c r="O383" i="73"/>
  <c r="N383" i="73"/>
  <c r="F378" i="73"/>
  <c r="F1472" i="93" s="1"/>
  <c r="J1472" i="93" s="1"/>
  <c r="J182" i="72"/>
  <c r="J1736" i="93" s="1"/>
  <c r="I182" i="72"/>
  <c r="I1736" i="93" s="1"/>
  <c r="Q93" i="81"/>
  <c r="R35" i="81"/>
  <c r="Q35" i="81"/>
  <c r="P35" i="81"/>
  <c r="O35" i="81"/>
  <c r="N35" i="81"/>
  <c r="R34" i="81"/>
  <c r="Q34" i="81"/>
  <c r="P34" i="81"/>
  <c r="O34" i="81"/>
  <c r="N34" i="81"/>
  <c r="R33" i="81"/>
  <c r="Q33" i="81"/>
  <c r="P33" i="81"/>
  <c r="O33" i="81"/>
  <c r="N33" i="81"/>
  <c r="R32" i="81"/>
  <c r="Q32" i="81"/>
  <c r="P32" i="81"/>
  <c r="O32" i="81"/>
  <c r="N32" i="81"/>
  <c r="M169" i="72"/>
  <c r="P169" i="72" s="1"/>
  <c r="M168" i="72"/>
  <c r="P168" i="72" s="1"/>
  <c r="M167" i="72"/>
  <c r="P167" i="72" s="1"/>
  <c r="M165" i="72"/>
  <c r="O165" i="72" s="1"/>
  <c r="M164" i="72"/>
  <c r="O164" i="72" s="1"/>
  <c r="M163" i="72"/>
  <c r="O163" i="72" s="1"/>
  <c r="V17" i="78"/>
  <c r="I215" i="72"/>
  <c r="E68" i="78"/>
  <c r="F68" i="78" s="1"/>
  <c r="U3" i="75"/>
  <c r="G325" i="72"/>
  <c r="G1879" i="93" s="1"/>
  <c r="P1669" i="93"/>
  <c r="I804" i="93"/>
  <c r="K804" i="93" s="1"/>
  <c r="L804" i="93" s="1"/>
  <c r="I803" i="93"/>
  <c r="K803" i="93" s="1"/>
  <c r="L803" i="93" s="1"/>
  <c r="I802" i="93"/>
  <c r="K802" i="93" s="1"/>
  <c r="L802" i="93" s="1"/>
  <c r="I801" i="93"/>
  <c r="K801" i="93" s="1"/>
  <c r="L801" i="93" s="1"/>
  <c r="I800" i="93"/>
  <c r="K800" i="93" s="1"/>
  <c r="I799" i="93"/>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I782" i="93"/>
  <c r="K782" i="93" s="1"/>
  <c r="L782" i="93" s="1"/>
  <c r="I781" i="93"/>
  <c r="K781" i="93" s="1"/>
  <c r="L781" i="93" s="1"/>
  <c r="I780" i="93"/>
  <c r="K780" i="93" s="1"/>
  <c r="L780" i="93" s="1"/>
  <c r="I779" i="93"/>
  <c r="K779" i="93" s="1"/>
  <c r="L779" i="93" s="1"/>
  <c r="I778" i="93"/>
  <c r="K778" i="93" s="1"/>
  <c r="L778" i="93" s="1"/>
  <c r="I777" i="93"/>
  <c r="K777" i="93" s="1"/>
  <c r="L777" i="93" s="1"/>
  <c r="I776" i="93"/>
  <c r="K776" i="93" s="1"/>
  <c r="L776" i="93" s="1"/>
  <c r="P1665" i="93"/>
  <c r="H86" i="66"/>
  <c r="H84" i="66"/>
  <c r="H83" i="66"/>
  <c r="C13" i="74"/>
  <c r="D13" i="74" s="1"/>
  <c r="E13" i="74" s="1"/>
  <c r="F13" i="74" s="1"/>
  <c r="G13" i="74" s="1"/>
  <c r="H13" i="74" s="1"/>
  <c r="I13" i="74" s="1"/>
  <c r="J13" i="74" s="1"/>
  <c r="K13" i="74" s="1"/>
  <c r="B43" i="74" s="1"/>
  <c r="C43" i="74" s="1"/>
  <c r="D43" i="74" s="1"/>
  <c r="E43" i="74" s="1"/>
  <c r="F43" i="74" s="1"/>
  <c r="G43" i="74" s="1"/>
  <c r="H43" i="74" s="1"/>
  <c r="I43" i="74" s="1"/>
  <c r="J43" i="74" s="1"/>
  <c r="K43" i="74" s="1"/>
  <c r="B73" i="74" s="1"/>
  <c r="C73" i="74" s="1"/>
  <c r="D73" i="74" s="1"/>
  <c r="E73" i="74" s="1"/>
  <c r="F73" i="74" s="1"/>
  <c r="G73" i="74" s="1"/>
  <c r="H73" i="74" s="1"/>
  <c r="I73" i="74" s="1"/>
  <c r="J73" i="74" s="1"/>
  <c r="K73" i="74" s="1"/>
  <c r="B101" i="74" s="1"/>
  <c r="C101" i="74" s="1"/>
  <c r="D101" i="74" s="1"/>
  <c r="E101" i="74" s="1"/>
  <c r="F101" i="74" s="1"/>
  <c r="K155" i="75"/>
  <c r="F105" i="74" s="1"/>
  <c r="J155" i="75"/>
  <c r="E105" i="74" s="1"/>
  <c r="I155" i="75"/>
  <c r="D105" i="74" s="1"/>
  <c r="H155" i="75"/>
  <c r="C105" i="74" s="1"/>
  <c r="G155" i="75"/>
  <c r="B105" i="74" s="1"/>
  <c r="P146" i="75"/>
  <c r="K77" i="74" s="1"/>
  <c r="O146" i="75"/>
  <c r="J77" i="74" s="1"/>
  <c r="N146" i="75"/>
  <c r="I77" i="74" s="1"/>
  <c r="M146" i="75"/>
  <c r="H77" i="74" s="1"/>
  <c r="L146" i="75"/>
  <c r="G77" i="74" s="1"/>
  <c r="K146" i="75"/>
  <c r="F77" i="74" s="1"/>
  <c r="J146" i="75"/>
  <c r="E77" i="74" s="1"/>
  <c r="I146" i="75"/>
  <c r="D77" i="74" s="1"/>
  <c r="H146" i="75"/>
  <c r="C77" i="74" s="1"/>
  <c r="G146" i="75"/>
  <c r="B77" i="74" s="1"/>
  <c r="P137" i="75"/>
  <c r="K47" i="74" s="1"/>
  <c r="O137" i="75"/>
  <c r="J47" i="74" s="1"/>
  <c r="N137" i="75"/>
  <c r="I47" i="74" s="1"/>
  <c r="M137" i="75"/>
  <c r="H47" i="74" s="1"/>
  <c r="L137" i="75"/>
  <c r="G47" i="74" s="1"/>
  <c r="K137" i="75"/>
  <c r="F47" i="74" s="1"/>
  <c r="J137" i="75"/>
  <c r="E47" i="74" s="1"/>
  <c r="I137" i="75"/>
  <c r="D47" i="74" s="1"/>
  <c r="H137" i="75"/>
  <c r="C47" i="74" s="1"/>
  <c r="G137" i="75"/>
  <c r="B47" i="74" s="1"/>
  <c r="P128" i="75"/>
  <c r="K17" i="74" s="1"/>
  <c r="O128" i="75"/>
  <c r="J17" i="74" s="1"/>
  <c r="N128" i="75"/>
  <c r="I17" i="74" s="1"/>
  <c r="M128" i="75"/>
  <c r="H17" i="74" s="1"/>
  <c r="L128" i="75"/>
  <c r="G17" i="74" s="1"/>
  <c r="K128" i="75"/>
  <c r="F17" i="74" s="1"/>
  <c r="J128" i="75"/>
  <c r="E17" i="74" s="1"/>
  <c r="I128" i="75"/>
  <c r="D17" i="74" s="1"/>
  <c r="H128" i="75"/>
  <c r="C17" i="74" s="1"/>
  <c r="I159" i="75"/>
  <c r="D106" i="74" s="1"/>
  <c r="P141" i="75"/>
  <c r="K48" i="74" s="1"/>
  <c r="H141" i="75"/>
  <c r="C48" i="74" s="1"/>
  <c r="J132" i="75"/>
  <c r="E18" i="74"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O40" i="66" s="1"/>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Q15" i="75"/>
  <c r="Q772" i="93" s="1"/>
  <c r="N305"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J213" i="72"/>
  <c r="I210" i="72"/>
  <c r="E210" i="72"/>
  <c r="H273" i="72"/>
  <c r="I97" i="72"/>
  <c r="J68" i="72"/>
  <c r="P84" i="72" s="1"/>
  <c r="P1638" i="93" s="1"/>
  <c r="A2" i="71"/>
  <c r="P433" i="72"/>
  <c r="P1987" i="93" s="1"/>
  <c r="O433" i="72"/>
  <c r="O1987" i="93" s="1"/>
  <c r="L1987" i="93" s="1"/>
  <c r="H178" i="72"/>
  <c r="K178" i="72"/>
  <c r="H169" i="72"/>
  <c r="G169" i="72"/>
  <c r="D169" i="72"/>
  <c r="H168" i="72"/>
  <c r="G168" i="72"/>
  <c r="D168" i="72"/>
  <c r="H167" i="72"/>
  <c r="G167" i="72"/>
  <c r="D167" i="72"/>
  <c r="R414" i="72"/>
  <c r="P414" i="72"/>
  <c r="P1968" i="93" s="1"/>
  <c r="O414" i="72"/>
  <c r="P397" i="72"/>
  <c r="P1951" i="93" s="1"/>
  <c r="S364" i="72"/>
  <c r="N347" i="72"/>
  <c r="L347" i="72"/>
  <c r="P346" i="72"/>
  <c r="P1900" i="93" s="1"/>
  <c r="P316" i="72"/>
  <c r="P1870" i="93" s="1"/>
  <c r="O316" i="72"/>
  <c r="O1870" i="93" s="1"/>
  <c r="U288" i="72"/>
  <c r="U287" i="72"/>
  <c r="L222" i="72"/>
  <c r="L1776" i="93" s="1"/>
  <c r="J222" i="72"/>
  <c r="J1776" i="93" s="1"/>
  <c r="P280" i="72"/>
  <c r="P1834" i="93" s="1"/>
  <c r="O280" i="72"/>
  <c r="O1834" i="93" s="1"/>
  <c r="M275" i="72"/>
  <c r="Q274" i="72"/>
  <c r="O15" i="72"/>
  <c r="P12" i="72" s="1"/>
  <c r="J15" i="72"/>
  <c r="P11" i="72" s="1"/>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B984" i="93" s="1"/>
  <c r="N11" i="74"/>
  <c r="N3" i="74"/>
  <c r="F188" i="75"/>
  <c r="C59" i="84" s="1"/>
  <c r="K185" i="75"/>
  <c r="C60" i="84" s="1"/>
  <c r="F177" i="75"/>
  <c r="K175" i="75"/>
  <c r="F168" i="75"/>
  <c r="P167" i="75"/>
  <c r="C61" i="84" s="1"/>
  <c r="E61" i="84" s="1"/>
  <c r="K166" i="75"/>
  <c r="R161" i="75"/>
  <c r="K159" i="75"/>
  <c r="F106" i="74" s="1"/>
  <c r="J159" i="75"/>
  <c r="E106" i="74" s="1"/>
  <c r="H159" i="75"/>
  <c r="C106" i="74" s="1"/>
  <c r="G159" i="75"/>
  <c r="B106" i="74" s="1"/>
  <c r="R156" i="75"/>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S143" i="75"/>
  <c r="O141" i="75"/>
  <c r="J48" i="74" s="1"/>
  <c r="N141" i="75"/>
  <c r="I48" i="74" s="1"/>
  <c r="M141" i="75"/>
  <c r="H48" i="74" s="1"/>
  <c r="L141" i="75"/>
  <c r="G48" i="74" s="1"/>
  <c r="K141" i="75"/>
  <c r="F48" i="74" s="1"/>
  <c r="J141" i="75"/>
  <c r="E48" i="74" s="1"/>
  <c r="I141" i="75"/>
  <c r="D48" i="74" s="1"/>
  <c r="G141" i="75"/>
  <c r="B48" i="74" s="1"/>
  <c r="R138" i="75"/>
  <c r="S134" i="75"/>
  <c r="P132" i="75"/>
  <c r="K18" i="74" s="1"/>
  <c r="O132" i="75"/>
  <c r="J18" i="74" s="1"/>
  <c r="N132" i="75"/>
  <c r="I18" i="74" s="1"/>
  <c r="M132" i="75"/>
  <c r="H18" i="74" s="1"/>
  <c r="L132" i="75"/>
  <c r="G18" i="74" s="1"/>
  <c r="K132" i="75"/>
  <c r="F18" i="74" s="1"/>
  <c r="I132" i="75"/>
  <c r="D18" i="74" s="1"/>
  <c r="H132" i="75"/>
  <c r="C18" i="74" s="1"/>
  <c r="G132" i="75"/>
  <c r="B18" i="74" s="1"/>
  <c r="R129" i="75"/>
  <c r="R125" i="75"/>
  <c r="R124" i="75"/>
  <c r="R122" i="75"/>
  <c r="R112" i="75"/>
  <c r="R103" i="75"/>
  <c r="R85" i="75"/>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Q770" i="93" s="1"/>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Q769" i="93" s="1"/>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F113" i="78" s="1"/>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7" i="78" s="1"/>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37" i="68"/>
  <c r="I83" i="74" s="1"/>
  <c r="S34" i="68"/>
  <c r="L30" i="68"/>
  <c r="S16" i="68"/>
  <c r="S3" i="68"/>
  <c r="L151" i="67"/>
  <c r="P171" i="66"/>
  <c r="H72" i="66"/>
  <c r="H13" i="84" s="1"/>
  <c r="L38" i="66"/>
  <c r="B53" i="82"/>
  <c r="T1729" i="93"/>
  <c r="A2011" i="93"/>
  <c r="T1727" i="93"/>
  <c r="F1910" i="93"/>
  <c r="A364" i="93"/>
  <c r="I712" i="93"/>
  <c r="A623" i="93"/>
  <c r="E41" i="72"/>
  <c r="E1595" i="93" s="1"/>
  <c r="O1968" i="93"/>
  <c r="A3" i="93"/>
  <c r="J50" i="93"/>
  <c r="C43" i="90"/>
  <c r="H8" i="84"/>
  <c r="F14" i="85" s="1"/>
  <c r="A3" i="83" s="1"/>
  <c r="C62" i="74"/>
  <c r="K91" i="74"/>
  <c r="J62" i="74"/>
  <c r="F91" i="74"/>
  <c r="N55" i="66"/>
  <c r="P42" i="73"/>
  <c r="P1136" i="93" s="1"/>
  <c r="P55" i="73"/>
  <c r="L433" i="72"/>
  <c r="A1" i="66"/>
  <c r="N40" i="66"/>
  <c r="N51" i="93" s="1"/>
  <c r="A82" i="75"/>
  <c r="O420" i="72"/>
  <c r="P55" i="66"/>
  <c r="A1" i="72"/>
  <c r="A1" i="74"/>
  <c r="N1" i="74" s="1"/>
  <c r="A3" i="79"/>
  <c r="F356" i="72"/>
  <c r="A1" i="77"/>
  <c r="D38" i="78"/>
  <c r="A1" i="73"/>
  <c r="A1" i="75"/>
  <c r="U1" i="75" s="1"/>
  <c r="A1" i="78"/>
  <c r="W1" i="78" s="1"/>
  <c r="A1" i="68"/>
  <c r="S1" i="68" s="1"/>
  <c r="T173" i="72"/>
  <c r="A1" i="67"/>
  <c r="T175" i="72"/>
  <c r="I3" i="76"/>
  <c r="I40" i="66"/>
  <c r="I51" i="93" s="1"/>
  <c r="A3" i="71"/>
  <c r="A1" i="76"/>
  <c r="P303" i="72"/>
  <c r="P1857" i="93" s="1"/>
  <c r="O307" i="72"/>
  <c r="O1861" i="93" s="1"/>
  <c r="P307" i="72"/>
  <c r="P1861" i="93" s="1"/>
  <c r="O51" i="93"/>
  <c r="O763" i="93"/>
  <c r="M763" i="93"/>
  <c r="H91" i="74"/>
  <c r="C32" i="74"/>
  <c r="C34" i="74"/>
  <c r="D33" i="74"/>
  <c r="H32" i="74"/>
  <c r="T213" i="72"/>
  <c r="T174" i="72"/>
  <c r="M6" i="75"/>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295" i="72"/>
  <c r="IW799" i="93" l="1"/>
  <c r="EG799" i="93"/>
  <c r="CS799" i="93"/>
  <c r="Y799" i="93"/>
  <c r="EJ799" i="93"/>
  <c r="CL799" i="93"/>
  <c r="IM799" i="93"/>
  <c r="CN799" i="93"/>
  <c r="AF799" i="93"/>
  <c r="CJ799" i="93"/>
  <c r="IK799" i="93"/>
  <c r="DU799" i="93"/>
  <c r="CG799" i="93"/>
  <c r="IP799" i="93"/>
  <c r="DT799" i="93"/>
  <c r="AB799" i="93"/>
  <c r="EM799" i="93"/>
  <c r="AL799" i="93"/>
  <c r="EB799" i="93"/>
  <c r="ES799" i="93"/>
  <c r="DM799" i="93"/>
  <c r="AK799" i="93"/>
  <c r="IE799" i="93"/>
  <c r="DJ799" i="93"/>
  <c r="DX799" i="93"/>
  <c r="EO799" i="93"/>
  <c r="DI799" i="93"/>
  <c r="AG799" i="93"/>
  <c r="EU799" i="93"/>
  <c r="DD799" i="93"/>
  <c r="JB799" i="93"/>
  <c r="DR799" i="93"/>
  <c r="II799" i="93"/>
  <c r="IH789" i="93"/>
  <c r="A789" i="93"/>
  <c r="II779" i="93"/>
  <c r="EA779" i="93"/>
  <c r="DF779" i="93"/>
  <c r="AY779" i="93"/>
  <c r="Y779" i="93"/>
  <c r="IH779" i="93"/>
  <c r="ES779" i="93"/>
  <c r="DW779" i="93"/>
  <c r="CS779" i="93"/>
  <c r="AX779" i="93"/>
  <c r="W779" i="93"/>
  <c r="EQ779" i="93"/>
  <c r="DV779" i="93"/>
  <c r="CO779" i="93"/>
  <c r="AO779" i="93"/>
  <c r="EM779" i="93"/>
  <c r="DR779" i="93"/>
  <c r="CM779" i="93"/>
  <c r="AM779" i="93"/>
  <c r="IX779" i="93"/>
  <c r="EL779" i="93"/>
  <c r="DQ779" i="93"/>
  <c r="CI779" i="93"/>
  <c r="AI779" i="93"/>
  <c r="IT779" i="93"/>
  <c r="EH779" i="93"/>
  <c r="DM779" i="93"/>
  <c r="CH779" i="93"/>
  <c r="BS779" i="93"/>
  <c r="AH779" i="93"/>
  <c r="EC779" i="93"/>
  <c r="DK779" i="93"/>
  <c r="DG779" i="93"/>
  <c r="BJ779" i="93"/>
  <c r="CD779" i="93"/>
  <c r="BI779" i="93"/>
  <c r="CC779" i="93"/>
  <c r="AD779" i="93"/>
  <c r="AC779" i="93"/>
  <c r="AT779" i="93"/>
  <c r="AS779" i="93"/>
  <c r="IS779" i="93"/>
  <c r="BE779" i="93"/>
  <c r="BC779" i="93"/>
  <c r="IM779" i="93"/>
  <c r="EG779" i="93"/>
  <c r="BO779" i="93"/>
  <c r="BN779" i="93"/>
  <c r="IN779" i="93"/>
  <c r="EB779" i="93"/>
  <c r="CN779" i="93"/>
  <c r="BD779" i="93"/>
  <c r="X779" i="93"/>
  <c r="AE779" i="93"/>
  <c r="BZ779" i="93"/>
  <c r="ED779" i="93"/>
  <c r="JA779" i="93"/>
  <c r="EV779" i="93"/>
  <c r="DP779" i="93"/>
  <c r="CB779" i="93"/>
  <c r="AR779" i="93"/>
  <c r="AU779" i="93"/>
  <c r="CP779" i="93"/>
  <c r="ET779" i="93"/>
  <c r="IZ779" i="93"/>
  <c r="EN779" i="93"/>
  <c r="DH779" i="93"/>
  <c r="BP779" i="93"/>
  <c r="AJ779" i="93"/>
  <c r="BF779" i="93"/>
  <c r="DN779" i="93"/>
  <c r="IK779" i="93"/>
  <c r="IV779" i="93"/>
  <c r="EJ779" i="93"/>
  <c r="DD779" i="93"/>
  <c r="BL779" i="93"/>
  <c r="AF779" i="93"/>
  <c r="BK779" i="93"/>
  <c r="DS779" i="93"/>
  <c r="IP779" i="93"/>
  <c r="IU768" i="93"/>
  <c r="AJ768" i="93"/>
  <c r="BB768" i="93"/>
  <c r="AG768" i="93"/>
  <c r="AP768" i="93"/>
  <c r="DG768" i="93"/>
  <c r="AR768" i="93"/>
  <c r="AM768" i="93"/>
  <c r="AW768" i="93"/>
  <c r="IE768" i="93"/>
  <c r="AV768" i="93"/>
  <c r="AU768" i="93"/>
  <c r="BA768" i="93"/>
  <c r="EM768" i="93"/>
  <c r="CM768" i="93"/>
  <c r="AZ768" i="93"/>
  <c r="AY768" i="93"/>
  <c r="Z768" i="93"/>
  <c r="BG768" i="93"/>
  <c r="DW768" i="93"/>
  <c r="AD768" i="93"/>
  <c r="Y768" i="93"/>
  <c r="AH768" i="93"/>
  <c r="X768" i="93"/>
  <c r="AL768" i="93"/>
  <c r="AC768" i="93"/>
  <c r="AX768" i="93"/>
  <c r="AF768" i="93"/>
  <c r="W768" i="93"/>
  <c r="AN768" i="93"/>
  <c r="AI768" i="93"/>
  <c r="AT768" i="93"/>
  <c r="AQ768" i="93"/>
  <c r="AA768" i="93"/>
  <c r="AE768" i="93"/>
  <c r="AK768" i="93"/>
  <c r="IT768" i="93"/>
  <c r="EH768" i="93"/>
  <c r="CP768" i="93"/>
  <c r="BF768" i="93"/>
  <c r="EO768" i="93"/>
  <c r="DI768" i="93"/>
  <c r="BM768" i="93"/>
  <c r="IF768" i="93"/>
  <c r="DT768" i="93"/>
  <c r="CF768" i="93"/>
  <c r="CA768" i="93"/>
  <c r="BO768" i="93"/>
  <c r="AB768" i="93"/>
  <c r="IH768" i="93"/>
  <c r="DV768" i="93"/>
  <c r="CD768" i="93"/>
  <c r="IS768" i="93"/>
  <c r="EC768" i="93"/>
  <c r="CO768" i="93"/>
  <c r="IZ768" i="93"/>
  <c r="EN768" i="93"/>
  <c r="DH768" i="93"/>
  <c r="BP768" i="93"/>
  <c r="EA768" i="93"/>
  <c r="EE768" i="93"/>
  <c r="AO768" i="93"/>
  <c r="AS768" i="93"/>
  <c r="IX768" i="93"/>
  <c r="DZ768" i="93"/>
  <c r="BR768" i="93"/>
  <c r="ES768" i="93"/>
  <c r="CS768" i="93"/>
  <c r="IR768" i="93"/>
  <c r="DX768" i="93"/>
  <c r="BT768" i="93"/>
  <c r="II768" i="93"/>
  <c r="EI768" i="93"/>
  <c r="IP768" i="93"/>
  <c r="DR768" i="93"/>
  <c r="BN768" i="93"/>
  <c r="EK768" i="93"/>
  <c r="CK768" i="93"/>
  <c r="IN768" i="93"/>
  <c r="DP768" i="93"/>
  <c r="BL768" i="93"/>
  <c r="IY768" i="93"/>
  <c r="ID768" i="93"/>
  <c r="DJ768" i="93"/>
  <c r="JA768" i="93"/>
  <c r="DY768" i="93"/>
  <c r="CC768" i="93"/>
  <c r="EV768" i="93"/>
  <c r="DD768" i="93"/>
  <c r="BD768" i="93"/>
  <c r="DO768" i="93"/>
  <c r="A768" i="93"/>
  <c r="EP768" i="93"/>
  <c r="CL768" i="93"/>
  <c r="IO768" i="93"/>
  <c r="DQ768" i="93"/>
  <c r="BI768" i="93"/>
  <c r="EJ768" i="93"/>
  <c r="CN768" i="93"/>
  <c r="CQ768" i="93"/>
  <c r="IM768" i="93"/>
  <c r="BS768" i="93"/>
  <c r="EL768" i="93"/>
  <c r="CH768" i="93"/>
  <c r="IK768" i="93"/>
  <c r="DM768" i="93"/>
  <c r="BE768" i="93"/>
  <c r="EF768" i="93"/>
  <c r="CJ768" i="93"/>
  <c r="DK768" i="93"/>
  <c r="CI768" i="93"/>
  <c r="IT789" i="93"/>
  <c r="BO789" i="93"/>
  <c r="HJ789" i="93"/>
  <c r="AI789" i="93"/>
  <c r="EX789" i="93"/>
  <c r="AA789" i="93"/>
  <c r="DS789" i="93"/>
  <c r="DC789" i="93"/>
  <c r="CU789" i="93"/>
  <c r="CE789" i="93"/>
  <c r="BW789" i="93"/>
  <c r="EK789" i="93"/>
  <c r="DE789" i="93"/>
  <c r="EN789" i="93"/>
  <c r="DH789" i="93"/>
  <c r="JL789" i="93"/>
  <c r="EG789" i="93"/>
  <c r="JH789" i="93"/>
  <c r="EJ789" i="93"/>
  <c r="DD789" i="93"/>
  <c r="JA789" i="93"/>
  <c r="EC789" i="93"/>
  <c r="IZ789" i="93"/>
  <c r="EF789" i="93"/>
  <c r="ES789" i="93"/>
  <c r="IR789" i="93"/>
  <c r="DL789" i="93"/>
  <c r="JO789" i="93"/>
  <c r="JM789" i="93"/>
  <c r="EO789" i="93"/>
  <c r="IN789" i="93"/>
  <c r="DY789" i="93"/>
  <c r="EV789" i="93"/>
  <c r="DU789" i="93"/>
  <c r="ER789" i="93"/>
  <c r="DQ789" i="93"/>
  <c r="EB789" i="93"/>
  <c r="JC789" i="93"/>
  <c r="IW789" i="93"/>
  <c r="DM789" i="93"/>
  <c r="DX789" i="93"/>
  <c r="JQ789" i="93"/>
  <c r="JF789" i="93"/>
  <c r="JG789" i="93"/>
  <c r="IS789" i="93"/>
  <c r="JN789" i="93"/>
  <c r="JI789" i="93"/>
  <c r="IO789" i="93"/>
  <c r="DI789" i="93"/>
  <c r="JK789" i="93"/>
  <c r="IV789" i="93"/>
  <c r="DT789" i="93"/>
  <c r="DP789" i="93"/>
  <c r="JE789" i="93"/>
  <c r="JO791" i="93"/>
  <c r="JP791" i="93"/>
  <c r="JF791" i="93"/>
  <c r="JD791" i="93"/>
  <c r="JQ791" i="93"/>
  <c r="JM791" i="93"/>
  <c r="JE791" i="93"/>
  <c r="JN791" i="93"/>
  <c r="JC791" i="93"/>
  <c r="JP799" i="93"/>
  <c r="JO799" i="93"/>
  <c r="JD799" i="93"/>
  <c r="JG799" i="93"/>
  <c r="JQ799" i="93"/>
  <c r="JC799" i="93"/>
  <c r="JE799" i="93"/>
  <c r="JN799" i="93"/>
  <c r="JF799" i="93"/>
  <c r="A799" i="93"/>
  <c r="CH771" i="93"/>
  <c r="A771" i="93"/>
  <c r="CX769" i="93"/>
  <c r="BP769" i="93"/>
  <c r="CW769" i="93"/>
  <c r="BL769" i="93"/>
  <c r="BJ769" i="93"/>
  <c r="BK769" i="93"/>
  <c r="CV769" i="93"/>
  <c r="BH769" i="93"/>
  <c r="CU769" i="93"/>
  <c r="BD769" i="93"/>
  <c r="CT769" i="93"/>
  <c r="AZ769" i="93"/>
  <c r="AW769" i="93"/>
  <c r="AS769" i="93"/>
  <c r="AQ769" i="93"/>
  <c r="BI769" i="93"/>
  <c r="AT769" i="93"/>
  <c r="BG769" i="93"/>
  <c r="BA769" i="93"/>
  <c r="AX769" i="93"/>
  <c r="BO769" i="93"/>
  <c r="BM769" i="93"/>
  <c r="BB769" i="93"/>
  <c r="BS769" i="93"/>
  <c r="BF769" i="93"/>
  <c r="BN769" i="93"/>
  <c r="BT769" i="93"/>
  <c r="BR769" i="93"/>
  <c r="AU769" i="93"/>
  <c r="BE769" i="93"/>
  <c r="AY769" i="93"/>
  <c r="BQ769" i="93"/>
  <c r="BC769" i="93"/>
  <c r="AV769" i="93"/>
  <c r="AR769" i="93"/>
  <c r="CT776" i="93"/>
  <c r="CX776" i="93"/>
  <c r="CW776" i="93"/>
  <c r="CV776" i="93"/>
  <c r="BC776" i="93"/>
  <c r="CU776" i="93"/>
  <c r="AR776" i="93"/>
  <c r="BR776" i="93"/>
  <c r="AT776" i="93"/>
  <c r="BN776" i="93"/>
  <c r="BT776" i="93"/>
  <c r="BM776" i="93"/>
  <c r="BP776" i="93"/>
  <c r="BG776" i="93"/>
  <c r="BL776" i="93"/>
  <c r="BB776" i="93"/>
  <c r="BQ776" i="93"/>
  <c r="BH776" i="93"/>
  <c r="AW776" i="93"/>
  <c r="BK776" i="93"/>
  <c r="BO776" i="93"/>
  <c r="BD776" i="93"/>
  <c r="AQ776" i="93"/>
  <c r="BF776" i="93"/>
  <c r="BJ776" i="93"/>
  <c r="BE776" i="93"/>
  <c r="AY776" i="93"/>
  <c r="AU776" i="93"/>
  <c r="AV776" i="93"/>
  <c r="AX776" i="93"/>
  <c r="BS776" i="93"/>
  <c r="JI783" i="93"/>
  <c r="IP783" i="93"/>
  <c r="HW783" i="93"/>
  <c r="HM783" i="93"/>
  <c r="HE783" i="93"/>
  <c r="GW783" i="93"/>
  <c r="GO783" i="93"/>
  <c r="GG783" i="93"/>
  <c r="FY783" i="93"/>
  <c r="FQ783" i="93"/>
  <c r="FI783" i="93"/>
  <c r="FA783" i="93"/>
  <c r="EF783" i="93"/>
  <c r="CY783" i="93"/>
  <c r="BT783" i="93"/>
  <c r="JH783" i="93"/>
  <c r="IL783" i="93"/>
  <c r="HU783" i="93"/>
  <c r="HL783" i="93"/>
  <c r="HD783" i="93"/>
  <c r="GV783" i="93"/>
  <c r="GN783" i="93"/>
  <c r="GF783" i="93"/>
  <c r="FX783" i="93"/>
  <c r="FP783" i="93"/>
  <c r="FH783" i="93"/>
  <c r="EZ783" i="93"/>
  <c r="DY783" i="93"/>
  <c r="CS783" i="93"/>
  <c r="BH783" i="93"/>
  <c r="JP783" i="93"/>
  <c r="JG783" i="93"/>
  <c r="IF783" i="93"/>
  <c r="HT783" i="93"/>
  <c r="HK783" i="93"/>
  <c r="HC783" i="93"/>
  <c r="GU783" i="93"/>
  <c r="GM783" i="93"/>
  <c r="GE783" i="93"/>
  <c r="FW783" i="93"/>
  <c r="FO783" i="93"/>
  <c r="FG783" i="93"/>
  <c r="EY783" i="93"/>
  <c r="DU783" i="93"/>
  <c r="CR783" i="93"/>
  <c r="AX783" i="93"/>
  <c r="JO783" i="93"/>
  <c r="JF783" i="93"/>
  <c r="IC783" i="93"/>
  <c r="HS783" i="93"/>
  <c r="HJ783" i="93"/>
  <c r="HB783" i="93"/>
  <c r="GT783" i="93"/>
  <c r="GL783" i="93"/>
  <c r="GD783" i="93"/>
  <c r="FV783" i="93"/>
  <c r="FN783" i="93"/>
  <c r="FF783" i="93"/>
  <c r="EX783" i="93"/>
  <c r="DN783" i="93"/>
  <c r="CH783" i="93"/>
  <c r="AL783" i="93"/>
  <c r="JN783" i="93"/>
  <c r="JD783" i="93"/>
  <c r="IB783" i="93"/>
  <c r="HQ783" i="93"/>
  <c r="HI783" i="93"/>
  <c r="HA783" i="93"/>
  <c r="GS783" i="93"/>
  <c r="GK783" i="93"/>
  <c r="GC783" i="93"/>
  <c r="FU783" i="93"/>
  <c r="FM783" i="93"/>
  <c r="FE783" i="93"/>
  <c r="EW783" i="93"/>
  <c r="DJ783" i="93"/>
  <c r="CG783" i="93"/>
  <c r="AH783" i="93"/>
  <c r="JL783" i="93"/>
  <c r="JC783" i="93"/>
  <c r="IA783" i="93"/>
  <c r="HP783" i="93"/>
  <c r="HH783" i="93"/>
  <c r="GZ783" i="93"/>
  <c r="GR783" i="93"/>
  <c r="GJ783" i="93"/>
  <c r="GB783" i="93"/>
  <c r="FT783" i="93"/>
  <c r="FL783" i="93"/>
  <c r="FD783" i="93"/>
  <c r="ET783" i="93"/>
  <c r="DD783" i="93"/>
  <c r="BY783" i="93"/>
  <c r="AB783" i="93"/>
  <c r="JA783" i="93"/>
  <c r="GY783" i="93"/>
  <c r="FS783" i="93"/>
  <c r="DC783" i="93"/>
  <c r="IW783" i="93"/>
  <c r="GX783" i="93"/>
  <c r="FR783" i="93"/>
  <c r="CZ783" i="93"/>
  <c r="HY783" i="93"/>
  <c r="GQ783" i="93"/>
  <c r="FK783" i="93"/>
  <c r="BX783" i="93"/>
  <c r="HX783" i="93"/>
  <c r="GP783" i="93"/>
  <c r="FJ783" i="93"/>
  <c r="BU783" i="93"/>
  <c r="HO783" i="93"/>
  <c r="GI783" i="93"/>
  <c r="FC783" i="93"/>
  <c r="X783" i="93"/>
  <c r="GH783" i="93"/>
  <c r="JM783" i="93"/>
  <c r="GA783" i="93"/>
  <c r="JE783" i="93"/>
  <c r="FZ783" i="93"/>
  <c r="HZ783" i="93"/>
  <c r="JK783" i="93"/>
  <c r="FB783" i="93"/>
  <c r="HV783" i="93"/>
  <c r="JJ783" i="93"/>
  <c r="EP783" i="93"/>
  <c r="HR783" i="93"/>
  <c r="HN783" i="93"/>
  <c r="EJ783" i="93"/>
  <c r="HG783" i="93"/>
  <c r="CT783" i="93"/>
  <c r="HF783" i="93"/>
  <c r="CX783" i="93"/>
  <c r="JQ783" i="93"/>
  <c r="AR783" i="93"/>
  <c r="BB783" i="93"/>
  <c r="AS783" i="93"/>
  <c r="BM783" i="93"/>
  <c r="BD783" i="93"/>
  <c r="BN783" i="93"/>
  <c r="EQ783" i="93"/>
  <c r="DK783" i="93"/>
  <c r="BO783" i="93"/>
  <c r="AI783" i="93"/>
  <c r="BJ783" i="93"/>
  <c r="DV783" i="93"/>
  <c r="IX783" i="93"/>
  <c r="IQ783" i="93"/>
  <c r="EE783" i="93"/>
  <c r="CM783" i="93"/>
  <c r="BC783" i="93"/>
  <c r="W783" i="93"/>
  <c r="AJ783" i="93"/>
  <c r="CJ783" i="93"/>
  <c r="EL783" i="93"/>
  <c r="II783" i="93"/>
  <c r="DW783" i="93"/>
  <c r="CE783" i="93"/>
  <c r="AU783" i="93"/>
  <c r="AT783" i="93"/>
  <c r="DF783" i="93"/>
  <c r="IH783" i="93"/>
  <c r="IE783" i="93"/>
  <c r="DS783" i="93"/>
  <c r="CA783" i="93"/>
  <c r="AQ783" i="93"/>
  <c r="AZ783" i="93"/>
  <c r="DL783" i="93"/>
  <c r="IN783" i="93"/>
  <c r="CX788" i="93"/>
  <c r="BG788" i="93"/>
  <c r="AX788" i="93"/>
  <c r="BR788" i="93"/>
  <c r="BC788" i="93"/>
  <c r="AS788" i="93"/>
  <c r="BM788" i="93"/>
  <c r="AY788" i="93"/>
  <c r="BH788" i="93"/>
  <c r="BQ788" i="93"/>
  <c r="AU788" i="93"/>
  <c r="BB788" i="93"/>
  <c r="BL788" i="93"/>
  <c r="AQ788" i="93"/>
  <c r="BT788" i="93"/>
  <c r="AW788" i="93"/>
  <c r="BF788" i="93"/>
  <c r="BS788" i="93"/>
  <c r="BN788" i="93"/>
  <c r="AR788" i="93"/>
  <c r="BA788" i="93"/>
  <c r="BK788" i="93"/>
  <c r="BD788" i="93"/>
  <c r="AV788" i="93"/>
  <c r="AZ788" i="93"/>
  <c r="AR794" i="93"/>
  <c r="BO794" i="93"/>
  <c r="BS794" i="93"/>
  <c r="CU794" i="93"/>
  <c r="BH794" i="93"/>
  <c r="CW794" i="93"/>
  <c r="AY794" i="93"/>
  <c r="CX794" i="93"/>
  <c r="AQ794" i="93"/>
  <c r="CV794" i="93"/>
  <c r="AS794" i="93"/>
  <c r="CT794" i="93"/>
  <c r="BT794" i="93"/>
  <c r="BG794" i="93"/>
  <c r="BD794" i="93"/>
  <c r="BL794" i="93"/>
  <c r="BM794" i="93"/>
  <c r="BA794" i="93"/>
  <c r="AQ799" i="93"/>
  <c r="BK799" i="93"/>
  <c r="CT799" i="93"/>
  <c r="AT799" i="93"/>
  <c r="BL799" i="93"/>
  <c r="CU799" i="93"/>
  <c r="BE799" i="93"/>
  <c r="AR799" i="93"/>
  <c r="AS799" i="93"/>
  <c r="BS799" i="93"/>
  <c r="BP799" i="93"/>
  <c r="BQ799" i="93"/>
  <c r="BH799" i="93"/>
  <c r="BB799" i="93"/>
  <c r="BM799" i="93"/>
  <c r="BC799" i="93"/>
  <c r="AU799" i="93"/>
  <c r="BO799" i="93"/>
  <c r="IR767" i="93"/>
  <c r="IJ767" i="93"/>
  <c r="CQ767" i="93"/>
  <c r="BM767" i="93"/>
  <c r="DT767" i="93"/>
  <c r="JA767" i="93"/>
  <c r="DF767" i="93"/>
  <c r="IV767" i="93"/>
  <c r="DH767" i="93"/>
  <c r="CU767" i="93"/>
  <c r="DE767" i="93"/>
  <c r="EK767" i="93"/>
  <c r="X767" i="93"/>
  <c r="Y767" i="93"/>
  <c r="Z767" i="93"/>
  <c r="W767" i="93"/>
  <c r="BD767" i="93"/>
  <c r="DG767" i="93"/>
  <c r="EM767" i="93"/>
  <c r="IY767" i="93"/>
  <c r="EP767" i="93"/>
  <c r="CI767" i="93"/>
  <c r="DZ767" i="93"/>
  <c r="BV767" i="93"/>
  <c r="IZ767" i="93"/>
  <c r="DD767" i="93"/>
  <c r="JB767" i="93"/>
  <c r="DN767" i="93"/>
  <c r="BU767" i="93"/>
  <c r="EF767" i="93"/>
  <c r="CD767" i="93"/>
  <c r="DY767" i="93"/>
  <c r="IS767" i="93"/>
  <c r="AZ767" i="93"/>
  <c r="AD767" i="93"/>
  <c r="AE767" i="93"/>
  <c r="CB767" i="93"/>
  <c r="DW767" i="93"/>
  <c r="IM767" i="93"/>
  <c r="EH767" i="93"/>
  <c r="DL767" i="93"/>
  <c r="DV767" i="93"/>
  <c r="BY767" i="93"/>
  <c r="EN767" i="93"/>
  <c r="CH767" i="93"/>
  <c r="EC767" i="93"/>
  <c r="IW767" i="93"/>
  <c r="AC767" i="93"/>
  <c r="AH767" i="93"/>
  <c r="AI767" i="93"/>
  <c r="CF767" i="93"/>
  <c r="EA767" i="93"/>
  <c r="IQ767" i="93"/>
  <c r="DR767" i="93"/>
  <c r="EB767" i="93"/>
  <c r="BQ767" i="93"/>
  <c r="ED767" i="93"/>
  <c r="CG767" i="93"/>
  <c r="EV767" i="93"/>
  <c r="CL767" i="93"/>
  <c r="EG767" i="93"/>
  <c r="AB767" i="93"/>
  <c r="AG767" i="93"/>
  <c r="AL767" i="93"/>
  <c r="AM767" i="93"/>
  <c r="CJ767" i="93"/>
  <c r="EE767" i="93"/>
  <c r="IU767" i="93"/>
  <c r="DJ767" i="93"/>
  <c r="BW767" i="93"/>
  <c r="EJ767" i="93"/>
  <c r="BX767" i="93"/>
  <c r="EL767" i="93"/>
  <c r="CO767" i="93"/>
  <c r="IH767" i="93"/>
  <c r="CP767" i="93"/>
  <c r="EO767" i="93"/>
  <c r="AF767" i="93"/>
  <c r="AK767" i="93"/>
  <c r="AP767" i="93"/>
  <c r="AQ767" i="93"/>
  <c r="CN767" i="93"/>
  <c r="EI767" i="93"/>
  <c r="DC767" i="93"/>
  <c r="CC767" i="93"/>
  <c r="ER767" i="93"/>
  <c r="CE767" i="93"/>
  <c r="ET767" i="93"/>
  <c r="CW767" i="93"/>
  <c r="IP767" i="93"/>
  <c r="DI767" i="93"/>
  <c r="ES767" i="93"/>
  <c r="AJ767" i="93"/>
  <c r="AO767" i="93"/>
  <c r="AT767" i="93"/>
  <c r="AU767" i="93"/>
  <c r="CR767" i="93"/>
  <c r="EQ767" i="93"/>
  <c r="CY767" i="93"/>
  <c r="CZ767" i="93"/>
  <c r="IN767" i="93"/>
  <c r="DM767" i="93"/>
  <c r="AV767" i="93"/>
  <c r="BL767" i="93"/>
  <c r="BN767" i="93"/>
  <c r="BS767" i="93"/>
  <c r="ID767" i="93"/>
  <c r="BE767" i="93"/>
  <c r="DQ767" i="93"/>
  <c r="AS767" i="93"/>
  <c r="BT767" i="93"/>
  <c r="BR767" i="93"/>
  <c r="IL767" i="93"/>
  <c r="DB767" i="93"/>
  <c r="DU767" i="93"/>
  <c r="AW767" i="93"/>
  <c r="DK767" i="93"/>
  <c r="CT767" i="93"/>
  <c r="IT767" i="93"/>
  <c r="DP767" i="93"/>
  <c r="IG767" i="93"/>
  <c r="BA767" i="93"/>
  <c r="DO767" i="93"/>
  <c r="CX767" i="93"/>
  <c r="CM767" i="93"/>
  <c r="DX767" i="93"/>
  <c r="IK767" i="93"/>
  <c r="AX767" i="93"/>
  <c r="DS767" i="93"/>
  <c r="BC767" i="93"/>
  <c r="CV767" i="93"/>
  <c r="BH767" i="93"/>
  <c r="IO767" i="93"/>
  <c r="BB767" i="93"/>
  <c r="EU767" i="93"/>
  <c r="BG767" i="93"/>
  <c r="BI767" i="93"/>
  <c r="AR767" i="93"/>
  <c r="BK767" i="93"/>
  <c r="CK767" i="93"/>
  <c r="AA767" i="93"/>
  <c r="BO767" i="93"/>
  <c r="CS767" i="93"/>
  <c r="AY767" i="93"/>
  <c r="DA767" i="93"/>
  <c r="IE767" i="93"/>
  <c r="IF767" i="93"/>
  <c r="II767" i="93"/>
  <c r="BP767" i="93"/>
  <c r="AN767" i="93"/>
  <c r="BF767" i="93"/>
  <c r="BJ767" i="93"/>
  <c r="IS773" i="93"/>
  <c r="DQ773" i="93"/>
  <c r="CV773" i="93"/>
  <c r="BW773" i="93"/>
  <c r="AW773" i="93"/>
  <c r="BB773" i="93"/>
  <c r="CL773" i="93"/>
  <c r="ED773" i="93"/>
  <c r="IP773" i="93"/>
  <c r="AM773" i="93"/>
  <c r="BS773" i="93"/>
  <c r="DO773" i="93"/>
  <c r="EU773" i="93"/>
  <c r="AB773" i="93"/>
  <c r="BH773" i="93"/>
  <c r="CR773" i="93"/>
  <c r="EF773" i="93"/>
  <c r="IR773" i="93"/>
  <c r="IG773" i="93"/>
  <c r="DE773" i="93"/>
  <c r="CT773" i="93"/>
  <c r="BU773" i="93"/>
  <c r="AO773" i="93"/>
  <c r="Z773" i="93"/>
  <c r="BF773" i="93"/>
  <c r="CP773" i="93"/>
  <c r="EH773" i="93"/>
  <c r="IT773" i="93"/>
  <c r="AQ773" i="93"/>
  <c r="CA773" i="93"/>
  <c r="DS773" i="93"/>
  <c r="IE773" i="93"/>
  <c r="AF773" i="93"/>
  <c r="BL773" i="93"/>
  <c r="DD773" i="93"/>
  <c r="EJ773" i="93"/>
  <c r="IV773" i="93"/>
  <c r="ES773" i="93"/>
  <c r="DC773" i="93"/>
  <c r="CO773" i="93"/>
  <c r="BQ773" i="93"/>
  <c r="AK773" i="93"/>
  <c r="EK773" i="93"/>
  <c r="DB773" i="93"/>
  <c r="CK773" i="93"/>
  <c r="BM773" i="93"/>
  <c r="AG773" i="93"/>
  <c r="AH773" i="93"/>
  <c r="BN773" i="93"/>
  <c r="DJ773" i="93"/>
  <c r="EP773" i="93"/>
  <c r="JB773" i="93"/>
  <c r="AY773" i="93"/>
  <c r="CI773" i="93"/>
  <c r="EA773" i="93"/>
  <c r="IM773" i="93"/>
  <c r="AN773" i="93"/>
  <c r="BT773" i="93"/>
  <c r="DL773" i="93"/>
  <c r="ER773" i="93"/>
  <c r="EG773" i="93"/>
  <c r="BX773" i="93"/>
  <c r="BR773" i="93"/>
  <c r="DZ773" i="93"/>
  <c r="AA773" i="93"/>
  <c r="CE773" i="93"/>
  <c r="EM773" i="93"/>
  <c r="AR773" i="93"/>
  <c r="CN773" i="93"/>
  <c r="IF773" i="93"/>
  <c r="IW773" i="93"/>
  <c r="EC773" i="93"/>
  <c r="BI773" i="93"/>
  <c r="BZ773" i="93"/>
  <c r="EL773" i="93"/>
  <c r="AE773" i="93"/>
  <c r="CM773" i="93"/>
  <c r="EQ773" i="93"/>
  <c r="AV773" i="93"/>
  <c r="DH773" i="93"/>
  <c r="IJ773" i="93"/>
  <c r="DU773" i="93"/>
  <c r="BE773" i="93"/>
  <c r="AD773" i="93"/>
  <c r="CD773" i="93"/>
  <c r="ET773" i="93"/>
  <c r="AI773" i="93"/>
  <c r="CQ773" i="93"/>
  <c r="II773" i="93"/>
  <c r="AZ773" i="93"/>
  <c r="DP773" i="93"/>
  <c r="IN773" i="93"/>
  <c r="CZ773" i="93"/>
  <c r="BA773" i="93"/>
  <c r="AL773" i="93"/>
  <c r="CH773" i="93"/>
  <c r="ID773" i="93"/>
  <c r="AU773" i="93"/>
  <c r="DG773" i="93"/>
  <c r="IQ773" i="93"/>
  <c r="BD773" i="93"/>
  <c r="DT773" i="93"/>
  <c r="CY773" i="93"/>
  <c r="AC773" i="93"/>
  <c r="AP773" i="93"/>
  <c r="DF773" i="93"/>
  <c r="IH773" i="93"/>
  <c r="BC773" i="93"/>
  <c r="DK773" i="93"/>
  <c r="IU773" i="93"/>
  <c r="BP773" i="93"/>
  <c r="DX773" i="93"/>
  <c r="CX773" i="93"/>
  <c r="Y773" i="93"/>
  <c r="AT773" i="93"/>
  <c r="DN773" i="93"/>
  <c r="IL773" i="93"/>
  <c r="BG773" i="93"/>
  <c r="DW773" i="93"/>
  <c r="IY773" i="93"/>
  <c r="CB773" i="93"/>
  <c r="EB773" i="93"/>
  <c r="BK773" i="93"/>
  <c r="EN773" i="93"/>
  <c r="BO773" i="93"/>
  <c r="EV773" i="93"/>
  <c r="AX773" i="93"/>
  <c r="EE773" i="93"/>
  <c r="CG773" i="93"/>
  <c r="BJ773" i="93"/>
  <c r="EI773" i="93"/>
  <c r="BY773" i="93"/>
  <c r="DR773" i="93"/>
  <c r="X773" i="93"/>
  <c r="DV773" i="93"/>
  <c r="AJ773" i="93"/>
  <c r="IX773" i="93"/>
  <c r="W773" i="93"/>
  <c r="CF773" i="93"/>
  <c r="CJ773" i="93"/>
  <c r="IK781" i="93"/>
  <c r="CX781" i="93"/>
  <c r="CH781" i="93"/>
  <c r="BV781" i="93"/>
  <c r="AX781" i="93"/>
  <c r="AE781" i="93"/>
  <c r="IJ781" i="93"/>
  <c r="CT781" i="93"/>
  <c r="CF781" i="93"/>
  <c r="BU781" i="93"/>
  <c r="AQ781" i="93"/>
  <c r="AD781" i="93"/>
  <c r="IH781" i="93"/>
  <c r="CS781" i="93"/>
  <c r="CD781" i="93"/>
  <c r="BS781" i="93"/>
  <c r="AP781" i="93"/>
  <c r="AA781" i="93"/>
  <c r="ID781" i="93"/>
  <c r="DC781" i="93"/>
  <c r="CP781" i="93"/>
  <c r="CC781" i="93"/>
  <c r="BN781" i="93"/>
  <c r="AO781" i="93"/>
  <c r="Z781" i="93"/>
  <c r="DB781" i="93"/>
  <c r="CO781" i="93"/>
  <c r="BZ781" i="93"/>
  <c r="BK781" i="93"/>
  <c r="AL781" i="93"/>
  <c r="Y781" i="93"/>
  <c r="DA781" i="93"/>
  <c r="CN781" i="93"/>
  <c r="BY781" i="93"/>
  <c r="BG781" i="93"/>
  <c r="AK781" i="93"/>
  <c r="IQ781" i="93"/>
  <c r="CK781" i="93"/>
  <c r="CJ781" i="93"/>
  <c r="BX781" i="93"/>
  <c r="BW781" i="93"/>
  <c r="BC781" i="93"/>
  <c r="DL781" i="93"/>
  <c r="ES781" i="93"/>
  <c r="DM781" i="93"/>
  <c r="CZ781" i="93"/>
  <c r="EO781" i="93"/>
  <c r="DI781" i="93"/>
  <c r="CY781" i="93"/>
  <c r="EK781" i="93"/>
  <c r="DE781" i="93"/>
  <c r="AY781" i="93"/>
  <c r="AI781" i="93"/>
  <c r="IS781" i="93"/>
  <c r="AG781" i="93"/>
  <c r="IO781" i="93"/>
  <c r="EG781" i="93"/>
  <c r="EC781" i="93"/>
  <c r="DY781" i="93"/>
  <c r="DU781" i="93"/>
  <c r="IW781" i="93"/>
  <c r="DQ781" i="93"/>
  <c r="JA781" i="93"/>
  <c r="BV788" i="93"/>
  <c r="CQ788" i="93"/>
  <c r="AA788" i="93"/>
  <c r="CS788" i="93"/>
  <c r="AB788" i="93"/>
  <c r="CF788" i="93"/>
  <c r="AK788" i="93"/>
  <c r="CM788" i="93"/>
  <c r="W788" i="93"/>
  <c r="CN788" i="93"/>
  <c r="IK788" i="93"/>
  <c r="BZ788" i="93"/>
  <c r="AF788" i="93"/>
  <c r="IM788" i="93"/>
  <c r="CI788" i="93"/>
  <c r="CH788" i="93"/>
  <c r="AN788" i="93"/>
  <c r="IF788" i="93"/>
  <c r="Z788" i="93"/>
  <c r="II788" i="93"/>
  <c r="CE788" i="93"/>
  <c r="CC788" i="93"/>
  <c r="AH788" i="93"/>
  <c r="A788" i="93"/>
  <c r="AD788" i="93"/>
  <c r="IE788" i="93"/>
  <c r="CA788" i="93"/>
  <c r="AC788" i="93"/>
  <c r="CR788" i="93"/>
  <c r="IJ788" i="93"/>
  <c r="AM788" i="93"/>
  <c r="IL788" i="93"/>
  <c r="X788" i="93"/>
  <c r="CL788" i="93"/>
  <c r="ID788" i="93"/>
  <c r="AG788" i="93"/>
  <c r="AO788" i="93"/>
  <c r="AI788" i="93"/>
  <c r="AE788" i="93"/>
  <c r="IG788" i="93"/>
  <c r="CP788" i="93"/>
  <c r="CD788" i="93"/>
  <c r="CG788" i="93"/>
  <c r="CB788" i="93"/>
  <c r="AP788" i="93"/>
  <c r="AW795" i="93"/>
  <c r="BL795" i="93"/>
  <c r="CU795" i="93"/>
  <c r="AR795" i="93"/>
  <c r="BG795" i="93"/>
  <c r="CT795" i="93"/>
  <c r="ID795" i="93"/>
  <c r="DR795" i="93"/>
  <c r="BZ795" i="93"/>
  <c r="AP795" i="93"/>
  <c r="IN795" i="93"/>
  <c r="DL795" i="93"/>
  <c r="AZ795" i="93"/>
  <c r="AM795" i="93"/>
  <c r="DE795" i="93"/>
  <c r="IO795" i="93"/>
  <c r="BT795" i="93"/>
  <c r="IX795" i="93"/>
  <c r="EL795" i="93"/>
  <c r="DF795" i="93"/>
  <c r="BJ795" i="93"/>
  <c r="AD795" i="93"/>
  <c r="EM795" i="93"/>
  <c r="CJ795" i="93"/>
  <c r="AJ795" i="93"/>
  <c r="BH795" i="93"/>
  <c r="EA795" i="93"/>
  <c r="IP795" i="93"/>
  <c r="ED795" i="93"/>
  <c r="CL795" i="93"/>
  <c r="BB795" i="93"/>
  <c r="EB795" i="93"/>
  <c r="BP795" i="93"/>
  <c r="Y795" i="93"/>
  <c r="IL795" i="93"/>
  <c r="DZ795" i="93"/>
  <c r="CH795" i="93"/>
  <c r="AX795" i="93"/>
  <c r="IY795" i="93"/>
  <c r="DW795" i="93"/>
  <c r="BK795" i="93"/>
  <c r="X795" i="93"/>
  <c r="CM795" i="93"/>
  <c r="EV795" i="93"/>
  <c r="BT803" i="93"/>
  <c r="CV803" i="93"/>
  <c r="AR803" i="93"/>
  <c r="BP803" i="93"/>
  <c r="AT803" i="93"/>
  <c r="IY803" i="93"/>
  <c r="EM803" i="93"/>
  <c r="DG803" i="93"/>
  <c r="BK803" i="93"/>
  <c r="AE803" i="93"/>
  <c r="ES803" i="93"/>
  <c r="CP803" i="93"/>
  <c r="AV803" i="93"/>
  <c r="EP803" i="93"/>
  <c r="BN803" i="93"/>
  <c r="IP803" i="93"/>
  <c r="CC803" i="93"/>
  <c r="Y803" i="93"/>
  <c r="EV803" i="93"/>
  <c r="IM803" i="93"/>
  <c r="EA803" i="93"/>
  <c r="CI803" i="93"/>
  <c r="AY803" i="93"/>
  <c r="IZ803" i="93"/>
  <c r="EC803" i="93"/>
  <c r="BZ803" i="93"/>
  <c r="AF803" i="93"/>
  <c r="DU803" i="93"/>
  <c r="AS803" i="93"/>
  <c r="EK803" i="93"/>
  <c r="AX803" i="93"/>
  <c r="BJ803" i="93"/>
  <c r="IE803" i="93"/>
  <c r="DS803" i="93"/>
  <c r="CA803" i="93"/>
  <c r="AQ803" i="93"/>
  <c r="IO803" i="93"/>
  <c r="DR803" i="93"/>
  <c r="BL803" i="93"/>
  <c r="IX803" i="93"/>
  <c r="DF803" i="93"/>
  <c r="AD803" i="93"/>
  <c r="DQ803" i="93"/>
  <c r="AG803" i="93"/>
  <c r="EU803" i="93"/>
  <c r="DO803" i="93"/>
  <c r="BS803" i="93"/>
  <c r="AM803" i="93"/>
  <c r="IJ803" i="93"/>
  <c r="DM803" i="93"/>
  <c r="BF803" i="93"/>
  <c r="IR803" i="93"/>
  <c r="CN803" i="93"/>
  <c r="X803" i="93"/>
  <c r="DI803" i="93"/>
  <c r="DV803" i="93"/>
  <c r="GX773" i="93"/>
  <c r="FJ773" i="93"/>
  <c r="FC773" i="93"/>
  <c r="HS773" i="93"/>
  <c r="FX773" i="93"/>
  <c r="HD773" i="93"/>
  <c r="EY773" i="93"/>
  <c r="HG773" i="93"/>
  <c r="FQ773" i="93"/>
  <c r="GW773" i="93"/>
  <c r="IC773" i="93"/>
  <c r="GP773" i="93"/>
  <c r="EX773" i="93"/>
  <c r="FK773" i="93"/>
  <c r="HW773" i="93"/>
  <c r="GB773" i="93"/>
  <c r="HH773" i="93"/>
  <c r="FG773" i="93"/>
  <c r="HO773" i="93"/>
  <c r="FU773" i="93"/>
  <c r="HA773" i="93"/>
  <c r="HZ773" i="93"/>
  <c r="GH773" i="93"/>
  <c r="HV773" i="93"/>
  <c r="GD773" i="93"/>
  <c r="GE773" i="93"/>
  <c r="FD773" i="93"/>
  <c r="GJ773" i="93"/>
  <c r="HP773" i="93"/>
  <c r="FW773" i="93"/>
  <c r="EW773" i="93"/>
  <c r="GC773" i="93"/>
  <c r="HI773" i="93"/>
  <c r="JN773" i="93"/>
  <c r="FH773" i="93"/>
  <c r="GZ773" i="93"/>
  <c r="GI773" i="93"/>
  <c r="FY773" i="93"/>
  <c r="HU773" i="93"/>
  <c r="FL773" i="93"/>
  <c r="HL773" i="93"/>
  <c r="GQ773" i="93"/>
  <c r="GG773" i="93"/>
  <c r="HY773" i="93"/>
  <c r="JQ773" i="93"/>
  <c r="HN773" i="93"/>
  <c r="FS773" i="93"/>
  <c r="FP773" i="93"/>
  <c r="HT773" i="93"/>
  <c r="GY773" i="93"/>
  <c r="GK773" i="93"/>
  <c r="HJ773" i="93"/>
  <c r="GM773" i="93"/>
  <c r="FT773" i="93"/>
  <c r="HX773" i="93"/>
  <c r="IA773" i="93"/>
  <c r="GO773" i="93"/>
  <c r="HF773" i="93"/>
  <c r="GU773" i="93"/>
  <c r="GF773" i="93"/>
  <c r="IB773" i="93"/>
  <c r="FA773" i="93"/>
  <c r="GS773" i="93"/>
  <c r="FZ773" i="93"/>
  <c r="HC773" i="93"/>
  <c r="GN773" i="93"/>
  <c r="JF773" i="93"/>
  <c r="FE773" i="93"/>
  <c r="HE773" i="93"/>
  <c r="HK773" i="93"/>
  <c r="HM773" i="93"/>
  <c r="JG773" i="93"/>
  <c r="JD773" i="93"/>
  <c r="JE773" i="93"/>
  <c r="FR773" i="93"/>
  <c r="EZ773" i="93"/>
  <c r="HQ773" i="93"/>
  <c r="JK773" i="93"/>
  <c r="JP773" i="93"/>
  <c r="JI773" i="93"/>
  <c r="FN773" i="93"/>
  <c r="GR773" i="93"/>
  <c r="JO773" i="93"/>
  <c r="JH773" i="93"/>
  <c r="JM773" i="93"/>
  <c r="GV773" i="93"/>
  <c r="JC773" i="93"/>
  <c r="JL773" i="93"/>
  <c r="FO773" i="93"/>
  <c r="GA773" i="93"/>
  <c r="FI773" i="93"/>
  <c r="FM773" i="93"/>
  <c r="JL784" i="93"/>
  <c r="GO784" i="93"/>
  <c r="JH784" i="93"/>
  <c r="GC784" i="93"/>
  <c r="JD784" i="93"/>
  <c r="FY784" i="93"/>
  <c r="HU784" i="93"/>
  <c r="FU784" i="93"/>
  <c r="HQ784" i="93"/>
  <c r="FI784" i="93"/>
  <c r="HI784" i="93"/>
  <c r="FE784" i="93"/>
  <c r="HA784" i="93"/>
  <c r="GS784" i="93"/>
  <c r="EW784" i="93"/>
  <c r="A784" i="93"/>
  <c r="GD792" i="93"/>
  <c r="A792" i="93"/>
  <c r="JN800" i="93"/>
  <c r="JD800" i="93"/>
  <c r="JH800" i="93"/>
  <c r="JL800" i="93"/>
  <c r="A800" i="93"/>
  <c r="FH804" i="93"/>
  <c r="FB804" i="93"/>
  <c r="GH804" i="93"/>
  <c r="HN804" i="93"/>
  <c r="EY804" i="93"/>
  <c r="GE804" i="93"/>
  <c r="HK804" i="93"/>
  <c r="FF804" i="93"/>
  <c r="GL804" i="93"/>
  <c r="HR804" i="93"/>
  <c r="FC804" i="93"/>
  <c r="GI804" i="93"/>
  <c r="HO804" i="93"/>
  <c r="FJ804" i="93"/>
  <c r="GP804" i="93"/>
  <c r="HV804" i="93"/>
  <c r="FG804" i="93"/>
  <c r="GM804" i="93"/>
  <c r="HS804" i="93"/>
  <c r="GX804" i="93"/>
  <c r="JO804" i="93"/>
  <c r="FO804" i="93"/>
  <c r="HG804" i="93"/>
  <c r="EX804" i="93"/>
  <c r="HB804" i="93"/>
  <c r="FS804" i="93"/>
  <c r="HW804" i="93"/>
  <c r="FN804" i="93"/>
  <c r="HF804" i="93"/>
  <c r="FW804" i="93"/>
  <c r="IA804" i="93"/>
  <c r="FR804" i="93"/>
  <c r="HJ804" i="93"/>
  <c r="GA804" i="93"/>
  <c r="JD804" i="93"/>
  <c r="FV804" i="93"/>
  <c r="HZ804" i="93"/>
  <c r="GQ804" i="93"/>
  <c r="JH804" i="93"/>
  <c r="FZ804" i="93"/>
  <c r="JC804" i="93"/>
  <c r="GU804" i="93"/>
  <c r="JL804" i="93"/>
  <c r="GD804" i="93"/>
  <c r="GT804" i="93"/>
  <c r="FK804" i="93"/>
  <c r="JG804" i="93"/>
  <c r="GY804" i="93"/>
  <c r="A804" i="93"/>
  <c r="JK804" i="93"/>
  <c r="HC804" i="93"/>
  <c r="JH771" i="93"/>
  <c r="IT771" i="93"/>
  <c r="DV771" i="93"/>
  <c r="JG771" i="93"/>
  <c r="IP771" i="93"/>
  <c r="DR771" i="93"/>
  <c r="DQ771" i="93"/>
  <c r="DM771" i="93"/>
  <c r="JF771" i="93"/>
  <c r="ET771" i="93"/>
  <c r="DN771" i="93"/>
  <c r="DY771" i="93"/>
  <c r="DU771" i="93"/>
  <c r="JE771" i="93"/>
  <c r="EP771" i="93"/>
  <c r="DJ771" i="93"/>
  <c r="JL771" i="93"/>
  <c r="JD771" i="93"/>
  <c r="EL771" i="93"/>
  <c r="DF771" i="93"/>
  <c r="EO771" i="93"/>
  <c r="EK771" i="93"/>
  <c r="IX771" i="93"/>
  <c r="DI771" i="93"/>
  <c r="EH771" i="93"/>
  <c r="IZ771" i="93"/>
  <c r="EG771" i="93"/>
  <c r="IO771" i="93"/>
  <c r="ED771" i="93"/>
  <c r="IW771" i="93"/>
  <c r="JK771" i="93"/>
  <c r="DZ771" i="93"/>
  <c r="IS771" i="93"/>
  <c r="JJ771" i="93"/>
  <c r="JA771" i="93"/>
  <c r="JI771" i="93"/>
  <c r="DE771" i="93"/>
  <c r="ES771" i="93"/>
  <c r="JC771" i="93"/>
  <c r="JB771" i="93"/>
  <c r="EC771" i="93"/>
  <c r="DW771" i="93"/>
  <c r="EI771" i="93"/>
  <c r="IU771" i="93"/>
  <c r="DK771" i="93"/>
  <c r="EQ771" i="93"/>
  <c r="DO771" i="93"/>
  <c r="EU771" i="93"/>
  <c r="JC774" i="93"/>
  <c r="JK774" i="93"/>
  <c r="IS782" i="93"/>
  <c r="AR782" i="93"/>
  <c r="EE782" i="93"/>
  <c r="CG782" i="93"/>
  <c r="AF782" i="93"/>
  <c r="CM782" i="93"/>
  <c r="W782" i="93"/>
  <c r="DY782" i="93"/>
  <c r="DX782" i="93"/>
  <c r="CA782" i="93"/>
  <c r="Y782" i="93"/>
  <c r="EU782" i="93"/>
  <c r="CF782" i="93"/>
  <c r="A782" i="93"/>
  <c r="CB782" i="93"/>
  <c r="DQ782" i="93"/>
  <c r="BV782" i="93"/>
  <c r="EM782" i="93"/>
  <c r="BU782" i="93"/>
  <c r="AB782" i="93"/>
  <c r="BC782" i="93"/>
  <c r="DI782" i="93"/>
  <c r="BP782" i="93"/>
  <c r="DW782" i="93"/>
  <c r="BM782" i="93"/>
  <c r="AQ782" i="93"/>
  <c r="BQ782" i="93"/>
  <c r="IY782" i="93"/>
  <c r="IZ782" i="93"/>
  <c r="DC782" i="93"/>
  <c r="BH782" i="93"/>
  <c r="IV782" i="93"/>
  <c r="DO782" i="93"/>
  <c r="BG782" i="93"/>
  <c r="BE782" i="93"/>
  <c r="CW782" i="93"/>
  <c r="IQ782" i="93"/>
  <c r="EO782" i="93"/>
  <c r="EC782" i="93"/>
  <c r="IO782" i="93"/>
  <c r="CY782" i="93"/>
  <c r="BA782" i="93"/>
  <c r="IN782" i="93"/>
  <c r="DH782" i="93"/>
  <c r="AZ782" i="93"/>
  <c r="CE782" i="93"/>
  <c r="AE782" i="93"/>
  <c r="EB782" i="93"/>
  <c r="CK782" i="93"/>
  <c r="CV782" i="93"/>
  <c r="DG782" i="93"/>
  <c r="DD782" i="93"/>
  <c r="CQ782" i="93"/>
  <c r="IF782" i="93"/>
  <c r="IE782" i="93"/>
  <c r="DT782" i="93"/>
  <c r="IU782" i="93"/>
  <c r="DS782" i="93"/>
  <c r="EN782" i="93"/>
  <c r="EJ782" i="93"/>
  <c r="AG782" i="93"/>
  <c r="EG782" i="93"/>
  <c r="CU782" i="93"/>
  <c r="AJ782" i="93"/>
  <c r="IK782" i="93"/>
  <c r="AV782" i="93"/>
  <c r="II782" i="93"/>
  <c r="DB782" i="93"/>
  <c r="CO782" i="93"/>
  <c r="CX782" i="93"/>
  <c r="AW782" i="93"/>
  <c r="BS782" i="93"/>
  <c r="BK782" i="93"/>
  <c r="JA782" i="93"/>
  <c r="IJ782" i="93"/>
  <c r="CT782" i="93"/>
  <c r="DA782" i="93"/>
  <c r="AK782" i="93"/>
  <c r="DM782" i="93"/>
  <c r="CR782" i="93"/>
  <c r="BW782" i="93"/>
  <c r="AU782" i="93"/>
  <c r="ES782" i="93"/>
  <c r="CJ782" i="93"/>
  <c r="AM782" i="93"/>
  <c r="BL782" i="93"/>
  <c r="AA782" i="93"/>
  <c r="BY782" i="93"/>
  <c r="IU788" i="93"/>
  <c r="EI788" i="93"/>
  <c r="EP788" i="93"/>
  <c r="IP788" i="93"/>
  <c r="DT788" i="93"/>
  <c r="EH788" i="93"/>
  <c r="IQ788" i="93"/>
  <c r="EE788" i="93"/>
  <c r="EK788" i="93"/>
  <c r="DN788" i="93"/>
  <c r="IZ788" i="93"/>
  <c r="EC788" i="93"/>
  <c r="EA788" i="93"/>
  <c r="JB788" i="93"/>
  <c r="EF788" i="93"/>
  <c r="DI788" i="93"/>
  <c r="IT788" i="93"/>
  <c r="DX788" i="93"/>
  <c r="DW788" i="93"/>
  <c r="IW788" i="93"/>
  <c r="DZ788" i="93"/>
  <c r="ET788" i="93"/>
  <c r="DD788" i="93"/>
  <c r="IO788" i="93"/>
  <c r="DR788" i="93"/>
  <c r="DS788" i="93"/>
  <c r="IR788" i="93"/>
  <c r="DU788" i="93"/>
  <c r="EO788" i="93"/>
  <c r="DM788" i="93"/>
  <c r="EU788" i="93"/>
  <c r="DO788" i="93"/>
  <c r="DP788" i="93"/>
  <c r="EJ788" i="93"/>
  <c r="DH788" i="93"/>
  <c r="EL788" i="93"/>
  <c r="JA788" i="93"/>
  <c r="ES788" i="93"/>
  <c r="IY788" i="93"/>
  <c r="IV788" i="93"/>
  <c r="EN788" i="93"/>
  <c r="EQ788" i="93"/>
  <c r="ED788" i="93"/>
  <c r="DF788" i="93"/>
  <c r="DK788" i="93"/>
  <c r="DJ788" i="93"/>
  <c r="ER788" i="93"/>
  <c r="IX788" i="93"/>
  <c r="DG788" i="93"/>
  <c r="DE788" i="93"/>
  <c r="IS788" i="93"/>
  <c r="EG793" i="93"/>
  <c r="EJ793" i="93"/>
  <c r="IZ793" i="93"/>
  <c r="DR793" i="93"/>
  <c r="ED793" i="93"/>
  <c r="IT793" i="93"/>
  <c r="DM793" i="93"/>
  <c r="JK793" i="93"/>
  <c r="DY793" i="93"/>
  <c r="IO793" i="93"/>
  <c r="DH793" i="93"/>
  <c r="DI793" i="93"/>
  <c r="DS793" i="93"/>
  <c r="JE793" i="93"/>
  <c r="JJ793" i="93"/>
  <c r="JA793" i="93"/>
  <c r="DD793" i="93"/>
  <c r="EU793" i="93"/>
  <c r="DO793" i="93"/>
  <c r="JI793" i="93"/>
  <c r="JD793" i="93"/>
  <c r="IV793" i="93"/>
  <c r="JG793" i="93"/>
  <c r="EQ793" i="93"/>
  <c r="DK793" i="93"/>
  <c r="JH793" i="93"/>
  <c r="IP793" i="93"/>
  <c r="ES793" i="93"/>
  <c r="IY793" i="93"/>
  <c r="EM793" i="93"/>
  <c r="DG793" i="93"/>
  <c r="JL793" i="93"/>
  <c r="ET793" i="93"/>
  <c r="EN793" i="93"/>
  <c r="IU793" i="93"/>
  <c r="EI793" i="93"/>
  <c r="EO793" i="93"/>
  <c r="EH793" i="93"/>
  <c r="IQ793" i="93"/>
  <c r="EE793" i="93"/>
  <c r="EC793" i="93"/>
  <c r="DX793" i="93"/>
  <c r="A793" i="93"/>
  <c r="JF793" i="93"/>
  <c r="EA793" i="93"/>
  <c r="DT793" i="93"/>
  <c r="DN793" i="93"/>
  <c r="DW793" i="93"/>
  <c r="IV801" i="93"/>
  <c r="EO801" i="93"/>
  <c r="A801" i="93"/>
  <c r="DM801" i="93"/>
  <c r="DH801" i="93"/>
  <c r="JD801" i="93"/>
  <c r="ES801" i="93"/>
  <c r="JG801" i="93"/>
  <c r="EE801" i="93"/>
  <c r="DS801" i="93"/>
  <c r="IQ801" i="93"/>
  <c r="IN801" i="93"/>
  <c r="DI801" i="93"/>
  <c r="EI801" i="93"/>
  <c r="ET801" i="93"/>
  <c r="DN801" i="93"/>
  <c r="JA801" i="93"/>
  <c r="EG801" i="93"/>
  <c r="EQ801" i="93"/>
  <c r="DO801" i="93"/>
  <c r="DT801" i="93"/>
  <c r="EP801" i="93"/>
  <c r="DJ801" i="93"/>
  <c r="IW801" i="93"/>
  <c r="EB801" i="93"/>
  <c r="EK801" i="93"/>
  <c r="DY801" i="93"/>
  <c r="JJ801" i="93"/>
  <c r="EL801" i="93"/>
  <c r="DF801" i="93"/>
  <c r="IS801" i="93"/>
  <c r="JK801" i="93"/>
  <c r="DW801" i="93"/>
  <c r="EF801" i="93"/>
  <c r="EJ801" i="93"/>
  <c r="JF801" i="93"/>
  <c r="EH801" i="93"/>
  <c r="IO801" i="93"/>
  <c r="JC801" i="93"/>
  <c r="DQ801" i="93"/>
  <c r="EA801" i="93"/>
  <c r="EU801" i="93"/>
  <c r="JB801" i="93"/>
  <c r="ED801" i="93"/>
  <c r="IU801" i="93"/>
  <c r="DL801" i="93"/>
  <c r="JH801" i="93"/>
  <c r="DU801" i="93"/>
  <c r="IY801" i="93"/>
  <c r="IX801" i="93"/>
  <c r="DZ801" i="93"/>
  <c r="DG801" i="93"/>
  <c r="IZ801" i="93"/>
  <c r="DP801" i="93"/>
  <c r="EN801" i="93"/>
  <c r="DR801" i="93"/>
  <c r="DE801" i="93"/>
  <c r="DD801" i="93"/>
  <c r="IT801" i="93"/>
  <c r="JE801" i="93"/>
  <c r="ER801" i="93"/>
  <c r="IR801" i="93"/>
  <c r="IP801" i="93"/>
  <c r="EM801" i="93"/>
  <c r="EV801" i="93"/>
  <c r="HQ770" i="93"/>
  <c r="FU770" i="93"/>
  <c r="JH770" i="93"/>
  <c r="DB770" i="93"/>
  <c r="HV770" i="93"/>
  <c r="FO770" i="93"/>
  <c r="EY770" i="93"/>
  <c r="DQ770" i="93"/>
  <c r="CI770" i="93"/>
  <c r="HF770" i="93"/>
  <c r="FZ770" i="93"/>
  <c r="DW770" i="93"/>
  <c r="BV770" i="93"/>
  <c r="IU770" i="93"/>
  <c r="GP770" i="93"/>
  <c r="JM770" i="93"/>
  <c r="AM770" i="93"/>
  <c r="FJ770" i="93"/>
  <c r="CC770" i="93"/>
  <c r="IL770" i="93"/>
  <c r="HD770" i="93"/>
  <c r="FX770" i="93"/>
  <c r="EP770" i="93"/>
  <c r="CZ770" i="93"/>
  <c r="BM770" i="93"/>
  <c r="BQ770" i="93"/>
  <c r="ET770" i="93"/>
  <c r="HG770" i="93"/>
  <c r="GE770" i="93"/>
  <c r="DI770" i="93"/>
  <c r="BO770" i="93"/>
  <c r="AT770" i="93"/>
  <c r="JC770" i="93"/>
  <c r="IG770" i="93"/>
  <c r="GZ770" i="93"/>
  <c r="FT770" i="93"/>
  <c r="EK770" i="93"/>
  <c r="CV770" i="93"/>
  <c r="BG770" i="93"/>
  <c r="BX770" i="93"/>
  <c r="FA770" i="93"/>
  <c r="HR770" i="93"/>
  <c r="BK770" i="93"/>
  <c r="EA770" i="93"/>
  <c r="GC770" i="93"/>
  <c r="HS770" i="93"/>
  <c r="FE770" i="93"/>
  <c r="HA770" i="93"/>
  <c r="EL770" i="93"/>
  <c r="CW770" i="93"/>
  <c r="JN770" i="93"/>
  <c r="IB770" i="93"/>
  <c r="GV770" i="93"/>
  <c r="FP770" i="93"/>
  <c r="EE770" i="93"/>
  <c r="CQ770" i="93"/>
  <c r="BB770" i="93"/>
  <c r="CK770" i="93"/>
  <c r="FK770" i="93"/>
  <c r="HW770" i="93"/>
  <c r="BS770" i="93"/>
  <c r="EH770" i="93"/>
  <c r="GH770" i="93"/>
  <c r="HY770" i="93"/>
  <c r="BU770" i="93"/>
  <c r="DV770" i="93"/>
  <c r="FS770" i="93"/>
  <c r="HJ770" i="93"/>
  <c r="JG770" i="93"/>
  <c r="GK770" i="93"/>
  <c r="JJ770" i="93"/>
  <c r="HX770" i="93"/>
  <c r="GR770" i="93"/>
  <c r="FL770" i="93"/>
  <c r="DZ770" i="93"/>
  <c r="CL770" i="93"/>
  <c r="AW770" i="93"/>
  <c r="CS770" i="93"/>
  <c r="FQ770" i="93"/>
  <c r="II770" i="93"/>
  <c r="BY770" i="93"/>
  <c r="EO770" i="93"/>
  <c r="GM770" i="93"/>
  <c r="IK770" i="93"/>
  <c r="W770" i="93"/>
  <c r="BZ770" i="93"/>
  <c r="EC770" i="93"/>
  <c r="FY770" i="93"/>
  <c r="HO770" i="93"/>
  <c r="JL770" i="93"/>
  <c r="ED770" i="93"/>
  <c r="Y770" i="93"/>
  <c r="JF770" i="93"/>
  <c r="HT770" i="93"/>
  <c r="GN770" i="93"/>
  <c r="FH770" i="93"/>
  <c r="DU770" i="93"/>
  <c r="CG770" i="93"/>
  <c r="AQ770" i="93"/>
  <c r="Z770" i="93"/>
  <c r="DC770" i="93"/>
  <c r="GA770" i="93"/>
  <c r="IX770" i="93"/>
  <c r="CM770" i="93"/>
  <c r="EW770" i="93"/>
  <c r="GS770" i="93"/>
  <c r="IS770" i="93"/>
  <c r="AD770" i="93"/>
  <c r="CH770" i="93"/>
  <c r="EI770" i="93"/>
  <c r="GD770" i="93"/>
  <c r="HU770" i="93"/>
  <c r="JQ770" i="93"/>
  <c r="IA770" i="93"/>
  <c r="IO770" i="93"/>
  <c r="BA770" i="93"/>
  <c r="BI770" i="93"/>
  <c r="JB770" i="93"/>
  <c r="HP770" i="93"/>
  <c r="GJ770" i="93"/>
  <c r="FD770" i="93"/>
  <c r="DO770" i="93"/>
  <c r="CA770" i="93"/>
  <c r="AL770" i="93"/>
  <c r="AH770" i="93"/>
  <c r="DK770" i="93"/>
  <c r="GG770" i="93"/>
  <c r="JI770" i="93"/>
  <c r="AC770" i="93"/>
  <c r="CT770" i="93"/>
  <c r="FB770" i="93"/>
  <c r="GX770" i="93"/>
  <c r="IY770" i="93"/>
  <c r="AK770" i="93"/>
  <c r="CO770" i="93"/>
  <c r="EQ770" i="93"/>
  <c r="GI770" i="93"/>
  <c r="HZ770" i="93"/>
  <c r="HH770" i="93"/>
  <c r="BR770" i="93"/>
  <c r="GQ770" i="93"/>
  <c r="CY770" i="93"/>
  <c r="HN770" i="93"/>
  <c r="BF770" i="93"/>
  <c r="FI770" i="93"/>
  <c r="IT770" i="93"/>
  <c r="FF770" i="93"/>
  <c r="JO770" i="93"/>
  <c r="DM770" i="93"/>
  <c r="GF770" i="93"/>
  <c r="AG770" i="93"/>
  <c r="GW770" i="93"/>
  <c r="DF770" i="93"/>
  <c r="JE770" i="93"/>
  <c r="BN770" i="93"/>
  <c r="FN770" i="93"/>
  <c r="JA770" i="93"/>
  <c r="FV770" i="93"/>
  <c r="FG770" i="93"/>
  <c r="AE770" i="93"/>
  <c r="GB770" i="93"/>
  <c r="AA770" i="93"/>
  <c r="DS770" i="93"/>
  <c r="JK770" i="93"/>
  <c r="CU770" i="93"/>
  <c r="GO770" i="93"/>
  <c r="AO770" i="93"/>
  <c r="GL770" i="93"/>
  <c r="ID770" i="93"/>
  <c r="CP770" i="93"/>
  <c r="EZ770" i="93"/>
  <c r="FM770" i="93"/>
  <c r="JP770" i="93"/>
  <c r="DA770" i="93"/>
  <c r="GT770" i="93"/>
  <c r="BJ770" i="93"/>
  <c r="HB770" i="93"/>
  <c r="IH770" i="93"/>
  <c r="EU770" i="93"/>
  <c r="AU770" i="93"/>
  <c r="FR770" i="93"/>
  <c r="DG770" i="93"/>
  <c r="GY770" i="93"/>
  <c r="CD770" i="93"/>
  <c r="HM770" i="93"/>
  <c r="IW770" i="93"/>
  <c r="DJ770" i="93"/>
  <c r="BC770" i="93"/>
  <c r="AI770" i="93"/>
  <c r="FW770" i="93"/>
  <c r="DN770" i="93"/>
  <c r="HE770" i="93"/>
  <c r="CX770" i="93"/>
  <c r="IC770" i="93"/>
  <c r="IQ770" i="93"/>
  <c r="HC770" i="93"/>
  <c r="IM770" i="93"/>
  <c r="CE770" i="93"/>
  <c r="HL770" i="93"/>
  <c r="HI770" i="93"/>
  <c r="DR770" i="93"/>
  <c r="DE770" i="93"/>
  <c r="DY770" i="93"/>
  <c r="EM770" i="93"/>
  <c r="IZ770" i="93"/>
  <c r="BW770" i="93"/>
  <c r="EG770" i="93"/>
  <c r="AS770" i="93"/>
  <c r="IP770" i="93"/>
  <c r="EX770" i="93"/>
  <c r="AP770" i="93"/>
  <c r="FC770" i="93"/>
  <c r="HG775" i="93"/>
  <c r="GQ775" i="93"/>
  <c r="GA775" i="93"/>
  <c r="HW775" i="93"/>
  <c r="FK775" i="93"/>
  <c r="HT781" i="93"/>
  <c r="HC781" i="93"/>
  <c r="GO781" i="93"/>
  <c r="GA781" i="93"/>
  <c r="FQ781" i="93"/>
  <c r="FF781" i="93"/>
  <c r="HP781" i="93"/>
  <c r="HB781" i="93"/>
  <c r="GM781" i="93"/>
  <c r="FZ781" i="93"/>
  <c r="FO781" i="93"/>
  <c r="FE781" i="93"/>
  <c r="HN781" i="93"/>
  <c r="GY781" i="93"/>
  <c r="GL781" i="93"/>
  <c r="FY781" i="93"/>
  <c r="FN781" i="93"/>
  <c r="FC781" i="93"/>
  <c r="HM781" i="93"/>
  <c r="GX781" i="93"/>
  <c r="GI781" i="93"/>
  <c r="FW781" i="93"/>
  <c r="FM781" i="93"/>
  <c r="FB781" i="93"/>
  <c r="IC781" i="93"/>
  <c r="HJ781" i="93"/>
  <c r="GW781" i="93"/>
  <c r="GH781" i="93"/>
  <c r="FV781" i="93"/>
  <c r="FK781" i="93"/>
  <c r="HZ781" i="93"/>
  <c r="HI781" i="93"/>
  <c r="GT781" i="93"/>
  <c r="GG781" i="93"/>
  <c r="FU781" i="93"/>
  <c r="FJ781" i="93"/>
  <c r="GD781" i="93"/>
  <c r="GC781" i="93"/>
  <c r="HX781" i="93"/>
  <c r="FS781" i="93"/>
  <c r="HU781" i="93"/>
  <c r="FR781" i="93"/>
  <c r="HG781" i="93"/>
  <c r="FI781" i="93"/>
  <c r="HE781" i="93"/>
  <c r="GS781" i="93"/>
  <c r="GQ781" i="93"/>
  <c r="JN781" i="93"/>
  <c r="FG781" i="93"/>
  <c r="JQ781" i="93"/>
  <c r="JD781" i="93"/>
  <c r="JP781" i="93"/>
  <c r="JE781" i="93"/>
  <c r="JM781" i="93"/>
  <c r="JF781" i="93"/>
  <c r="FB787" i="93"/>
  <c r="HV787" i="93"/>
  <c r="HN787" i="93"/>
  <c r="HA787" i="93"/>
  <c r="GP787" i="93"/>
  <c r="GH787" i="93"/>
  <c r="FJ787" i="93"/>
  <c r="HW787" i="93"/>
  <c r="GQ787" i="93"/>
  <c r="FK787" i="93"/>
  <c r="HT787" i="93"/>
  <c r="GN787" i="93"/>
  <c r="FH787" i="93"/>
  <c r="HS787" i="93"/>
  <c r="GM787" i="93"/>
  <c r="FG787" i="93"/>
  <c r="HP787" i="93"/>
  <c r="GJ787" i="93"/>
  <c r="FD787" i="93"/>
  <c r="HO787" i="93"/>
  <c r="GI787" i="93"/>
  <c r="FC787" i="93"/>
  <c r="HL787" i="93"/>
  <c r="GF787" i="93"/>
  <c r="JM787" i="93"/>
  <c r="HK787" i="93"/>
  <c r="GE787" i="93"/>
  <c r="JO787" i="93"/>
  <c r="HH787" i="93"/>
  <c r="GB787" i="93"/>
  <c r="FU787" i="93"/>
  <c r="HG787" i="93"/>
  <c r="GA787" i="93"/>
  <c r="JG787" i="93"/>
  <c r="HD787" i="93"/>
  <c r="FX787" i="93"/>
  <c r="GU787" i="93"/>
  <c r="GV787" i="93"/>
  <c r="FW787" i="93"/>
  <c r="GR787" i="93"/>
  <c r="FS787" i="93"/>
  <c r="FT787" i="93"/>
  <c r="JN787" i="93"/>
  <c r="FO787" i="93"/>
  <c r="FP787" i="93"/>
  <c r="JF787" i="93"/>
  <c r="JC787" i="93"/>
  <c r="FL787" i="93"/>
  <c r="IA787" i="93"/>
  <c r="IB787" i="93"/>
  <c r="HC787" i="93"/>
  <c r="GY787" i="93"/>
  <c r="HX787" i="93"/>
  <c r="GZ787" i="93"/>
  <c r="HO795" i="93"/>
  <c r="GI795" i="93"/>
  <c r="FC795" i="93"/>
  <c r="HL795" i="93"/>
  <c r="GF795" i="93"/>
  <c r="IC795" i="93"/>
  <c r="FQ795" i="93"/>
  <c r="GP795" i="93"/>
  <c r="HK795" i="93"/>
  <c r="GE795" i="93"/>
  <c r="JQ795" i="93"/>
  <c r="HH795" i="93"/>
  <c r="GB795" i="93"/>
  <c r="HU795" i="93"/>
  <c r="FI795" i="93"/>
  <c r="GH795" i="93"/>
  <c r="HG795" i="93"/>
  <c r="GA795" i="93"/>
  <c r="JM795" i="93"/>
  <c r="HD795" i="93"/>
  <c r="FX795" i="93"/>
  <c r="HM795" i="93"/>
  <c r="JN795" i="93"/>
  <c r="FZ795" i="93"/>
  <c r="JP795" i="93"/>
  <c r="HC795" i="93"/>
  <c r="FW795" i="93"/>
  <c r="JE795" i="93"/>
  <c r="GZ795" i="93"/>
  <c r="FT795" i="93"/>
  <c r="HE795" i="93"/>
  <c r="JC795" i="93"/>
  <c r="FR795" i="93"/>
  <c r="JD795" i="93"/>
  <c r="GY795" i="93"/>
  <c r="FS795" i="93"/>
  <c r="IB795" i="93"/>
  <c r="GV795" i="93"/>
  <c r="FP795" i="93"/>
  <c r="GW795" i="93"/>
  <c r="HV795" i="93"/>
  <c r="FJ795" i="93"/>
  <c r="FK795" i="93"/>
  <c r="FL795" i="93"/>
  <c r="GX795" i="93"/>
  <c r="IA795" i="93"/>
  <c r="FG795" i="93"/>
  <c r="FH795" i="93"/>
  <c r="FB795" i="93"/>
  <c r="HW795" i="93"/>
  <c r="HX795" i="93"/>
  <c r="FD795" i="93"/>
  <c r="HS795" i="93"/>
  <c r="HT795" i="93"/>
  <c r="GO795" i="93"/>
  <c r="GU795" i="93"/>
  <c r="HP795" i="93"/>
  <c r="GG795" i="93"/>
  <c r="GQ795" i="93"/>
  <c r="GR795" i="93"/>
  <c r="FY795" i="93"/>
  <c r="HF795" i="93"/>
  <c r="GM795" i="93"/>
  <c r="FO795" i="93"/>
  <c r="GN795" i="93"/>
  <c r="GJ795" i="93"/>
  <c r="HN795" i="93"/>
  <c r="IZ802" i="93"/>
  <c r="HC802" i="93"/>
  <c r="FW802" i="93"/>
  <c r="DV802" i="93"/>
  <c r="BH802" i="93"/>
  <c r="IX802" i="93"/>
  <c r="HB802" i="93"/>
  <c r="FV802" i="93"/>
  <c r="DU802" i="93"/>
  <c r="BG802" i="93"/>
  <c r="IL802" i="93"/>
  <c r="GU802" i="93"/>
  <c r="FK802" i="93"/>
  <c r="CS802" i="93"/>
  <c r="JM802" i="93"/>
  <c r="HJ802" i="93"/>
  <c r="FZ802" i="93"/>
  <c r="DE802" i="93"/>
  <c r="AF802" i="93"/>
  <c r="GS802" i="93"/>
  <c r="CY802" i="93"/>
  <c r="HX802" i="93"/>
  <c r="FL802" i="93"/>
  <c r="X802" i="93"/>
  <c r="DC802" i="93"/>
  <c r="FH802" i="93"/>
  <c r="BY802" i="93"/>
  <c r="GV802" i="93"/>
  <c r="IA802" i="93"/>
  <c r="GQ802" i="93"/>
  <c r="FG802" i="93"/>
  <c r="CF802" i="93"/>
  <c r="JI802" i="93"/>
  <c r="HF802" i="93"/>
  <c r="FR802" i="93"/>
  <c r="CZ802" i="93"/>
  <c r="JP802" i="93"/>
  <c r="GK802" i="93"/>
  <c r="CM802" i="93"/>
  <c r="HP802" i="93"/>
  <c r="FD802" i="93"/>
  <c r="JL802" i="93"/>
  <c r="CA802" i="93"/>
  <c r="EC802" i="93"/>
  <c r="HU802" i="93"/>
  <c r="DB802" i="93"/>
  <c r="HW802" i="93"/>
  <c r="GM802" i="93"/>
  <c r="FC802" i="93"/>
  <c r="BX802" i="93"/>
  <c r="JE802" i="93"/>
  <c r="GX802" i="93"/>
  <c r="FN802" i="93"/>
  <c r="CV802" i="93"/>
  <c r="JH802" i="93"/>
  <c r="GC802" i="93"/>
  <c r="BV802" i="93"/>
  <c r="HH802" i="93"/>
  <c r="ER802" i="93"/>
  <c r="IC802" i="93"/>
  <c r="AN802" i="93"/>
  <c r="CT802" i="93"/>
  <c r="GO802" i="93"/>
  <c r="HS802" i="93"/>
  <c r="GI802" i="93"/>
  <c r="EY802" i="93"/>
  <c r="BT802" i="93"/>
  <c r="IG802" i="93"/>
  <c r="GT802" i="93"/>
  <c r="FJ802" i="93"/>
  <c r="CN802" i="93"/>
  <c r="IT802" i="93"/>
  <c r="FU802" i="93"/>
  <c r="BA802" i="93"/>
  <c r="GZ802" i="93"/>
  <c r="DK802" i="93"/>
  <c r="HM802" i="93"/>
  <c r="JC802" i="93"/>
  <c r="BI802" i="93"/>
  <c r="FI802" i="93"/>
  <c r="HO802" i="93"/>
  <c r="GE802" i="93"/>
  <c r="EP802" i="93"/>
  <c r="AV802" i="93"/>
  <c r="HZ802" i="93"/>
  <c r="GP802" i="93"/>
  <c r="FF802" i="93"/>
  <c r="CC802" i="93"/>
  <c r="HY802" i="93"/>
  <c r="FM802" i="93"/>
  <c r="AC802" i="93"/>
  <c r="GR802" i="93"/>
  <c r="CX802" i="93"/>
  <c r="GW802" i="93"/>
  <c r="HT802" i="93"/>
  <c r="JK802" i="93"/>
  <c r="CU802" i="93"/>
  <c r="JN802" i="93"/>
  <c r="HK802" i="93"/>
  <c r="GA802" i="93"/>
  <c r="DH802" i="93"/>
  <c r="AG802" i="93"/>
  <c r="HV802" i="93"/>
  <c r="GL802" i="93"/>
  <c r="FB802" i="93"/>
  <c r="BW802" i="93"/>
  <c r="HQ802" i="93"/>
  <c r="FE802" i="93"/>
  <c r="JO802" i="93"/>
  <c r="GJ802" i="93"/>
  <c r="CK802" i="93"/>
  <c r="GG802" i="93"/>
  <c r="HD802" i="93"/>
  <c r="HL802" i="93"/>
  <c r="JD802" i="93"/>
  <c r="HE802" i="93"/>
  <c r="AM802" i="93"/>
  <c r="GY802" i="93"/>
  <c r="HN802" i="93"/>
  <c r="HA802" i="93"/>
  <c r="AY802" i="93"/>
  <c r="BO802" i="93"/>
  <c r="IE802" i="93"/>
  <c r="DS802" i="93"/>
  <c r="EO802" i="93"/>
  <c r="CP802" i="93"/>
  <c r="BF802" i="93"/>
  <c r="Z802" i="93"/>
  <c r="DZ802" i="93"/>
  <c r="BK802" i="93"/>
  <c r="JB802" i="93"/>
  <c r="CQ802" i="93"/>
  <c r="AI802" i="93"/>
  <c r="FS802" i="93"/>
  <c r="GH802" i="93"/>
  <c r="EW802" i="93"/>
  <c r="FQ802" i="93"/>
  <c r="IB802" i="93"/>
  <c r="FO802" i="93"/>
  <c r="GD802" i="93"/>
  <c r="DP802" i="93"/>
  <c r="FA802" i="93"/>
  <c r="DA802" i="93"/>
  <c r="EX802" i="93"/>
  <c r="JG802" i="93"/>
  <c r="GN802" i="93"/>
  <c r="IY802" i="93"/>
  <c r="EM802" i="93"/>
  <c r="IV802" i="93"/>
  <c r="DY802" i="93"/>
  <c r="CD802" i="93"/>
  <c r="AT802" i="93"/>
  <c r="IO802" i="93"/>
  <c r="DG802" i="93"/>
  <c r="AU802" i="93"/>
  <c r="ES802" i="93"/>
  <c r="BS802" i="93"/>
  <c r="JJ802" i="93"/>
  <c r="W802" i="93"/>
  <c r="BQ802" i="93"/>
  <c r="GB802" i="93"/>
  <c r="GF802" i="93"/>
  <c r="JF802" i="93"/>
  <c r="JQ802" i="93"/>
  <c r="AR802" i="93"/>
  <c r="FT802" i="93"/>
  <c r="EZ802" i="93"/>
  <c r="IM802" i="93"/>
  <c r="EA802" i="93"/>
  <c r="IF802" i="93"/>
  <c r="F934" i="93"/>
  <c r="O84" i="72"/>
  <c r="O1638" i="93" s="1"/>
  <c r="I769" i="93"/>
  <c r="K769" i="93" s="1"/>
  <c r="L769" i="93" s="1"/>
  <c r="K783" i="93"/>
  <c r="L783" i="93" s="1"/>
  <c r="K791" i="93"/>
  <c r="L791" i="93" s="1"/>
  <c r="K799" i="93"/>
  <c r="L799" i="93" s="1"/>
  <c r="CO803" i="93"/>
  <c r="EL802" i="93"/>
  <c r="AS802" i="93"/>
  <c r="DL799" i="93"/>
  <c r="IW795" i="93"/>
  <c r="DH795" i="93"/>
  <c r="AN795" i="93"/>
  <c r="BI794" i="93"/>
  <c r="EN783" i="93"/>
  <c r="CK783" i="93"/>
  <c r="AP783" i="93"/>
  <c r="EV782" i="93"/>
  <c r="DE782" i="93"/>
  <c r="BD782" i="93"/>
  <c r="IW779" i="93"/>
  <c r="DZ779" i="93"/>
  <c r="CA779" i="93"/>
  <c r="AG779" i="93"/>
  <c r="EN771" i="93"/>
  <c r="DH771" i="93"/>
  <c r="IF770" i="93"/>
  <c r="DT770" i="93"/>
  <c r="CF770" i="93"/>
  <c r="AR770" i="93"/>
  <c r="AX782" i="93"/>
  <c r="CH782" i="93"/>
  <c r="DZ782" i="93"/>
  <c r="IL782" i="93"/>
  <c r="BP794" i="93"/>
  <c r="BB794" i="93"/>
  <c r="BD802" i="93"/>
  <c r="IJ802" i="93"/>
  <c r="BP802" i="93"/>
  <c r="EV802" i="93"/>
  <c r="AX802" i="93"/>
  <c r="DF802" i="93"/>
  <c r="IP802" i="93"/>
  <c r="II802" i="93"/>
  <c r="AW803" i="93"/>
  <c r="BF799" i="93"/>
  <c r="DM795" i="93"/>
  <c r="DQ783" i="93"/>
  <c r="IU779" i="93"/>
  <c r="BQ779" i="93"/>
  <c r="IQ771" i="93"/>
  <c r="DG771" i="93"/>
  <c r="BH779" i="93"/>
  <c r="EF779" i="93"/>
  <c r="AM783" i="93"/>
  <c r="DO783" i="93"/>
  <c r="CO795" i="93"/>
  <c r="AH795" i="93"/>
  <c r="DJ795" i="93"/>
  <c r="JB795" i="93"/>
  <c r="ET799" i="93"/>
  <c r="CA799" i="93"/>
  <c r="IU799" i="93"/>
  <c r="CK799" i="93"/>
  <c r="IO799" i="93"/>
  <c r="ET803" i="93"/>
  <c r="EB803" i="93"/>
  <c r="CF803" i="93"/>
  <c r="W803" i="93"/>
  <c r="CM803" i="93"/>
  <c r="IQ803" i="93"/>
  <c r="CE768" i="93"/>
  <c r="BK768" i="93"/>
  <c r="IV768" i="93"/>
  <c r="BJ768" i="93"/>
  <c r="BO788" i="93"/>
  <c r="DK801" i="93"/>
  <c r="BU802" i="93"/>
  <c r="P67" i="72"/>
  <c r="P1621" i="93" s="1"/>
  <c r="L800" i="93"/>
  <c r="CB803" i="93"/>
  <c r="DX802" i="93"/>
  <c r="AK802" i="93"/>
  <c r="CM799" i="93"/>
  <c r="IQ795" i="93"/>
  <c r="CN795" i="93"/>
  <c r="AG795" i="93"/>
  <c r="BC794" i="93"/>
  <c r="EH783" i="93"/>
  <c r="CF783" i="93"/>
  <c r="AK783" i="93"/>
  <c r="EQ782" i="93"/>
  <c r="CS782" i="93"/>
  <c r="AY782" i="93"/>
  <c r="IQ779" i="93"/>
  <c r="DU779" i="93"/>
  <c r="BR779" i="93"/>
  <c r="AA779" i="93"/>
  <c r="IV771" i="93"/>
  <c r="EJ771" i="93"/>
  <c r="DD771" i="93"/>
  <c r="EV770" i="93"/>
  <c r="DP770" i="93"/>
  <c r="BT770" i="93"/>
  <c r="AN770" i="93"/>
  <c r="BB782" i="93"/>
  <c r="CL782" i="93"/>
  <c r="ED782" i="93"/>
  <c r="IP782" i="93"/>
  <c r="BF794" i="93"/>
  <c r="BL802" i="93"/>
  <c r="IS802" i="93"/>
  <c r="CE802" i="93"/>
  <c r="IH802" i="93"/>
  <c r="BB802" i="93"/>
  <c r="DJ802" i="93"/>
  <c r="JA802" i="93"/>
  <c r="IQ802" i="93"/>
  <c r="AJ803" i="93"/>
  <c r="AV799" i="93"/>
  <c r="CS795" i="93"/>
  <c r="CO783" i="93"/>
  <c r="IE779" i="93"/>
  <c r="BA779" i="93"/>
  <c r="BT779" i="93"/>
  <c r="ER779" i="93"/>
  <c r="AY783" i="93"/>
  <c r="EA783" i="93"/>
  <c r="DG795" i="93"/>
  <c r="AL795" i="93"/>
  <c r="DN795" i="93"/>
  <c r="Z799" i="93"/>
  <c r="IF799" i="93"/>
  <c r="CF799" i="93"/>
  <c r="IZ799" i="93"/>
  <c r="CO799" i="93"/>
  <c r="IS799" i="93"/>
  <c r="IG803" i="93"/>
  <c r="EJ803" i="93"/>
  <c r="CK803" i="93"/>
  <c r="AA803" i="93"/>
  <c r="CQ803" i="93"/>
  <c r="IU803" i="93"/>
  <c r="DV788" i="93"/>
  <c r="IN788" i="93"/>
  <c r="BH768" i="93"/>
  <c r="BQ768" i="93"/>
  <c r="BZ768" i="93"/>
  <c r="BA776" i="93"/>
  <c r="EM788" i="93"/>
  <c r="IN802" i="93"/>
  <c r="CZ782" i="93"/>
  <c r="A526" i="93"/>
  <c r="A565" i="93"/>
  <c r="BM803" i="93"/>
  <c r="DM802" i="93"/>
  <c r="AA802" i="93"/>
  <c r="CD799" i="93"/>
  <c r="IJ795" i="93"/>
  <c r="CG795" i="93"/>
  <c r="AA795" i="93"/>
  <c r="AV794" i="93"/>
  <c r="IZ783" i="93"/>
  <c r="EC783" i="93"/>
  <c r="BZ783" i="93"/>
  <c r="AF783" i="93"/>
  <c r="EK782" i="93"/>
  <c r="CN782" i="93"/>
  <c r="AS782" i="93"/>
  <c r="IL779" i="93"/>
  <c r="DO779" i="93"/>
  <c r="BM779" i="93"/>
  <c r="A779" i="93"/>
  <c r="IR771" i="93"/>
  <c r="EF771" i="93"/>
  <c r="ER770" i="93"/>
  <c r="DL770" i="93"/>
  <c r="BP770" i="93"/>
  <c r="AJ770" i="93"/>
  <c r="Z782" i="93"/>
  <c r="BF782" i="93"/>
  <c r="CP782" i="93"/>
  <c r="EH782" i="93"/>
  <c r="IT782" i="93"/>
  <c r="BJ794" i="93"/>
  <c r="CB802" i="93"/>
  <c r="Y802" i="93"/>
  <c r="CJ802" i="93"/>
  <c r="IW802" i="93"/>
  <c r="BJ802" i="93"/>
  <c r="DN802" i="93"/>
  <c r="DO802" i="93"/>
  <c r="IU802" i="93"/>
  <c r="IR799" i="93"/>
  <c r="AD799" i="93"/>
  <c r="CF795" i="93"/>
  <c r="CD783" i="93"/>
  <c r="EO779" i="93"/>
  <c r="AP779" i="93"/>
  <c r="CF779" i="93"/>
  <c r="IF779" i="93"/>
  <c r="BG783" i="93"/>
  <c r="EI783" i="93"/>
  <c r="DQ795" i="93"/>
  <c r="AT795" i="93"/>
  <c r="DV795" i="93"/>
  <c r="AN799" i="93"/>
  <c r="IT799" i="93"/>
  <c r="CQ799" i="93"/>
  <c r="AC799" i="93"/>
  <c r="DE799" i="93"/>
  <c r="JA799" i="93"/>
  <c r="JA803" i="93"/>
  <c r="IK803" i="93"/>
  <c r="DH803" i="93"/>
  <c r="AI803" i="93"/>
  <c r="DK803" i="93"/>
  <c r="IQ768" i="93"/>
  <c r="BE788" i="93"/>
  <c r="DQ788" i="93"/>
  <c r="CB768" i="93"/>
  <c r="CG768" i="93"/>
  <c r="DF768" i="93"/>
  <c r="DV801" i="93"/>
  <c r="HI802" i="93"/>
  <c r="IE770" i="93"/>
  <c r="JB803" i="93"/>
  <c r="BB803" i="93"/>
  <c r="DD802" i="93"/>
  <c r="IV799" i="93"/>
  <c r="BR799" i="93"/>
  <c r="EQ795" i="93"/>
  <c r="CA795" i="93"/>
  <c r="IT783" i="93"/>
  <c r="DX783" i="93"/>
  <c r="BQ783" i="93"/>
  <c r="Z783" i="93"/>
  <c r="EF782" i="93"/>
  <c r="CI782" i="93"/>
  <c r="AN782" i="93"/>
  <c r="IG779" i="93"/>
  <c r="DJ779" i="93"/>
  <c r="BG779" i="93"/>
  <c r="IN771" i="93"/>
  <c r="EB771" i="93"/>
  <c r="EN770" i="93"/>
  <c r="DH770" i="93"/>
  <c r="BL770" i="93"/>
  <c r="AF770" i="93"/>
  <c r="AD782" i="93"/>
  <c r="BJ782" i="93"/>
  <c r="DF782" i="93"/>
  <c r="EL782" i="93"/>
  <c r="IX782" i="93"/>
  <c r="BN794" i="93"/>
  <c r="CI802" i="93"/>
  <c r="AE802" i="93"/>
  <c r="CO802" i="93"/>
  <c r="A802" i="93"/>
  <c r="BN802" i="93"/>
  <c r="DT802" i="93"/>
  <c r="DW802" i="93"/>
  <c r="IW803" i="93"/>
  <c r="EV799" i="93"/>
  <c r="IV795" i="93"/>
  <c r="BO795" i="93"/>
  <c r="BP783" i="93"/>
  <c r="EI779" i="93"/>
  <c r="AK779" i="93"/>
  <c r="CJ779" i="93"/>
  <c r="IJ779" i="93"/>
  <c r="BK783" i="93"/>
  <c r="EM783" i="93"/>
  <c r="AE795" i="93"/>
  <c r="EG795" i="93"/>
  <c r="BF795" i="93"/>
  <c r="EH795" i="93"/>
  <c r="BJ799" i="93"/>
  <c r="W799" i="93"/>
  <c r="DO799" i="93"/>
  <c r="AO799" i="93"/>
  <c r="DQ799" i="93"/>
  <c r="AO803" i="93"/>
  <c r="AL803" i="93"/>
  <c r="Z803" i="93"/>
  <c r="DX803" i="93"/>
  <c r="AU803" i="93"/>
  <c r="DW803" i="93"/>
  <c r="EB788" i="93"/>
  <c r="DS768" i="93"/>
  <c r="AJ788" i="93"/>
  <c r="CR768" i="93"/>
  <c r="DE768" i="93"/>
  <c r="DN768" i="93"/>
  <c r="CK788" i="93"/>
  <c r="EH802" i="93"/>
  <c r="AY770" i="93"/>
  <c r="EI782" i="93"/>
  <c r="O80" i="72"/>
  <c r="O1634" i="93" s="1"/>
  <c r="IN803" i="93"/>
  <c r="AN803" i="93"/>
  <c r="CR802" i="93"/>
  <c r="IL799" i="93"/>
  <c r="BG799" i="93"/>
  <c r="EJ795" i="93"/>
  <c r="BQ795" i="93"/>
  <c r="IO783" i="93"/>
  <c r="DR783" i="93"/>
  <c r="BL783" i="93"/>
  <c r="IW782" i="93"/>
  <c r="EA782" i="93"/>
  <c r="CC782" i="93"/>
  <c r="AI782" i="93"/>
  <c r="EU779" i="93"/>
  <c r="DE779" i="93"/>
  <c r="BB779" i="93"/>
  <c r="DX771" i="93"/>
  <c r="IV770" i="93"/>
  <c r="EJ770" i="93"/>
  <c r="DD770" i="93"/>
  <c r="BH770" i="93"/>
  <c r="AB770" i="93"/>
  <c r="AH782" i="93"/>
  <c r="BN782" i="93"/>
  <c r="DJ782" i="93"/>
  <c r="EP782" i="93"/>
  <c r="JB782" i="93"/>
  <c r="AU794" i="93"/>
  <c r="BR794" i="93"/>
  <c r="DI802" i="93"/>
  <c r="AJ802" i="93"/>
  <c r="DL802" i="93"/>
  <c r="AD802" i="93"/>
  <c r="BR802" i="93"/>
  <c r="ED802" i="93"/>
  <c r="EE802" i="93"/>
  <c r="IL803" i="93"/>
  <c r="EL799" i="93"/>
  <c r="IG795" i="93"/>
  <c r="BA795" i="93"/>
  <c r="IS783" i="93"/>
  <c r="BE783" i="93"/>
  <c r="DY779" i="93"/>
  <c r="Z779" i="93"/>
  <c r="EM771" i="93"/>
  <c r="AB779" i="93"/>
  <c r="CR779" i="93"/>
  <c r="IR779" i="93"/>
  <c r="BS783" i="93"/>
  <c r="EU783" i="93"/>
  <c r="A791" i="93"/>
  <c r="AO795" i="93"/>
  <c r="ER795" i="93"/>
  <c r="BN795" i="93"/>
  <c r="EP795" i="93"/>
  <c r="BZ799" i="93"/>
  <c r="AH799" i="93"/>
  <c r="DZ799" i="93"/>
  <c r="AW799" i="93"/>
  <c r="DY799" i="93"/>
  <c r="BI803" i="93"/>
  <c r="AZ803" i="93"/>
  <c r="AK803" i="93"/>
  <c r="EH803" i="93"/>
  <c r="BC803" i="93"/>
  <c r="EE803" i="93"/>
  <c r="CJ788" i="93"/>
  <c r="BC768" i="93"/>
  <c r="BI776" i="93"/>
  <c r="DL768" i="93"/>
  <c r="DU768" i="93"/>
  <c r="ED768" i="93"/>
  <c r="AL788" i="93"/>
  <c r="AX770" i="93"/>
  <c r="HR802" i="93"/>
  <c r="AW794" i="93"/>
  <c r="P80" i="72"/>
  <c r="P1634" i="93" s="1"/>
  <c r="O67" i="72"/>
  <c r="G1146" i="93" s="1"/>
  <c r="EL803" i="93"/>
  <c r="AB803" i="93"/>
  <c r="CG802" i="93"/>
  <c r="EN799" i="93"/>
  <c r="AY799" i="93"/>
  <c r="EC795" i="93"/>
  <c r="BI795" i="93"/>
  <c r="IJ783" i="93"/>
  <c r="DM783" i="93"/>
  <c r="BF783" i="93"/>
  <c r="IR782" i="93"/>
  <c r="DU782" i="93"/>
  <c r="BT782" i="93"/>
  <c r="AC782" i="93"/>
  <c r="EP779" i="93"/>
  <c r="CQ779" i="93"/>
  <c r="AW779" i="93"/>
  <c r="DT771" i="93"/>
  <c r="IR770" i="93"/>
  <c r="EF770" i="93"/>
  <c r="CR770" i="93"/>
  <c r="BD770" i="93"/>
  <c r="X770" i="93"/>
  <c r="AL782" i="93"/>
  <c r="BR782" i="93"/>
  <c r="DN782" i="93"/>
  <c r="ET782" i="93"/>
  <c r="AZ794" i="93"/>
  <c r="AB802" i="93"/>
  <c r="DQ802" i="93"/>
  <c r="AO802" i="93"/>
  <c r="DR802" i="93"/>
  <c r="AH802" i="93"/>
  <c r="BZ802" i="93"/>
  <c r="EJ802" i="93"/>
  <c r="EI802" i="93"/>
  <c r="EG803" i="93"/>
  <c r="DS799" i="93"/>
  <c r="EO795" i="93"/>
  <c r="AS795" i="93"/>
  <c r="ER783" i="93"/>
  <c r="AO783" i="93"/>
  <c r="DI779" i="93"/>
  <c r="EE771" i="93"/>
  <c r="AN779" i="93"/>
  <c r="DL779" i="93"/>
  <c r="CI783" i="93"/>
  <c r="IM783" i="93"/>
  <c r="AU795" i="93"/>
  <c r="II795" i="93"/>
  <c r="BR795" i="93"/>
  <c r="ET795" i="93"/>
  <c r="CH799" i="93"/>
  <c r="AM799" i="93"/>
  <c r="EE799" i="93"/>
  <c r="BA799" i="93"/>
  <c r="EC799" i="93"/>
  <c r="BR803" i="93"/>
  <c r="BH803" i="93"/>
  <c r="AP803" i="93"/>
  <c r="EN803" i="93"/>
  <c r="BG803" i="93"/>
  <c r="EI803" i="93"/>
  <c r="BJ788" i="93"/>
  <c r="AS776" i="93"/>
  <c r="EB768" i="93"/>
  <c r="EG768" i="93"/>
  <c r="ET768" i="93"/>
  <c r="DY788" i="93"/>
  <c r="JD770" i="93"/>
  <c r="CW802" i="93"/>
  <c r="BE770" i="93"/>
  <c r="JJ789" i="93"/>
  <c r="IO773" i="93"/>
  <c r="IP781" i="93"/>
  <c r="HI780" i="93"/>
  <c r="DN781" i="93"/>
  <c r="AS785" i="93"/>
  <c r="CJ785" i="93"/>
  <c r="HH785" i="93"/>
  <c r="FF788" i="93"/>
  <c r="HU788" i="93"/>
  <c r="FD791" i="93"/>
  <c r="FJ780" i="93"/>
  <c r="HV780" i="93"/>
  <c r="ED781" i="93"/>
  <c r="AT785" i="93"/>
  <c r="CK785" i="93"/>
  <c r="HM785" i="93"/>
  <c r="FG788" i="93"/>
  <c r="HY788" i="93"/>
  <c r="GO791" i="93"/>
  <c r="JH787" i="93"/>
  <c r="FM780" i="93"/>
  <c r="HY780" i="93"/>
  <c r="EH781" i="93"/>
  <c r="BD785" i="93"/>
  <c r="CT785" i="93"/>
  <c r="IS785" i="93"/>
  <c r="FS788" i="93"/>
  <c r="AS773" i="93"/>
  <c r="BV773" i="93"/>
  <c r="CU773" i="93"/>
  <c r="DM773" i="93"/>
  <c r="FB773" i="93"/>
  <c r="GT773" i="93"/>
  <c r="FZ780" i="93"/>
  <c r="BE785" i="93"/>
  <c r="CV785" i="93"/>
  <c r="IH791" i="93"/>
  <c r="EM791" i="93"/>
  <c r="DX791" i="93"/>
  <c r="CH791" i="93"/>
  <c r="IM785" i="93"/>
  <c r="HB785" i="93"/>
  <c r="EW785" i="93"/>
  <c r="DH785" i="93"/>
  <c r="CS785" i="93"/>
  <c r="CH785" i="93"/>
  <c r="BX785" i="93"/>
  <c r="BM785" i="93"/>
  <c r="BB785" i="93"/>
  <c r="AR785" i="93"/>
  <c r="AG785" i="93"/>
  <c r="IJ785" i="93"/>
  <c r="GL785" i="93"/>
  <c r="EV785" i="93"/>
  <c r="DE785" i="93"/>
  <c r="CR785" i="93"/>
  <c r="CG785" i="93"/>
  <c r="BV785" i="93"/>
  <c r="BL785" i="93"/>
  <c r="BA785" i="93"/>
  <c r="AP785" i="93"/>
  <c r="AF785" i="93"/>
  <c r="II785" i="93"/>
  <c r="GG785" i="93"/>
  <c r="EN785" i="93"/>
  <c r="DB785" i="93"/>
  <c r="CP785" i="93"/>
  <c r="CF785" i="93"/>
  <c r="BU785" i="93"/>
  <c r="BJ785" i="93"/>
  <c r="AZ785" i="93"/>
  <c r="AO785" i="93"/>
  <c r="AD785" i="93"/>
  <c r="IF785" i="93"/>
  <c r="FV785" i="93"/>
  <c r="EK785" i="93"/>
  <c r="DA785" i="93"/>
  <c r="CO785" i="93"/>
  <c r="CD785" i="93"/>
  <c r="BT785" i="93"/>
  <c r="BI785" i="93"/>
  <c r="AX785" i="93"/>
  <c r="AN785" i="93"/>
  <c r="AC785" i="93"/>
  <c r="IE785" i="93"/>
  <c r="FL785" i="93"/>
  <c r="EF785" i="93"/>
  <c r="CX785" i="93"/>
  <c r="CN785" i="93"/>
  <c r="CC785" i="93"/>
  <c r="BR785" i="93"/>
  <c r="BH785" i="93"/>
  <c r="AW785" i="93"/>
  <c r="AL785" i="93"/>
  <c r="AB785" i="93"/>
  <c r="JA785" i="93"/>
  <c r="IC785" i="93"/>
  <c r="FA785" i="93"/>
  <c r="DX785" i="93"/>
  <c r="CW785" i="93"/>
  <c r="CL785" i="93"/>
  <c r="CB785" i="93"/>
  <c r="BQ785" i="93"/>
  <c r="BF785" i="93"/>
  <c r="AV785" i="93"/>
  <c r="AK785" i="93"/>
  <c r="Z785" i="93"/>
  <c r="CB770" i="93"/>
  <c r="HS788" i="93"/>
  <c r="GW788" i="93"/>
  <c r="GG788" i="93"/>
  <c r="FR788" i="93"/>
  <c r="FC788" i="93"/>
  <c r="HQ788" i="93"/>
  <c r="GU788" i="93"/>
  <c r="GD788" i="93"/>
  <c r="FQ788" i="93"/>
  <c r="FB788" i="93"/>
  <c r="HM788" i="93"/>
  <c r="GS788" i="93"/>
  <c r="GC788" i="93"/>
  <c r="FN788" i="93"/>
  <c r="FA788" i="93"/>
  <c r="JP788" i="93"/>
  <c r="HK788" i="93"/>
  <c r="GO788" i="93"/>
  <c r="GA788" i="93"/>
  <c r="FM788" i="93"/>
  <c r="EY788" i="93"/>
  <c r="IC788" i="93"/>
  <c r="HI788" i="93"/>
  <c r="GM788" i="93"/>
  <c r="FY788" i="93"/>
  <c r="FK788" i="93"/>
  <c r="EX788" i="93"/>
  <c r="IA788" i="93"/>
  <c r="HE788" i="93"/>
  <c r="GL788" i="93"/>
  <c r="FW788" i="93"/>
  <c r="FI788" i="93"/>
  <c r="EW788" i="93"/>
  <c r="FU799" i="93"/>
  <c r="AA799" i="93"/>
  <c r="CX780" i="93"/>
  <c r="BW780" i="93"/>
  <c r="DC787" i="93"/>
  <c r="BY787" i="93"/>
  <c r="AA787" i="93"/>
  <c r="IK773" i="93"/>
  <c r="HB773" i="93"/>
  <c r="FV773" i="93"/>
  <c r="EO773" i="93"/>
  <c r="DI773" i="93"/>
  <c r="CW773" i="93"/>
  <c r="CC773" i="93"/>
  <c r="JA773" i="93"/>
  <c r="HR773" i="93"/>
  <c r="GL773" i="93"/>
  <c r="FF773" i="93"/>
  <c r="DY773" i="93"/>
  <c r="DA773" i="93"/>
  <c r="CS773" i="93"/>
  <c r="GJ791" i="93"/>
  <c r="EX791" i="93"/>
  <c r="GG791" i="93"/>
  <c r="EW791" i="93"/>
  <c r="FY791" i="93"/>
  <c r="IB791" i="93"/>
  <c r="FT791" i="93"/>
  <c r="HL791" i="93"/>
  <c r="FQ791" i="93"/>
  <c r="HA791" i="93"/>
  <c r="FI791" i="93"/>
  <c r="EU781" i="93"/>
  <c r="EB781" i="93"/>
  <c r="DH781" i="93"/>
  <c r="ER781" i="93"/>
  <c r="DZ781" i="93"/>
  <c r="DG781" i="93"/>
  <c r="JG781" i="93"/>
  <c r="EP781" i="93"/>
  <c r="DW781" i="93"/>
  <c r="DD781" i="93"/>
  <c r="JB781" i="93"/>
  <c r="EN781" i="93"/>
  <c r="DT781" i="93"/>
  <c r="IY781" i="93"/>
  <c r="EJ781" i="93"/>
  <c r="DS781" i="93"/>
  <c r="IU781" i="93"/>
  <c r="EI781" i="93"/>
  <c r="DO781" i="93"/>
  <c r="EE787" i="93"/>
  <c r="IB774" i="93"/>
  <c r="FV774" i="93"/>
  <c r="HL774" i="93"/>
  <c r="HG774" i="93"/>
  <c r="GV774" i="93"/>
  <c r="JF780" i="93"/>
  <c r="HQ780" i="93"/>
  <c r="HA780" i="93"/>
  <c r="GK780" i="93"/>
  <c r="FU780" i="93"/>
  <c r="FE780" i="93"/>
  <c r="J894" i="93"/>
  <c r="BI780" i="93"/>
  <c r="CU780" i="93"/>
  <c r="EX780" i="93"/>
  <c r="FN780" i="93"/>
  <c r="GD780" i="93"/>
  <c r="GT780" i="93"/>
  <c r="HJ780" i="93"/>
  <c r="HZ780" i="93"/>
  <c r="JQ780" i="93"/>
  <c r="P907" i="93"/>
  <c r="D54" i="74"/>
  <c r="BU780" i="93"/>
  <c r="CV780" i="93"/>
  <c r="FA780" i="93"/>
  <c r="FQ780" i="93"/>
  <c r="GG780" i="93"/>
  <c r="GW780" i="93"/>
  <c r="HM780" i="93"/>
  <c r="IC780" i="93"/>
  <c r="K24" i="74"/>
  <c r="F54" i="74"/>
  <c r="B84" i="74"/>
  <c r="BV780" i="93"/>
  <c r="CW780" i="93"/>
  <c r="FB780" i="93"/>
  <c r="FR780" i="93"/>
  <c r="GH780" i="93"/>
  <c r="GX780" i="93"/>
  <c r="HN780" i="93"/>
  <c r="IM780" i="93"/>
  <c r="I24" i="74"/>
  <c r="H54" i="74"/>
  <c r="D84" i="74"/>
  <c r="BY803" i="93"/>
  <c r="HW788" i="93"/>
  <c r="HQ791" i="93"/>
  <c r="BX780" i="93"/>
  <c r="CY780" i="93"/>
  <c r="FF780" i="93"/>
  <c r="FV780" i="93"/>
  <c r="GL780" i="93"/>
  <c r="HB780" i="93"/>
  <c r="HR780" i="93"/>
  <c r="JI780" i="93"/>
  <c r="IH803" i="93"/>
  <c r="IG793" i="93"/>
  <c r="E24" i="74"/>
  <c r="K54" i="74"/>
  <c r="G84" i="74"/>
  <c r="BY780" i="93"/>
  <c r="DB780" i="93"/>
  <c r="FI780" i="93"/>
  <c r="FY780" i="93"/>
  <c r="GO780" i="93"/>
  <c r="HE780" i="93"/>
  <c r="HU780" i="93"/>
  <c r="B24" i="74"/>
  <c r="D24" i="74"/>
  <c r="J84" i="74"/>
  <c r="L1918" i="93"/>
  <c r="F805" i="93"/>
  <c r="JI769" i="93"/>
  <c r="A770" i="93"/>
  <c r="JD769" i="93"/>
  <c r="JG769" i="93"/>
  <c r="JJ769" i="93"/>
  <c r="JP769" i="93"/>
  <c r="EY769" i="93"/>
  <c r="HL769" i="93"/>
  <c r="JC769" i="93"/>
  <c r="JF769" i="93"/>
  <c r="CG769" i="93"/>
  <c r="C28" i="74"/>
  <c r="C984" i="93" s="1"/>
  <c r="N84" i="66"/>
  <c r="L49" i="93"/>
  <c r="A539" i="93"/>
  <c r="JJ788" i="93"/>
  <c r="JO796" i="93"/>
  <c r="JL787" i="93"/>
  <c r="BC789" i="93"/>
  <c r="IM795" i="93"/>
  <c r="DC796" i="93"/>
  <c r="J889" i="93"/>
  <c r="N889" i="93"/>
  <c r="P889" i="93"/>
  <c r="K898" i="93"/>
  <c r="I912" i="93"/>
  <c r="JC781" i="93"/>
  <c r="CV795" i="93"/>
  <c r="FB786" i="93"/>
  <c r="JE780" i="93"/>
  <c r="BX790" i="93"/>
  <c r="G894" i="93"/>
  <c r="EZ788" i="93"/>
  <c r="FE788" i="93"/>
  <c r="FJ788" i="93"/>
  <c r="FO788" i="93"/>
  <c r="FU788" i="93"/>
  <c r="FZ788" i="93"/>
  <c r="GE788" i="93"/>
  <c r="GK788" i="93"/>
  <c r="GQ788" i="93"/>
  <c r="GY788" i="93"/>
  <c r="HG788" i="93"/>
  <c r="HO788" i="93"/>
  <c r="JH788" i="93"/>
  <c r="AY789" i="93"/>
  <c r="CM789" i="93"/>
  <c r="EI789" i="93"/>
  <c r="FL791" i="93"/>
  <c r="GB791" i="93"/>
  <c r="GR791" i="93"/>
  <c r="CB793" i="93"/>
  <c r="O22" i="86"/>
  <c r="F13" i="85"/>
  <c r="E33" i="72"/>
  <c r="E1587" i="93" s="1"/>
  <c r="O1761" i="93"/>
  <c r="D11" i="86"/>
  <c r="F12" i="86"/>
  <c r="G11" i="86"/>
  <c r="D31" i="86"/>
  <c r="G31" i="86"/>
  <c r="H83" i="93"/>
  <c r="A451" i="93"/>
  <c r="U498" i="93"/>
  <c r="U539" i="93"/>
  <c r="U546" i="93"/>
  <c r="U561" i="93"/>
  <c r="IF797" i="93"/>
  <c r="IH797" i="93"/>
  <c r="JA787" i="93"/>
  <c r="DU787" i="93"/>
  <c r="IG787" i="93"/>
  <c r="ET787" i="93"/>
  <c r="IX781" i="93"/>
  <c r="IR781" i="93"/>
  <c r="IM781" i="93"/>
  <c r="II781" i="93"/>
  <c r="IE781" i="93"/>
  <c r="IZ781" i="93"/>
  <c r="IT781" i="93"/>
  <c r="IL781" i="93"/>
  <c r="IG781" i="93"/>
  <c r="EV781" i="93"/>
  <c r="EQ781" i="93"/>
  <c r="EL781" i="93"/>
  <c r="EF781" i="93"/>
  <c r="EA781" i="93"/>
  <c r="DV781" i="93"/>
  <c r="DP781" i="93"/>
  <c r="DK781" i="93"/>
  <c r="DF781" i="93"/>
  <c r="CQ781" i="93"/>
  <c r="CM781" i="93"/>
  <c r="CI781" i="93"/>
  <c r="CE781" i="93"/>
  <c r="CA781" i="93"/>
  <c r="AN781" i="93"/>
  <c r="AJ781" i="93"/>
  <c r="AF781" i="93"/>
  <c r="AB781" i="93"/>
  <c r="X781" i="93"/>
  <c r="JO784" i="93"/>
  <c r="JK784" i="93"/>
  <c r="JG784" i="93"/>
  <c r="JC784" i="93"/>
  <c r="IB784" i="93"/>
  <c r="HX784" i="93"/>
  <c r="HT784" i="93"/>
  <c r="HP784" i="93"/>
  <c r="HL784" i="93"/>
  <c r="HH784" i="93"/>
  <c r="HD784" i="93"/>
  <c r="GZ784" i="93"/>
  <c r="GV784" i="93"/>
  <c r="GR784" i="93"/>
  <c r="GN784" i="93"/>
  <c r="GJ784" i="93"/>
  <c r="GF784" i="93"/>
  <c r="GB784" i="93"/>
  <c r="FX784" i="93"/>
  <c r="FT784" i="93"/>
  <c r="FP784" i="93"/>
  <c r="FL784" i="93"/>
  <c r="FH784" i="93"/>
  <c r="FD784" i="93"/>
  <c r="EZ784" i="93"/>
  <c r="EH784" i="93"/>
  <c r="DA784" i="93"/>
  <c r="CW784" i="93"/>
  <c r="CP784" i="93"/>
  <c r="BV784" i="93"/>
  <c r="JN784" i="93"/>
  <c r="JJ784" i="93"/>
  <c r="JF784" i="93"/>
  <c r="IZ784" i="93"/>
  <c r="IA784" i="93"/>
  <c r="HW784" i="93"/>
  <c r="HS784" i="93"/>
  <c r="HO784" i="93"/>
  <c r="HK784" i="93"/>
  <c r="HG784" i="93"/>
  <c r="HC784" i="93"/>
  <c r="GY784" i="93"/>
  <c r="GU784" i="93"/>
  <c r="GQ784" i="93"/>
  <c r="GM784" i="93"/>
  <c r="GI784" i="93"/>
  <c r="GE784" i="93"/>
  <c r="GA784" i="93"/>
  <c r="FW784" i="93"/>
  <c r="FS784" i="93"/>
  <c r="FO784" i="93"/>
  <c r="FK784" i="93"/>
  <c r="FG784" i="93"/>
  <c r="FC784" i="93"/>
  <c r="EY784" i="93"/>
  <c r="DM784" i="93"/>
  <c r="CZ784" i="93"/>
  <c r="CV784" i="93"/>
  <c r="BY784" i="93"/>
  <c r="BU784" i="93"/>
  <c r="JQ784" i="93"/>
  <c r="JM784" i="93"/>
  <c r="JI784" i="93"/>
  <c r="JE784" i="93"/>
  <c r="ID784" i="93"/>
  <c r="HZ784" i="93"/>
  <c r="HV784" i="93"/>
  <c r="HR784" i="93"/>
  <c r="HN784" i="93"/>
  <c r="HJ784" i="93"/>
  <c r="HF784" i="93"/>
  <c r="HB784" i="93"/>
  <c r="GX784" i="93"/>
  <c r="GT784" i="93"/>
  <c r="GP784" i="93"/>
  <c r="GL784" i="93"/>
  <c r="GH784" i="93"/>
  <c r="GD784" i="93"/>
  <c r="FZ784" i="93"/>
  <c r="FV784" i="93"/>
  <c r="FR784" i="93"/>
  <c r="FN784" i="93"/>
  <c r="FJ784" i="93"/>
  <c r="FF784" i="93"/>
  <c r="FB784" i="93"/>
  <c r="EX784" i="93"/>
  <c r="DC784" i="93"/>
  <c r="CY784" i="93"/>
  <c r="CU784" i="93"/>
  <c r="BX784" i="93"/>
  <c r="BA784" i="93"/>
  <c r="JP784" i="93"/>
  <c r="IC784" i="93"/>
  <c r="HM784" i="93"/>
  <c r="GW784" i="93"/>
  <c r="GG784" i="93"/>
  <c r="FQ784" i="93"/>
  <c r="FA784" i="93"/>
  <c r="CT784" i="93"/>
  <c r="HN797" i="93"/>
  <c r="CH797" i="93"/>
  <c r="JP785" i="93"/>
  <c r="JL785" i="93"/>
  <c r="CU781" i="93"/>
  <c r="BR781" i="93"/>
  <c r="BJ781" i="93"/>
  <c r="BB781" i="93"/>
  <c r="AT781" i="93"/>
  <c r="BQ787" i="93"/>
  <c r="CX787" i="93"/>
  <c r="AU787" i="93"/>
  <c r="IY779" i="93"/>
  <c r="IO779" i="93"/>
  <c r="ID779" i="93"/>
  <c r="IF791" i="93"/>
  <c r="CZ791" i="93"/>
  <c r="CP791" i="93"/>
  <c r="CB791" i="93"/>
  <c r="BW791" i="93"/>
  <c r="BK791" i="93"/>
  <c r="AI791" i="93"/>
  <c r="DC791" i="93"/>
  <c r="CY791" i="93"/>
  <c r="CN791" i="93"/>
  <c r="BZ791" i="93"/>
  <c r="BV791" i="93"/>
  <c r="AV791" i="93"/>
  <c r="AF791" i="93"/>
  <c r="IM791" i="93"/>
  <c r="DB791" i="93"/>
  <c r="CW791" i="93"/>
  <c r="CI791" i="93"/>
  <c r="BY791" i="93"/>
  <c r="BU791" i="93"/>
  <c r="AP791" i="93"/>
  <c r="AA791" i="93"/>
  <c r="BX791" i="93"/>
  <c r="IA781" i="93"/>
  <c r="HW781" i="93"/>
  <c r="HS781" i="93"/>
  <c r="HO781" i="93"/>
  <c r="IB781" i="93"/>
  <c r="HV781" i="93"/>
  <c r="HQ781" i="93"/>
  <c r="HL781" i="93"/>
  <c r="HH781" i="93"/>
  <c r="HD781" i="93"/>
  <c r="GZ781" i="93"/>
  <c r="GV781" i="93"/>
  <c r="GR781" i="93"/>
  <c r="GN781" i="93"/>
  <c r="GJ781" i="93"/>
  <c r="GF781" i="93"/>
  <c r="GB781" i="93"/>
  <c r="FX781" i="93"/>
  <c r="FT781" i="93"/>
  <c r="FP781" i="93"/>
  <c r="FL781" i="93"/>
  <c r="FH781" i="93"/>
  <c r="FD781" i="93"/>
  <c r="EZ781" i="93"/>
  <c r="FW790" i="93"/>
  <c r="FG790" i="93"/>
  <c r="JK791" i="93"/>
  <c r="IT791" i="93"/>
  <c r="EV791" i="93"/>
  <c r="EH791" i="93"/>
  <c r="DS791" i="93"/>
  <c r="DF791" i="93"/>
  <c r="JG791" i="93"/>
  <c r="IN791" i="93"/>
  <c r="ET791" i="93"/>
  <c r="EF791" i="93"/>
  <c r="DR791" i="93"/>
  <c r="JB791" i="93"/>
  <c r="EN791" i="93"/>
  <c r="EA791" i="93"/>
  <c r="DL791" i="93"/>
  <c r="JL791" i="93"/>
  <c r="DK791" i="93"/>
  <c r="JN779" i="93"/>
  <c r="JF779" i="93"/>
  <c r="HZ779" i="93"/>
  <c r="HV779" i="93"/>
  <c r="HR779" i="93"/>
  <c r="HN779" i="93"/>
  <c r="HJ779" i="93"/>
  <c r="HF779" i="93"/>
  <c r="HB779" i="93"/>
  <c r="GX779" i="93"/>
  <c r="GT779" i="93"/>
  <c r="GP779" i="93"/>
  <c r="GL779" i="93"/>
  <c r="GH779" i="93"/>
  <c r="GD779" i="93"/>
  <c r="FZ779" i="93"/>
  <c r="HP782" i="93"/>
  <c r="FO782" i="93"/>
  <c r="IA782" i="93"/>
  <c r="AO782" i="93"/>
  <c r="IB785" i="93"/>
  <c r="HV785" i="93"/>
  <c r="HQ785" i="93"/>
  <c r="HL785" i="93"/>
  <c r="HF785" i="93"/>
  <c r="HA785" i="93"/>
  <c r="GV785" i="93"/>
  <c r="GP785" i="93"/>
  <c r="GK785" i="93"/>
  <c r="GF785" i="93"/>
  <c r="FZ785" i="93"/>
  <c r="FU785" i="93"/>
  <c r="FP785" i="93"/>
  <c r="FJ785" i="93"/>
  <c r="FE785" i="93"/>
  <c r="HZ785" i="93"/>
  <c r="HU785" i="93"/>
  <c r="HP785" i="93"/>
  <c r="HJ785" i="93"/>
  <c r="HE785" i="93"/>
  <c r="GZ785" i="93"/>
  <c r="GT785" i="93"/>
  <c r="GT805" i="93" s="1"/>
  <c r="N844" i="93" s="1"/>
  <c r="GO785" i="93"/>
  <c r="GJ785" i="93"/>
  <c r="GD785" i="93"/>
  <c r="FY785" i="93"/>
  <c r="FT785" i="93"/>
  <c r="FN785" i="93"/>
  <c r="FI785" i="93"/>
  <c r="FD785" i="93"/>
  <c r="HY785" i="93"/>
  <c r="HT785" i="93"/>
  <c r="HN785" i="93"/>
  <c r="HI785" i="93"/>
  <c r="HD785" i="93"/>
  <c r="GX785" i="93"/>
  <c r="GS785" i="93"/>
  <c r="GN785" i="93"/>
  <c r="GH785" i="93"/>
  <c r="GC785" i="93"/>
  <c r="FX785" i="93"/>
  <c r="FR785" i="93"/>
  <c r="FM785" i="93"/>
  <c r="FH785" i="93"/>
  <c r="FB785" i="93"/>
  <c r="HR785" i="93"/>
  <c r="GW785" i="93"/>
  <c r="GB785" i="93"/>
  <c r="FF785" i="93"/>
  <c r="HB789" i="93"/>
  <c r="FV789" i="93"/>
  <c r="HZ789" i="93"/>
  <c r="GT789" i="93"/>
  <c r="FN789" i="93"/>
  <c r="HR789" i="93"/>
  <c r="GL789" i="93"/>
  <c r="FF789" i="93"/>
  <c r="ET797" i="93"/>
  <c r="F114" i="74"/>
  <c r="G86" i="74"/>
  <c r="G56" i="74"/>
  <c r="D86" i="74"/>
  <c r="C56" i="74"/>
  <c r="F35" i="78"/>
  <c r="O1743" i="93"/>
  <c r="C11" i="86"/>
  <c r="D32" i="86"/>
  <c r="F31" i="86"/>
  <c r="H51" i="86"/>
  <c r="D51" i="86"/>
  <c r="U452" i="93"/>
  <c r="W781" i="93"/>
  <c r="AC781" i="93"/>
  <c r="AH781" i="93"/>
  <c r="AM781" i="93"/>
  <c r="AU781" i="93"/>
  <c r="BF781" i="93"/>
  <c r="BO781" i="93"/>
  <c r="CB781" i="93"/>
  <c r="CG781" i="93"/>
  <c r="CL781" i="93"/>
  <c r="CR781" i="93"/>
  <c r="DJ781" i="93"/>
  <c r="DR781" i="93"/>
  <c r="DX781" i="93"/>
  <c r="EE781" i="93"/>
  <c r="EM781" i="93"/>
  <c r="ET781" i="93"/>
  <c r="GE781" i="93"/>
  <c r="GK781" i="93"/>
  <c r="GP781" i="93"/>
  <c r="GU781" i="93"/>
  <c r="HA781" i="93"/>
  <c r="HF781" i="93"/>
  <c r="HK781" i="93"/>
  <c r="HR781" i="93"/>
  <c r="HY781" i="93"/>
  <c r="IF781" i="93"/>
  <c r="IN781" i="93"/>
  <c r="IV781" i="93"/>
  <c r="JO781" i="93"/>
  <c r="DB784" i="93"/>
  <c r="FM784" i="93"/>
  <c r="GK784" i="93"/>
  <c r="HE784" i="93"/>
  <c r="HY784" i="93"/>
  <c r="FQ785" i="93"/>
  <c r="GR785" i="93"/>
  <c r="HX785" i="93"/>
  <c r="CP787" i="93"/>
  <c r="GD789" i="93"/>
  <c r="Z791" i="93"/>
  <c r="CV791" i="93"/>
  <c r="IV791" i="93"/>
  <c r="FZ793" i="93"/>
  <c r="M1721" i="93"/>
  <c r="P1721" i="93" s="1"/>
  <c r="AK793" i="93"/>
  <c r="JH791" i="93"/>
  <c r="IR793" i="93"/>
  <c r="JC792" i="93"/>
  <c r="DA768" i="93"/>
  <c r="GS786" i="93"/>
  <c r="IL789" i="93"/>
  <c r="HV789" i="93"/>
  <c r="FH797" i="93"/>
  <c r="BW800" i="93"/>
  <c r="FD803" i="93"/>
  <c r="N885" i="93"/>
  <c r="K885" i="93"/>
  <c r="H885" i="93"/>
  <c r="N894" i="93"/>
  <c r="H912" i="93"/>
  <c r="I916" i="93"/>
  <c r="G101" i="90"/>
  <c r="M1718" i="93"/>
  <c r="O1718" i="93" s="1"/>
  <c r="O1669" i="93"/>
  <c r="L1669" i="93" s="1"/>
  <c r="O1665" i="93"/>
  <c r="L115" i="72"/>
  <c r="F1041" i="93"/>
  <c r="F1048" i="93" s="1"/>
  <c r="F92" i="74"/>
  <c r="P132" i="78"/>
  <c r="P149" i="78" s="1"/>
  <c r="P151" i="78" s="1"/>
  <c r="P153" i="78" s="1"/>
  <c r="CQ48" i="75"/>
  <c r="L116" i="75" s="1"/>
  <c r="Z787" i="93"/>
  <c r="BB787" i="93"/>
  <c r="CE787" i="93"/>
  <c r="DB787" i="93"/>
  <c r="DY787" i="93"/>
  <c r="EX787" i="93"/>
  <c r="FR787" i="93"/>
  <c r="GK787" i="93"/>
  <c r="HF787" i="93"/>
  <c r="IE787" i="93"/>
  <c r="JB787" i="93"/>
  <c r="W789" i="93"/>
  <c r="AM789" i="93"/>
  <c r="BS789" i="93"/>
  <c r="CI789" i="93"/>
  <c r="CY789" i="93"/>
  <c r="EA789" i="93"/>
  <c r="FB789" i="93"/>
  <c r="FR789" i="93"/>
  <c r="GH789" i="93"/>
  <c r="GX789" i="93"/>
  <c r="HN789" i="93"/>
  <c r="ID789" i="93"/>
  <c r="JB789" i="93"/>
  <c r="FY792" i="93"/>
  <c r="AF793" i="93"/>
  <c r="BV793" i="93"/>
  <c r="DV793" i="93"/>
  <c r="FT793" i="93"/>
  <c r="HK793" i="93"/>
  <c r="BY795" i="93"/>
  <c r="CZ800" i="93"/>
  <c r="G26" i="74"/>
  <c r="F25" i="74"/>
  <c r="I55" i="74"/>
  <c r="K85" i="74"/>
  <c r="E113" i="74"/>
  <c r="L1763" i="93"/>
  <c r="K1656" i="93"/>
  <c r="Q1667" i="93"/>
  <c r="G1158" i="93"/>
  <c r="P182" i="93"/>
  <c r="A546" i="93"/>
  <c r="AK787" i="93"/>
  <c r="BX787" i="93"/>
  <c r="CQ787" i="93"/>
  <c r="DJ787" i="93"/>
  <c r="EP787" i="93"/>
  <c r="FE787" i="93"/>
  <c r="FZ787" i="93"/>
  <c r="GX787" i="93"/>
  <c r="HQ787" i="93"/>
  <c r="IP787" i="93"/>
  <c r="AE789" i="93"/>
  <c r="CA789" i="93"/>
  <c r="CQ789" i="93"/>
  <c r="DK789" i="93"/>
  <c r="EQ789" i="93"/>
  <c r="FJ789" i="93"/>
  <c r="FZ789" i="93"/>
  <c r="GP789" i="93"/>
  <c r="HF789" i="93"/>
  <c r="EW792" i="93"/>
  <c r="HS792" i="93"/>
  <c r="BA793" i="93"/>
  <c r="CR793" i="93"/>
  <c r="FC793" i="93"/>
  <c r="GP793" i="93"/>
  <c r="K889" i="93"/>
  <c r="G903" i="93"/>
  <c r="K903" i="93"/>
  <c r="O903" i="93"/>
  <c r="K25" i="74"/>
  <c r="E55" i="74"/>
  <c r="B85" i="74"/>
  <c r="FC792" i="93"/>
  <c r="BF793" i="93"/>
  <c r="CW793" i="93"/>
  <c r="FG793" i="93"/>
  <c r="GU793" i="93"/>
  <c r="CW799" i="93"/>
  <c r="P885" i="93"/>
  <c r="K26" i="74"/>
  <c r="J25" i="74"/>
  <c r="F55" i="74"/>
  <c r="J56" i="74"/>
  <c r="K86" i="74"/>
  <c r="L1397" i="93"/>
  <c r="L303" i="73"/>
  <c r="P294" i="72"/>
  <c r="P1848" i="93" s="1"/>
  <c r="K40" i="66"/>
  <c r="C29" i="84"/>
  <c r="K33" i="84" s="1"/>
  <c r="IH793" i="93"/>
  <c r="IF793" i="93"/>
  <c r="ID793" i="93"/>
  <c r="IX793" i="93"/>
  <c r="IN793" i="93"/>
  <c r="IC793" i="93"/>
  <c r="HY793" i="93"/>
  <c r="HU793" i="93"/>
  <c r="HQ793" i="93"/>
  <c r="HM793" i="93"/>
  <c r="HI793" i="93"/>
  <c r="HE793" i="93"/>
  <c r="HA793" i="93"/>
  <c r="GW793" i="93"/>
  <c r="GS793" i="93"/>
  <c r="GO793" i="93"/>
  <c r="GK793" i="93"/>
  <c r="GG793" i="93"/>
  <c r="GC793" i="93"/>
  <c r="FY793" i="93"/>
  <c r="FU793" i="93"/>
  <c r="FQ793" i="93"/>
  <c r="JB793" i="93"/>
  <c r="IL793" i="93"/>
  <c r="HZ793" i="93"/>
  <c r="HT793" i="93"/>
  <c r="HO793" i="93"/>
  <c r="HJ793" i="93"/>
  <c r="HD793" i="93"/>
  <c r="GY793" i="93"/>
  <c r="GT793" i="93"/>
  <c r="GN793" i="93"/>
  <c r="GI793" i="93"/>
  <c r="GD793" i="93"/>
  <c r="FX793" i="93"/>
  <c r="FS793" i="93"/>
  <c r="FN793" i="93"/>
  <c r="FJ793" i="93"/>
  <c r="FF793" i="93"/>
  <c r="FB793" i="93"/>
  <c r="EX793" i="93"/>
  <c r="EP793" i="93"/>
  <c r="EF793" i="93"/>
  <c r="DU793" i="93"/>
  <c r="DJ793" i="93"/>
  <c r="DA793" i="93"/>
  <c r="CV793" i="93"/>
  <c r="CP793" i="93"/>
  <c r="CK793" i="93"/>
  <c r="CF793" i="93"/>
  <c r="BZ793" i="93"/>
  <c r="BU793" i="93"/>
  <c r="BP793" i="93"/>
  <c r="BJ793" i="93"/>
  <c r="BE793" i="93"/>
  <c r="AZ793" i="93"/>
  <c r="AT793" i="93"/>
  <c r="AO793" i="93"/>
  <c r="AJ793" i="93"/>
  <c r="AE793" i="93"/>
  <c r="AA793" i="93"/>
  <c r="W793" i="93"/>
  <c r="IW793" i="93"/>
  <c r="IK793" i="93"/>
  <c r="HX793" i="93"/>
  <c r="HS793" i="93"/>
  <c r="HN793" i="93"/>
  <c r="HH793" i="93"/>
  <c r="HC793" i="93"/>
  <c r="GX793" i="93"/>
  <c r="GR793" i="93"/>
  <c r="GM793" i="93"/>
  <c r="GH793" i="93"/>
  <c r="GB793" i="93"/>
  <c r="FW793" i="93"/>
  <c r="FR793" i="93"/>
  <c r="FM793" i="93"/>
  <c r="FI793" i="93"/>
  <c r="FE793" i="93"/>
  <c r="FA793" i="93"/>
  <c r="EW793" i="93"/>
  <c r="EL793" i="93"/>
  <c r="EB793" i="93"/>
  <c r="DQ793" i="93"/>
  <c r="DF793" i="93"/>
  <c r="CZ793" i="93"/>
  <c r="CT793" i="93"/>
  <c r="CO793" i="93"/>
  <c r="CJ793" i="93"/>
  <c r="CD793" i="93"/>
  <c r="BY793" i="93"/>
  <c r="BT793" i="93"/>
  <c r="BN793" i="93"/>
  <c r="BI793" i="93"/>
  <c r="BD793" i="93"/>
  <c r="AX793" i="93"/>
  <c r="AS793" i="93"/>
  <c r="AN793" i="93"/>
  <c r="AH793" i="93"/>
  <c r="AD793" i="93"/>
  <c r="Z793" i="93"/>
  <c r="IJ793" i="93"/>
  <c r="HW793" i="93"/>
  <c r="HL793" i="93"/>
  <c r="HB793" i="93"/>
  <c r="GQ793" i="93"/>
  <c r="GF793" i="93"/>
  <c r="FV793" i="93"/>
  <c r="FL793" i="93"/>
  <c r="FD793" i="93"/>
  <c r="EV793" i="93"/>
  <c r="DZ793" i="93"/>
  <c r="DE793" i="93"/>
  <c r="CS793" i="93"/>
  <c r="CH793" i="93"/>
  <c r="BX793" i="93"/>
  <c r="BM793" i="93"/>
  <c r="BB793" i="93"/>
  <c r="AR793" i="93"/>
  <c r="AG793" i="93"/>
  <c r="Y793" i="93"/>
  <c r="IS793" i="93"/>
  <c r="IB793" i="93"/>
  <c r="HR793" i="93"/>
  <c r="HG793" i="93"/>
  <c r="GV793" i="93"/>
  <c r="GL793" i="93"/>
  <c r="GA793" i="93"/>
  <c r="FP793" i="93"/>
  <c r="FH793" i="93"/>
  <c r="EZ793" i="93"/>
  <c r="EK793" i="93"/>
  <c r="DP793" i="93"/>
  <c r="CX793" i="93"/>
  <c r="CN793" i="93"/>
  <c r="CC793" i="93"/>
  <c r="BR793" i="93"/>
  <c r="BH793" i="93"/>
  <c r="AW793" i="93"/>
  <c r="AL793" i="93"/>
  <c r="AC793" i="93"/>
  <c r="JO788" i="93"/>
  <c r="JK788" i="93"/>
  <c r="JG788" i="93"/>
  <c r="JC788" i="93"/>
  <c r="JQ788" i="93"/>
  <c r="JM788" i="93"/>
  <c r="JI788" i="93"/>
  <c r="JE788" i="93"/>
  <c r="JI787" i="93"/>
  <c r="IQ787" i="93"/>
  <c r="HY787" i="93"/>
  <c r="HI787" i="93"/>
  <c r="GS787" i="93"/>
  <c r="GC787" i="93"/>
  <c r="FM787" i="93"/>
  <c r="EY787" i="93"/>
  <c r="EI787" i="93"/>
  <c r="DN787" i="93"/>
  <c r="CY787" i="93"/>
  <c r="CG787" i="93"/>
  <c r="BU787" i="93"/>
  <c r="AL787" i="93"/>
  <c r="CT789" i="93"/>
  <c r="BN789" i="93"/>
  <c r="BF789" i="93"/>
  <c r="AX789" i="93"/>
  <c r="CX789" i="93"/>
  <c r="BR789" i="93"/>
  <c r="BJ789" i="93"/>
  <c r="BB789" i="93"/>
  <c r="AT789" i="93"/>
  <c r="HO792" i="93"/>
  <c r="GY792" i="93"/>
  <c r="GM792" i="93"/>
  <c r="JN792" i="93"/>
  <c r="HZ792" i="93"/>
  <c r="HJ792" i="93"/>
  <c r="GX792" i="93"/>
  <c r="HU792" i="93"/>
  <c r="GT792" i="93"/>
  <c r="GC792" i="93"/>
  <c r="FN792" i="93"/>
  <c r="EX792" i="93"/>
  <c r="JM792" i="93"/>
  <c r="HI792" i="93"/>
  <c r="GI792" i="93"/>
  <c r="FS792" i="93"/>
  <c r="FG792" i="93"/>
  <c r="CW792" i="93"/>
  <c r="IU795" i="93"/>
  <c r="HZ795" i="93"/>
  <c r="EE795" i="93"/>
  <c r="DC795" i="93"/>
  <c r="CY795" i="93"/>
  <c r="CK795" i="93"/>
  <c r="BX795" i="93"/>
  <c r="BS795" i="93"/>
  <c r="AI795" i="93"/>
  <c r="IE795" i="93"/>
  <c r="DX795" i="93"/>
  <c r="DA795" i="93"/>
  <c r="CQ795" i="93"/>
  <c r="BW795" i="93"/>
  <c r="AY795" i="93"/>
  <c r="EZ795" i="93"/>
  <c r="DP795" i="93"/>
  <c r="CZ795" i="93"/>
  <c r="CI795" i="93"/>
  <c r="BV795" i="93"/>
  <c r="AQ795" i="93"/>
  <c r="IR795" i="93"/>
  <c r="DK795" i="93"/>
  <c r="CB795" i="93"/>
  <c r="AC795" i="93"/>
  <c r="EN795" i="93"/>
  <c r="CW795" i="93"/>
  <c r="BU795" i="93"/>
  <c r="BC797" i="93"/>
  <c r="CT797" i="93"/>
  <c r="IG789" i="93"/>
  <c r="DB789" i="93"/>
  <c r="CL789" i="93"/>
  <c r="CD789" i="93"/>
  <c r="BV789" i="93"/>
  <c r="AP789" i="93"/>
  <c r="AH789" i="93"/>
  <c r="Z789" i="93"/>
  <c r="IK789" i="93"/>
  <c r="CP789" i="93"/>
  <c r="CH789" i="93"/>
  <c r="BZ789" i="93"/>
  <c r="AL789" i="93"/>
  <c r="AD789" i="93"/>
  <c r="CZ796" i="93"/>
  <c r="BW796" i="93"/>
  <c r="JH785" i="93"/>
  <c r="IA785" i="93"/>
  <c r="HW785" i="93"/>
  <c r="HS785" i="93"/>
  <c r="HO785" i="93"/>
  <c r="HK785" i="93"/>
  <c r="HG785" i="93"/>
  <c r="HC785" i="93"/>
  <c r="GY785" i="93"/>
  <c r="GU785" i="93"/>
  <c r="GQ785" i="93"/>
  <c r="GM785" i="93"/>
  <c r="GI785" i="93"/>
  <c r="GE785" i="93"/>
  <c r="GA785" i="93"/>
  <c r="FW785" i="93"/>
  <c r="FS785" i="93"/>
  <c r="FO785" i="93"/>
  <c r="FK785" i="93"/>
  <c r="FG785" i="93"/>
  <c r="FC785" i="93"/>
  <c r="EY785" i="93"/>
  <c r="HY789" i="93"/>
  <c r="HQ789" i="93"/>
  <c r="HI789" i="93"/>
  <c r="HA789" i="93"/>
  <c r="GS789" i="93"/>
  <c r="GK789" i="93"/>
  <c r="GC789" i="93"/>
  <c r="FU789" i="93"/>
  <c r="FM789" i="93"/>
  <c r="FE789" i="93"/>
  <c r="EW789" i="93"/>
  <c r="IC789" i="93"/>
  <c r="HU789" i="93"/>
  <c r="HM789" i="93"/>
  <c r="HE789" i="93"/>
  <c r="GW789" i="93"/>
  <c r="GO789" i="93"/>
  <c r="GG789" i="93"/>
  <c r="FY789" i="93"/>
  <c r="FQ789" i="93"/>
  <c r="FI789" i="93"/>
  <c r="FA789" i="93"/>
  <c r="HO797" i="93"/>
  <c r="GH797" i="93"/>
  <c r="EX797" i="93"/>
  <c r="GY797" i="93"/>
  <c r="FL797" i="93"/>
  <c r="HR800" i="93"/>
  <c r="GL800" i="93"/>
  <c r="FI800" i="93"/>
  <c r="DA800" i="93"/>
  <c r="BY800" i="93"/>
  <c r="BU800" i="93"/>
  <c r="HU800" i="93"/>
  <c r="GD800" i="93"/>
  <c r="DC800" i="93"/>
  <c r="CX800" i="93"/>
  <c r="AM800" i="93"/>
  <c r="HF800" i="93"/>
  <c r="FZ800" i="93"/>
  <c r="DB800" i="93"/>
  <c r="BX800" i="93"/>
  <c r="IE800" i="93"/>
  <c r="FF800" i="93"/>
  <c r="BV800" i="93"/>
  <c r="GW800" i="93"/>
  <c r="CY800" i="93"/>
  <c r="IN785" i="93"/>
  <c r="ES785" i="93"/>
  <c r="EC785" i="93"/>
  <c r="DM785" i="93"/>
  <c r="IQ789" i="93"/>
  <c r="EH789" i="93"/>
  <c r="DR789" i="93"/>
  <c r="IY789" i="93"/>
  <c r="EP789" i="93"/>
  <c r="DZ789" i="93"/>
  <c r="DJ789" i="93"/>
  <c r="HZ788" i="93"/>
  <c r="HV788" i="93"/>
  <c r="HR788" i="93"/>
  <c r="HN788" i="93"/>
  <c r="HJ788" i="93"/>
  <c r="HF788" i="93"/>
  <c r="HB788" i="93"/>
  <c r="GX788" i="93"/>
  <c r="GT788" i="93"/>
  <c r="GP788" i="93"/>
  <c r="IB788" i="93"/>
  <c r="HX788" i="93"/>
  <c r="HT788" i="93"/>
  <c r="HP788" i="93"/>
  <c r="HL788" i="93"/>
  <c r="HH788" i="93"/>
  <c r="HD788" i="93"/>
  <c r="GZ788" i="93"/>
  <c r="GV788" i="93"/>
  <c r="GR788" i="93"/>
  <c r="GN788" i="93"/>
  <c r="GJ788" i="93"/>
  <c r="GF788" i="93"/>
  <c r="GB788" i="93"/>
  <c r="FX788" i="93"/>
  <c r="FT788" i="93"/>
  <c r="FP788" i="93"/>
  <c r="FL788" i="93"/>
  <c r="FH788" i="93"/>
  <c r="FD788" i="93"/>
  <c r="HV796" i="93"/>
  <c r="HC796" i="93"/>
  <c r="GH796" i="93"/>
  <c r="FJ796" i="93"/>
  <c r="HS796" i="93"/>
  <c r="GX796" i="93"/>
  <c r="FZ796" i="93"/>
  <c r="FG796" i="93"/>
  <c r="HN796" i="93"/>
  <c r="FW796" i="93"/>
  <c r="GP796" i="93"/>
  <c r="FB796" i="93"/>
  <c r="E5" i="89"/>
  <c r="C34" i="84"/>
  <c r="JD788" i="93"/>
  <c r="JL788" i="93"/>
  <c r="AQ789" i="93"/>
  <c r="BG789" i="93"/>
  <c r="FI792" i="93"/>
  <c r="GO792" i="93"/>
  <c r="X793" i="93"/>
  <c r="AP793" i="93"/>
  <c r="BL793" i="93"/>
  <c r="CG793" i="93"/>
  <c r="DB793" i="93"/>
  <c r="ER793" i="93"/>
  <c r="FK793" i="93"/>
  <c r="GE793" i="93"/>
  <c r="GZ793" i="93"/>
  <c r="HV793" i="93"/>
  <c r="AB795" i="93"/>
  <c r="DB795" i="93"/>
  <c r="AS797" i="93"/>
  <c r="FX797" i="93"/>
  <c r="FQ800" i="93"/>
  <c r="M287" i="72"/>
  <c r="D56" i="86"/>
  <c r="K36" i="88"/>
  <c r="D39" i="88" s="1"/>
  <c r="U451" i="93"/>
  <c r="G513" i="93"/>
  <c r="A499" i="93"/>
  <c r="F504" i="93"/>
  <c r="A540" i="93"/>
  <c r="S541" i="93"/>
  <c r="J562" i="93"/>
  <c r="J730" i="93"/>
  <c r="J746" i="93"/>
  <c r="JF788" i="93"/>
  <c r="JN788" i="93"/>
  <c r="AU789" i="93"/>
  <c r="BK789" i="93"/>
  <c r="CA792" i="93"/>
  <c r="FR792" i="93"/>
  <c r="HE792" i="93"/>
  <c r="AB793" i="93"/>
  <c r="AV793" i="93"/>
  <c r="BQ793" i="93"/>
  <c r="CL793" i="93"/>
  <c r="DL793" i="93"/>
  <c r="EY793" i="93"/>
  <c r="FO793" i="93"/>
  <c r="GJ793" i="93"/>
  <c r="HF793" i="93"/>
  <c r="IA793" i="93"/>
  <c r="BD795" i="93"/>
  <c r="EK795" i="93"/>
  <c r="GT797" i="93"/>
  <c r="GX800" i="93"/>
  <c r="I15" i="75"/>
  <c r="I16" i="75"/>
  <c r="I17" i="75"/>
  <c r="AB797" i="93"/>
  <c r="F113" i="74"/>
  <c r="G85" i="74"/>
  <c r="C85" i="74"/>
  <c r="J55" i="74"/>
  <c r="C55" i="74"/>
  <c r="E25" i="74"/>
  <c r="I25" i="74"/>
  <c r="B25" i="74"/>
  <c r="J85" i="74"/>
  <c r="E85" i="74"/>
  <c r="H55" i="74"/>
  <c r="D55" i="74"/>
  <c r="G25" i="74"/>
  <c r="I85" i="74"/>
  <c r="D85" i="74"/>
  <c r="G55" i="74"/>
  <c r="B55" i="74"/>
  <c r="C25" i="74"/>
  <c r="H25" i="74"/>
  <c r="ID792" i="93"/>
  <c r="HS797" i="93"/>
  <c r="IV797" i="93"/>
  <c r="HT797" i="93"/>
  <c r="HD797" i="93"/>
  <c r="GR797" i="93"/>
  <c r="GD797" i="93"/>
  <c r="FN797" i="93"/>
  <c r="FB797" i="93"/>
  <c r="EE797" i="93"/>
  <c r="CI797" i="93"/>
  <c r="BL797" i="93"/>
  <c r="AK797" i="93"/>
  <c r="HZ797" i="93"/>
  <c r="HJ797" i="93"/>
  <c r="GN797" i="93"/>
  <c r="FW797" i="93"/>
  <c r="FC797" i="93"/>
  <c r="DJ797" i="93"/>
  <c r="BX797" i="93"/>
  <c r="AR797" i="93"/>
  <c r="HX797" i="93"/>
  <c r="HC797" i="93"/>
  <c r="GI797" i="93"/>
  <c r="FS797" i="93"/>
  <c r="EZ797" i="93"/>
  <c r="DC797" i="93"/>
  <c r="BN797" i="93"/>
  <c r="AC797" i="93"/>
  <c r="JO793" i="93"/>
  <c r="DT803" i="93"/>
  <c r="I10" i="75"/>
  <c r="I11" i="75"/>
  <c r="K55" i="74"/>
  <c r="H85" i="74"/>
  <c r="CU779" i="93"/>
  <c r="IA796" i="93"/>
  <c r="HK796" i="93"/>
  <c r="GU796" i="93"/>
  <c r="GE796" i="93"/>
  <c r="FO796" i="93"/>
  <c r="EY796" i="93"/>
  <c r="HX801" i="93"/>
  <c r="AD801" i="93"/>
  <c r="M885" i="93"/>
  <c r="G24" i="74"/>
  <c r="B54" i="74"/>
  <c r="G54" i="74"/>
  <c r="C84" i="74"/>
  <c r="I13" i="75"/>
  <c r="I18" i="75"/>
  <c r="F112" i="74"/>
  <c r="I84" i="74"/>
  <c r="E84" i="74"/>
  <c r="I54" i="74"/>
  <c r="E54" i="74"/>
  <c r="F24" i="74"/>
  <c r="J24" i="74"/>
  <c r="L1691" i="93"/>
  <c r="EA799" i="93"/>
  <c r="JA795" i="93"/>
  <c r="I889" i="93"/>
  <c r="L1673" i="93"/>
  <c r="L1762" i="93"/>
  <c r="K1732" i="93"/>
  <c r="M1935" i="93"/>
  <c r="BB791" i="93"/>
  <c r="CT796" i="93"/>
  <c r="J885" i="93"/>
  <c r="G889" i="93"/>
  <c r="C112" i="74"/>
  <c r="N1477" i="93"/>
  <c r="Q1656" i="93"/>
  <c r="H1" i="91"/>
  <c r="B1" i="87"/>
  <c r="M469" i="93"/>
  <c r="P500" i="93"/>
  <c r="M513" i="93"/>
  <c r="S513" i="93"/>
  <c r="J519" i="93"/>
  <c r="U565" i="93"/>
  <c r="P582" i="93"/>
  <c r="P586" i="93" s="1"/>
  <c r="E112" i="74"/>
  <c r="P934" i="93"/>
  <c r="Q58" i="73"/>
  <c r="O272" i="72"/>
  <c r="O1826" i="93" s="1"/>
  <c r="A2" i="83"/>
  <c r="E15" i="89"/>
  <c r="U450" i="93"/>
  <c r="DI795" i="93"/>
  <c r="DY795" i="93"/>
  <c r="ES795" i="93"/>
  <c r="IF795" i="93"/>
  <c r="AJ797" i="93"/>
  <c r="BB797" i="93"/>
  <c r="BW797" i="93"/>
  <c r="CR797" i="93"/>
  <c r="DX797" i="93"/>
  <c r="EY797" i="93"/>
  <c r="FG797" i="93"/>
  <c r="FR797" i="93"/>
  <c r="GB797" i="93"/>
  <c r="GM797" i="93"/>
  <c r="GX797" i="93"/>
  <c r="HH797" i="93"/>
  <c r="IX797" i="93"/>
  <c r="G885" i="93"/>
  <c r="I894" i="93"/>
  <c r="L1859" i="93"/>
  <c r="M1722" i="93"/>
  <c r="P1722" i="93" s="1"/>
  <c r="L57" i="73"/>
  <c r="A2" i="84"/>
  <c r="F12" i="85"/>
  <c r="K746" i="93"/>
  <c r="EF802" i="93"/>
  <c r="JI795" i="93"/>
  <c r="JI792" i="93"/>
  <c r="DZ800" i="93"/>
  <c r="HK770" i="93"/>
  <c r="HY786" i="93"/>
  <c r="HS790" i="93"/>
  <c r="H903" i="93"/>
  <c r="L903" i="93"/>
  <c r="M907" i="93"/>
  <c r="J916" i="93"/>
  <c r="G562" i="93"/>
  <c r="E60" i="84"/>
  <c r="I60" i="84"/>
  <c r="K60" i="84"/>
  <c r="G60" i="84"/>
  <c r="E30" i="72"/>
  <c r="E1584" i="93" s="1"/>
  <c r="E56" i="86"/>
  <c r="GD795" i="93"/>
  <c r="BW799" i="93"/>
  <c r="IX799" i="93"/>
  <c r="FO801" i="93"/>
  <c r="D28" i="74"/>
  <c r="D984" i="93" s="1"/>
  <c r="O1900" i="93"/>
  <c r="V568" i="93"/>
  <c r="F471" i="93"/>
  <c r="F470" i="93" s="1"/>
  <c r="A452" i="93"/>
  <c r="P474" i="93"/>
  <c r="S474" i="93"/>
  <c r="A498" i="93"/>
  <c r="U499" i="93"/>
  <c r="G527" i="93"/>
  <c r="U526" i="93"/>
  <c r="G547" i="93"/>
  <c r="S547" i="93"/>
  <c r="P562" i="93"/>
  <c r="L746" i="93"/>
  <c r="JC800" i="93"/>
  <c r="G49" i="73"/>
  <c r="Q55" i="73"/>
  <c r="EX48" i="75"/>
  <c r="FR48" i="75"/>
  <c r="K102" i="75" s="1"/>
  <c r="GL48" i="75"/>
  <c r="K98" i="75" s="1"/>
  <c r="HF48" i="75"/>
  <c r="K90" i="75" s="1"/>
  <c r="JN48" i="75"/>
  <c r="EZ48" i="75"/>
  <c r="HD48" i="75"/>
  <c r="N89" i="75" s="1"/>
  <c r="J378" i="73"/>
  <c r="E35" i="72"/>
  <c r="E1589" i="93" s="1"/>
  <c r="A450" i="93"/>
  <c r="F552" i="93"/>
  <c r="G459" i="93"/>
  <c r="G463" i="93"/>
  <c r="I746" i="93"/>
  <c r="M746" i="93"/>
  <c r="CX799" i="93"/>
  <c r="JJ799" i="93"/>
  <c r="IN799" i="93"/>
  <c r="HN799" i="93"/>
  <c r="GH799" i="93"/>
  <c r="FB799" i="93"/>
  <c r="EQ799" i="93"/>
  <c r="DW799" i="93"/>
  <c r="DF799" i="93"/>
  <c r="CZ799" i="93"/>
  <c r="JK799" i="93"/>
  <c r="GX799" i="93"/>
  <c r="FE799" i="93"/>
  <c r="EI799" i="93"/>
  <c r="DN799" i="93"/>
  <c r="DA799" i="93"/>
  <c r="CR799" i="93"/>
  <c r="BY799" i="93"/>
  <c r="BU799" i="93"/>
  <c r="AJ799" i="93"/>
  <c r="IY799" i="93"/>
  <c r="GK799" i="93"/>
  <c r="EY799" i="93"/>
  <c r="EH799" i="93"/>
  <c r="DG799" i="93"/>
  <c r="CY799" i="93"/>
  <c r="CP799" i="93"/>
  <c r="BX799" i="93"/>
  <c r="BT799" i="93"/>
  <c r="AI799" i="93"/>
  <c r="IQ799" i="93"/>
  <c r="FR799" i="93"/>
  <c r="DP799" i="93"/>
  <c r="CV799" i="93"/>
  <c r="BV799" i="93"/>
  <c r="X799" i="93"/>
  <c r="HQ799" i="93"/>
  <c r="EX799" i="93"/>
  <c r="DC799" i="93"/>
  <c r="CI799" i="93"/>
  <c r="BD799" i="93"/>
  <c r="HA799" i="93"/>
  <c r="ER799" i="93"/>
  <c r="DB799" i="93"/>
  <c r="CE799" i="93"/>
  <c r="AZ799" i="93"/>
  <c r="IZ785" i="93"/>
  <c r="IR785" i="93"/>
  <c r="IL785" i="93"/>
  <c r="IH785" i="93"/>
  <c r="ID785" i="93"/>
  <c r="ER785" i="93"/>
  <c r="EJ785" i="93"/>
  <c r="EB785" i="93"/>
  <c r="DT785" i="93"/>
  <c r="DL785" i="93"/>
  <c r="DD785" i="93"/>
  <c r="CZ785" i="93"/>
  <c r="IW785" i="93"/>
  <c r="IO785" i="93"/>
  <c r="IK785" i="93"/>
  <c r="IG785" i="93"/>
  <c r="EO785" i="93"/>
  <c r="EG785" i="93"/>
  <c r="DY785" i="93"/>
  <c r="DQ785" i="93"/>
  <c r="DI785" i="93"/>
  <c r="DC785" i="93"/>
  <c r="CY785" i="93"/>
  <c r="CU785" i="93"/>
  <c r="CQ785" i="93"/>
  <c r="CM785" i="93"/>
  <c r="CI785" i="93"/>
  <c r="CE785" i="93"/>
  <c r="CA785" i="93"/>
  <c r="BW785" i="93"/>
  <c r="BS785" i="93"/>
  <c r="BO785" i="93"/>
  <c r="BK785" i="93"/>
  <c r="BG785" i="93"/>
  <c r="BC785" i="93"/>
  <c r="AY785" i="93"/>
  <c r="AU785" i="93"/>
  <c r="AQ785" i="93"/>
  <c r="AM785" i="93"/>
  <c r="AI785" i="93"/>
  <c r="AE785" i="93"/>
  <c r="AA785" i="93"/>
  <c r="W785" i="93"/>
  <c r="IL787" i="93"/>
  <c r="DA787" i="93"/>
  <c r="CU787" i="93"/>
  <c r="CL787" i="93"/>
  <c r="CA787" i="93"/>
  <c r="BW787" i="93"/>
  <c r="BM787" i="93"/>
  <c r="AQ787" i="93"/>
  <c r="AG787" i="93"/>
  <c r="A787" i="93"/>
  <c r="IK787" i="93"/>
  <c r="CZ787" i="93"/>
  <c r="CT787" i="93"/>
  <c r="CK787" i="93"/>
  <c r="BZ787" i="93"/>
  <c r="BV787" i="93"/>
  <c r="BF787" i="93"/>
  <c r="AP787" i="93"/>
  <c r="AE787" i="93"/>
  <c r="CV787" i="93"/>
  <c r="DB792" i="93"/>
  <c r="BV792" i="93"/>
  <c r="CX792" i="93"/>
  <c r="BU792" i="93"/>
  <c r="JQ787" i="93"/>
  <c r="JK787" i="93"/>
  <c r="JE787" i="93"/>
  <c r="IC787" i="93"/>
  <c r="HU787" i="93"/>
  <c r="HM787" i="93"/>
  <c r="HE787" i="93"/>
  <c r="GW787" i="93"/>
  <c r="GO787" i="93"/>
  <c r="GG787" i="93"/>
  <c r="FY787" i="93"/>
  <c r="FQ787" i="93"/>
  <c r="FI787" i="93"/>
  <c r="FA787" i="93"/>
  <c r="EW787" i="93"/>
  <c r="JP787" i="93"/>
  <c r="JJ787" i="93"/>
  <c r="JD787" i="93"/>
  <c r="HZ787" i="93"/>
  <c r="HR787" i="93"/>
  <c r="HJ787" i="93"/>
  <c r="HB787" i="93"/>
  <c r="GT787" i="93"/>
  <c r="GL787" i="93"/>
  <c r="GD787" i="93"/>
  <c r="FV787" i="93"/>
  <c r="FN787" i="93"/>
  <c r="FF787" i="93"/>
  <c r="EZ787" i="93"/>
  <c r="JJ791" i="93"/>
  <c r="HY791" i="93"/>
  <c r="HI791" i="93"/>
  <c r="GV791" i="93"/>
  <c r="GN791" i="93"/>
  <c r="GF791" i="93"/>
  <c r="FX791" i="93"/>
  <c r="FP791" i="93"/>
  <c r="FH791" i="93"/>
  <c r="EZ791" i="93"/>
  <c r="JI791" i="93"/>
  <c r="HT791" i="93"/>
  <c r="HD791" i="93"/>
  <c r="GS791" i="93"/>
  <c r="GK791" i="93"/>
  <c r="GC791" i="93"/>
  <c r="FU791" i="93"/>
  <c r="FM791" i="93"/>
  <c r="FE791" i="93"/>
  <c r="EY791" i="93"/>
  <c r="JL795" i="93"/>
  <c r="HY795" i="93"/>
  <c r="GS795" i="93"/>
  <c r="FM795" i="93"/>
  <c r="JH795" i="93"/>
  <c r="HJ795" i="93"/>
  <c r="GC795" i="93"/>
  <c r="EW795" i="93"/>
  <c r="HI795" i="93"/>
  <c r="FN795" i="93"/>
  <c r="JO795" i="93"/>
  <c r="GT795" i="93"/>
  <c r="FA795" i="93"/>
  <c r="HP801" i="93"/>
  <c r="GQ801" i="93"/>
  <c r="FY801" i="93"/>
  <c r="FD801" i="93"/>
  <c r="DX801" i="93"/>
  <c r="CL801" i="93"/>
  <c r="BR801" i="93"/>
  <c r="AU801" i="93"/>
  <c r="Z801" i="93"/>
  <c r="HA801" i="93"/>
  <c r="GE801" i="93"/>
  <c r="EZ801" i="93"/>
  <c r="CX801" i="93"/>
  <c r="BS801" i="93"/>
  <c r="AM801" i="93"/>
  <c r="GU801" i="93"/>
  <c r="FT801" i="93"/>
  <c r="EY801" i="93"/>
  <c r="CP801" i="93"/>
  <c r="BJ801" i="93"/>
  <c r="AL801" i="93"/>
  <c r="HK801" i="93"/>
  <c r="FK801" i="93"/>
  <c r="CA801" i="93"/>
  <c r="GO801" i="93"/>
  <c r="EC801" i="93"/>
  <c r="BF801" i="93"/>
  <c r="GF801" i="93"/>
  <c r="CY801" i="93"/>
  <c r="AX801" i="93"/>
  <c r="HA804" i="93"/>
  <c r="FE804" i="93"/>
  <c r="CX804" i="93"/>
  <c r="GV804" i="93"/>
  <c r="DC804" i="93"/>
  <c r="BT804" i="93"/>
  <c r="GC804" i="93"/>
  <c r="CY804" i="93"/>
  <c r="EW804" i="93"/>
  <c r="BY804" i="93"/>
  <c r="JF804" i="93"/>
  <c r="BX804" i="93"/>
  <c r="IW787" i="93"/>
  <c r="EO787" i="93"/>
  <c r="ED787" i="93"/>
  <c r="DS787" i="93"/>
  <c r="DI787" i="93"/>
  <c r="IU787" i="93"/>
  <c r="EU787" i="93"/>
  <c r="EK787" i="93"/>
  <c r="DZ787" i="93"/>
  <c r="DO787" i="93"/>
  <c r="DE787" i="93"/>
  <c r="JG796" i="93"/>
  <c r="IU796" i="93"/>
  <c r="JJ796" i="93"/>
  <c r="H889" i="93"/>
  <c r="JN797" i="93"/>
  <c r="JH797" i="93"/>
  <c r="JP803" i="93"/>
  <c r="HH803" i="93"/>
  <c r="FT803" i="93"/>
  <c r="ER803" i="93"/>
  <c r="CZ803" i="93"/>
  <c r="BX803" i="93"/>
  <c r="GR803" i="93"/>
  <c r="FA803" i="93"/>
  <c r="DB803" i="93"/>
  <c r="BE803" i="93"/>
  <c r="IS803" i="93"/>
  <c r="GQ803" i="93"/>
  <c r="EW803" i="93"/>
  <c r="CT803" i="93"/>
  <c r="AH803" i="93"/>
  <c r="JC793" i="93"/>
  <c r="EX800" i="93"/>
  <c r="FR800" i="93"/>
  <c r="GO800" i="93"/>
  <c r="HJ800" i="93"/>
  <c r="CS803" i="93"/>
  <c r="GA803" i="93"/>
  <c r="DP803" i="93"/>
  <c r="HP803" i="93"/>
  <c r="IH799" i="93"/>
  <c r="ID799" i="93"/>
  <c r="IK795" i="93"/>
  <c r="CR795" i="93"/>
  <c r="CC795" i="93"/>
  <c r="BM795" i="93"/>
  <c r="AK795" i="93"/>
  <c r="W795" i="93"/>
  <c r="IM797" i="93"/>
  <c r="EP797" i="93"/>
  <c r="DT797" i="93"/>
  <c r="CY797" i="93"/>
  <c r="CN797" i="93"/>
  <c r="CD797" i="93"/>
  <c r="BS797" i="93"/>
  <c r="BH797" i="93"/>
  <c r="AX797" i="93"/>
  <c r="AO797" i="93"/>
  <c r="AG797" i="93"/>
  <c r="Y797" i="93"/>
  <c r="IL797" i="93"/>
  <c r="EI797" i="93"/>
  <c r="DN797" i="93"/>
  <c r="CX797" i="93"/>
  <c r="CM797" i="93"/>
  <c r="CB797" i="93"/>
  <c r="BR797" i="93"/>
  <c r="BG797" i="93"/>
  <c r="AV797" i="93"/>
  <c r="AN797" i="93"/>
  <c r="AF797" i="93"/>
  <c r="X797" i="93"/>
  <c r="HY800" i="93"/>
  <c r="HQ800" i="93"/>
  <c r="HI800" i="93"/>
  <c r="HA800" i="93"/>
  <c r="GS800" i="93"/>
  <c r="GK800" i="93"/>
  <c r="GC800" i="93"/>
  <c r="FU800" i="93"/>
  <c r="FM800" i="93"/>
  <c r="FE800" i="93"/>
  <c r="EW800" i="93"/>
  <c r="JM800" i="93"/>
  <c r="HZ800" i="93"/>
  <c r="HN800" i="93"/>
  <c r="HE800" i="93"/>
  <c r="GT800" i="93"/>
  <c r="GH800" i="93"/>
  <c r="FY800" i="93"/>
  <c r="FN800" i="93"/>
  <c r="FB800" i="93"/>
  <c r="JI800" i="93"/>
  <c r="HV800" i="93"/>
  <c r="HM800" i="93"/>
  <c r="HB800" i="93"/>
  <c r="GP800" i="93"/>
  <c r="GG800" i="93"/>
  <c r="FV800" i="93"/>
  <c r="FJ800" i="93"/>
  <c r="FA800" i="93"/>
  <c r="IZ795" i="93"/>
  <c r="EU795" i="93"/>
  <c r="EF795" i="93"/>
  <c r="DS795" i="93"/>
  <c r="DD795" i="93"/>
  <c r="GU782" i="93"/>
  <c r="ER782" i="93"/>
  <c r="IB797" i="93"/>
  <c r="HW797" i="93"/>
  <c r="HR797" i="93"/>
  <c r="HL797" i="93"/>
  <c r="HG797" i="93"/>
  <c r="HB797" i="93"/>
  <c r="GV797" i="93"/>
  <c r="GQ797" i="93"/>
  <c r="GL797" i="93"/>
  <c r="GF797" i="93"/>
  <c r="GA797" i="93"/>
  <c r="FV797" i="93"/>
  <c r="FP797" i="93"/>
  <c r="FK797" i="93"/>
  <c r="FF797" i="93"/>
  <c r="IA797" i="93"/>
  <c r="HV797" i="93"/>
  <c r="HP797" i="93"/>
  <c r="HK797" i="93"/>
  <c r="HF797" i="93"/>
  <c r="GZ797" i="93"/>
  <c r="GU797" i="93"/>
  <c r="GP797" i="93"/>
  <c r="GJ797" i="93"/>
  <c r="GE797" i="93"/>
  <c r="FZ797" i="93"/>
  <c r="FT797" i="93"/>
  <c r="FO797" i="93"/>
  <c r="FJ797" i="93"/>
  <c r="FD797" i="93"/>
  <c r="O839" i="93"/>
  <c r="A839" i="93" s="1"/>
  <c r="K894" i="93"/>
  <c r="H894" i="93"/>
  <c r="I903" i="93"/>
  <c r="IF803" i="93"/>
  <c r="JN774" i="93"/>
  <c r="DR778" i="93"/>
  <c r="JG800" i="93"/>
  <c r="IP790" i="93"/>
  <c r="O885" i="93"/>
  <c r="L889" i="93"/>
  <c r="G898" i="93"/>
  <c r="CX795" i="93"/>
  <c r="J898" i="93"/>
  <c r="K907" i="93"/>
  <c r="CX791" i="93"/>
  <c r="L885" i="93"/>
  <c r="L894" i="93"/>
  <c r="O898" i="93"/>
  <c r="L898" i="93"/>
  <c r="M903" i="93"/>
  <c r="P903" i="93"/>
  <c r="G907" i="93"/>
  <c r="K916" i="93"/>
  <c r="H26" i="74"/>
  <c r="D26" i="74"/>
  <c r="B56" i="74"/>
  <c r="F56" i="74"/>
  <c r="I56" i="74"/>
  <c r="C86" i="74"/>
  <c r="F86" i="74"/>
  <c r="J86" i="74"/>
  <c r="C113" i="74"/>
  <c r="E114" i="74"/>
  <c r="C971" i="93"/>
  <c r="J26" i="74"/>
  <c r="F26" i="74"/>
  <c r="D56" i="74"/>
  <c r="H56" i="74"/>
  <c r="K56" i="74"/>
  <c r="E86" i="74"/>
  <c r="H86" i="74"/>
  <c r="C977" i="93"/>
  <c r="B26" i="74"/>
  <c r="I26" i="74"/>
  <c r="E26" i="74"/>
  <c r="E56" i="74"/>
  <c r="B86" i="74"/>
  <c r="I86" i="74"/>
  <c r="C114" i="74"/>
  <c r="O1857" i="93"/>
  <c r="O294" i="72"/>
  <c r="K15" i="75"/>
  <c r="L15" i="75" s="1"/>
  <c r="I772" i="93"/>
  <c r="K772" i="93" s="1"/>
  <c r="L772" i="93" s="1"/>
  <c r="E969" i="93"/>
  <c r="E970" i="93" s="1"/>
  <c r="D970" i="93"/>
  <c r="D975" i="93"/>
  <c r="D971" i="93"/>
  <c r="CV48" i="75"/>
  <c r="L279" i="72"/>
  <c r="L1833" i="93" s="1"/>
  <c r="O171" i="72"/>
  <c r="O1725" i="93" s="1"/>
  <c r="E39" i="72"/>
  <c r="E1593" i="93" s="1"/>
  <c r="H16" i="86"/>
  <c r="I16" i="86"/>
  <c r="F56" i="86"/>
  <c r="C8" i="90"/>
  <c r="C21" i="90"/>
  <c r="F461" i="93"/>
  <c r="F549" i="93"/>
  <c r="J469" i="93"/>
  <c r="M474" i="93"/>
  <c r="P513" i="93"/>
  <c r="S566" i="93"/>
  <c r="I730" i="93"/>
  <c r="M730" i="93"/>
  <c r="AB794" i="93"/>
  <c r="EW794" i="93"/>
  <c r="JK772" i="93"/>
  <c r="DL782" i="93"/>
  <c r="HP778" i="93"/>
  <c r="O889" i="93"/>
  <c r="L907" i="93"/>
  <c r="O907" i="93"/>
  <c r="I14" i="75"/>
  <c r="P58" i="73"/>
  <c r="G44" i="73"/>
  <c r="L45" i="73"/>
  <c r="G1150" i="93"/>
  <c r="M132" i="78"/>
  <c r="M149" i="78" s="1"/>
  <c r="M151" i="78" s="1"/>
  <c r="M153" i="78" s="1"/>
  <c r="V132" i="78"/>
  <c r="P171" i="72"/>
  <c r="P1725" i="93" s="1"/>
  <c r="L362" i="72"/>
  <c r="C16" i="86"/>
  <c r="G56" i="86"/>
  <c r="J582" i="93"/>
  <c r="J586" i="93" s="1"/>
  <c r="M889" i="93"/>
  <c r="M898" i="93"/>
  <c r="J907" i="93"/>
  <c r="G57" i="73"/>
  <c r="G66" i="73"/>
  <c r="L41" i="73"/>
  <c r="L50" i="73"/>
  <c r="G1153" i="93"/>
  <c r="E35" i="78"/>
  <c r="E37" i="78"/>
  <c r="AZ48" i="75"/>
  <c r="N65" i="75" s="1"/>
  <c r="EY48" i="75"/>
  <c r="JO48" i="75"/>
  <c r="L354" i="93"/>
  <c r="D474" i="93"/>
  <c r="P453" i="93"/>
  <c r="P469" i="93"/>
  <c r="U512" i="93"/>
  <c r="M519" i="93"/>
  <c r="P519" i="93"/>
  <c r="M562" i="93"/>
  <c r="C975" i="93"/>
  <c r="C970" i="93"/>
  <c r="C972" i="93" s="1"/>
  <c r="G52" i="73"/>
  <c r="F376" i="73"/>
  <c r="F1470" i="93" s="1"/>
  <c r="H15" i="84"/>
  <c r="F18" i="85" s="1"/>
  <c r="L55" i="73"/>
  <c r="G1152" i="93"/>
  <c r="D36" i="86"/>
  <c r="F473" i="93"/>
  <c r="M459" i="93"/>
  <c r="S453" i="93"/>
  <c r="S459" i="93"/>
  <c r="S463" i="93"/>
  <c r="S469" i="93"/>
  <c r="J474" i="93"/>
  <c r="G519" i="93"/>
  <c r="G541" i="93"/>
  <c r="G554" i="93"/>
  <c r="M500" i="93"/>
  <c r="S519" i="93"/>
  <c r="M554" i="93"/>
  <c r="S554" i="93"/>
  <c r="A561" i="93"/>
  <c r="M566" i="93"/>
  <c r="P566" i="93"/>
  <c r="K730" i="93"/>
  <c r="L730" i="93"/>
  <c r="JL801" i="93"/>
  <c r="GU770" i="93"/>
  <c r="I885" i="93"/>
  <c r="M894" i="93"/>
  <c r="P894" i="93"/>
  <c r="I898" i="93"/>
  <c r="N903" i="93"/>
  <c r="N907" i="93"/>
  <c r="K912" i="93"/>
  <c r="B112" i="74"/>
  <c r="D112" i="74"/>
  <c r="B113" i="74"/>
  <c r="D113" i="74"/>
  <c r="B114" i="74"/>
  <c r="D114" i="74"/>
  <c r="A1097" i="93"/>
  <c r="H1097" i="93" s="1"/>
  <c r="J1935" i="93"/>
  <c r="M1841" i="93"/>
  <c r="Q1873" i="93"/>
  <c r="Q1972" i="93"/>
  <c r="O1649" i="93"/>
  <c r="H1732" i="93"/>
  <c r="Q1828" i="93"/>
  <c r="Q1858" i="93"/>
  <c r="P554" i="93"/>
  <c r="G61" i="84"/>
  <c r="M453" i="93"/>
  <c r="S500" i="93"/>
  <c r="D56" i="92"/>
  <c r="F84" i="92"/>
  <c r="S132" i="78"/>
  <c r="L31" i="68"/>
  <c r="L394" i="93" s="1"/>
  <c r="S527" i="93"/>
  <c r="S562" i="93"/>
  <c r="J554" i="93"/>
  <c r="J513" i="93"/>
  <c r="J500" i="93"/>
  <c r="J453" i="93"/>
  <c r="G469" i="93"/>
  <c r="G453" i="93"/>
  <c r="G41" i="73"/>
  <c r="G63" i="73"/>
  <c r="G58" i="73"/>
  <c r="G55" i="73"/>
  <c r="G50" i="73"/>
  <c r="K51" i="93"/>
  <c r="L63" i="73"/>
  <c r="L56" i="73"/>
  <c r="L51" i="73"/>
  <c r="L59" i="73"/>
  <c r="L52" i="73"/>
  <c r="G1138" i="93"/>
  <c r="G1159" i="93"/>
  <c r="G1142" i="93"/>
  <c r="O1621" i="93"/>
  <c r="C53" i="82"/>
  <c r="F115" i="78"/>
  <c r="C133" i="90"/>
  <c r="L59" i="85" s="1"/>
  <c r="F116" i="78"/>
  <c r="F117" i="78"/>
  <c r="D42" i="68"/>
  <c r="D405" i="93" s="1"/>
  <c r="G45" i="73"/>
  <c r="G42" i="73"/>
  <c r="G64" i="73"/>
  <c r="G59" i="73"/>
  <c r="G56" i="73"/>
  <c r="L58" i="73"/>
  <c r="L42" i="73"/>
  <c r="L62" i="73"/>
  <c r="L44" i="73"/>
  <c r="L43" i="73"/>
  <c r="G1135" i="93"/>
  <c r="G1143" i="93"/>
  <c r="G1160" i="93"/>
  <c r="D53" i="82"/>
  <c r="BX48" i="75"/>
  <c r="M61" i="75" s="1"/>
  <c r="CZ48" i="75"/>
  <c r="K118" i="75" s="1"/>
  <c r="DP48" i="75"/>
  <c r="JL48" i="75"/>
  <c r="AY48" i="75"/>
  <c r="M65" i="75" s="1"/>
  <c r="E55" i="84"/>
  <c r="K55" i="84"/>
  <c r="I55" i="84"/>
  <c r="G55" i="84"/>
  <c r="G1157" i="93"/>
  <c r="G1144" i="93"/>
  <c r="G1137" i="93"/>
  <c r="G1156" i="93"/>
  <c r="G1136" i="93"/>
  <c r="G51" i="73"/>
  <c r="G48" i="73"/>
  <c r="G43" i="73"/>
  <c r="G65" i="73"/>
  <c r="G62" i="73"/>
  <c r="L49" i="73"/>
  <c r="L64" i="73"/>
  <c r="L48" i="73"/>
  <c r="L66" i="73"/>
  <c r="L65" i="73"/>
  <c r="G1139" i="93"/>
  <c r="G1145" i="93"/>
  <c r="G1149" i="93"/>
  <c r="G1151" i="93"/>
  <c r="T1728" i="93"/>
  <c r="O6" i="75"/>
  <c r="R14" i="75" s="1"/>
  <c r="R771" i="93" s="1"/>
  <c r="DK48" i="75"/>
  <c r="L73" i="75" s="1"/>
  <c r="K61" i="84"/>
  <c r="I61" i="84"/>
  <c r="P8" i="72"/>
  <c r="P1562" i="93" s="1"/>
  <c r="IM786" i="93"/>
  <c r="AP786" i="93"/>
  <c r="EG788" i="93"/>
  <c r="DA788" i="93"/>
  <c r="CW788" i="93"/>
  <c r="BY788" i="93"/>
  <c r="BU788" i="93"/>
  <c r="DL788" i="93"/>
  <c r="CZ788" i="93"/>
  <c r="CU788" i="93"/>
  <c r="BX788" i="93"/>
  <c r="BP788" i="93"/>
  <c r="Q1863" i="93"/>
  <c r="K1862" i="93"/>
  <c r="FL48" i="75"/>
  <c r="J101" i="75" s="1"/>
  <c r="FT48" i="75"/>
  <c r="M102" i="75" s="1"/>
  <c r="GJ48" i="75"/>
  <c r="N97" i="75" s="1"/>
  <c r="GN48" i="75"/>
  <c r="M98" i="75" s="1"/>
  <c r="GV48" i="75"/>
  <c r="K88" i="75" s="1"/>
  <c r="HH48" i="75"/>
  <c r="M90" i="75" s="1"/>
  <c r="HX48" i="75"/>
  <c r="N93" i="75" s="1"/>
  <c r="IB48" i="75"/>
  <c r="M94" i="75" s="1"/>
  <c r="JH48" i="75"/>
  <c r="JP48" i="75"/>
  <c r="P1611" i="93"/>
  <c r="O1648" i="93"/>
  <c r="P1878" i="93"/>
  <c r="P1997" i="93" s="1"/>
  <c r="D16" i="86"/>
  <c r="I36" i="86"/>
  <c r="E16" i="86"/>
  <c r="A2" i="90"/>
  <c r="E171" i="90"/>
  <c r="F553" i="93"/>
  <c r="J463" i="93"/>
  <c r="U540" i="93"/>
  <c r="G566" i="93"/>
  <c r="J566" i="93"/>
  <c r="CP786" i="93"/>
  <c r="W786" i="93"/>
  <c r="BW788" i="93"/>
  <c r="CY788" i="93"/>
  <c r="IH788" i="93"/>
  <c r="JP780" i="93"/>
  <c r="JL780" i="93"/>
  <c r="JH780" i="93"/>
  <c r="JD780" i="93"/>
  <c r="IB780" i="93"/>
  <c r="HX780" i="93"/>
  <c r="HT780" i="93"/>
  <c r="HP780" i="93"/>
  <c r="HL780" i="93"/>
  <c r="HH780" i="93"/>
  <c r="HD780" i="93"/>
  <c r="GZ780" i="93"/>
  <c r="GV780" i="93"/>
  <c r="GR780" i="93"/>
  <c r="GN780" i="93"/>
  <c r="GJ780" i="93"/>
  <c r="GF780" i="93"/>
  <c r="GB780" i="93"/>
  <c r="FX780" i="93"/>
  <c r="FT780" i="93"/>
  <c r="FP780" i="93"/>
  <c r="FL780" i="93"/>
  <c r="FH780" i="93"/>
  <c r="FD780" i="93"/>
  <c r="EZ780" i="93"/>
  <c r="EL780" i="93"/>
  <c r="DA780" i="93"/>
  <c r="JO780" i="93"/>
  <c r="JK780" i="93"/>
  <c r="JG780" i="93"/>
  <c r="JC780" i="93"/>
  <c r="IA780" i="93"/>
  <c r="HW780" i="93"/>
  <c r="HS780" i="93"/>
  <c r="HO780" i="93"/>
  <c r="HK780" i="93"/>
  <c r="HG780" i="93"/>
  <c r="HC780" i="93"/>
  <c r="GY780" i="93"/>
  <c r="GU780" i="93"/>
  <c r="GQ780" i="93"/>
  <c r="GM780" i="93"/>
  <c r="GI780" i="93"/>
  <c r="GE780" i="93"/>
  <c r="GA780" i="93"/>
  <c r="FW780" i="93"/>
  <c r="FS780" i="93"/>
  <c r="FO780" i="93"/>
  <c r="FK780" i="93"/>
  <c r="FG780" i="93"/>
  <c r="FC780" i="93"/>
  <c r="EY780" i="93"/>
  <c r="DQ780" i="93"/>
  <c r="CZ780" i="93"/>
  <c r="JP789" i="93"/>
  <c r="IX789" i="93"/>
  <c r="IP789" i="93"/>
  <c r="IJ789" i="93"/>
  <c r="IF789" i="93"/>
  <c r="IB789" i="93"/>
  <c r="HX789" i="93"/>
  <c r="HT789" i="93"/>
  <c r="HP789" i="93"/>
  <c r="HL789" i="93"/>
  <c r="HH789" i="93"/>
  <c r="HD789" i="93"/>
  <c r="GZ789" i="93"/>
  <c r="GV789" i="93"/>
  <c r="GR789" i="93"/>
  <c r="GN789" i="93"/>
  <c r="GJ789" i="93"/>
  <c r="GF789" i="93"/>
  <c r="GB789" i="93"/>
  <c r="FX789" i="93"/>
  <c r="FT789" i="93"/>
  <c r="FP789" i="93"/>
  <c r="FL789" i="93"/>
  <c r="FH789" i="93"/>
  <c r="FD789" i="93"/>
  <c r="EZ789" i="93"/>
  <c r="EU789" i="93"/>
  <c r="EM789" i="93"/>
  <c r="EE789" i="93"/>
  <c r="DW789" i="93"/>
  <c r="DO789" i="93"/>
  <c r="DG789" i="93"/>
  <c r="DA789" i="93"/>
  <c r="CW789" i="93"/>
  <c r="CS789" i="93"/>
  <c r="CO789" i="93"/>
  <c r="CK789" i="93"/>
  <c r="CG789" i="93"/>
  <c r="CC789" i="93"/>
  <c r="BY789" i="93"/>
  <c r="BU789" i="93"/>
  <c r="BQ789" i="93"/>
  <c r="BM789" i="93"/>
  <c r="BI789" i="93"/>
  <c r="BE789" i="93"/>
  <c r="BA789" i="93"/>
  <c r="AW789" i="93"/>
  <c r="AS789" i="93"/>
  <c r="AO789" i="93"/>
  <c r="AK789" i="93"/>
  <c r="AG789" i="93"/>
  <c r="AC789" i="93"/>
  <c r="Y789" i="93"/>
  <c r="JD789" i="93"/>
  <c r="IU789" i="93"/>
  <c r="IM789" i="93"/>
  <c r="II789" i="93"/>
  <c r="IE789" i="93"/>
  <c r="IA789" i="93"/>
  <c r="HW789" i="93"/>
  <c r="HS789" i="93"/>
  <c r="HO789" i="93"/>
  <c r="HK789" i="93"/>
  <c r="HG789" i="93"/>
  <c r="HC789" i="93"/>
  <c r="GY789" i="93"/>
  <c r="GU789" i="93"/>
  <c r="GQ789" i="93"/>
  <c r="GM789" i="93"/>
  <c r="GI789" i="93"/>
  <c r="GE789" i="93"/>
  <c r="GA789" i="93"/>
  <c r="FW789" i="93"/>
  <c r="FS789" i="93"/>
  <c r="FO789" i="93"/>
  <c r="FK789" i="93"/>
  <c r="FG789" i="93"/>
  <c r="FC789" i="93"/>
  <c r="EY789" i="93"/>
  <c r="ET789" i="93"/>
  <c r="EL789" i="93"/>
  <c r="ED789" i="93"/>
  <c r="DV789" i="93"/>
  <c r="DN789" i="93"/>
  <c r="DF789" i="93"/>
  <c r="CZ789" i="93"/>
  <c r="CV789" i="93"/>
  <c r="CR789" i="93"/>
  <c r="CN789" i="93"/>
  <c r="CJ789" i="93"/>
  <c r="CF789" i="93"/>
  <c r="CB789" i="93"/>
  <c r="BX789" i="93"/>
  <c r="BT789" i="93"/>
  <c r="BP789" i="93"/>
  <c r="BL789" i="93"/>
  <c r="BH789" i="93"/>
  <c r="BD789" i="93"/>
  <c r="AZ789" i="93"/>
  <c r="AV789" i="93"/>
  <c r="AR789" i="93"/>
  <c r="AN789" i="93"/>
  <c r="AJ789" i="93"/>
  <c r="AF789" i="93"/>
  <c r="AB789" i="93"/>
  <c r="X789" i="93"/>
  <c r="JI803" i="93"/>
  <c r="JH803" i="93"/>
  <c r="CW781" i="93"/>
  <c r="BQ781" i="93"/>
  <c r="BM781" i="93"/>
  <c r="BI781" i="93"/>
  <c r="BE781" i="93"/>
  <c r="BA781" i="93"/>
  <c r="AW781" i="93"/>
  <c r="AS781" i="93"/>
  <c r="CV781" i="93"/>
  <c r="BT781" i="93"/>
  <c r="BP781" i="93"/>
  <c r="BL781" i="93"/>
  <c r="BH781" i="93"/>
  <c r="BD781" i="93"/>
  <c r="AZ781" i="93"/>
  <c r="AV781" i="93"/>
  <c r="AR781" i="93"/>
  <c r="CU796" i="93"/>
  <c r="JQ796" i="93"/>
  <c r="JM796" i="93"/>
  <c r="JI796" i="93"/>
  <c r="JE796" i="93"/>
  <c r="IC796" i="93"/>
  <c r="HY796" i="93"/>
  <c r="HU796" i="93"/>
  <c r="HQ796" i="93"/>
  <c r="HM796" i="93"/>
  <c r="HI796" i="93"/>
  <c r="HE796" i="93"/>
  <c r="HA796" i="93"/>
  <c r="GW796" i="93"/>
  <c r="GS796" i="93"/>
  <c r="GO796" i="93"/>
  <c r="GK796" i="93"/>
  <c r="GG796" i="93"/>
  <c r="GC796" i="93"/>
  <c r="FY796" i="93"/>
  <c r="FU796" i="93"/>
  <c r="FQ796" i="93"/>
  <c r="FM796" i="93"/>
  <c r="FI796" i="93"/>
  <c r="FE796" i="93"/>
  <c r="FA796" i="93"/>
  <c r="EW796" i="93"/>
  <c r="DB796" i="93"/>
  <c r="CX796" i="93"/>
  <c r="BY796" i="93"/>
  <c r="BU796" i="93"/>
  <c r="JP796" i="93"/>
  <c r="JL796" i="93"/>
  <c r="JH796" i="93"/>
  <c r="JD796" i="93"/>
  <c r="IB796" i="93"/>
  <c r="HX796" i="93"/>
  <c r="HT796" i="93"/>
  <c r="HP796" i="93"/>
  <c r="HL796" i="93"/>
  <c r="HH796" i="93"/>
  <c r="HD796" i="93"/>
  <c r="GZ796" i="93"/>
  <c r="GV796" i="93"/>
  <c r="GR796" i="93"/>
  <c r="GN796" i="93"/>
  <c r="GJ796" i="93"/>
  <c r="GF796" i="93"/>
  <c r="GB796" i="93"/>
  <c r="FX796" i="93"/>
  <c r="FT796" i="93"/>
  <c r="FP796" i="93"/>
  <c r="FL796" i="93"/>
  <c r="FH796" i="93"/>
  <c r="FD796" i="93"/>
  <c r="EZ796" i="93"/>
  <c r="EU796" i="93"/>
  <c r="DA796" i="93"/>
  <c r="CW796" i="93"/>
  <c r="BX796" i="93"/>
  <c r="AV796" i="93"/>
  <c r="JN796" i="93"/>
  <c r="JF796" i="93"/>
  <c r="HZ796" i="93"/>
  <c r="HR796" i="93"/>
  <c r="HJ796" i="93"/>
  <c r="HB796" i="93"/>
  <c r="GT796" i="93"/>
  <c r="GL796" i="93"/>
  <c r="GD796" i="93"/>
  <c r="FV796" i="93"/>
  <c r="FN796" i="93"/>
  <c r="FF796" i="93"/>
  <c r="EX796" i="93"/>
  <c r="CY796" i="93"/>
  <c r="BV796" i="93"/>
  <c r="JK796" i="93"/>
  <c r="JC796" i="93"/>
  <c r="HW796" i="93"/>
  <c r="HO796" i="93"/>
  <c r="HG796" i="93"/>
  <c r="GY796" i="93"/>
  <c r="GQ796" i="93"/>
  <c r="GI796" i="93"/>
  <c r="GA796" i="93"/>
  <c r="FS796" i="93"/>
  <c r="FK796" i="93"/>
  <c r="FC796" i="93"/>
  <c r="DS796" i="93"/>
  <c r="CV796" i="93"/>
  <c r="IV783" i="93"/>
  <c r="IK783" i="93"/>
  <c r="EO783" i="93"/>
  <c r="ED783" i="93"/>
  <c r="DT783" i="93"/>
  <c r="DI783" i="93"/>
  <c r="DB783" i="93"/>
  <c r="CV783" i="93"/>
  <c r="CN783" i="93"/>
  <c r="CC783" i="93"/>
  <c r="BW783" i="93"/>
  <c r="BR783" i="93"/>
  <c r="AW783" i="93"/>
  <c r="AG783" i="93"/>
  <c r="JB783" i="93"/>
  <c r="IR783" i="93"/>
  <c r="IG783" i="93"/>
  <c r="EV783" i="93"/>
  <c r="EK783" i="93"/>
  <c r="DZ783" i="93"/>
  <c r="DP783" i="93"/>
  <c r="DE783" i="93"/>
  <c r="DA783" i="93"/>
  <c r="CU783" i="93"/>
  <c r="CL783" i="93"/>
  <c r="CB783" i="93"/>
  <c r="BV783" i="93"/>
  <c r="BI783" i="93"/>
  <c r="AN783" i="93"/>
  <c r="AC783" i="93"/>
  <c r="HQ804" i="93"/>
  <c r="GN804" i="93"/>
  <c r="FQ804" i="93"/>
  <c r="JQ804" i="93"/>
  <c r="HL804" i="93"/>
  <c r="GK804" i="93"/>
  <c r="FP804" i="93"/>
  <c r="C58" i="84"/>
  <c r="I58" i="84" s="1"/>
  <c r="G36" i="86"/>
  <c r="F36" i="86"/>
  <c r="E36" i="86"/>
  <c r="C56" i="86"/>
  <c r="A1" i="89"/>
  <c r="A512" i="93"/>
  <c r="G500" i="93"/>
  <c r="Y788" i="93"/>
  <c r="CO788" i="93"/>
  <c r="DB788" i="93"/>
  <c r="CU792" i="93"/>
  <c r="JQ792" i="93"/>
  <c r="JP792" i="93"/>
  <c r="JL792" i="93"/>
  <c r="JH792" i="93"/>
  <c r="JD792" i="93"/>
  <c r="IB792" i="93"/>
  <c r="HX792" i="93"/>
  <c r="HT792" i="93"/>
  <c r="HP792" i="93"/>
  <c r="HL792" i="93"/>
  <c r="HH792" i="93"/>
  <c r="HD792" i="93"/>
  <c r="GZ792" i="93"/>
  <c r="GV792" i="93"/>
  <c r="GR792" i="93"/>
  <c r="GN792" i="93"/>
  <c r="GJ792" i="93"/>
  <c r="GF792" i="93"/>
  <c r="GB792" i="93"/>
  <c r="FX792" i="93"/>
  <c r="FT792" i="93"/>
  <c r="FP792" i="93"/>
  <c r="FL792" i="93"/>
  <c r="FH792" i="93"/>
  <c r="FD792" i="93"/>
  <c r="EZ792" i="93"/>
  <c r="JK792" i="93"/>
  <c r="JF792" i="93"/>
  <c r="IC792" i="93"/>
  <c r="HW792" i="93"/>
  <c r="HR792" i="93"/>
  <c r="HM792" i="93"/>
  <c r="HG792" i="93"/>
  <c r="HB792" i="93"/>
  <c r="GW792" i="93"/>
  <c r="GQ792" i="93"/>
  <c r="GL792" i="93"/>
  <c r="GG792" i="93"/>
  <c r="GA792" i="93"/>
  <c r="FV792" i="93"/>
  <c r="FQ792" i="93"/>
  <c r="FK792" i="93"/>
  <c r="FF792" i="93"/>
  <c r="FA792" i="93"/>
  <c r="EE792" i="93"/>
  <c r="CZ792" i="93"/>
  <c r="CV792" i="93"/>
  <c r="BX792" i="93"/>
  <c r="AB792" i="93"/>
  <c r="JO792" i="93"/>
  <c r="JJ792" i="93"/>
  <c r="JE792" i="93"/>
  <c r="IA792" i="93"/>
  <c r="HV792" i="93"/>
  <c r="HQ792" i="93"/>
  <c r="HK792" i="93"/>
  <c r="HF792" i="93"/>
  <c r="HA792" i="93"/>
  <c r="GU792" i="93"/>
  <c r="GP792" i="93"/>
  <c r="GK792" i="93"/>
  <c r="GE792" i="93"/>
  <c r="FZ792" i="93"/>
  <c r="FU792" i="93"/>
  <c r="FO792" i="93"/>
  <c r="FJ792" i="93"/>
  <c r="FE792" i="93"/>
  <c r="EY792" i="93"/>
  <c r="DC792" i="93"/>
  <c r="CY792" i="93"/>
  <c r="CT792" i="93"/>
  <c r="BW792" i="93"/>
  <c r="BV48" i="75"/>
  <c r="K61" i="75" s="1"/>
  <c r="DB48" i="75"/>
  <c r="M118" i="75" s="1"/>
  <c r="EH48" i="75"/>
  <c r="J78" i="75" s="1"/>
  <c r="FB48" i="75"/>
  <c r="J95" i="75" s="1"/>
  <c r="FF48" i="75"/>
  <c r="N95" i="75" s="1"/>
  <c r="FN48" i="75"/>
  <c r="L101" i="75" s="1"/>
  <c r="FV48" i="75"/>
  <c r="J99" i="75" s="1"/>
  <c r="FZ48" i="75"/>
  <c r="N99" i="75" s="1"/>
  <c r="GD48" i="75"/>
  <c r="M100" i="75" s="1"/>
  <c r="GP48" i="75"/>
  <c r="J87" i="75" s="1"/>
  <c r="GT48" i="75"/>
  <c r="N87" i="75" s="1"/>
  <c r="N106" i="75" s="1"/>
  <c r="F52" i="73" s="1"/>
  <c r="HB48" i="75"/>
  <c r="L89" i="75" s="1"/>
  <c r="HN48" i="75"/>
  <c r="N91" i="75" s="1"/>
  <c r="N108" i="75" s="1"/>
  <c r="HR48" i="75"/>
  <c r="M92" i="75" s="1"/>
  <c r="M109" i="75" s="1"/>
  <c r="K1152" i="93" s="1"/>
  <c r="HZ48" i="75"/>
  <c r="K94" i="75" s="1"/>
  <c r="C36" i="86"/>
  <c r="G16" i="86"/>
  <c r="H36" i="86"/>
  <c r="F16" i="86"/>
  <c r="C1" i="86"/>
  <c r="EL786" i="93"/>
  <c r="AT788" i="93"/>
  <c r="CT788" i="93"/>
  <c r="DC788" i="93"/>
  <c r="BY792" i="93"/>
  <c r="DA792" i="93"/>
  <c r="FB792" i="93"/>
  <c r="FM792" i="93"/>
  <c r="FW792" i="93"/>
  <c r="GH792" i="93"/>
  <c r="GS792" i="93"/>
  <c r="HC792" i="93"/>
  <c r="HN792" i="93"/>
  <c r="HY792" i="93"/>
  <c r="JG792" i="93"/>
  <c r="FY804" i="93"/>
  <c r="IB804" i="93"/>
  <c r="CV788" i="93"/>
  <c r="JQ803" i="93"/>
  <c r="JJ803" i="93"/>
  <c r="JD803" i="93"/>
  <c r="HO803" i="93"/>
  <c r="GY803" i="93"/>
  <c r="GI803" i="93"/>
  <c r="FS803" i="93"/>
  <c r="FC803" i="93"/>
  <c r="EX803" i="93"/>
  <c r="EF803" i="93"/>
  <c r="DE803" i="93"/>
  <c r="DA803" i="93"/>
  <c r="CW803" i="93"/>
  <c r="CH803" i="93"/>
  <c r="BW803" i="93"/>
  <c r="BD803" i="93"/>
  <c r="CU803" i="93"/>
  <c r="JL803" i="93"/>
  <c r="JE803" i="93"/>
  <c r="HX803" i="93"/>
  <c r="HG803" i="93"/>
  <c r="GJ803" i="93"/>
  <c r="FL803" i="93"/>
  <c r="EZ803" i="93"/>
  <c r="EO803" i="93"/>
  <c r="DD803" i="93"/>
  <c r="CY803" i="93"/>
  <c r="CR803" i="93"/>
  <c r="BV803" i="93"/>
  <c r="AC803" i="93"/>
  <c r="JK803" i="93"/>
  <c r="IV803" i="93"/>
  <c r="HW803" i="93"/>
  <c r="GZ803" i="93"/>
  <c r="GB803" i="93"/>
  <c r="FK803" i="93"/>
  <c r="EY803" i="93"/>
  <c r="ED803" i="93"/>
  <c r="DC803" i="93"/>
  <c r="CX803" i="93"/>
  <c r="CD803" i="93"/>
  <c r="BU803" i="93"/>
  <c r="JQ800" i="93"/>
  <c r="JK800" i="93"/>
  <c r="JF800" i="93"/>
  <c r="IC800" i="93"/>
  <c r="HX800" i="93"/>
  <c r="HT800" i="93"/>
  <c r="HP800" i="93"/>
  <c r="HL800" i="93"/>
  <c r="HH800" i="93"/>
  <c r="HD800" i="93"/>
  <c r="GZ800" i="93"/>
  <c r="GV800" i="93"/>
  <c r="GR800" i="93"/>
  <c r="GN800" i="93"/>
  <c r="GJ800" i="93"/>
  <c r="GF800" i="93"/>
  <c r="GB800" i="93"/>
  <c r="FX800" i="93"/>
  <c r="FT800" i="93"/>
  <c r="FP800" i="93"/>
  <c r="FL800" i="93"/>
  <c r="FH800" i="93"/>
  <c r="FD800" i="93"/>
  <c r="EZ800" i="93"/>
  <c r="JO800" i="93"/>
  <c r="JJ800" i="93"/>
  <c r="JE800" i="93"/>
  <c r="IA800" i="93"/>
  <c r="HW800" i="93"/>
  <c r="HS800" i="93"/>
  <c r="HO800" i="93"/>
  <c r="HK800" i="93"/>
  <c r="HG800" i="93"/>
  <c r="HC800" i="93"/>
  <c r="GY800" i="93"/>
  <c r="GU800" i="93"/>
  <c r="GQ800" i="93"/>
  <c r="GM800" i="93"/>
  <c r="GI800" i="93"/>
  <c r="GE800" i="93"/>
  <c r="GA800" i="93"/>
  <c r="FW800" i="93"/>
  <c r="FS800" i="93"/>
  <c r="FO800" i="93"/>
  <c r="FK800" i="93"/>
  <c r="FG800" i="93"/>
  <c r="FC800" i="93"/>
  <c r="EY800" i="93"/>
  <c r="FP802" i="93"/>
  <c r="CW800" i="93"/>
  <c r="CU800" i="93"/>
  <c r="CT800" i="93"/>
  <c r="IC769" i="93"/>
  <c r="IY769" i="93"/>
  <c r="JJ773" i="93"/>
  <c r="IZ773" i="93"/>
  <c r="JK795" i="93"/>
  <c r="JG795" i="93"/>
  <c r="HR795" i="93"/>
  <c r="HB795" i="93"/>
  <c r="GL795" i="93"/>
  <c r="FV795" i="93"/>
  <c r="FF795" i="93"/>
  <c r="EY795" i="93"/>
  <c r="JJ795" i="93"/>
  <c r="JF795" i="93"/>
  <c r="HQ795" i="93"/>
  <c r="HA795" i="93"/>
  <c r="GK795" i="93"/>
  <c r="FU795" i="93"/>
  <c r="FE795" i="93"/>
  <c r="EX795" i="93"/>
  <c r="JM799" i="93"/>
  <c r="JI799" i="93"/>
  <c r="HY799" i="93"/>
  <c r="HI799" i="93"/>
  <c r="GS799" i="93"/>
  <c r="GC799" i="93"/>
  <c r="FM799" i="93"/>
  <c r="FA799" i="93"/>
  <c r="EW799" i="93"/>
  <c r="JL799" i="93"/>
  <c r="JH799" i="93"/>
  <c r="HV799" i="93"/>
  <c r="HF799" i="93"/>
  <c r="GP799" i="93"/>
  <c r="FZ799" i="93"/>
  <c r="FJ799" i="93"/>
  <c r="EZ799" i="93"/>
  <c r="CW804" i="93"/>
  <c r="JM804" i="93"/>
  <c r="JE804" i="93"/>
  <c r="HX804" i="93"/>
  <c r="HP804" i="93"/>
  <c r="HH804" i="93"/>
  <c r="GZ804" i="93"/>
  <c r="GR804" i="93"/>
  <c r="GJ804" i="93"/>
  <c r="GB804" i="93"/>
  <c r="FT804" i="93"/>
  <c r="FL804" i="93"/>
  <c r="FD804" i="93"/>
  <c r="EI804" i="93"/>
  <c r="CZ804" i="93"/>
  <c r="CU804" i="93"/>
  <c r="BW804" i="93"/>
  <c r="JP804" i="93"/>
  <c r="JJ804" i="93"/>
  <c r="IC804" i="93"/>
  <c r="HU804" i="93"/>
  <c r="HM804" i="93"/>
  <c r="HE804" i="93"/>
  <c r="GW804" i="93"/>
  <c r="JN804" i="93"/>
  <c r="HY804" i="93"/>
  <c r="HI804" i="93"/>
  <c r="GS804" i="93"/>
  <c r="GG804" i="93"/>
  <c r="FX804" i="93"/>
  <c r="FM804" i="93"/>
  <c r="FA804" i="93"/>
  <c r="DB804" i="93"/>
  <c r="CV804" i="93"/>
  <c r="BV804" i="93"/>
  <c r="JI804" i="93"/>
  <c r="HT804" i="93"/>
  <c r="HD804" i="93"/>
  <c r="GO804" i="93"/>
  <c r="GF804" i="93"/>
  <c r="FU804" i="93"/>
  <c r="FI804" i="93"/>
  <c r="EZ804" i="93"/>
  <c r="DA804" i="93"/>
  <c r="CT804" i="93"/>
  <c r="BU804" i="93"/>
  <c r="JJ767" i="93"/>
  <c r="JQ767" i="93"/>
  <c r="IX767" i="93"/>
  <c r="ER772" i="93"/>
  <c r="BL774" i="93"/>
  <c r="HW774" i="93"/>
  <c r="CY774" i="93"/>
  <c r="ES770" i="93"/>
  <c r="IA801" i="93"/>
  <c r="HE801" i="93"/>
  <c r="HL801" i="93"/>
  <c r="H898" i="93"/>
  <c r="P898" i="93"/>
  <c r="J912" i="93"/>
  <c r="CW783" i="93"/>
  <c r="JP800" i="93"/>
  <c r="EH790" i="93"/>
  <c r="O838" i="93"/>
  <c r="N898" i="93"/>
  <c r="K923" i="93"/>
  <c r="IS775" i="93"/>
  <c r="JO775" i="93"/>
  <c r="DM775" i="93"/>
  <c r="K932" i="93"/>
  <c r="D977" i="93"/>
  <c r="Q1766" i="93"/>
  <c r="L1766" i="93"/>
  <c r="O1477" i="93"/>
  <c r="M1717" i="93"/>
  <c r="O1717" i="93" s="1"/>
  <c r="M1719" i="93"/>
  <c r="O1719" i="93" s="1"/>
  <c r="M1723" i="93"/>
  <c r="P1723" i="93" s="1"/>
  <c r="Q1901" i="93"/>
  <c r="L1901" i="93"/>
  <c r="Q1871" i="93"/>
  <c r="L1871" i="93"/>
  <c r="R1918" i="93"/>
  <c r="L393" i="93"/>
  <c r="F15" i="85"/>
  <c r="DZ775" i="93"/>
  <c r="JL775" i="93"/>
  <c r="DH775" i="93"/>
  <c r="IZ775" i="93"/>
  <c r="EY775" i="93"/>
  <c r="FO775" i="93"/>
  <c r="GE775" i="93"/>
  <c r="GU775" i="93"/>
  <c r="HK775" i="93"/>
  <c r="IA775" i="93"/>
  <c r="JP775" i="93"/>
  <c r="FC775" i="93"/>
  <c r="FS775" i="93"/>
  <c r="GI775" i="93"/>
  <c r="GY775" i="93"/>
  <c r="HO775" i="93"/>
  <c r="JD775" i="93"/>
  <c r="FG775" i="93"/>
  <c r="FW775" i="93"/>
  <c r="GM775" i="93"/>
  <c r="HC775" i="93"/>
  <c r="HS775" i="93"/>
  <c r="JH775" i="93"/>
  <c r="EZ775" i="93"/>
  <c r="FD775" i="93"/>
  <c r="FH775" i="93"/>
  <c r="FL775" i="93"/>
  <c r="FP775" i="93"/>
  <c r="FT775" i="93"/>
  <c r="FX775" i="93"/>
  <c r="GB775" i="93"/>
  <c r="GF775" i="93"/>
  <c r="GJ775" i="93"/>
  <c r="GN775" i="93"/>
  <c r="GR775" i="93"/>
  <c r="GV775" i="93"/>
  <c r="GZ775" i="93"/>
  <c r="HD775" i="93"/>
  <c r="HH775" i="93"/>
  <c r="HL775" i="93"/>
  <c r="HP775" i="93"/>
  <c r="HT775" i="93"/>
  <c r="HX775" i="93"/>
  <c r="IB775" i="93"/>
  <c r="JE775" i="93"/>
  <c r="JI775" i="93"/>
  <c r="JM775" i="93"/>
  <c r="JQ775" i="93"/>
  <c r="EW775" i="93"/>
  <c r="FA775" i="93"/>
  <c r="FE775" i="93"/>
  <c r="FI775" i="93"/>
  <c r="FM775" i="93"/>
  <c r="FQ775" i="93"/>
  <c r="FU775" i="93"/>
  <c r="FY775" i="93"/>
  <c r="FY805" i="93" s="1"/>
  <c r="M856" i="93" s="1"/>
  <c r="GC775" i="93"/>
  <c r="GG775" i="93"/>
  <c r="GK775" i="93"/>
  <c r="GO775" i="93"/>
  <c r="GS775" i="93"/>
  <c r="GW775" i="93"/>
  <c r="HA775" i="93"/>
  <c r="HE775" i="93"/>
  <c r="HI775" i="93"/>
  <c r="HM775" i="93"/>
  <c r="HQ775" i="93"/>
  <c r="HU775" i="93"/>
  <c r="HY775" i="93"/>
  <c r="IC775" i="93"/>
  <c r="JF775" i="93"/>
  <c r="JJ775" i="93"/>
  <c r="JN775" i="93"/>
  <c r="EX775" i="93"/>
  <c r="FB775" i="93"/>
  <c r="FF775" i="93"/>
  <c r="FJ775" i="93"/>
  <c r="FN775" i="93"/>
  <c r="FR775" i="93"/>
  <c r="FV775" i="93"/>
  <c r="FZ775" i="93"/>
  <c r="GD775" i="93"/>
  <c r="GH775" i="93"/>
  <c r="GL775" i="93"/>
  <c r="GP775" i="93"/>
  <c r="GT775" i="93"/>
  <c r="GX775" i="93"/>
  <c r="HB775" i="93"/>
  <c r="HF775" i="93"/>
  <c r="HJ775" i="93"/>
  <c r="HN775" i="93"/>
  <c r="HR775" i="93"/>
  <c r="HV775" i="93"/>
  <c r="HZ775" i="93"/>
  <c r="JC775" i="93"/>
  <c r="JG775" i="93"/>
  <c r="JK775" i="93"/>
  <c r="DE775" i="93"/>
  <c r="DI775" i="93"/>
  <c r="AZ775" i="93"/>
  <c r="DX775" i="93"/>
  <c r="BO775" i="93"/>
  <c r="AX775" i="93"/>
  <c r="CS775" i="93"/>
  <c r="DW775" i="93"/>
  <c r="II775" i="93"/>
  <c r="IW775" i="93"/>
  <c r="CA775" i="93"/>
  <c r="JA775" i="93"/>
  <c r="BZ775" i="93"/>
  <c r="BP775" i="93"/>
  <c r="EN775" i="93"/>
  <c r="BS775" i="93"/>
  <c r="CY775" i="93"/>
  <c r="EH775" i="93"/>
  <c r="IT775" i="93"/>
  <c r="EU775" i="93"/>
  <c r="BB775" i="93"/>
  <c r="IE775" i="93"/>
  <c r="BA775" i="93"/>
  <c r="CJ775" i="93"/>
  <c r="IJ775" i="93"/>
  <c r="W775" i="93"/>
  <c r="BX775" i="93"/>
  <c r="DC775" i="93"/>
  <c r="ES775" i="93"/>
  <c r="IQ775" i="93"/>
  <c r="EP775" i="93"/>
  <c r="DU775" i="93"/>
  <c r="CQ775" i="93"/>
  <c r="BR775" i="93"/>
  <c r="AW775" i="93"/>
  <c r="AA775" i="93"/>
  <c r="IU775" i="93"/>
  <c r="ET775" i="93"/>
  <c r="DY775" i="93"/>
  <c r="CP775" i="93"/>
  <c r="BQ775" i="93"/>
  <c r="AU775" i="93"/>
  <c r="Z775" i="93"/>
  <c r="X775" i="93"/>
  <c r="AN775" i="93"/>
  <c r="BD775" i="93"/>
  <c r="BT775" i="93"/>
  <c r="CN775" i="93"/>
  <c r="DL775" i="93"/>
  <c r="EB775" i="93"/>
  <c r="ER775" i="93"/>
  <c r="IN775" i="93"/>
  <c r="BC775" i="93"/>
  <c r="BE775" i="93"/>
  <c r="Y775" i="93"/>
  <c r="AI775" i="93"/>
  <c r="AY775" i="93"/>
  <c r="BU775" i="93"/>
  <c r="BY775" i="93"/>
  <c r="CI775" i="93"/>
  <c r="CT775" i="93"/>
  <c r="CZ775" i="93"/>
  <c r="DF775" i="93"/>
  <c r="DQ775" i="93"/>
  <c r="EA775" i="93"/>
  <c r="EL775" i="93"/>
  <c r="IM775" i="93"/>
  <c r="IX775" i="93"/>
  <c r="CU775" i="93"/>
  <c r="IL775" i="93"/>
  <c r="EK775" i="93"/>
  <c r="DO775" i="93"/>
  <c r="CL775" i="93"/>
  <c r="BM775" i="93"/>
  <c r="AQ775" i="93"/>
  <c r="A775" i="93"/>
  <c r="IP775" i="93"/>
  <c r="EO775" i="93"/>
  <c r="DS775" i="93"/>
  <c r="CK775" i="93"/>
  <c r="BK775" i="93"/>
  <c r="AP775" i="93"/>
  <c r="AB775" i="93"/>
  <c r="AR775" i="93"/>
  <c r="BH775" i="93"/>
  <c r="CB775" i="93"/>
  <c r="CR775" i="93"/>
  <c r="DP775" i="93"/>
  <c r="EF775" i="93"/>
  <c r="EV775" i="93"/>
  <c r="IR775" i="93"/>
  <c r="AS775" i="93"/>
  <c r="AT775" i="93"/>
  <c r="AC775" i="93"/>
  <c r="AM775" i="93"/>
  <c r="BI775" i="93"/>
  <c r="BV775" i="93"/>
  <c r="CC775" i="93"/>
  <c r="CM775" i="93"/>
  <c r="CW775" i="93"/>
  <c r="DA775" i="93"/>
  <c r="DG775" i="93"/>
  <c r="DR775" i="93"/>
  <c r="EC775" i="93"/>
  <c r="EM775" i="93"/>
  <c r="ID775" i="93"/>
  <c r="IO775" i="93"/>
  <c r="IY775" i="93"/>
  <c r="JB775" i="93"/>
  <c r="IG775" i="93"/>
  <c r="EE775" i="93"/>
  <c r="DJ775" i="93"/>
  <c r="CG775" i="93"/>
  <c r="BG775" i="93"/>
  <c r="AL775" i="93"/>
  <c r="IK775" i="93"/>
  <c r="EI775" i="93"/>
  <c r="DN775" i="93"/>
  <c r="CE775" i="93"/>
  <c r="BF775" i="93"/>
  <c r="AK775" i="93"/>
  <c r="AF775" i="93"/>
  <c r="AV775" i="93"/>
  <c r="BL775" i="93"/>
  <c r="CF775" i="93"/>
  <c r="DD775" i="93"/>
  <c r="DT775" i="93"/>
  <c r="EJ775" i="93"/>
  <c r="IF775" i="93"/>
  <c r="IV775" i="93"/>
  <c r="CV775" i="93"/>
  <c r="AD775" i="93"/>
  <c r="AO775" i="93"/>
  <c r="BJ775" i="93"/>
  <c r="BW775" i="93"/>
  <c r="CD775" i="93"/>
  <c r="CO775" i="93"/>
  <c r="CX775" i="93"/>
  <c r="DB775" i="93"/>
  <c r="DK775" i="93"/>
  <c r="DV775" i="93"/>
  <c r="EG775" i="93"/>
  <c r="EQ775" i="93"/>
  <c r="IH775" i="93"/>
  <c r="EZ774" i="93"/>
  <c r="JJ774" i="93"/>
  <c r="CW48" i="75"/>
  <c r="EW48" i="75"/>
  <c r="GK48" i="75"/>
  <c r="J98" i="75" s="1"/>
  <c r="HY48" i="75"/>
  <c r="J94" i="75" s="1"/>
  <c r="IS48" i="75"/>
  <c r="AX48" i="75"/>
  <c r="L65" i="75" s="1"/>
  <c r="BZ48" i="75"/>
  <c r="J113" i="75" s="1"/>
  <c r="CT48" i="75"/>
  <c r="CX48" i="75"/>
  <c r="DJ48" i="75"/>
  <c r="K73" i="75" s="1"/>
  <c r="DV48" i="75"/>
  <c r="M75" i="75" s="1"/>
  <c r="IL48" i="75"/>
  <c r="JB48" i="75"/>
  <c r="JJ48" i="75"/>
  <c r="EI48" i="75"/>
  <c r="K78" i="75" s="1"/>
  <c r="GE48" i="75"/>
  <c r="N100" i="75" s="1"/>
  <c r="HK48" i="75"/>
  <c r="K91" i="75" s="1"/>
  <c r="K108" i="75" s="1"/>
  <c r="F1150" i="93" s="1"/>
  <c r="IU48" i="75"/>
  <c r="FD48" i="75"/>
  <c r="L95" i="75" s="1"/>
  <c r="FH48" i="75"/>
  <c r="K96" i="75" s="1"/>
  <c r="FP48" i="75"/>
  <c r="N101" i="75" s="1"/>
  <c r="FX48" i="75"/>
  <c r="L99" i="75" s="1"/>
  <c r="GB48" i="75"/>
  <c r="K100" i="75" s="1"/>
  <c r="GR48" i="75"/>
  <c r="L87" i="75" s="1"/>
  <c r="GZ48" i="75"/>
  <c r="J89" i="75" s="1"/>
  <c r="HP48" i="75"/>
  <c r="K92" i="75" s="1"/>
  <c r="K109" i="75" s="1"/>
  <c r="HT48" i="75"/>
  <c r="J93" i="75" s="1"/>
  <c r="JD48" i="75"/>
  <c r="AN48" i="75"/>
  <c r="L59" i="75" s="1"/>
  <c r="AV48" i="75"/>
  <c r="J65" i="75" s="1"/>
  <c r="BT48" i="75"/>
  <c r="N68" i="75" s="1"/>
  <c r="CB48" i="75"/>
  <c r="L113" i="75" s="1"/>
  <c r="CF48" i="75"/>
  <c r="K114" i="75" s="1"/>
  <c r="CN48" i="75"/>
  <c r="DD48" i="75"/>
  <c r="J72" i="75" s="1"/>
  <c r="DH48" i="75"/>
  <c r="N72" i="75" s="1"/>
  <c r="DX48" i="75"/>
  <c r="J76" i="75" s="1"/>
  <c r="EB48" i="75"/>
  <c r="N76" i="75" s="1"/>
  <c r="EF48" i="75"/>
  <c r="EN48" i="75"/>
  <c r="K79" i="75" s="1"/>
  <c r="ER48" i="75"/>
  <c r="EV48" i="75"/>
  <c r="IF48" i="75"/>
  <c r="IJ48" i="75"/>
  <c r="IN48" i="75"/>
  <c r="IR48" i="75"/>
  <c r="IV48" i="75"/>
  <c r="IZ48" i="75"/>
  <c r="X48" i="75"/>
  <c r="K56" i="75" s="1"/>
  <c r="AB48" i="75"/>
  <c r="J57" i="75" s="1"/>
  <c r="AF48" i="75"/>
  <c r="N57" i="75" s="1"/>
  <c r="AJ48" i="75"/>
  <c r="AR48" i="75"/>
  <c r="BD48" i="75"/>
  <c r="M64" i="75" s="1"/>
  <c r="BH48" i="75"/>
  <c r="BL48" i="75"/>
  <c r="K69" i="75" s="1"/>
  <c r="BP48" i="75"/>
  <c r="J68" i="75" s="1"/>
  <c r="CJ48" i="75"/>
  <c r="CR48" i="75"/>
  <c r="M116" i="75" s="1"/>
  <c r="DL48" i="75"/>
  <c r="M73" i="75" s="1"/>
  <c r="DT48" i="75"/>
  <c r="K75" i="75" s="1"/>
  <c r="EJ48" i="75"/>
  <c r="L78" i="75" s="1"/>
  <c r="I421" i="93"/>
  <c r="J604" i="93"/>
  <c r="GF48" i="75"/>
  <c r="J97" i="75" s="1"/>
  <c r="HL48" i="75"/>
  <c r="L91" i="75" s="1"/>
  <c r="L108" i="75" s="1"/>
  <c r="F57" i="73" s="1"/>
  <c r="H57" i="73" s="1"/>
  <c r="JE774" i="93"/>
  <c r="JD774" i="93"/>
  <c r="JF774" i="93"/>
  <c r="JH774" i="93"/>
  <c r="JG774" i="93"/>
  <c r="JL774" i="93"/>
  <c r="JI774" i="93"/>
  <c r="DR774" i="93"/>
  <c r="EB774" i="93"/>
  <c r="EG774" i="93"/>
  <c r="Y48" i="75"/>
  <c r="L56" i="75" s="1"/>
  <c r="AC48" i="75"/>
  <c r="K57" i="75" s="1"/>
  <c r="AO48" i="75"/>
  <c r="M59" i="75" s="1"/>
  <c r="BA48" i="75"/>
  <c r="J64" i="75" s="1"/>
  <c r="BQ48" i="75"/>
  <c r="K68" i="75" s="1"/>
  <c r="BU48" i="75"/>
  <c r="J61" i="75" s="1"/>
  <c r="CC48" i="75"/>
  <c r="M113" i="75" s="1"/>
  <c r="CK48" i="75"/>
  <c r="CO48" i="75"/>
  <c r="J116" i="75" s="1"/>
  <c r="CS48" i="75"/>
  <c r="N116" i="75" s="1"/>
  <c r="DE48" i="75"/>
  <c r="K72" i="75" s="1"/>
  <c r="DI48" i="75"/>
  <c r="J73" i="75" s="1"/>
  <c r="DQ48" i="75"/>
  <c r="DY48" i="75"/>
  <c r="K76" i="75" s="1"/>
  <c r="EC48" i="75"/>
  <c r="EG48" i="75"/>
  <c r="EK48" i="75"/>
  <c r="M78" i="75" s="1"/>
  <c r="EO48" i="75"/>
  <c r="L79" i="75" s="1"/>
  <c r="ES48" i="75"/>
  <c r="FA48" i="75"/>
  <c r="FE48" i="75"/>
  <c r="M95" i="75" s="1"/>
  <c r="FI48" i="75"/>
  <c r="L96" i="75" s="1"/>
  <c r="FM48" i="75"/>
  <c r="K101" i="75" s="1"/>
  <c r="FQ48" i="75"/>
  <c r="J102" i="75" s="1"/>
  <c r="FU48" i="75"/>
  <c r="N102" i="75" s="1"/>
  <c r="FY48" i="75"/>
  <c r="M99" i="75" s="1"/>
  <c r="GC48" i="75"/>
  <c r="L100" i="75" s="1"/>
  <c r="GG48" i="75"/>
  <c r="K97" i="75" s="1"/>
  <c r="GO48" i="75"/>
  <c r="N98" i="75" s="1"/>
  <c r="GS48" i="75"/>
  <c r="M87" i="75" s="1"/>
  <c r="GW48" i="75"/>
  <c r="L88" i="75" s="1"/>
  <c r="HA48" i="75"/>
  <c r="K89" i="75" s="1"/>
  <c r="HE48" i="75"/>
  <c r="J90" i="75" s="1"/>
  <c r="HI48" i="75"/>
  <c r="N90" i="75" s="1"/>
  <c r="HM48" i="75"/>
  <c r="M91" i="75" s="1"/>
  <c r="M108" i="75" s="1"/>
  <c r="F1152" i="93" s="1"/>
  <c r="HQ48" i="75"/>
  <c r="L92" i="75" s="1"/>
  <c r="L109" i="75" s="1"/>
  <c r="K1151" i="93" s="1"/>
  <c r="HU48" i="75"/>
  <c r="K93" i="75" s="1"/>
  <c r="IC48" i="75"/>
  <c r="N94" i="75" s="1"/>
  <c r="IG48" i="75"/>
  <c r="IK48" i="75"/>
  <c r="IO48" i="75"/>
  <c r="IW48" i="75"/>
  <c r="JA48" i="75"/>
  <c r="JE48" i="75"/>
  <c r="JI48" i="75"/>
  <c r="JM48" i="75"/>
  <c r="JQ48" i="75"/>
  <c r="Z48" i="75"/>
  <c r="M56" i="75" s="1"/>
  <c r="AD48" i="75"/>
  <c r="L57" i="75" s="1"/>
  <c r="AH48" i="75"/>
  <c r="AL48" i="75"/>
  <c r="J59" i="75" s="1"/>
  <c r="AP48" i="75"/>
  <c r="N59" i="75" s="1"/>
  <c r="AT48" i="75"/>
  <c r="BB48" i="75"/>
  <c r="K64" i="75" s="1"/>
  <c r="BF48" i="75"/>
  <c r="BJ48" i="75"/>
  <c r="BN48" i="75"/>
  <c r="M69" i="75" s="1"/>
  <c r="BR48" i="75"/>
  <c r="L68" i="75" s="1"/>
  <c r="CD48" i="75"/>
  <c r="N113" i="75" s="1"/>
  <c r="CH48" i="75"/>
  <c r="M114" i="75" s="1"/>
  <c r="CL48" i="75"/>
  <c r="CP48" i="75"/>
  <c r="K116" i="75" s="1"/>
  <c r="DF48" i="75"/>
  <c r="L72" i="75" s="1"/>
  <c r="DN48" i="75"/>
  <c r="DR48" i="75"/>
  <c r="DZ48" i="75"/>
  <c r="L76" i="75" s="1"/>
  <c r="ED48" i="75"/>
  <c r="EL48" i="75"/>
  <c r="N78" i="75" s="1"/>
  <c r="EP48" i="75"/>
  <c r="M79" i="75" s="1"/>
  <c r="ET48" i="75"/>
  <c r="FJ48" i="75"/>
  <c r="M96" i="75" s="1"/>
  <c r="GH48" i="75"/>
  <c r="L97" i="75" s="1"/>
  <c r="GX48" i="75"/>
  <c r="M88" i="75" s="1"/>
  <c r="HJ48" i="75"/>
  <c r="J91" i="75" s="1"/>
  <c r="J108" i="75" s="1"/>
  <c r="F1149" i="93" s="1"/>
  <c r="HV48" i="75"/>
  <c r="L93" i="75" s="1"/>
  <c r="ID48" i="75"/>
  <c r="IH48" i="75"/>
  <c r="IP48" i="75"/>
  <c r="IT48" i="75"/>
  <c r="IX48" i="75"/>
  <c r="JF48" i="75"/>
  <c r="W48" i="75"/>
  <c r="J56" i="75" s="1"/>
  <c r="AA48" i="75"/>
  <c r="N56" i="75" s="1"/>
  <c r="AE48" i="75"/>
  <c r="M57" i="75" s="1"/>
  <c r="AI48" i="75"/>
  <c r="AM48" i="75"/>
  <c r="K59" i="75" s="1"/>
  <c r="AQ48" i="75"/>
  <c r="AU48" i="75"/>
  <c r="BC48" i="75"/>
  <c r="L64" i="75" s="1"/>
  <c r="BG48" i="75"/>
  <c r="BK48" i="75"/>
  <c r="J69" i="75" s="1"/>
  <c r="BO48" i="75"/>
  <c r="N69" i="75" s="1"/>
  <c r="BS48" i="75"/>
  <c r="M68" i="75" s="1"/>
  <c r="BW48" i="75"/>
  <c r="L61" i="75" s="1"/>
  <c r="CA48" i="75"/>
  <c r="K113" i="75" s="1"/>
  <c r="CE48" i="75"/>
  <c r="J114" i="75" s="1"/>
  <c r="CI48" i="75"/>
  <c r="N114" i="75" s="1"/>
  <c r="CM48" i="75"/>
  <c r="CU48" i="75"/>
  <c r="CY48" i="75"/>
  <c r="J118" i="75" s="1"/>
  <c r="DC48" i="75"/>
  <c r="N118" i="75" s="1"/>
  <c r="DG48" i="75"/>
  <c r="M72" i="75" s="1"/>
  <c r="DO48" i="75"/>
  <c r="DS48" i="75"/>
  <c r="J75" i="75" s="1"/>
  <c r="DW48" i="75"/>
  <c r="N75" i="75" s="1"/>
  <c r="EA48" i="75"/>
  <c r="M76" i="75" s="1"/>
  <c r="EE48" i="75"/>
  <c r="EM48" i="75"/>
  <c r="J79" i="75" s="1"/>
  <c r="EQ48" i="75"/>
  <c r="N79" i="75" s="1"/>
  <c r="EU48" i="75"/>
  <c r="FC48" i="75"/>
  <c r="K95" i="75" s="1"/>
  <c r="FG48" i="75"/>
  <c r="J96" i="75" s="1"/>
  <c r="FK48" i="75"/>
  <c r="N96" i="75" s="1"/>
  <c r="FO48" i="75"/>
  <c r="M101" i="75" s="1"/>
  <c r="FS48" i="75"/>
  <c r="L102" i="75" s="1"/>
  <c r="FW48" i="75"/>
  <c r="K99" i="75" s="1"/>
  <c r="GA48" i="75"/>
  <c r="J100" i="75" s="1"/>
  <c r="GI48" i="75"/>
  <c r="M97" i="75" s="1"/>
  <c r="GM48" i="75"/>
  <c r="L98" i="75" s="1"/>
  <c r="GQ48" i="75"/>
  <c r="K87" i="75" s="1"/>
  <c r="GU48" i="75"/>
  <c r="J88" i="75" s="1"/>
  <c r="GY48" i="75"/>
  <c r="N88" i="75" s="1"/>
  <c r="N107" i="75" s="1"/>
  <c r="K52" i="73" s="1"/>
  <c r="HC48" i="75"/>
  <c r="M89" i="75" s="1"/>
  <c r="HG48" i="75"/>
  <c r="L90" i="75" s="1"/>
  <c r="HO48" i="75"/>
  <c r="J92" i="75" s="1"/>
  <c r="J109" i="75" s="1"/>
  <c r="K1149" i="93" s="1"/>
  <c r="M1149" i="93" s="1"/>
  <c r="HS48" i="75"/>
  <c r="N92" i="75" s="1"/>
  <c r="N109" i="75" s="1"/>
  <c r="K1153" i="93" s="1"/>
  <c r="HW48" i="75"/>
  <c r="M93" i="75" s="1"/>
  <c r="IA48" i="75"/>
  <c r="L94" i="75" s="1"/>
  <c r="IE48" i="75"/>
  <c r="II48" i="75"/>
  <c r="IM48" i="75"/>
  <c r="IQ48" i="75"/>
  <c r="IY48" i="75"/>
  <c r="JC48" i="75"/>
  <c r="JG48" i="75"/>
  <c r="JK48" i="75"/>
  <c r="BY48" i="75"/>
  <c r="N61" i="75" s="1"/>
  <c r="DA48" i="75"/>
  <c r="L118" i="75" s="1"/>
  <c r="CP774" i="93"/>
  <c r="Z774" i="93"/>
  <c r="ER774" i="93"/>
  <c r="AU774" i="93"/>
  <c r="AF774" i="93"/>
  <c r="IU774" i="93"/>
  <c r="CG774" i="93"/>
  <c r="IL774" i="93"/>
  <c r="BZ774" i="93"/>
  <c r="IN774" i="93"/>
  <c r="DG774" i="93"/>
  <c r="EM774" i="93"/>
  <c r="DT774" i="93"/>
  <c r="AZ774" i="93"/>
  <c r="AI774" i="93"/>
  <c r="CF774" i="93"/>
  <c r="EK774" i="93"/>
  <c r="BF774" i="93"/>
  <c r="IO774" i="93"/>
  <c r="EH774" i="93"/>
  <c r="BS774" i="93"/>
  <c r="IT774" i="93"/>
  <c r="DD774" i="93"/>
  <c r="BE774" i="93"/>
  <c r="EA774" i="93"/>
  <c r="DE774" i="93"/>
  <c r="CN774" i="93"/>
  <c r="BT774" i="93"/>
  <c r="AY774" i="93"/>
  <c r="AC774" i="93"/>
  <c r="BG774" i="93"/>
  <c r="EL774" i="93"/>
  <c r="AM774" i="93"/>
  <c r="DH774" i="93"/>
  <c r="IY774" i="93"/>
  <c r="AG774" i="93"/>
  <c r="BK774" i="93"/>
  <c r="CK774" i="93"/>
  <c r="DI774" i="93"/>
  <c r="EQ774" i="93"/>
  <c r="AR774" i="93"/>
  <c r="EC774" i="93"/>
  <c r="IM774" i="93"/>
  <c r="CB774" i="93"/>
  <c r="IZ774" i="93"/>
  <c r="IJ774" i="93"/>
  <c r="EN774" i="93"/>
  <c r="AD774" i="93"/>
  <c r="AT774" i="93"/>
  <c r="BJ774" i="93"/>
  <c r="CD774" i="93"/>
  <c r="DF774" i="93"/>
  <c r="DV774" i="93"/>
  <c r="EP774" i="93"/>
  <c r="IQ774" i="93"/>
  <c r="ES774" i="93"/>
  <c r="DL774" i="93"/>
  <c r="DS774" i="93"/>
  <c r="EI774" i="93"/>
  <c r="AB774" i="93"/>
  <c r="AW774" i="93"/>
  <c r="IX774" i="93"/>
  <c r="DU774" i="93"/>
  <c r="CI774" i="93"/>
  <c r="BO774" i="93"/>
  <c r="AS774" i="93"/>
  <c r="X774" i="93"/>
  <c r="AE774" i="93"/>
  <c r="BM774" i="93"/>
  <c r="ET774" i="93"/>
  <c r="BA774" i="93"/>
  <c r="CJ774" i="93"/>
  <c r="DO774" i="93"/>
  <c r="AO774" i="93"/>
  <c r="BQ774" i="93"/>
  <c r="CR774" i="93"/>
  <c r="DQ774" i="93"/>
  <c r="IH774" i="93"/>
  <c r="IV774" i="93"/>
  <c r="IF774" i="93"/>
  <c r="EJ774" i="93"/>
  <c r="AH774" i="93"/>
  <c r="AH805" i="93" s="1"/>
  <c r="AX774" i="93"/>
  <c r="BN774" i="93"/>
  <c r="CH774" i="93"/>
  <c r="DJ774" i="93"/>
  <c r="DJ805" i="93" s="1"/>
  <c r="K830" i="93" s="1"/>
  <c r="DZ774" i="93"/>
  <c r="EU774" i="93"/>
  <c r="IW774" i="93"/>
  <c r="CM774" i="93"/>
  <c r="IK774" i="93"/>
  <c r="AJ774" i="93"/>
  <c r="IP774" i="93"/>
  <c r="EO774" i="93"/>
  <c r="DP774" i="93"/>
  <c r="CC774" i="93"/>
  <c r="BI774" i="93"/>
  <c r="AN774" i="93"/>
  <c r="AK774" i="93"/>
  <c r="CA774" i="93"/>
  <c r="DM774" i="93"/>
  <c r="ID774" i="93"/>
  <c r="BH774" i="93"/>
  <c r="CQ774" i="93"/>
  <c r="DW774" i="93"/>
  <c r="IE774" i="93"/>
  <c r="AV774" i="93"/>
  <c r="DX774" i="93"/>
  <c r="IS774" i="93"/>
  <c r="CO774" i="93"/>
  <c r="Y774" i="93"/>
  <c r="ED774" i="93"/>
  <c r="IR774" i="93"/>
  <c r="EV774" i="93"/>
  <c r="EF774" i="93"/>
  <c r="A774" i="93"/>
  <c r="AL774" i="93"/>
  <c r="BB774" i="93"/>
  <c r="BR774" i="93"/>
  <c r="CL774" i="93"/>
  <c r="DN774" i="93"/>
  <c r="EE774" i="93"/>
  <c r="IG774" i="93"/>
  <c r="JB774" i="93"/>
  <c r="AA774" i="93"/>
  <c r="BD774" i="93"/>
  <c r="DY774" i="93"/>
  <c r="AQ774" i="93"/>
  <c r="JA774" i="93"/>
  <c r="CE774" i="93"/>
  <c r="BP774" i="93"/>
  <c r="DK774" i="93"/>
  <c r="II774" i="93"/>
  <c r="A48" i="75"/>
  <c r="A5" i="75" s="1"/>
  <c r="AG48" i="75"/>
  <c r="AK48" i="75"/>
  <c r="AS48" i="75"/>
  <c r="AW48" i="75"/>
  <c r="K65" i="75" s="1"/>
  <c r="BE48" i="75"/>
  <c r="N64" i="75" s="1"/>
  <c r="BI48" i="75"/>
  <c r="BM48" i="75"/>
  <c r="L69" i="75" s="1"/>
  <c r="CG48" i="75"/>
  <c r="L114" i="75" s="1"/>
  <c r="DM48" i="75"/>
  <c r="N73" i="75" s="1"/>
  <c r="DU48" i="75"/>
  <c r="L75" i="75" s="1"/>
  <c r="J104" i="75"/>
  <c r="F41" i="73" s="1"/>
  <c r="F36" i="78"/>
  <c r="F34" i="78" s="1"/>
  <c r="E58" i="84"/>
  <c r="K58" i="84"/>
  <c r="J132" i="78"/>
  <c r="J149" i="78" s="1"/>
  <c r="J151" i="78" s="1"/>
  <c r="J153" i="78" s="1"/>
  <c r="E36" i="78"/>
  <c r="B44" i="78"/>
  <c r="F47" i="78" s="1"/>
  <c r="J164" i="78"/>
  <c r="K26" i="84"/>
  <c r="C83" i="74"/>
  <c r="J23" i="74"/>
  <c r="B111" i="74"/>
  <c r="B1067" i="93" s="1"/>
  <c r="J53" i="74"/>
  <c r="E23" i="74"/>
  <c r="E83" i="74"/>
  <c r="H23" i="74"/>
  <c r="D83" i="74"/>
  <c r="K83" i="74"/>
  <c r="K1039" i="93" s="1"/>
  <c r="B23" i="74"/>
  <c r="B53" i="74"/>
  <c r="H83" i="74"/>
  <c r="H1039" i="93" s="1"/>
  <c r="I53" i="74"/>
  <c r="G23" i="74"/>
  <c r="K53" i="74"/>
  <c r="F23" i="74"/>
  <c r="J83" i="74"/>
  <c r="J1039" i="93" s="1"/>
  <c r="F53" i="74"/>
  <c r="K23" i="74"/>
  <c r="D111" i="74"/>
  <c r="D1067" i="93" s="1"/>
  <c r="N400" i="93"/>
  <c r="K29" i="84"/>
  <c r="C36" i="84"/>
  <c r="G53" i="74"/>
  <c r="F83" i="74"/>
  <c r="D53" i="74"/>
  <c r="C23" i="74"/>
  <c r="G83" i="74"/>
  <c r="G1039" i="93" s="1"/>
  <c r="C53" i="74"/>
  <c r="F111" i="74"/>
  <c r="F1067" i="93" s="1"/>
  <c r="B83" i="74"/>
  <c r="I23" i="74"/>
  <c r="E111" i="74"/>
  <c r="E1067" i="93" s="1"/>
  <c r="H53" i="74"/>
  <c r="I1039" i="93"/>
  <c r="C111" i="74"/>
  <c r="E53" i="74"/>
  <c r="D23" i="74"/>
  <c r="G132" i="78"/>
  <c r="G474" i="93"/>
  <c r="G59" i="84"/>
  <c r="E59" i="84"/>
  <c r="C62" i="84"/>
  <c r="K59" i="84"/>
  <c r="I59" i="84"/>
  <c r="E980" i="93" l="1"/>
  <c r="E988" i="93" s="1"/>
  <c r="E32" i="74"/>
  <c r="I980" i="93"/>
  <c r="I988" i="93" s="1"/>
  <c r="I32" i="74"/>
  <c r="G58" i="84"/>
  <c r="G62" i="84" s="1"/>
  <c r="A805" i="93"/>
  <c r="A762" i="93" s="1"/>
  <c r="DR805" i="93"/>
  <c r="B1040" i="93"/>
  <c r="B1047" i="93" s="1"/>
  <c r="B91" i="74"/>
  <c r="K1010" i="93"/>
  <c r="K1018" i="93" s="1"/>
  <c r="K62" i="74"/>
  <c r="BN805" i="93"/>
  <c r="M826" i="93" s="1"/>
  <c r="IO805" i="93"/>
  <c r="DG805" i="93"/>
  <c r="M829" i="93" s="1"/>
  <c r="ER805" i="93"/>
  <c r="M70" i="75"/>
  <c r="K107" i="75"/>
  <c r="F1010" i="93"/>
  <c r="F1018" i="93" s="1"/>
  <c r="F62" i="74"/>
  <c r="K980" i="93"/>
  <c r="K988" i="93" s="1"/>
  <c r="K32" i="74"/>
  <c r="HU805" i="93"/>
  <c r="K850" i="93" s="1"/>
  <c r="E473" i="93"/>
  <c r="DO805" i="93"/>
  <c r="N58" i="75"/>
  <c r="D11" i="88" s="1"/>
  <c r="E11" i="88" s="1"/>
  <c r="J1040" i="93"/>
  <c r="J1047" i="93" s="1"/>
  <c r="J91" i="74"/>
  <c r="D1010" i="93"/>
  <c r="D1018" i="93" s="1"/>
  <c r="D62" i="74"/>
  <c r="H1010" i="93"/>
  <c r="H1018" i="93" s="1"/>
  <c r="H62" i="74"/>
  <c r="DQ805" i="93"/>
  <c r="EC805" i="93"/>
  <c r="M77" i="75"/>
  <c r="J58" i="75"/>
  <c r="R15" i="75"/>
  <c r="R772" i="93" s="1"/>
  <c r="D980" i="93"/>
  <c r="D988" i="93" s="1"/>
  <c r="D32" i="74"/>
  <c r="DU805" i="93"/>
  <c r="L832" i="93" s="1"/>
  <c r="EN805" i="93"/>
  <c r="K836" i="93" s="1"/>
  <c r="AI805" i="93"/>
  <c r="B980" i="93"/>
  <c r="B988" i="93" s="1"/>
  <c r="B32" i="74"/>
  <c r="G1040" i="93"/>
  <c r="G1047" i="93" s="1"/>
  <c r="G91" i="74"/>
  <c r="D1040" i="93"/>
  <c r="D1047" i="93" s="1"/>
  <c r="D91" i="74"/>
  <c r="J74" i="75"/>
  <c r="CK805" i="93"/>
  <c r="O113" i="75"/>
  <c r="J115" i="75"/>
  <c r="N74" i="75"/>
  <c r="J111" i="75"/>
  <c r="M115" i="75"/>
  <c r="M117" i="75" s="1"/>
  <c r="M119" i="75" s="1"/>
  <c r="N104" i="75"/>
  <c r="F45" i="73" s="1"/>
  <c r="J60" i="75"/>
  <c r="O75" i="75"/>
  <c r="N110" i="75"/>
  <c r="G1012" i="93"/>
  <c r="G1020" i="93" s="1"/>
  <c r="G64" i="74"/>
  <c r="K66" i="75"/>
  <c r="EP805" i="93"/>
  <c r="M836" i="93" s="1"/>
  <c r="BJ805" i="93"/>
  <c r="IT805" i="93"/>
  <c r="BF805" i="93"/>
  <c r="AZ805" i="93"/>
  <c r="N822" i="93" s="1"/>
  <c r="IN805" i="93"/>
  <c r="Z805" i="93"/>
  <c r="M813" i="93" s="1"/>
  <c r="F1151" i="93"/>
  <c r="H1151" i="93" s="1"/>
  <c r="BU805" i="93"/>
  <c r="J818" i="93" s="1"/>
  <c r="W805" i="93"/>
  <c r="J813" i="93" s="1"/>
  <c r="JC805" i="93"/>
  <c r="GX805" i="93"/>
  <c r="M845" i="93" s="1"/>
  <c r="GH805" i="93"/>
  <c r="L854" i="93" s="1"/>
  <c r="FR805" i="93"/>
  <c r="K859" i="93" s="1"/>
  <c r="FB805" i="93"/>
  <c r="J852" i="93" s="1"/>
  <c r="HQ805" i="93"/>
  <c r="L849" i="93" s="1"/>
  <c r="HA805" i="93"/>
  <c r="K846" i="93" s="1"/>
  <c r="K867" i="93" s="1"/>
  <c r="GK805" i="93"/>
  <c r="J855" i="93" s="1"/>
  <c r="J864" i="93" s="1"/>
  <c r="FU805" i="93"/>
  <c r="N859" i="93" s="1"/>
  <c r="FE805" i="93"/>
  <c r="M852" i="93" s="1"/>
  <c r="E28" i="74"/>
  <c r="E984" i="93" s="1"/>
  <c r="G1042" i="93"/>
  <c r="G1049" i="93" s="1"/>
  <c r="G93" i="74"/>
  <c r="CE805" i="93"/>
  <c r="J871" i="93" s="1"/>
  <c r="CM805" i="93"/>
  <c r="JA805" i="93"/>
  <c r="AA805" i="93"/>
  <c r="N813" i="93" s="1"/>
  <c r="AL805" i="93"/>
  <c r="J816" i="93" s="1"/>
  <c r="IR805" i="93"/>
  <c r="CH805" i="93"/>
  <c r="M871" i="93" s="1"/>
  <c r="AR805" i="93"/>
  <c r="CP805" i="93"/>
  <c r="K873" i="93" s="1"/>
  <c r="L106" i="75"/>
  <c r="F50" i="73" s="1"/>
  <c r="I50" i="73" s="1"/>
  <c r="EG805" i="93"/>
  <c r="HZ805" i="93"/>
  <c r="K851" i="93" s="1"/>
  <c r="HJ805" i="93"/>
  <c r="J848" i="93" s="1"/>
  <c r="J865" i="93" s="1"/>
  <c r="GD805" i="93"/>
  <c r="M857" i="93" s="1"/>
  <c r="D972" i="93"/>
  <c r="C1012" i="93"/>
  <c r="C1020" i="93" s="1"/>
  <c r="C64" i="74"/>
  <c r="F1070" i="93"/>
  <c r="F1077" i="93" s="1"/>
  <c r="F121" i="74"/>
  <c r="DK805" i="93"/>
  <c r="L830" i="93" s="1"/>
  <c r="JB805" i="93"/>
  <c r="ED805" i="93"/>
  <c r="DX805" i="93"/>
  <c r="J833" i="93" s="1"/>
  <c r="CQ805" i="93"/>
  <c r="L873" i="93" s="1"/>
  <c r="CA805" i="93"/>
  <c r="K870" i="93" s="1"/>
  <c r="AJ805" i="93"/>
  <c r="CJ805" i="93"/>
  <c r="AE805" i="93"/>
  <c r="M814" i="93" s="1"/>
  <c r="AB805" i="93"/>
  <c r="J814" i="93" s="1"/>
  <c r="AD805" i="93"/>
  <c r="L814" i="93" s="1"/>
  <c r="EQ805" i="93"/>
  <c r="N836" i="93" s="1"/>
  <c r="D1042" i="93"/>
  <c r="D1049" i="93" s="1"/>
  <c r="D93" i="74"/>
  <c r="J981" i="93"/>
  <c r="J989" i="93" s="1"/>
  <c r="J33" i="74"/>
  <c r="K1041" i="93"/>
  <c r="K1048" i="93" s="1"/>
  <c r="K92" i="74"/>
  <c r="K1042" i="93"/>
  <c r="K1049" i="93" s="1"/>
  <c r="K93" i="74"/>
  <c r="K982" i="93"/>
  <c r="K990" i="93" s="1"/>
  <c r="K34" i="74"/>
  <c r="B1041" i="93"/>
  <c r="B1048" i="93" s="1"/>
  <c r="B92" i="74"/>
  <c r="I1011" i="93"/>
  <c r="I1019" i="93" s="1"/>
  <c r="I63" i="74"/>
  <c r="J1012" i="93"/>
  <c r="J1020" i="93" s="1"/>
  <c r="J64" i="74"/>
  <c r="E1011" i="93"/>
  <c r="E1019" i="93" s="1"/>
  <c r="E63" i="74"/>
  <c r="F981" i="93"/>
  <c r="F989" i="93" s="1"/>
  <c r="F33" i="74"/>
  <c r="F1011" i="93"/>
  <c r="F1019" i="93" s="1"/>
  <c r="F63" i="74"/>
  <c r="K981" i="93"/>
  <c r="K989" i="93" s="1"/>
  <c r="K33" i="74"/>
  <c r="E1069" i="93"/>
  <c r="E1076" i="93" s="1"/>
  <c r="E120" i="74"/>
  <c r="G982" i="93"/>
  <c r="G990" i="93" s="1"/>
  <c r="G34" i="74"/>
  <c r="E1010" i="93"/>
  <c r="E1018" i="93" s="1"/>
  <c r="E62" i="74"/>
  <c r="F1068" i="93"/>
  <c r="F1075" i="93" s="1"/>
  <c r="F119" i="74"/>
  <c r="G1010" i="93"/>
  <c r="G1018" i="93" s="1"/>
  <c r="G62" i="74"/>
  <c r="K10" i="75"/>
  <c r="L10" i="75" s="1"/>
  <c r="I767" i="93"/>
  <c r="K767" i="93" s="1"/>
  <c r="L767" i="93" s="1"/>
  <c r="H981" i="93"/>
  <c r="H989" i="93" s="1"/>
  <c r="H33" i="74"/>
  <c r="D1041" i="93"/>
  <c r="D1048" i="93" s="1"/>
  <c r="D92" i="74"/>
  <c r="H1011" i="93"/>
  <c r="H1019" i="93" s="1"/>
  <c r="H63" i="74"/>
  <c r="I981" i="93"/>
  <c r="I989" i="93" s="1"/>
  <c r="I33" i="74"/>
  <c r="C1041" i="93"/>
  <c r="C1048" i="93" s="1"/>
  <c r="C92" i="74"/>
  <c r="K17" i="75"/>
  <c r="L17" i="75" s="1"/>
  <c r="I774" i="93"/>
  <c r="K774" i="93" s="1"/>
  <c r="L774" i="93" s="1"/>
  <c r="I1010" i="93"/>
  <c r="I1018" i="93" s="1"/>
  <c r="I62" i="74"/>
  <c r="K18" i="75"/>
  <c r="L18" i="75" s="1"/>
  <c r="I775" i="93"/>
  <c r="K775" i="93" s="1"/>
  <c r="L775" i="93" s="1"/>
  <c r="B1010" i="93"/>
  <c r="B1018" i="93" s="1"/>
  <c r="B62" i="74"/>
  <c r="H1041" i="93"/>
  <c r="H1048" i="93" s="1"/>
  <c r="H92" i="74"/>
  <c r="C981" i="93"/>
  <c r="C989" i="93" s="1"/>
  <c r="C33" i="74"/>
  <c r="I1041" i="93"/>
  <c r="I1048" i="93" s="1"/>
  <c r="I92" i="74"/>
  <c r="E1041" i="93"/>
  <c r="E1048" i="93" s="1"/>
  <c r="E92" i="74"/>
  <c r="E981" i="93"/>
  <c r="E989" i="93" s="1"/>
  <c r="E33" i="74"/>
  <c r="G1041" i="93"/>
  <c r="G1048" i="93" s="1"/>
  <c r="G92" i="74"/>
  <c r="K16" i="75"/>
  <c r="L16" i="75" s="1"/>
  <c r="I773" i="93"/>
  <c r="K773" i="93" s="1"/>
  <c r="L773" i="93" s="1"/>
  <c r="J980" i="93"/>
  <c r="J988" i="93" s="1"/>
  <c r="J32" i="74"/>
  <c r="E1040" i="93"/>
  <c r="E1047" i="93" s="1"/>
  <c r="E91" i="74"/>
  <c r="K13" i="75"/>
  <c r="L13" i="75" s="1"/>
  <c r="I770" i="93"/>
  <c r="K770" i="93" s="1"/>
  <c r="L770" i="93" s="1"/>
  <c r="G980" i="93"/>
  <c r="G988" i="93" s="1"/>
  <c r="G32" i="74"/>
  <c r="K1011" i="93"/>
  <c r="K1019" i="93" s="1"/>
  <c r="K63" i="74"/>
  <c r="B1011" i="93"/>
  <c r="B1019" i="93" s="1"/>
  <c r="B63" i="74"/>
  <c r="G981" i="93"/>
  <c r="G989" i="93" s="1"/>
  <c r="G33" i="74"/>
  <c r="J1041" i="93"/>
  <c r="J1048" i="93" s="1"/>
  <c r="J92" i="74"/>
  <c r="C1011" i="93"/>
  <c r="C1019" i="93" s="1"/>
  <c r="C63" i="74"/>
  <c r="F1069" i="93"/>
  <c r="F1076" i="93" s="1"/>
  <c r="F120" i="74"/>
  <c r="T1731" i="93"/>
  <c r="T177" i="72"/>
  <c r="F980" i="93"/>
  <c r="F988" i="93" s="1"/>
  <c r="F32" i="74"/>
  <c r="I1040" i="93"/>
  <c r="I1047" i="93" s="1"/>
  <c r="I91" i="74"/>
  <c r="C1040" i="93"/>
  <c r="C1047" i="93" s="1"/>
  <c r="C91" i="74"/>
  <c r="K11" i="75"/>
  <c r="L11" i="75" s="1"/>
  <c r="I768" i="93"/>
  <c r="K768" i="93" s="1"/>
  <c r="L768" i="93" s="1"/>
  <c r="G1011" i="93"/>
  <c r="G1019" i="93" s="1"/>
  <c r="G63" i="74"/>
  <c r="D1011" i="93"/>
  <c r="D1019" i="93" s="1"/>
  <c r="D63" i="74"/>
  <c r="B981" i="93"/>
  <c r="B989" i="93" s="1"/>
  <c r="B33" i="74"/>
  <c r="J1011" i="93"/>
  <c r="J1019" i="93" s="1"/>
  <c r="J63" i="74"/>
  <c r="K80" i="75"/>
  <c r="L66" i="75"/>
  <c r="HE805" i="93"/>
  <c r="J847" i="93" s="1"/>
  <c r="K111" i="75"/>
  <c r="K63" i="73" s="1"/>
  <c r="N63" i="73" s="1"/>
  <c r="J80" i="75"/>
  <c r="J77" i="75"/>
  <c r="J110" i="75"/>
  <c r="F1156" i="93" s="1"/>
  <c r="H1156" i="93" s="1"/>
  <c r="N77" i="75"/>
  <c r="BX805" i="93"/>
  <c r="M818" i="93" s="1"/>
  <c r="FG805" i="93"/>
  <c r="J853" i="93" s="1"/>
  <c r="J862" i="93" s="1"/>
  <c r="HC805" i="93"/>
  <c r="M846" i="93" s="1"/>
  <c r="E1068" i="93"/>
  <c r="E1075" i="93" s="1"/>
  <c r="E119" i="74"/>
  <c r="C1068" i="93"/>
  <c r="C1075" i="93" s="1"/>
  <c r="C119" i="74"/>
  <c r="L395" i="93"/>
  <c r="I982" i="93"/>
  <c r="I990" i="93" s="1"/>
  <c r="I34" i="74"/>
  <c r="F982" i="93"/>
  <c r="F990" i="93" s="1"/>
  <c r="F34" i="74"/>
  <c r="H982" i="93"/>
  <c r="H990" i="93" s="1"/>
  <c r="H34" i="74"/>
  <c r="O69" i="75"/>
  <c r="DN805" i="93"/>
  <c r="DM805" i="93"/>
  <c r="N830" i="93" s="1"/>
  <c r="BI805" i="93"/>
  <c r="IW805" i="93"/>
  <c r="EJ805" i="93"/>
  <c r="L835" i="93" s="1"/>
  <c r="BM805" i="93"/>
  <c r="L826" i="93" s="1"/>
  <c r="AW805" i="93"/>
  <c r="K822" i="93" s="1"/>
  <c r="DV805" i="93"/>
  <c r="M832" i="93" s="1"/>
  <c r="AM805" i="93"/>
  <c r="K816" i="93" s="1"/>
  <c r="BS805" i="93"/>
  <c r="M825" i="93" s="1"/>
  <c r="M827" i="93" s="1"/>
  <c r="L74" i="75"/>
  <c r="EB805" i="93"/>
  <c r="N833" i="93" s="1"/>
  <c r="DA805" i="93"/>
  <c r="L875" i="93" s="1"/>
  <c r="BV805" i="93"/>
  <c r="K818" i="93" s="1"/>
  <c r="CU805" i="93"/>
  <c r="CT805" i="93"/>
  <c r="BC805" i="93"/>
  <c r="L821" i="93" s="1"/>
  <c r="FN805" i="93"/>
  <c r="L858" i="93" s="1"/>
  <c r="EX805" i="93"/>
  <c r="IC805" i="93"/>
  <c r="N851" i="93" s="1"/>
  <c r="GW805" i="93"/>
  <c r="L845" i="93" s="1"/>
  <c r="HS805" i="93"/>
  <c r="N849" i="93" s="1"/>
  <c r="N866" i="93" s="1"/>
  <c r="GU805" i="93"/>
  <c r="J845" i="93" s="1"/>
  <c r="S568" i="93"/>
  <c r="B1042" i="93"/>
  <c r="B1049" i="93" s="1"/>
  <c r="B93" i="74"/>
  <c r="B982" i="93"/>
  <c r="B990" i="93" s="1"/>
  <c r="B34" i="74"/>
  <c r="K1012" i="93"/>
  <c r="K1020" i="93" s="1"/>
  <c r="K64" i="74"/>
  <c r="J982" i="93"/>
  <c r="J990" i="93" s="1"/>
  <c r="J34" i="74"/>
  <c r="J1042" i="93"/>
  <c r="J1049" i="93" s="1"/>
  <c r="J93" i="74"/>
  <c r="F1012" i="93"/>
  <c r="F1020" i="93" s="1"/>
  <c r="F64" i="74"/>
  <c r="E1042" i="93"/>
  <c r="E1049" i="93" s="1"/>
  <c r="E93" i="74"/>
  <c r="I1012" i="93"/>
  <c r="I1020" i="93" s="1"/>
  <c r="I64" i="74"/>
  <c r="E472" i="93"/>
  <c r="AQ805" i="93"/>
  <c r="EU805" i="93"/>
  <c r="IF805" i="93"/>
  <c r="CI805" i="93"/>
  <c r="N871" i="93" s="1"/>
  <c r="DF805" i="93"/>
  <c r="L829" i="93" s="1"/>
  <c r="AG805" i="93"/>
  <c r="BT805" i="93"/>
  <c r="N825" i="93" s="1"/>
  <c r="F58" i="73"/>
  <c r="EY805" i="93"/>
  <c r="HW805" i="93"/>
  <c r="M850" i="93" s="1"/>
  <c r="M867" i="93" s="1"/>
  <c r="FT805" i="93"/>
  <c r="M859" i="93" s="1"/>
  <c r="J568" i="93"/>
  <c r="J585" i="93" s="1"/>
  <c r="J587" i="93" s="1"/>
  <c r="J589" i="93" s="1"/>
  <c r="AP805" i="93"/>
  <c r="N816" i="93" s="1"/>
  <c r="R10" i="75"/>
  <c r="R767" i="93" s="1"/>
  <c r="P568" i="93"/>
  <c r="P585" i="93" s="1"/>
  <c r="P587" i="93" s="1"/>
  <c r="P589" i="93" s="1"/>
  <c r="E1012" i="93"/>
  <c r="E1020" i="93" s="1"/>
  <c r="E64" i="74"/>
  <c r="H1012" i="93"/>
  <c r="H1020" i="93" s="1"/>
  <c r="H64" i="74"/>
  <c r="F1042" i="93"/>
  <c r="F1049" i="93" s="1"/>
  <c r="F93" i="74"/>
  <c r="B1012" i="93"/>
  <c r="B1020" i="93" s="1"/>
  <c r="B64" i="74"/>
  <c r="I1042" i="93"/>
  <c r="I1049" i="93" s="1"/>
  <c r="I93" i="74"/>
  <c r="C1069" i="93"/>
  <c r="C1076" i="93" s="1"/>
  <c r="C120" i="74"/>
  <c r="B480" i="93"/>
  <c r="N66" i="75"/>
  <c r="DY805" i="93"/>
  <c r="K833" i="93" s="1"/>
  <c r="IK805" i="93"/>
  <c r="JI805" i="93"/>
  <c r="K58" i="75"/>
  <c r="K60" i="75" s="1"/>
  <c r="K62" i="75" s="1"/>
  <c r="H8" i="88" s="1"/>
  <c r="I8" i="88" s="1"/>
  <c r="FP805" i="93"/>
  <c r="N858" i="93" s="1"/>
  <c r="GO805" i="93"/>
  <c r="N855" i="93" s="1"/>
  <c r="C1070" i="93"/>
  <c r="C1077" i="93" s="1"/>
  <c r="C121" i="74"/>
  <c r="E982" i="93"/>
  <c r="E990" i="93" s="1"/>
  <c r="E34" i="74"/>
  <c r="H1042" i="93"/>
  <c r="H1049" i="93" s="1"/>
  <c r="H93" i="74"/>
  <c r="D1012" i="93"/>
  <c r="D1020" i="93" s="1"/>
  <c r="D64" i="74"/>
  <c r="E1070" i="93"/>
  <c r="E1077" i="93" s="1"/>
  <c r="E121" i="74"/>
  <c r="C1042" i="93"/>
  <c r="C1049" i="93" s="1"/>
  <c r="C93" i="74"/>
  <c r="D982" i="93"/>
  <c r="D990" i="93" s="1"/>
  <c r="D34" i="74"/>
  <c r="FS805" i="93"/>
  <c r="L859" i="93" s="1"/>
  <c r="HL805" i="93"/>
  <c r="L848" i="93" s="1"/>
  <c r="L865" i="93" s="1"/>
  <c r="B5" i="92"/>
  <c r="C139" i="90"/>
  <c r="K58" i="73"/>
  <c r="M58" i="73" s="1"/>
  <c r="BA805" i="93"/>
  <c r="J821" i="93" s="1"/>
  <c r="X805" i="93"/>
  <c r="K813" i="93" s="1"/>
  <c r="K77" i="75"/>
  <c r="K70" i="75"/>
  <c r="FA805" i="93"/>
  <c r="HO805" i="93"/>
  <c r="J849" i="93" s="1"/>
  <c r="J866" i="93" s="1"/>
  <c r="FC805" i="93"/>
  <c r="K852" i="93" s="1"/>
  <c r="FI805" i="93"/>
  <c r="L853" i="93" s="1"/>
  <c r="FF805" i="93"/>
  <c r="N852" i="93" s="1"/>
  <c r="HR805" i="93"/>
  <c r="M849" i="93" s="1"/>
  <c r="M866" i="93" s="1"/>
  <c r="JJ805" i="93"/>
  <c r="O73" i="75"/>
  <c r="D1069" i="93"/>
  <c r="D1076" i="93" s="1"/>
  <c r="D120" i="74"/>
  <c r="JO805" i="93"/>
  <c r="B1070" i="93"/>
  <c r="B1077" i="93" s="1"/>
  <c r="B121" i="74"/>
  <c r="B1068" i="93"/>
  <c r="B1075" i="93" s="1"/>
  <c r="B119" i="74"/>
  <c r="DS805" i="93"/>
  <c r="J832" i="93" s="1"/>
  <c r="J834" i="93" s="1"/>
  <c r="CG805" i="93"/>
  <c r="L871" i="93" s="1"/>
  <c r="CX805" i="93"/>
  <c r="GY805" i="93"/>
  <c r="N845" i="93" s="1"/>
  <c r="GE805" i="93"/>
  <c r="N857" i="93" s="1"/>
  <c r="CY805" i="93"/>
  <c r="J875" i="93" s="1"/>
  <c r="FV805" i="93"/>
  <c r="J856" i="93" s="1"/>
  <c r="GS805" i="93"/>
  <c r="M844" i="93" s="1"/>
  <c r="BL805" i="93"/>
  <c r="K826" i="93" s="1"/>
  <c r="BY805" i="93"/>
  <c r="N818" i="93" s="1"/>
  <c r="FX805" i="93"/>
  <c r="L856" i="93" s="1"/>
  <c r="GM805" i="93"/>
  <c r="L855" i="93" s="1"/>
  <c r="M111" i="75"/>
  <c r="K1159" i="93" s="1"/>
  <c r="M1159" i="93" s="1"/>
  <c r="M568" i="93"/>
  <c r="M585" i="93" s="1"/>
  <c r="M587" i="93" s="1"/>
  <c r="M589" i="93" s="1"/>
  <c r="B1069" i="93"/>
  <c r="B1076" i="93" s="1"/>
  <c r="B120" i="74"/>
  <c r="K14" i="75"/>
  <c r="L14" i="75" s="1"/>
  <c r="L48" i="75" s="1"/>
  <c r="L49" i="75" s="1"/>
  <c r="H122" i="75" s="1"/>
  <c r="H879" i="93" s="1"/>
  <c r="I771" i="93"/>
  <c r="K771" i="93" s="1"/>
  <c r="L771" i="93" s="1"/>
  <c r="O1848" i="93"/>
  <c r="E37" i="72"/>
  <c r="E1591" i="93" s="1"/>
  <c r="O56" i="75"/>
  <c r="I62" i="84"/>
  <c r="II805" i="93"/>
  <c r="IS805" i="93"/>
  <c r="DW805" i="93"/>
  <c r="N832" i="93" s="1"/>
  <c r="N834" i="93" s="1"/>
  <c r="IP805" i="93"/>
  <c r="BO805" i="93"/>
  <c r="N826" i="93" s="1"/>
  <c r="DL805" i="93"/>
  <c r="M830" i="93" s="1"/>
  <c r="AT805" i="93"/>
  <c r="IZ805" i="93"/>
  <c r="BK805" i="93"/>
  <c r="J826" i="93" s="1"/>
  <c r="AY805" i="93"/>
  <c r="M822" i="93" s="1"/>
  <c r="EA805" i="93"/>
  <c r="M833" i="93" s="1"/>
  <c r="EK805" i="93"/>
  <c r="M835" i="93" s="1"/>
  <c r="IU805" i="93"/>
  <c r="K74" i="75"/>
  <c r="K115" i="75"/>
  <c r="K117" i="75" s="1"/>
  <c r="K119" i="75" s="1"/>
  <c r="J70" i="75"/>
  <c r="M107" i="75"/>
  <c r="K1145" i="93" s="1"/>
  <c r="N111" i="75"/>
  <c r="K1160" i="93" s="1"/>
  <c r="M86" i="75"/>
  <c r="O79" i="75"/>
  <c r="O109" i="75"/>
  <c r="CZ805" i="93"/>
  <c r="K875" i="93" s="1"/>
  <c r="HN805" i="93"/>
  <c r="N848" i="93" s="1"/>
  <c r="N865" i="93" s="1"/>
  <c r="HP805" i="93"/>
  <c r="K849" i="93" s="1"/>
  <c r="K866" i="93" s="1"/>
  <c r="GZ805" i="93"/>
  <c r="J846" i="93" s="1"/>
  <c r="GJ805" i="93"/>
  <c r="N854" i="93" s="1"/>
  <c r="N863" i="93" s="1"/>
  <c r="FD805" i="93"/>
  <c r="L852" i="93" s="1"/>
  <c r="D976" i="93"/>
  <c r="D992" i="93" s="1"/>
  <c r="JN805" i="93"/>
  <c r="HK805" i="93"/>
  <c r="K848" i="93" s="1"/>
  <c r="K865" i="93" s="1"/>
  <c r="CS805" i="93"/>
  <c r="N873" i="93" s="1"/>
  <c r="FK805" i="93"/>
  <c r="N853" i="93" s="1"/>
  <c r="GA805" i="93"/>
  <c r="J857" i="93" s="1"/>
  <c r="GQ805" i="93"/>
  <c r="K844" i="93" s="1"/>
  <c r="HG805" i="93"/>
  <c r="L847" i="93" s="1"/>
  <c r="JK805" i="93"/>
  <c r="D1070" i="93"/>
  <c r="D1077" i="93" s="1"/>
  <c r="D121" i="74"/>
  <c r="D1068" i="93"/>
  <c r="D1075" i="93" s="1"/>
  <c r="D119" i="74"/>
  <c r="F969" i="93"/>
  <c r="E975" i="93"/>
  <c r="E971" i="93"/>
  <c r="E972" i="93" s="1"/>
  <c r="E976" i="93" s="1"/>
  <c r="E977" i="93"/>
  <c r="E471" i="93"/>
  <c r="CC805" i="93"/>
  <c r="M870" i="93" s="1"/>
  <c r="CR805" i="93"/>
  <c r="M873" i="93" s="1"/>
  <c r="CB805" i="93"/>
  <c r="L870" i="93" s="1"/>
  <c r="EL805" i="93"/>
  <c r="N835" i="93" s="1"/>
  <c r="BE805" i="93"/>
  <c r="N821" i="93" s="1"/>
  <c r="O76" i="75"/>
  <c r="M105" i="75"/>
  <c r="K44" i="73" s="1"/>
  <c r="JH805" i="93"/>
  <c r="HM805" i="93"/>
  <c r="M848" i="93" s="1"/>
  <c r="M865" i="93" s="1"/>
  <c r="FQ805" i="93"/>
  <c r="J859" i="93" s="1"/>
  <c r="JQ805" i="93"/>
  <c r="GF805" i="93"/>
  <c r="J854" i="93" s="1"/>
  <c r="BP805" i="93"/>
  <c r="J825" i="93" s="1"/>
  <c r="IG805" i="93"/>
  <c r="BR805" i="93"/>
  <c r="L825" i="93" s="1"/>
  <c r="EF805" i="93"/>
  <c r="Y805" i="93"/>
  <c r="L813" i="93" s="1"/>
  <c r="AV805" i="93"/>
  <c r="J822" i="93" s="1"/>
  <c r="BH805" i="93"/>
  <c r="AK805" i="93"/>
  <c r="DP805" i="93"/>
  <c r="DZ805" i="93"/>
  <c r="L833" i="93" s="1"/>
  <c r="AX805" i="93"/>
  <c r="L822" i="93" s="1"/>
  <c r="IV805" i="93"/>
  <c r="BQ805" i="93"/>
  <c r="K825" i="93" s="1"/>
  <c r="EI805" i="93"/>
  <c r="K835" i="93" s="1"/>
  <c r="IQ805" i="93"/>
  <c r="CD805" i="93"/>
  <c r="N870" i="93" s="1"/>
  <c r="IM805" i="93"/>
  <c r="DI805" i="93"/>
  <c r="J830" i="93" s="1"/>
  <c r="IY805" i="93"/>
  <c r="BG805" i="93"/>
  <c r="CN805" i="93"/>
  <c r="DD805" i="93"/>
  <c r="J829" i="93" s="1"/>
  <c r="DT805" i="93"/>
  <c r="K832" i="93" s="1"/>
  <c r="BZ805" i="93"/>
  <c r="J870" i="93" s="1"/>
  <c r="AF805" i="93"/>
  <c r="N814" i="93" s="1"/>
  <c r="N815" i="93" s="1"/>
  <c r="J107" i="75"/>
  <c r="K1142" i="93" s="1"/>
  <c r="K106" i="75"/>
  <c r="F49" i="73" s="1"/>
  <c r="JF805" i="93"/>
  <c r="J106" i="75"/>
  <c r="F1142" i="93" s="1"/>
  <c r="I1142" i="93" s="1"/>
  <c r="I1147" i="93" s="1"/>
  <c r="M66" i="75"/>
  <c r="DB805" i="93"/>
  <c r="M875" i="93" s="1"/>
  <c r="BW805" i="93"/>
  <c r="L818" i="93" s="1"/>
  <c r="CV805" i="93"/>
  <c r="CW805" i="93"/>
  <c r="DC805" i="93"/>
  <c r="N875" i="93" s="1"/>
  <c r="HV805" i="93"/>
  <c r="L850" i="93" s="1"/>
  <c r="HF805" i="93"/>
  <c r="K847" i="93" s="1"/>
  <c r="K868" i="93" s="1"/>
  <c r="GP805" i="93"/>
  <c r="J844" i="93" s="1"/>
  <c r="FZ805" i="93"/>
  <c r="N856" i="93" s="1"/>
  <c r="FJ805" i="93"/>
  <c r="M853" i="93" s="1"/>
  <c r="HY805" i="93"/>
  <c r="J851" i="93" s="1"/>
  <c r="J868" i="93" s="1"/>
  <c r="HI805" i="93"/>
  <c r="N847" i="93" s="1"/>
  <c r="GC805" i="93"/>
  <c r="L857" i="93" s="1"/>
  <c r="FM805" i="93"/>
  <c r="K858" i="93" s="1"/>
  <c r="EW805" i="93"/>
  <c r="JM805" i="93"/>
  <c r="HX805" i="93"/>
  <c r="N850" i="93" s="1"/>
  <c r="HH805" i="93"/>
  <c r="M847" i="93" s="1"/>
  <c r="GR805" i="93"/>
  <c r="L844" i="93" s="1"/>
  <c r="L863" i="93" s="1"/>
  <c r="GB805" i="93"/>
  <c r="K857" i="93" s="1"/>
  <c r="FL805" i="93"/>
  <c r="J858" i="93" s="1"/>
  <c r="GI805" i="93"/>
  <c r="M854" i="93" s="1"/>
  <c r="IA805" i="93"/>
  <c r="L851" i="93" s="1"/>
  <c r="FO805" i="93"/>
  <c r="M858" i="93" s="1"/>
  <c r="R12" i="75"/>
  <c r="R769" i="93" s="1"/>
  <c r="R18" i="75"/>
  <c r="R775" i="93" s="1"/>
  <c r="R13" i="75"/>
  <c r="R770" i="93" s="1"/>
  <c r="R11" i="75"/>
  <c r="R768" i="93" s="1"/>
  <c r="R17" i="75"/>
  <c r="R774" i="93" s="1"/>
  <c r="R16" i="75"/>
  <c r="R773" i="93" s="1"/>
  <c r="CL805" i="93"/>
  <c r="ES805" i="93"/>
  <c r="EH805" i="93"/>
  <c r="J835" i="93" s="1"/>
  <c r="O118" i="75"/>
  <c r="P65" i="66" s="1"/>
  <c r="M74" i="75"/>
  <c r="GG805" i="93"/>
  <c r="K854" i="93" s="1"/>
  <c r="IB805" i="93"/>
  <c r="M851" i="93" s="1"/>
  <c r="GV805" i="93"/>
  <c r="K845" i="93" s="1"/>
  <c r="JP805" i="93"/>
  <c r="K62" i="84"/>
  <c r="I1151" i="93"/>
  <c r="O114" i="75"/>
  <c r="BD805" i="93"/>
  <c r="M821" i="93" s="1"/>
  <c r="EE805" i="93"/>
  <c r="BB805" i="93"/>
  <c r="K821" i="93" s="1"/>
  <c r="K823" i="93" s="1"/>
  <c r="EV805" i="93"/>
  <c r="CO805" i="93"/>
  <c r="J873" i="93" s="1"/>
  <c r="IE805" i="93"/>
  <c r="ID805" i="93"/>
  <c r="AN805" i="93"/>
  <c r="L816" i="93" s="1"/>
  <c r="EO805" i="93"/>
  <c r="L836" i="93" s="1"/>
  <c r="IH805" i="93"/>
  <c r="AO805" i="93"/>
  <c r="M816" i="93" s="1"/>
  <c r="ET805" i="93"/>
  <c r="AS805" i="93"/>
  <c r="IX805" i="93"/>
  <c r="IJ805" i="93"/>
  <c r="DH805" i="93"/>
  <c r="N829" i="93" s="1"/>
  <c r="AC805" i="93"/>
  <c r="K814" i="93" s="1"/>
  <c r="K815" i="93" s="1"/>
  <c r="K817" i="93" s="1"/>
  <c r="DE805" i="93"/>
  <c r="K829" i="93" s="1"/>
  <c r="K831" i="93" s="1"/>
  <c r="CF805" i="93"/>
  <c r="K871" i="93" s="1"/>
  <c r="EM805" i="93"/>
  <c r="J836" i="93" s="1"/>
  <c r="IL805" i="93"/>
  <c r="AU805" i="93"/>
  <c r="O94" i="75"/>
  <c r="JL805" i="93"/>
  <c r="JD805" i="93"/>
  <c r="HB805" i="93"/>
  <c r="L846" i="93" s="1"/>
  <c r="GL805" i="93"/>
  <c r="K855" i="93" s="1"/>
  <c r="HT805" i="93"/>
  <c r="J850" i="93" s="1"/>
  <c r="HD805" i="93"/>
  <c r="N846" i="93" s="1"/>
  <c r="GN805" i="93"/>
  <c r="M855" i="93" s="1"/>
  <c r="FH805" i="93"/>
  <c r="K853" i="93" s="1"/>
  <c r="FW805" i="93"/>
  <c r="K856" i="93" s="1"/>
  <c r="C976" i="93"/>
  <c r="C992" i="93" s="1"/>
  <c r="JE805" i="93"/>
  <c r="F56" i="73"/>
  <c r="H56" i="73" s="1"/>
  <c r="K57" i="73"/>
  <c r="M57" i="73" s="1"/>
  <c r="L111" i="75"/>
  <c r="K1158" i="93" s="1"/>
  <c r="N1158" i="93" s="1"/>
  <c r="K86" i="75"/>
  <c r="L105" i="75"/>
  <c r="K43" i="73" s="1"/>
  <c r="M43" i="73" s="1"/>
  <c r="K59" i="73"/>
  <c r="N59" i="73" s="1"/>
  <c r="JG805" i="93"/>
  <c r="P184" i="75"/>
  <c r="J105" i="75"/>
  <c r="K41" i="73" s="1"/>
  <c r="N105" i="75"/>
  <c r="K45" i="73" s="1"/>
  <c r="N45" i="73" s="1"/>
  <c r="O89" i="75"/>
  <c r="L104" i="75"/>
  <c r="F43" i="73" s="1"/>
  <c r="I43" i="73" s="1"/>
  <c r="L107" i="75"/>
  <c r="K1144" i="93" s="1"/>
  <c r="K104" i="75"/>
  <c r="F1136" i="93" s="1"/>
  <c r="O186" i="75"/>
  <c r="O87" i="75"/>
  <c r="O101" i="75"/>
  <c r="L866" i="93"/>
  <c r="O100" i="75"/>
  <c r="N1149" i="93"/>
  <c r="N1154" i="93" s="1"/>
  <c r="J86" i="75"/>
  <c r="P186" i="75"/>
  <c r="O184" i="75"/>
  <c r="O88" i="75"/>
  <c r="M106" i="75"/>
  <c r="F1145" i="93" s="1"/>
  <c r="L86" i="75"/>
  <c r="K110" i="75"/>
  <c r="F63" i="73" s="1"/>
  <c r="K105" i="75"/>
  <c r="K42" i="73" s="1"/>
  <c r="EZ805" i="93"/>
  <c r="L84" i="75"/>
  <c r="K84" i="75"/>
  <c r="J66" i="75"/>
  <c r="M58" i="75"/>
  <c r="D10" i="88" s="1"/>
  <c r="E10" i="88" s="1"/>
  <c r="N70" i="75"/>
  <c r="N80" i="75"/>
  <c r="L80" i="75"/>
  <c r="O57" i="75"/>
  <c r="H74" i="93" s="1"/>
  <c r="O99" i="75"/>
  <c r="O61" i="75"/>
  <c r="F56" i="89" s="1"/>
  <c r="D37" i="90" s="1"/>
  <c r="N115" i="75"/>
  <c r="N117" i="75" s="1"/>
  <c r="N119" i="75" s="1"/>
  <c r="O59" i="75"/>
  <c r="H282" i="72" s="1"/>
  <c r="P185" i="75"/>
  <c r="J84" i="75"/>
  <c r="O98" i="75"/>
  <c r="O95" i="75"/>
  <c r="M80" i="75"/>
  <c r="O116" i="75"/>
  <c r="P63" i="66" s="1"/>
  <c r="O68" i="75"/>
  <c r="L58" i="75"/>
  <c r="D9" i="88" s="1"/>
  <c r="E9" i="88" s="1"/>
  <c r="O102" i="75"/>
  <c r="H1149" i="93"/>
  <c r="I1149" i="93"/>
  <c r="I1154" i="93" s="1"/>
  <c r="M84" i="75"/>
  <c r="M104" i="75"/>
  <c r="F44" i="73" s="1"/>
  <c r="I44" i="73" s="1"/>
  <c r="O92" i="75"/>
  <c r="K55" i="73"/>
  <c r="N55" i="73" s="1"/>
  <c r="F1135" i="93"/>
  <c r="H1135" i="93" s="1"/>
  <c r="O72" i="75"/>
  <c r="L110" i="75"/>
  <c r="F1158" i="93" s="1"/>
  <c r="H1158" i="93" s="1"/>
  <c r="N60" i="75"/>
  <c r="N62" i="75" s="1"/>
  <c r="H11" i="88" s="1"/>
  <c r="I11" i="88" s="1"/>
  <c r="F55" i="73"/>
  <c r="H55" i="73" s="1"/>
  <c r="O97" i="75"/>
  <c r="N84" i="75"/>
  <c r="O91" i="75"/>
  <c r="I57" i="73"/>
  <c r="N86" i="75"/>
  <c r="O78" i="75"/>
  <c r="L77" i="75"/>
  <c r="F1146" i="93"/>
  <c r="I1146" i="93" s="1"/>
  <c r="O96" i="75"/>
  <c r="O185" i="75"/>
  <c r="O93" i="75"/>
  <c r="K1146" i="93"/>
  <c r="N1146" i="93" s="1"/>
  <c r="L70" i="75"/>
  <c r="O90" i="75"/>
  <c r="D7" i="88"/>
  <c r="E7" i="88" s="1"/>
  <c r="M110" i="75"/>
  <c r="O64" i="75"/>
  <c r="I64" i="66" s="1"/>
  <c r="I1152" i="93"/>
  <c r="H1152" i="93"/>
  <c r="F62" i="73"/>
  <c r="I62" i="73" s="1"/>
  <c r="M52" i="73"/>
  <c r="N52" i="73"/>
  <c r="M1151" i="93"/>
  <c r="N1151" i="93"/>
  <c r="H58" i="73"/>
  <c r="I58" i="73"/>
  <c r="L115" i="75"/>
  <c r="L117" i="75" s="1"/>
  <c r="L119" i="75" s="1"/>
  <c r="O65" i="75"/>
  <c r="I63" i="66" s="1"/>
  <c r="K1143" i="93"/>
  <c r="K49" i="73"/>
  <c r="F1139" i="93"/>
  <c r="N1152" i="93"/>
  <c r="M1152" i="93"/>
  <c r="J117" i="75"/>
  <c r="J119" i="75" s="1"/>
  <c r="H41" i="73"/>
  <c r="I41" i="73"/>
  <c r="K1150" i="93"/>
  <c r="K56" i="73"/>
  <c r="N1153" i="93"/>
  <c r="M1153" i="93"/>
  <c r="F1153" i="93"/>
  <c r="F59" i="73"/>
  <c r="O108" i="75"/>
  <c r="H75" i="93"/>
  <c r="H64" i="66"/>
  <c r="K62" i="73"/>
  <c r="K1156" i="93"/>
  <c r="F1160" i="93"/>
  <c r="F66" i="73"/>
  <c r="J62" i="75"/>
  <c r="H52" i="73"/>
  <c r="I52" i="73"/>
  <c r="K51" i="73"/>
  <c r="I1150" i="93"/>
  <c r="H1150" i="93"/>
  <c r="N1159" i="93"/>
  <c r="G568" i="93"/>
  <c r="E38" i="78"/>
  <c r="G34" i="78" s="1"/>
  <c r="E62" i="84"/>
  <c r="E3" i="86"/>
  <c r="G35" i="86" s="1"/>
  <c r="H18" i="84"/>
  <c r="J18" i="84" s="1"/>
  <c r="F1039" i="93"/>
  <c r="E32" i="87"/>
  <c r="E15" i="87"/>
  <c r="I45" i="82"/>
  <c r="I979" i="93"/>
  <c r="G1009" i="93"/>
  <c r="E23" i="87"/>
  <c r="G65" i="82"/>
  <c r="F979" i="93"/>
  <c r="E12" i="87"/>
  <c r="F45" i="82"/>
  <c r="E30" i="87"/>
  <c r="D1039" i="93"/>
  <c r="J1009" i="93"/>
  <c r="J65" i="82"/>
  <c r="E26" i="87"/>
  <c r="C1009" i="93"/>
  <c r="C65" i="82"/>
  <c r="E19" i="87"/>
  <c r="E28" i="87"/>
  <c r="B1039" i="93"/>
  <c r="C45" i="82"/>
  <c r="C979" i="93"/>
  <c r="E9" i="87"/>
  <c r="K37" i="84"/>
  <c r="K35" i="84"/>
  <c r="K979" i="93"/>
  <c r="K45" i="82"/>
  <c r="E17" i="87"/>
  <c r="E27" i="87"/>
  <c r="K65" i="82"/>
  <c r="K1009" i="93"/>
  <c r="B1009" i="93"/>
  <c r="B65" i="82"/>
  <c r="E18" i="87"/>
  <c r="H979" i="93"/>
  <c r="E14" i="87"/>
  <c r="H45" i="82"/>
  <c r="E24" i="87"/>
  <c r="H65" i="82"/>
  <c r="H1009" i="93"/>
  <c r="D65" i="82"/>
  <c r="E20" i="87"/>
  <c r="D1009" i="93"/>
  <c r="E22" i="87"/>
  <c r="F1009" i="93"/>
  <c r="F65" i="82"/>
  <c r="G979" i="93"/>
  <c r="E13" i="87"/>
  <c r="G45" i="82"/>
  <c r="E8" i="87"/>
  <c r="B45" i="82"/>
  <c r="B37" i="74"/>
  <c r="C75" i="84"/>
  <c r="B979" i="93"/>
  <c r="E31" i="87"/>
  <c r="E1039" i="93"/>
  <c r="J979" i="93"/>
  <c r="J45" i="82"/>
  <c r="E16" i="87"/>
  <c r="I1009" i="93"/>
  <c r="I65" i="82"/>
  <c r="E25" i="87"/>
  <c r="E979" i="93"/>
  <c r="E11" i="87"/>
  <c r="E45" i="82"/>
  <c r="C1039" i="93"/>
  <c r="E29" i="87"/>
  <c r="E10" i="87"/>
  <c r="D979" i="93"/>
  <c r="D45" i="82"/>
  <c r="E1009" i="93"/>
  <c r="E21" i="87"/>
  <c r="E65" i="82"/>
  <c r="C1067" i="93"/>
  <c r="F483" i="93"/>
  <c r="G1776" i="93"/>
  <c r="G222" i="72"/>
  <c r="I422" i="93"/>
  <c r="B4" i="82"/>
  <c r="K9" i="88"/>
  <c r="K23" i="88" s="1"/>
  <c r="K28" i="88" s="1"/>
  <c r="J383" i="72"/>
  <c r="I59" i="68"/>
  <c r="J1937" i="93"/>
  <c r="C18" i="84"/>
  <c r="P45" i="73"/>
  <c r="P1139" i="93" s="1"/>
  <c r="L32" i="68"/>
  <c r="K837" i="93" l="1"/>
  <c r="I1156" i="93"/>
  <c r="I1161" i="93" s="1"/>
  <c r="K827" i="93"/>
  <c r="M831" i="93"/>
  <c r="J861" i="93"/>
  <c r="O122" i="75"/>
  <c r="B970" i="93"/>
  <c r="B971" i="93" s="1"/>
  <c r="L805" i="93"/>
  <c r="L806" i="93" s="1"/>
  <c r="O879" i="93" s="1"/>
  <c r="M834" i="93"/>
  <c r="N58" i="73"/>
  <c r="K65" i="73"/>
  <c r="N65" i="73" s="1"/>
  <c r="L862" i="93"/>
  <c r="B14" i="74"/>
  <c r="B15" i="74" s="1"/>
  <c r="N872" i="93"/>
  <c r="N874" i="93" s="1"/>
  <c r="N876" i="93" s="1"/>
  <c r="J872" i="93"/>
  <c r="J874" i="93" s="1"/>
  <c r="J876" i="93" s="1"/>
  <c r="M837" i="93"/>
  <c r="M815" i="93"/>
  <c r="M817" i="93" s="1"/>
  <c r="M819" i="93" s="1"/>
  <c r="J867" i="93"/>
  <c r="L867" i="93"/>
  <c r="M59" i="73"/>
  <c r="O873" i="93"/>
  <c r="N862" i="93"/>
  <c r="O826" i="93"/>
  <c r="M872" i="93"/>
  <c r="M874" i="93" s="1"/>
  <c r="M876" i="93" s="1"/>
  <c r="J815" i="93"/>
  <c r="J817" i="93" s="1"/>
  <c r="J819" i="93" s="1"/>
  <c r="O74" i="75"/>
  <c r="H66" i="93" s="1"/>
  <c r="K834" i="93"/>
  <c r="L827" i="93"/>
  <c r="D8" i="88"/>
  <c r="E8" i="88" s="1"/>
  <c r="E13" i="88" s="1"/>
  <c r="K66" i="73"/>
  <c r="M66" i="73" s="1"/>
  <c r="K819" i="93"/>
  <c r="H43" i="73"/>
  <c r="O66" i="75"/>
  <c r="N831" i="93"/>
  <c r="M55" i="73"/>
  <c r="L400" i="72"/>
  <c r="K862" i="93"/>
  <c r="N817" i="93"/>
  <c r="N819" i="93" s="1"/>
  <c r="L831" i="93"/>
  <c r="O813" i="93"/>
  <c r="L1954" i="93"/>
  <c r="L861" i="93"/>
  <c r="M843" i="93"/>
  <c r="P941" i="93"/>
  <c r="N837" i="93"/>
  <c r="O830" i="93"/>
  <c r="O833" i="93"/>
  <c r="P942" i="93"/>
  <c r="H65" i="66"/>
  <c r="H67" i="66"/>
  <c r="K1135" i="93"/>
  <c r="N1135" i="93" s="1"/>
  <c r="N1140" i="93" s="1"/>
  <c r="H73" i="93"/>
  <c r="P74" i="93"/>
  <c r="L815" i="93"/>
  <c r="L817" i="93" s="1"/>
  <c r="L819" i="93" s="1"/>
  <c r="H63" i="66"/>
  <c r="H62" i="66" s="1"/>
  <c r="J841" i="93"/>
  <c r="O859" i="93"/>
  <c r="N827" i="93"/>
  <c r="M63" i="73"/>
  <c r="O846" i="93"/>
  <c r="O856" i="93"/>
  <c r="O836" i="93"/>
  <c r="L837" i="93"/>
  <c r="K843" i="93"/>
  <c r="N861" i="93"/>
  <c r="L843" i="93"/>
  <c r="H50" i="73"/>
  <c r="F1144" i="93"/>
  <c r="N823" i="93"/>
  <c r="F28" i="74"/>
  <c r="F53" i="82" s="1"/>
  <c r="O943" i="93"/>
  <c r="O854" i="93"/>
  <c r="E53" i="82"/>
  <c r="H78" i="93"/>
  <c r="F1143" i="93"/>
  <c r="I1143" i="93" s="1"/>
  <c r="O832" i="93"/>
  <c r="O853" i="93"/>
  <c r="K64" i="73"/>
  <c r="E474" i="93"/>
  <c r="G470" i="93" s="1"/>
  <c r="F1157" i="93"/>
  <c r="I1157" i="93" s="1"/>
  <c r="O70" i="75"/>
  <c r="M841" i="93"/>
  <c r="P76" i="93"/>
  <c r="K1138" i="93"/>
  <c r="N1138" i="93" s="1"/>
  <c r="K1157" i="93"/>
  <c r="M1157" i="93" s="1"/>
  <c r="O849" i="93"/>
  <c r="N867" i="93"/>
  <c r="O867" i="93" s="1"/>
  <c r="D978" i="93"/>
  <c r="D987" i="93" s="1"/>
  <c r="H62" i="73"/>
  <c r="O866" i="93"/>
  <c r="M862" i="93"/>
  <c r="O857" i="93"/>
  <c r="L868" i="93"/>
  <c r="O941" i="93"/>
  <c r="O825" i="93"/>
  <c r="I75" i="93"/>
  <c r="O814" i="93"/>
  <c r="F1137" i="93"/>
  <c r="J827" i="93"/>
  <c r="J837" i="93"/>
  <c r="M864" i="93"/>
  <c r="O850" i="93"/>
  <c r="K864" i="93"/>
  <c r="O871" i="93"/>
  <c r="O821" i="93"/>
  <c r="O818" i="93"/>
  <c r="L823" i="93"/>
  <c r="L872" i="93"/>
  <c r="L874" i="93" s="1"/>
  <c r="L876" i="93" s="1"/>
  <c r="O865" i="93"/>
  <c r="O875" i="93"/>
  <c r="L864" i="93"/>
  <c r="N864" i="93"/>
  <c r="O942" i="93"/>
  <c r="O852" i="93"/>
  <c r="O847" i="93"/>
  <c r="F48" i="73"/>
  <c r="O851" i="93"/>
  <c r="O858" i="93"/>
  <c r="N841" i="93"/>
  <c r="J843" i="93"/>
  <c r="J831" i="93"/>
  <c r="O835" i="93"/>
  <c r="O822" i="93"/>
  <c r="H1146" i="93"/>
  <c r="I56" i="73"/>
  <c r="O106" i="75"/>
  <c r="K48" i="73"/>
  <c r="N48" i="73" s="1"/>
  <c r="J823" i="93"/>
  <c r="O870" i="93"/>
  <c r="K872" i="93"/>
  <c r="K874" i="93" s="1"/>
  <c r="K876" i="93" s="1"/>
  <c r="I55" i="73"/>
  <c r="O77" i="75"/>
  <c r="H68" i="93" s="1"/>
  <c r="O845" i="93"/>
  <c r="P943" i="93"/>
  <c r="H1142" i="93"/>
  <c r="N43" i="73"/>
  <c r="O111" i="75"/>
  <c r="F42" i="73"/>
  <c r="H42" i="73" s="1"/>
  <c r="O58" i="75"/>
  <c r="L1952" i="93" s="1"/>
  <c r="L1953" i="93" s="1"/>
  <c r="F51" i="73"/>
  <c r="H51" i="73" s="1"/>
  <c r="O816" i="93"/>
  <c r="L834" i="93"/>
  <c r="M1146" i="93"/>
  <c r="O848" i="93"/>
  <c r="M861" i="93"/>
  <c r="K1137" i="93"/>
  <c r="M823" i="93"/>
  <c r="M863" i="93"/>
  <c r="N843" i="93"/>
  <c r="L841" i="93"/>
  <c r="O844" i="93"/>
  <c r="K861" i="93"/>
  <c r="C978" i="93"/>
  <c r="K863" i="93"/>
  <c r="F971" i="93"/>
  <c r="F975" i="93"/>
  <c r="G969" i="93"/>
  <c r="F970" i="93"/>
  <c r="F977" i="93"/>
  <c r="E992" i="93"/>
  <c r="E978" i="93"/>
  <c r="O855" i="93"/>
  <c r="I1135" i="93"/>
  <c r="I1140" i="93" s="1"/>
  <c r="F60" i="73"/>
  <c r="K841" i="93"/>
  <c r="M60" i="75"/>
  <c r="M62" i="75" s="1"/>
  <c r="H10" i="88" s="1"/>
  <c r="I10" i="88" s="1"/>
  <c r="L60" i="75"/>
  <c r="L62" i="75" s="1"/>
  <c r="H9" i="88" s="1"/>
  <c r="I9" i="88" s="1"/>
  <c r="J863" i="93"/>
  <c r="N868" i="93"/>
  <c r="O107" i="75"/>
  <c r="M868" i="93"/>
  <c r="K60" i="73"/>
  <c r="I74" i="93"/>
  <c r="O829" i="93"/>
  <c r="C40" i="84"/>
  <c r="M45" i="73"/>
  <c r="K50" i="73"/>
  <c r="M50" i="73" s="1"/>
  <c r="N57" i="73"/>
  <c r="H44" i="73"/>
  <c r="M1158" i="93"/>
  <c r="O105" i="75"/>
  <c r="O104" i="75"/>
  <c r="I1158" i="93"/>
  <c r="K1139" i="93"/>
  <c r="K1136" i="93"/>
  <c r="N1136" i="93" s="1"/>
  <c r="O80" i="75"/>
  <c r="H67" i="93" s="1"/>
  <c r="O110" i="75"/>
  <c r="F1138" i="93"/>
  <c r="F64" i="73"/>
  <c r="H76" i="93"/>
  <c r="H1836" i="93"/>
  <c r="O84" i="75"/>
  <c r="O188" i="75" s="1"/>
  <c r="M42" i="73"/>
  <c r="N42" i="73"/>
  <c r="I44" i="74"/>
  <c r="C102" i="74"/>
  <c r="D44" i="74"/>
  <c r="I14" i="74"/>
  <c r="G44" i="74"/>
  <c r="F14" i="74"/>
  <c r="C14" i="74"/>
  <c r="E74" i="74"/>
  <c r="B74" i="74"/>
  <c r="O119" i="75"/>
  <c r="O115" i="75"/>
  <c r="P73" i="93" s="1"/>
  <c r="O86" i="75"/>
  <c r="E100" i="78" s="1"/>
  <c r="J100" i="78" s="1"/>
  <c r="F1159" i="93"/>
  <c r="F65" i="73"/>
  <c r="E102" i="74"/>
  <c r="I62" i="66"/>
  <c r="O117" i="75"/>
  <c r="M56" i="73"/>
  <c r="N56" i="73"/>
  <c r="I1139" i="93"/>
  <c r="H1139" i="93"/>
  <c r="M1142" i="93"/>
  <c r="N1142" i="93"/>
  <c r="N1147" i="93" s="1"/>
  <c r="M1144" i="93"/>
  <c r="N1144" i="93"/>
  <c r="K1154" i="93"/>
  <c r="M1150" i="93"/>
  <c r="N1150" i="93"/>
  <c r="M1160" i="93"/>
  <c r="N1160" i="93"/>
  <c r="M44" i="73"/>
  <c r="N44" i="73"/>
  <c r="M49" i="73"/>
  <c r="N49" i="73"/>
  <c r="I1145" i="93"/>
  <c r="H1145" i="93"/>
  <c r="H45" i="73"/>
  <c r="I45" i="73"/>
  <c r="N1143" i="93"/>
  <c r="M1143" i="93"/>
  <c r="K14" i="74"/>
  <c r="G74" i="74"/>
  <c r="H14" i="74"/>
  <c r="F102" i="74"/>
  <c r="H1160" i="93"/>
  <c r="I1160" i="93"/>
  <c r="I1153" i="93"/>
  <c r="H1153" i="93"/>
  <c r="F1154" i="93"/>
  <c r="M1145" i="93"/>
  <c r="N1145" i="93"/>
  <c r="K1147" i="93"/>
  <c r="H7" i="88"/>
  <c r="M1156" i="93"/>
  <c r="N1156" i="93"/>
  <c r="N1161" i="93" s="1"/>
  <c r="H1136" i="93"/>
  <c r="I1136" i="93"/>
  <c r="H49" i="73"/>
  <c r="I49" i="73"/>
  <c r="N62" i="73"/>
  <c r="M62" i="73"/>
  <c r="J74" i="74"/>
  <c r="M51" i="73"/>
  <c r="N51" i="73"/>
  <c r="H63" i="73"/>
  <c r="I63" i="73"/>
  <c r="N41" i="73"/>
  <c r="K46" i="73"/>
  <c r="M41" i="73"/>
  <c r="H66" i="73"/>
  <c r="I66" i="73"/>
  <c r="I59" i="73"/>
  <c r="H59" i="73"/>
  <c r="O17" i="86"/>
  <c r="C55" i="86"/>
  <c r="F35" i="86"/>
  <c r="G55" i="86"/>
  <c r="F55" i="86"/>
  <c r="E15" i="86"/>
  <c r="D35" i="86"/>
  <c r="F15" i="86"/>
  <c r="H15" i="86"/>
  <c r="E35" i="86"/>
  <c r="H35" i="86"/>
  <c r="I35" i="86"/>
  <c r="O16" i="86"/>
  <c r="D55" i="86"/>
  <c r="E55" i="86"/>
  <c r="C15" i="86"/>
  <c r="I15" i="86"/>
  <c r="D15" i="86"/>
  <c r="G15" i="86"/>
  <c r="C35" i="86"/>
  <c r="H55" i="86"/>
  <c r="E987" i="93"/>
  <c r="E991" i="93"/>
  <c r="G75" i="84"/>
  <c r="G77" i="84" s="1"/>
  <c r="C77" i="84"/>
  <c r="I75" i="84"/>
  <c r="I77" i="84" s="1"/>
  <c r="E75" i="84"/>
  <c r="E77" i="84" s="1"/>
  <c r="K75" i="84"/>
  <c r="K77" i="84" s="1"/>
  <c r="C987" i="93"/>
  <c r="C991" i="93"/>
  <c r="C37" i="74"/>
  <c r="C10" i="86"/>
  <c r="B993" i="93"/>
  <c r="D991" i="93"/>
  <c r="I60" i="68"/>
  <c r="P50" i="68"/>
  <c r="P51" i="68"/>
  <c r="M384" i="72"/>
  <c r="J384" i="72"/>
  <c r="J385" i="72" s="1"/>
  <c r="P413" i="93"/>
  <c r="I423" i="93"/>
  <c r="P414" i="93"/>
  <c r="C38" i="84"/>
  <c r="K40" i="84"/>
  <c r="D18" i="84"/>
  <c r="F39" i="88"/>
  <c r="M1938" i="93"/>
  <c r="M1939" i="93" s="1"/>
  <c r="J1938" i="93"/>
  <c r="J1939" i="93" s="1"/>
  <c r="C44" i="74"/>
  <c r="I74" i="74"/>
  <c r="C52" i="84"/>
  <c r="E52" i="84" s="1"/>
  <c r="J14" i="74"/>
  <c r="H44" i="74"/>
  <c r="F74" i="74"/>
  <c r="D102" i="74"/>
  <c r="F44" i="74"/>
  <c r="D74" i="74"/>
  <c r="B102" i="74"/>
  <c r="E14" i="74"/>
  <c r="K44" i="74"/>
  <c r="G14" i="74"/>
  <c r="E44" i="74"/>
  <c r="C74" i="74"/>
  <c r="K74" i="74"/>
  <c r="D14" i="74"/>
  <c r="B44" i="74"/>
  <c r="J44" i="74"/>
  <c r="H74" i="74"/>
  <c r="E103" i="74"/>
  <c r="C103" i="74"/>
  <c r="K75" i="74"/>
  <c r="I75" i="74"/>
  <c r="G75" i="74"/>
  <c r="E75" i="74"/>
  <c r="C75" i="74"/>
  <c r="K45" i="74"/>
  <c r="I45" i="74"/>
  <c r="G45" i="74"/>
  <c r="E45" i="74"/>
  <c r="C45" i="74"/>
  <c r="K15" i="74"/>
  <c r="I15" i="74"/>
  <c r="G15" i="74"/>
  <c r="E15" i="74"/>
  <c r="C15" i="74"/>
  <c r="F103" i="74"/>
  <c r="D103" i="74"/>
  <c r="B103" i="74"/>
  <c r="J75" i="74"/>
  <c r="H75" i="74"/>
  <c r="F75" i="74"/>
  <c r="D75" i="74"/>
  <c r="B75" i="74"/>
  <c r="J45" i="74"/>
  <c r="H45" i="74"/>
  <c r="F45" i="74"/>
  <c r="F46" i="74" s="1"/>
  <c r="F50" i="74" s="1"/>
  <c r="D45" i="74"/>
  <c r="B45" i="74"/>
  <c r="J15" i="74"/>
  <c r="H15" i="74"/>
  <c r="F15" i="74"/>
  <c r="D15" i="74"/>
  <c r="C53" i="84"/>
  <c r="B16" i="74"/>
  <c r="K5" i="74" s="1"/>
  <c r="B972" i="93" l="1"/>
  <c r="M1135" i="93"/>
  <c r="M65" i="73"/>
  <c r="H66" i="66"/>
  <c r="H68" i="66" s="1"/>
  <c r="O827" i="93"/>
  <c r="O831" i="93"/>
  <c r="O862" i="93"/>
  <c r="H1143" i="93"/>
  <c r="M1952" i="93"/>
  <c r="N66" i="73"/>
  <c r="N50" i="73"/>
  <c r="H55" i="66"/>
  <c r="K67" i="73"/>
  <c r="H57" i="66"/>
  <c r="F1147" i="93"/>
  <c r="O834" i="93"/>
  <c r="O837" i="93"/>
  <c r="H56" i="66"/>
  <c r="D12" i="88"/>
  <c r="F46" i="73"/>
  <c r="I42" i="73"/>
  <c r="I46" i="73" s="1"/>
  <c r="I73" i="93"/>
  <c r="H77" i="93"/>
  <c r="H79" i="93" s="1"/>
  <c r="O815" i="93"/>
  <c r="P75" i="93"/>
  <c r="P77" i="93" s="1"/>
  <c r="P82" i="93" s="1"/>
  <c r="D104" i="74"/>
  <c r="D108" i="74" s="1"/>
  <c r="C104" i="74"/>
  <c r="C108" i="74" s="1"/>
  <c r="O19" i="86"/>
  <c r="O23" i="86" s="1"/>
  <c r="O25" i="86" s="1"/>
  <c r="O31" i="86" s="1"/>
  <c r="G28" i="74"/>
  <c r="F984" i="93"/>
  <c r="O823" i="93"/>
  <c r="I1144" i="93"/>
  <c r="H1144" i="93"/>
  <c r="F16" i="74"/>
  <c r="F20" i="74" s="1"/>
  <c r="G76" i="74"/>
  <c r="G80" i="74" s="1"/>
  <c r="H1157" i="93"/>
  <c r="K1161" i="93"/>
  <c r="O819" i="93"/>
  <c r="J937" i="93" s="1"/>
  <c r="N1157" i="93"/>
  <c r="F1161" i="93"/>
  <c r="K52" i="84"/>
  <c r="M1138" i="93"/>
  <c r="O843" i="93"/>
  <c r="M48" i="73"/>
  <c r="M64" i="73"/>
  <c r="N64" i="73"/>
  <c r="N67" i="73" s="1"/>
  <c r="O868" i="93"/>
  <c r="K16" i="74"/>
  <c r="K20" i="74" s="1"/>
  <c r="E104" i="74"/>
  <c r="E108" i="74" s="1"/>
  <c r="O864" i="93"/>
  <c r="H48" i="73"/>
  <c r="I48" i="73"/>
  <c r="H1137" i="93"/>
  <c r="I1137" i="93"/>
  <c r="G52" i="84"/>
  <c r="E76" i="74"/>
  <c r="E80" i="74" s="1"/>
  <c r="K53" i="73"/>
  <c r="O841" i="93"/>
  <c r="O944" i="93" s="1"/>
  <c r="I52" i="84"/>
  <c r="J76" i="74"/>
  <c r="J80" i="74" s="1"/>
  <c r="C16" i="74"/>
  <c r="C20" i="74" s="1"/>
  <c r="N53" i="73"/>
  <c r="L398" i="72"/>
  <c r="L399" i="72" s="1"/>
  <c r="M398" i="72" s="1"/>
  <c r="O397" i="72" s="1"/>
  <c r="O1951" i="93" s="1"/>
  <c r="I51" i="73"/>
  <c r="O872" i="93"/>
  <c r="F53" i="73"/>
  <c r="O863" i="93"/>
  <c r="J16" i="74"/>
  <c r="J20" i="74" s="1"/>
  <c r="I60" i="73"/>
  <c r="O62" i="75"/>
  <c r="D570" i="93" s="1"/>
  <c r="O817" i="93"/>
  <c r="I46" i="74"/>
  <c r="I50" i="74" s="1"/>
  <c r="H46" i="74"/>
  <c r="H50" i="74" s="1"/>
  <c r="E13" i="84"/>
  <c r="K18" i="88" s="1"/>
  <c r="O876" i="93"/>
  <c r="O861" i="93"/>
  <c r="F972" i="93"/>
  <c r="F976" i="93" s="1"/>
  <c r="F992" i="93" s="1"/>
  <c r="N1137" i="93"/>
  <c r="M1137" i="93"/>
  <c r="H76" i="74"/>
  <c r="H80" i="74" s="1"/>
  <c r="G46" i="74"/>
  <c r="F76" i="74"/>
  <c r="F80" i="74" s="1"/>
  <c r="O874" i="93"/>
  <c r="H969" i="93"/>
  <c r="G970" i="93"/>
  <c r="G971" i="93"/>
  <c r="G975" i="93"/>
  <c r="G977" i="93"/>
  <c r="G984" i="93"/>
  <c r="H28" i="74"/>
  <c r="G53" i="82"/>
  <c r="H16" i="74"/>
  <c r="H20" i="74" s="1"/>
  <c r="N46" i="73"/>
  <c r="K1140" i="93"/>
  <c r="N60" i="73"/>
  <c r="M1136" i="93"/>
  <c r="O60" i="75"/>
  <c r="F43" i="78" s="1"/>
  <c r="O187" i="75"/>
  <c r="N1139" i="93"/>
  <c r="M1139" i="93"/>
  <c r="L1968" i="93"/>
  <c r="H1138" i="93"/>
  <c r="I1138" i="93"/>
  <c r="L414" i="72"/>
  <c r="F1140" i="93"/>
  <c r="P67" i="93"/>
  <c r="H64" i="73"/>
  <c r="I64" i="73"/>
  <c r="P62" i="66"/>
  <c r="P64" i="66" s="1"/>
  <c r="P66" i="66" s="1"/>
  <c r="P71" i="66" s="1"/>
  <c r="G570" i="93" s="1"/>
  <c r="P56" i="66"/>
  <c r="P187" i="75"/>
  <c r="P188" i="75" s="1"/>
  <c r="P179" i="75" s="1"/>
  <c r="I16" i="74"/>
  <c r="I20" i="74" s="1"/>
  <c r="J480" i="93"/>
  <c r="J44" i="78"/>
  <c r="E536" i="93"/>
  <c r="J536" i="93" s="1"/>
  <c r="H65" i="73"/>
  <c r="I65" i="73"/>
  <c r="H1159" i="93"/>
  <c r="I1159" i="93"/>
  <c r="F67" i="73"/>
  <c r="K76" i="74"/>
  <c r="K80" i="74" s="1"/>
  <c r="F480" i="93"/>
  <c r="F44" i="78"/>
  <c r="H12" i="88"/>
  <c r="D34" i="90" s="1"/>
  <c r="I7" i="88"/>
  <c r="I13" i="88" s="1"/>
  <c r="F124" i="78"/>
  <c r="E514" i="93"/>
  <c r="C81" i="84"/>
  <c r="C80" i="84"/>
  <c r="C993" i="93"/>
  <c r="D37" i="74"/>
  <c r="D10" i="86"/>
  <c r="P52" i="68"/>
  <c r="P415" i="93"/>
  <c r="D76" i="74"/>
  <c r="D80" i="74" s="1"/>
  <c r="B104" i="74"/>
  <c r="B108" i="74" s="1"/>
  <c r="I76" i="74"/>
  <c r="I80" i="74" s="1"/>
  <c r="K46" i="74"/>
  <c r="K50" i="74" s="1"/>
  <c r="F104" i="74"/>
  <c r="F108" i="74" s="1"/>
  <c r="G16" i="74"/>
  <c r="G20" i="74" s="1"/>
  <c r="J46" i="74"/>
  <c r="J50" i="74" s="1"/>
  <c r="C46" i="74"/>
  <c r="C50" i="74" s="1"/>
  <c r="G50" i="74"/>
  <c r="K53" i="84"/>
  <c r="K54" i="84" s="1"/>
  <c r="K56" i="84" s="1"/>
  <c r="K64" i="84" s="1"/>
  <c r="I53" i="84"/>
  <c r="I54" i="84" s="1"/>
  <c r="G53" i="84"/>
  <c r="G54" i="84" s="1"/>
  <c r="E53" i="84"/>
  <c r="E54" i="84" s="1"/>
  <c r="D16" i="74"/>
  <c r="D20" i="74" s="1"/>
  <c r="D46" i="74"/>
  <c r="D50" i="74" s="1"/>
  <c r="E46" i="74"/>
  <c r="B46" i="74"/>
  <c r="B50" i="74" s="1"/>
  <c r="B976" i="93"/>
  <c r="B76" i="74"/>
  <c r="B80" i="74" s="1"/>
  <c r="C76" i="74"/>
  <c r="C80" i="74" s="1"/>
  <c r="J4" i="91"/>
  <c r="E16" i="74"/>
  <c r="E20" i="74" s="1"/>
  <c r="C54" i="84"/>
  <c r="C56" i="84" s="1"/>
  <c r="C64" i="84" s="1"/>
  <c r="B20" i="74"/>
  <c r="H7" i="84" l="1"/>
  <c r="E26" i="89" s="1"/>
  <c r="N97" i="93"/>
  <c r="D134" i="78"/>
  <c r="H16" i="85"/>
  <c r="J154" i="78"/>
  <c r="J155" i="78" s="1"/>
  <c r="J157" i="78" s="1"/>
  <c r="F1163" i="93"/>
  <c r="K69" i="73"/>
  <c r="P479" i="93"/>
  <c r="K1163" i="93"/>
  <c r="J938" i="93"/>
  <c r="J939" i="93"/>
  <c r="I53" i="73"/>
  <c r="J182" i="75"/>
  <c r="F560" i="93"/>
  <c r="J181" i="75"/>
  <c r="L1951" i="93"/>
  <c r="E483" i="93"/>
  <c r="J180" i="75"/>
  <c r="M408" i="72"/>
  <c r="P405" i="72" s="1"/>
  <c r="P177" i="75"/>
  <c r="L397" i="72"/>
  <c r="O1980" i="93"/>
  <c r="O1981" i="93" s="1"/>
  <c r="N94" i="93"/>
  <c r="J1836" i="93"/>
  <c r="L1836" i="93" s="1"/>
  <c r="P944" i="93"/>
  <c r="P945" i="93" s="1"/>
  <c r="J479" i="93"/>
  <c r="E78" i="78"/>
  <c r="N86" i="66"/>
  <c r="P155" i="72"/>
  <c r="P1709" i="93" s="1"/>
  <c r="O426" i="72"/>
  <c r="O427" i="72" s="1"/>
  <c r="O1975" i="93"/>
  <c r="O1976" i="93" s="1"/>
  <c r="O155" i="72"/>
  <c r="O1709" i="93" s="1"/>
  <c r="M1962" i="93"/>
  <c r="F69" i="73"/>
  <c r="M69" i="73"/>
  <c r="M1163" i="93" s="1"/>
  <c r="O945" i="93"/>
  <c r="E47" i="78"/>
  <c r="J43" i="78"/>
  <c r="J282" i="72"/>
  <c r="L282" i="72" s="1"/>
  <c r="P282" i="72" s="1"/>
  <c r="N83" i="66"/>
  <c r="M305" i="73"/>
  <c r="L305" i="73" s="1"/>
  <c r="O421" i="72"/>
  <c r="O422" i="72" s="1"/>
  <c r="C13" i="84"/>
  <c r="F52" i="89" s="1"/>
  <c r="M301" i="73"/>
  <c r="L301" i="73" s="1"/>
  <c r="P590" i="93"/>
  <c r="P591" i="93" s="1"/>
  <c r="P593" i="93" s="1"/>
  <c r="H984" i="93"/>
  <c r="I28" i="74"/>
  <c r="H53" i="82"/>
  <c r="P43" i="78"/>
  <c r="I67" i="73"/>
  <c r="M154" i="78"/>
  <c r="M155" i="78" s="1"/>
  <c r="M157" i="78" s="1"/>
  <c r="F479" i="93"/>
  <c r="J590" i="93"/>
  <c r="J591" i="93" s="1"/>
  <c r="J593" i="93" s="1"/>
  <c r="G972" i="93"/>
  <c r="G976" i="93"/>
  <c r="G978" i="93" s="1"/>
  <c r="F978" i="93"/>
  <c r="H975" i="93"/>
  <c r="H970" i="93"/>
  <c r="H977" i="93"/>
  <c r="H971" i="93"/>
  <c r="I969" i="93"/>
  <c r="J45" i="72"/>
  <c r="O157" i="66"/>
  <c r="L49" i="72"/>
  <c r="P154" i="78"/>
  <c r="P155" i="78" s="1"/>
  <c r="P157" i="78" s="1"/>
  <c r="O168" i="93"/>
  <c r="P168" i="93"/>
  <c r="J1599" i="93"/>
  <c r="P156" i="66"/>
  <c r="L52" i="72"/>
  <c r="K49" i="72"/>
  <c r="M590" i="93"/>
  <c r="M591" i="93" s="1"/>
  <c r="M593" i="93" s="1"/>
  <c r="P167" i="93"/>
  <c r="P157" i="66"/>
  <c r="K52" i="72"/>
  <c r="K48" i="72"/>
  <c r="L48" i="72"/>
  <c r="K13" i="84"/>
  <c r="H20" i="84" s="1"/>
  <c r="G134" i="78"/>
  <c r="B977" i="93"/>
  <c r="B21" i="74"/>
  <c r="C66" i="84"/>
  <c r="P936" i="93"/>
  <c r="M180" i="75"/>
  <c r="E172" i="90"/>
  <c r="E173" i="90" s="1"/>
  <c r="P180" i="75"/>
  <c r="E47" i="92"/>
  <c r="I56" i="84"/>
  <c r="I64" i="84" s="1"/>
  <c r="F54" i="89"/>
  <c r="D33" i="90" s="1"/>
  <c r="F16" i="85"/>
  <c r="H19" i="84"/>
  <c r="D993" i="93"/>
  <c r="E37" i="74"/>
  <c r="E10" i="86"/>
  <c r="G56" i="84"/>
  <c r="G64" i="84" s="1"/>
  <c r="P927" i="93"/>
  <c r="P170" i="75"/>
  <c r="E50" i="74"/>
  <c r="K7" i="74"/>
  <c r="E56" i="84"/>
  <c r="E64" i="84" s="1"/>
  <c r="O282" i="72" l="1"/>
  <c r="C20" i="84"/>
  <c r="G15" i="82"/>
  <c r="G19" i="82" s="1"/>
  <c r="P153" i="72"/>
  <c r="P1707" i="93" s="1"/>
  <c r="H69" i="73"/>
  <c r="P63" i="73" s="1"/>
  <c r="K13" i="88" s="1"/>
  <c r="M1399" i="93"/>
  <c r="L1399" i="93" s="1"/>
  <c r="J158" i="78"/>
  <c r="D16" i="83"/>
  <c r="J594" i="93"/>
  <c r="O153" i="72"/>
  <c r="O1707" i="93" s="1"/>
  <c r="M1395" i="93"/>
  <c r="L1395" i="93" s="1"/>
  <c r="K19" i="88"/>
  <c r="I39" i="88" s="1"/>
  <c r="K38" i="88" s="1"/>
  <c r="O405" i="72"/>
  <c r="O1959" i="93" s="1"/>
  <c r="C19" i="84"/>
  <c r="G991" i="93"/>
  <c r="G987" i="93"/>
  <c r="G992" i="93"/>
  <c r="J28" i="74"/>
  <c r="I53" i="82"/>
  <c r="I984" i="93"/>
  <c r="I975" i="93"/>
  <c r="I971" i="93"/>
  <c r="J969" i="93"/>
  <c r="I977" i="93"/>
  <c r="I970" i="93"/>
  <c r="F987" i="93"/>
  <c r="F991" i="93"/>
  <c r="H972" i="93"/>
  <c r="H976" i="93" s="1"/>
  <c r="H992" i="93" s="1"/>
  <c r="K1606" i="93"/>
  <c r="O52" i="72"/>
  <c r="L1606" i="93"/>
  <c r="P52" i="72"/>
  <c r="L1602" i="93"/>
  <c r="P48" i="72"/>
  <c r="K1603" i="93"/>
  <c r="O49" i="72"/>
  <c r="O1603" i="93" s="1"/>
  <c r="K1602" i="93"/>
  <c r="O48" i="72"/>
  <c r="L1603" i="93"/>
  <c r="P49" i="72"/>
  <c r="P1603" i="93" s="1"/>
  <c r="M937" i="93"/>
  <c r="P937" i="93"/>
  <c r="I66" i="84"/>
  <c r="G66" i="84"/>
  <c r="E66" i="84"/>
  <c r="K66" i="84"/>
  <c r="F21" i="74"/>
  <c r="G13" i="86" s="1"/>
  <c r="B51" i="74"/>
  <c r="F33" i="86" s="1"/>
  <c r="G51" i="74"/>
  <c r="D53" i="86" s="1"/>
  <c r="C21" i="74"/>
  <c r="D13" i="86" s="1"/>
  <c r="G21" i="74"/>
  <c r="H13" i="86" s="1"/>
  <c r="C81" i="74"/>
  <c r="F81" i="74"/>
  <c r="K51" i="74"/>
  <c r="H53" i="86" s="1"/>
  <c r="E51" i="74"/>
  <c r="I33" i="86" s="1"/>
  <c r="C109" i="74"/>
  <c r="D81" i="74"/>
  <c r="F51" i="74"/>
  <c r="C53" i="86" s="1"/>
  <c r="E21" i="74"/>
  <c r="F13" i="86" s="1"/>
  <c r="H21" i="74"/>
  <c r="I13" i="86" s="1"/>
  <c r="I51" i="74"/>
  <c r="F53" i="86" s="1"/>
  <c r="J81" i="74"/>
  <c r="G81" i="74"/>
  <c r="K21" i="74"/>
  <c r="E33" i="86" s="1"/>
  <c r="H81" i="74"/>
  <c r="K81" i="74"/>
  <c r="H51" i="74"/>
  <c r="E53" i="86" s="1"/>
  <c r="C13" i="86"/>
  <c r="D21" i="74"/>
  <c r="E13" i="86" s="1"/>
  <c r="J51" i="74"/>
  <c r="G53" i="86" s="1"/>
  <c r="D109" i="74"/>
  <c r="E109" i="74"/>
  <c r="E81" i="74"/>
  <c r="D51" i="74"/>
  <c r="H33" i="86" s="1"/>
  <c r="B109" i="74"/>
  <c r="I21" i="74"/>
  <c r="C33" i="86" s="1"/>
  <c r="J21" i="74"/>
  <c r="D33" i="86" s="1"/>
  <c r="B81" i="74"/>
  <c r="C51" i="74"/>
  <c r="G33" i="86" s="1"/>
  <c r="I81" i="74"/>
  <c r="F109" i="74"/>
  <c r="D55" i="92"/>
  <c r="D35" i="90"/>
  <c r="I64" i="92" s="1"/>
  <c r="P1836" i="93"/>
  <c r="P270" i="72"/>
  <c r="P1824" i="93" s="1"/>
  <c r="O1836" i="93"/>
  <c r="O270" i="72"/>
  <c r="O1824" i="93" s="1"/>
  <c r="P396" i="72"/>
  <c r="P1950" i="93" s="1"/>
  <c r="P1959" i="93"/>
  <c r="E993" i="93"/>
  <c r="F37" i="74"/>
  <c r="F10" i="86"/>
  <c r="N171" i="75"/>
  <c r="P175" i="75"/>
  <c r="C68" i="84"/>
  <c r="N172" i="75"/>
  <c r="N928" i="93"/>
  <c r="P932" i="93"/>
  <c r="N929" i="93"/>
  <c r="H1163" i="93" l="1"/>
  <c r="P1157" i="93"/>
  <c r="J162" i="78"/>
  <c r="J163" i="78" s="1"/>
  <c r="J598" i="93"/>
  <c r="K21" i="88"/>
  <c r="K30" i="88" s="1"/>
  <c r="K34" i="88" s="1"/>
  <c r="O396" i="72"/>
  <c r="O1950" i="93" s="1"/>
  <c r="E32" i="72"/>
  <c r="E1586" i="93" s="1"/>
  <c r="H978" i="93"/>
  <c r="H991" i="93" s="1"/>
  <c r="I972" i="93"/>
  <c r="I976" i="93" s="1"/>
  <c r="J970" i="93"/>
  <c r="J971" i="93"/>
  <c r="K969" i="93"/>
  <c r="J977" i="93"/>
  <c r="J975" i="93"/>
  <c r="K28" i="74"/>
  <c r="J53" i="82"/>
  <c r="J984" i="93"/>
  <c r="P1602" i="93"/>
  <c r="P47" i="72"/>
  <c r="O51" i="72"/>
  <c r="O1605" i="93" s="1"/>
  <c r="O1606" i="93"/>
  <c r="P1606" i="93"/>
  <c r="P51" i="72"/>
  <c r="P1605" i="93" s="1"/>
  <c r="O47" i="72"/>
  <c r="O1602" i="93"/>
  <c r="J599" i="93"/>
  <c r="J165" i="78"/>
  <c r="J167" i="78" s="1"/>
  <c r="G162" i="78"/>
  <c r="E40" i="72"/>
  <c r="E1594" i="93" s="1"/>
  <c r="G10" i="86"/>
  <c r="G37" i="74"/>
  <c r="F993" i="93"/>
  <c r="O933" i="93"/>
  <c r="M932" i="93"/>
  <c r="P947" i="93"/>
  <c r="G68" i="84"/>
  <c r="G70" i="84" s="1"/>
  <c r="K68" i="84"/>
  <c r="K70" i="84" s="1"/>
  <c r="E68" i="84"/>
  <c r="E70" i="84" s="1"/>
  <c r="I68" i="84"/>
  <c r="I70" i="84" s="1"/>
  <c r="C70" i="84"/>
  <c r="B975" i="93"/>
  <c r="F558" i="93"/>
  <c r="F122" i="78"/>
  <c r="P190" i="75"/>
  <c r="M175" i="75"/>
  <c r="F121" i="78"/>
  <c r="O176" i="75"/>
  <c r="B19" i="74"/>
  <c r="F557" i="93"/>
  <c r="H987" i="93" l="1"/>
  <c r="I992" i="93"/>
  <c r="I978" i="93"/>
  <c r="K53" i="82"/>
  <c r="K984" i="93"/>
  <c r="B58" i="74"/>
  <c r="J972" i="93"/>
  <c r="J976" i="93" s="1"/>
  <c r="J992" i="93" s="1"/>
  <c r="K975" i="93"/>
  <c r="K971" i="93"/>
  <c r="K970" i="93"/>
  <c r="B999" i="93"/>
  <c r="K977" i="93"/>
  <c r="O1601" i="93"/>
  <c r="O43" i="72"/>
  <c r="P43" i="72"/>
  <c r="P1601" i="93"/>
  <c r="J169" i="78"/>
  <c r="J171" i="78" s="1"/>
  <c r="B15" i="82"/>
  <c r="G598" i="93"/>
  <c r="J601" i="93"/>
  <c r="J603" i="93" s="1"/>
  <c r="J605" i="93" s="1"/>
  <c r="J607" i="93" s="1"/>
  <c r="H10" i="86"/>
  <c r="H37" i="74"/>
  <c r="G993" i="93"/>
  <c r="D19" i="74"/>
  <c r="B49" i="74"/>
  <c r="C49" i="74"/>
  <c r="C19" i="74"/>
  <c r="G19" i="74"/>
  <c r="D49" i="74"/>
  <c r="E49" i="74"/>
  <c r="F19" i="74"/>
  <c r="E19" i="74"/>
  <c r="H19" i="74"/>
  <c r="I19" i="74"/>
  <c r="H49" i="74"/>
  <c r="J19" i="74"/>
  <c r="K19" i="74"/>
  <c r="F49" i="74"/>
  <c r="G49" i="74"/>
  <c r="I49" i="74"/>
  <c r="B79" i="74"/>
  <c r="G79" i="74"/>
  <c r="I79" i="74"/>
  <c r="J49" i="74"/>
  <c r="C79" i="74"/>
  <c r="E79" i="74"/>
  <c r="J79" i="74"/>
  <c r="C107" i="74"/>
  <c r="D107" i="74"/>
  <c r="K49" i="74"/>
  <c r="D79" i="74"/>
  <c r="F79" i="74"/>
  <c r="H79" i="74"/>
  <c r="K79" i="74"/>
  <c r="B107" i="74"/>
  <c r="E107" i="74"/>
  <c r="F107" i="74"/>
  <c r="B22" i="74"/>
  <c r="B36" i="74"/>
  <c r="C76" i="84"/>
  <c r="C73" i="84" s="1"/>
  <c r="C72" i="84"/>
  <c r="G72" i="84"/>
  <c r="G76" i="84"/>
  <c r="G73" i="84" s="1"/>
  <c r="I72" i="84"/>
  <c r="I76" i="84"/>
  <c r="I73" i="84" s="1"/>
  <c r="E72" i="84"/>
  <c r="E76" i="84"/>
  <c r="E73" i="84" s="1"/>
  <c r="B978" i="93"/>
  <c r="B992" i="93"/>
  <c r="K76" i="84"/>
  <c r="K73" i="84" s="1"/>
  <c r="K72" i="84"/>
  <c r="B985" i="93" l="1"/>
  <c r="B986" i="93" s="1"/>
  <c r="R19" i="74"/>
  <c r="B41" i="74"/>
  <c r="B997" i="93" s="1"/>
  <c r="C14" i="86"/>
  <c r="B73" i="82"/>
  <c r="C58" i="74"/>
  <c r="B1014" i="93"/>
  <c r="B1007" i="93"/>
  <c r="B1000" i="93"/>
  <c r="C999" i="93"/>
  <c r="B1005" i="93"/>
  <c r="B1001" i="93"/>
  <c r="K972" i="93"/>
  <c r="K976" i="93" s="1"/>
  <c r="K992" i="93" s="1"/>
  <c r="J978" i="93"/>
  <c r="I987" i="93"/>
  <c r="I991" i="93"/>
  <c r="P1597" i="93"/>
  <c r="P1995" i="93" s="1"/>
  <c r="P441" i="72"/>
  <c r="O1597" i="93"/>
  <c r="O441" i="72"/>
  <c r="R43" i="72"/>
  <c r="J611" i="93"/>
  <c r="E535" i="93" s="1"/>
  <c r="J535" i="93" s="1"/>
  <c r="M609" i="93"/>
  <c r="J175" i="78"/>
  <c r="M173" i="78"/>
  <c r="H993" i="93"/>
  <c r="I10" i="86"/>
  <c r="I37" i="74"/>
  <c r="B110" i="74"/>
  <c r="B123" i="74"/>
  <c r="D82" i="74"/>
  <c r="D95" i="74"/>
  <c r="J82" i="74"/>
  <c r="J95" i="74"/>
  <c r="I82" i="74"/>
  <c r="I95" i="74"/>
  <c r="G52" i="74"/>
  <c r="G66" i="74"/>
  <c r="H52" i="74"/>
  <c r="H66" i="74"/>
  <c r="F22" i="74"/>
  <c r="F36" i="74"/>
  <c r="C22" i="74"/>
  <c r="C36" i="74"/>
  <c r="B31" i="74"/>
  <c r="B44" i="82"/>
  <c r="B35" i="74"/>
  <c r="B30" i="74"/>
  <c r="K82" i="74"/>
  <c r="K95" i="74"/>
  <c r="K66" i="74"/>
  <c r="K52" i="74"/>
  <c r="E82" i="74"/>
  <c r="E95" i="74"/>
  <c r="G82" i="74"/>
  <c r="G95" i="74"/>
  <c r="F52" i="74"/>
  <c r="F66" i="74"/>
  <c r="I22" i="74"/>
  <c r="I36" i="74"/>
  <c r="E52" i="74"/>
  <c r="E66" i="74"/>
  <c r="C52" i="74"/>
  <c r="C66" i="74"/>
  <c r="F110" i="74"/>
  <c r="F123" i="74"/>
  <c r="H82" i="74"/>
  <c r="H95" i="74"/>
  <c r="D110" i="74"/>
  <c r="D123" i="74"/>
  <c r="C95" i="74"/>
  <c r="C82" i="74"/>
  <c r="B82" i="74"/>
  <c r="B95" i="74"/>
  <c r="K36" i="74"/>
  <c r="K22" i="74"/>
  <c r="H22" i="74"/>
  <c r="H36" i="74"/>
  <c r="D52" i="74"/>
  <c r="D66" i="74"/>
  <c r="B66" i="74"/>
  <c r="B52" i="74"/>
  <c r="B991" i="93"/>
  <c r="B987" i="93"/>
  <c r="E110" i="74"/>
  <c r="E123" i="74"/>
  <c r="F82" i="74"/>
  <c r="F95" i="74"/>
  <c r="C123" i="74"/>
  <c r="C110" i="74"/>
  <c r="J52" i="74"/>
  <c r="J66" i="74"/>
  <c r="I52" i="74"/>
  <c r="I66" i="74"/>
  <c r="J22" i="74"/>
  <c r="J36" i="74"/>
  <c r="E36" i="74"/>
  <c r="E22" i="74"/>
  <c r="G22" i="74"/>
  <c r="G36" i="74"/>
  <c r="D22" i="74"/>
  <c r="D36" i="74"/>
  <c r="O6" i="72" l="1"/>
  <c r="R1995" i="93"/>
  <c r="C41" i="74"/>
  <c r="C997" i="93" s="1"/>
  <c r="D14" i="86"/>
  <c r="C985" i="93"/>
  <c r="C986" i="93" s="1"/>
  <c r="R20" i="74"/>
  <c r="J987" i="93"/>
  <c r="J991" i="93"/>
  <c r="K978" i="93"/>
  <c r="C1005" i="93"/>
  <c r="D999" i="93"/>
  <c r="C1007" i="93"/>
  <c r="C1000" i="93"/>
  <c r="C1001" i="93"/>
  <c r="C1014" i="93"/>
  <c r="D58" i="74"/>
  <c r="D60" i="74" s="1"/>
  <c r="H29" i="86" s="1"/>
  <c r="C73" i="82"/>
  <c r="B1002" i="93"/>
  <c r="B1006" i="93" s="1"/>
  <c r="B1022" i="93" s="1"/>
  <c r="P1998" i="93"/>
  <c r="P1560" i="93"/>
  <c r="P444" i="72"/>
  <c r="P6" i="72"/>
  <c r="R1597" i="93"/>
  <c r="O1995" i="93"/>
  <c r="O1560" i="93" s="1"/>
  <c r="M61" i="85"/>
  <c r="P61" i="85" s="1"/>
  <c r="E99" i="78"/>
  <c r="J99" i="78" s="1"/>
  <c r="L413" i="93"/>
  <c r="N413" i="93" s="1"/>
  <c r="L49" i="68"/>
  <c r="C21" i="86"/>
  <c r="I9" i="66"/>
  <c r="L412" i="93"/>
  <c r="N412" i="93" s="1"/>
  <c r="I20" i="93"/>
  <c r="L50" i="68"/>
  <c r="N50" i="68" s="1"/>
  <c r="C30" i="86"/>
  <c r="J37" i="74"/>
  <c r="I993" i="93"/>
  <c r="J64" i="82"/>
  <c r="J65" i="74"/>
  <c r="J61" i="74"/>
  <c r="K35" i="74"/>
  <c r="K44" i="82"/>
  <c r="K31" i="74"/>
  <c r="C90" i="74"/>
  <c r="C94" i="74"/>
  <c r="K65" i="74"/>
  <c r="K64" i="82"/>
  <c r="K61" i="74"/>
  <c r="C9" i="86"/>
  <c r="S19" i="74"/>
  <c r="J44" i="82"/>
  <c r="J35" i="74"/>
  <c r="J31" i="74"/>
  <c r="F90" i="74"/>
  <c r="F94" i="74"/>
  <c r="E35" i="74"/>
  <c r="E31" i="74"/>
  <c r="E44" i="82"/>
  <c r="C118" i="74"/>
  <c r="C122" i="74"/>
  <c r="D61" i="74"/>
  <c r="D64" i="82"/>
  <c r="D65" i="74"/>
  <c r="H90" i="74"/>
  <c r="H94" i="74"/>
  <c r="C61" i="74"/>
  <c r="C65" i="74"/>
  <c r="C60" i="74"/>
  <c r="G29" i="86" s="1"/>
  <c r="C64" i="82"/>
  <c r="I31" i="74"/>
  <c r="I44" i="82"/>
  <c r="I35" i="74"/>
  <c r="G94" i="74"/>
  <c r="G90" i="74"/>
  <c r="C31" i="74"/>
  <c r="C30" i="74"/>
  <c r="D9" i="86" s="1"/>
  <c r="C35" i="74"/>
  <c r="C44" i="82"/>
  <c r="H61" i="74"/>
  <c r="H64" i="82"/>
  <c r="H65" i="74"/>
  <c r="I90" i="74"/>
  <c r="I94" i="74"/>
  <c r="D94" i="74"/>
  <c r="D90" i="74"/>
  <c r="I65" i="74"/>
  <c r="I64" i="82"/>
  <c r="I61" i="74"/>
  <c r="E118" i="74"/>
  <c r="E122" i="74"/>
  <c r="B51" i="82"/>
  <c r="B46" i="82"/>
  <c r="G44" i="82"/>
  <c r="G31" i="74"/>
  <c r="G35" i="74"/>
  <c r="D31" i="74"/>
  <c r="D44" i="82"/>
  <c r="D35" i="74"/>
  <c r="B61" i="74"/>
  <c r="B64" i="82"/>
  <c r="B65" i="74"/>
  <c r="B60" i="74"/>
  <c r="H44" i="82"/>
  <c r="H31" i="74"/>
  <c r="H35" i="74"/>
  <c r="B90" i="74"/>
  <c r="B94" i="74"/>
  <c r="D118" i="74"/>
  <c r="D122" i="74"/>
  <c r="F118" i="74"/>
  <c r="F122" i="74"/>
  <c r="E64" i="82"/>
  <c r="E61" i="74"/>
  <c r="E65" i="74"/>
  <c r="F65" i="74"/>
  <c r="F64" i="82"/>
  <c r="F61" i="74"/>
  <c r="E90" i="74"/>
  <c r="E94" i="74"/>
  <c r="K94" i="74"/>
  <c r="K90" i="74"/>
  <c r="F31" i="74"/>
  <c r="F44" i="82"/>
  <c r="F35" i="74"/>
  <c r="G65" i="74"/>
  <c r="G61" i="74"/>
  <c r="G64" i="82"/>
  <c r="J94" i="74"/>
  <c r="J90" i="74"/>
  <c r="B122" i="74"/>
  <c r="B118" i="74"/>
  <c r="R21" i="74" l="1"/>
  <c r="C1002" i="93"/>
  <c r="C1006" i="93" s="1"/>
  <c r="C1022" i="93" s="1"/>
  <c r="K991" i="93"/>
  <c r="K987" i="93"/>
  <c r="E58" i="74"/>
  <c r="D73" i="82"/>
  <c r="D1014" i="93"/>
  <c r="B1008" i="93"/>
  <c r="D1000" i="93"/>
  <c r="D1007" i="93"/>
  <c r="D1001" i="93"/>
  <c r="D1005" i="93"/>
  <c r="E999" i="93"/>
  <c r="N49" i="68"/>
  <c r="B14" i="82"/>
  <c r="C22" i="86"/>
  <c r="C42" i="86" s="1"/>
  <c r="D42" i="86" s="1"/>
  <c r="E42" i="86" s="1"/>
  <c r="C41" i="86"/>
  <c r="D41" i="86" s="1"/>
  <c r="E41" i="86" s="1"/>
  <c r="D21" i="86"/>
  <c r="D30" i="86"/>
  <c r="K37" i="74"/>
  <c r="J993" i="93"/>
  <c r="F71" i="82"/>
  <c r="F66" i="82"/>
  <c r="E71" i="82"/>
  <c r="E66" i="82"/>
  <c r="B66" i="82"/>
  <c r="B71" i="82"/>
  <c r="C66" i="82"/>
  <c r="C71" i="82"/>
  <c r="J46" i="82"/>
  <c r="J51" i="82"/>
  <c r="C17" i="86"/>
  <c r="C18" i="86" s="1"/>
  <c r="C20" i="86" s="1"/>
  <c r="C24" i="86" s="1"/>
  <c r="K6" i="86" s="1"/>
  <c r="G66" i="86" s="1"/>
  <c r="N85" i="85" s="1"/>
  <c r="G71" i="82"/>
  <c r="G66" i="82"/>
  <c r="F46" i="82"/>
  <c r="F51" i="82"/>
  <c r="H51" i="82"/>
  <c r="H46" i="82"/>
  <c r="G51" i="82"/>
  <c r="G46" i="82"/>
  <c r="I71" i="82"/>
  <c r="I66" i="82"/>
  <c r="C51" i="82"/>
  <c r="C46" i="82"/>
  <c r="D71" i="82"/>
  <c r="D66" i="82"/>
  <c r="F29" i="86"/>
  <c r="I51" i="82"/>
  <c r="I46" i="82"/>
  <c r="S20" i="74"/>
  <c r="K51" i="82"/>
  <c r="K46" i="82"/>
  <c r="D46" i="82"/>
  <c r="D51" i="82"/>
  <c r="H71" i="82"/>
  <c r="H66" i="82"/>
  <c r="D17" i="86"/>
  <c r="D18" i="86" s="1"/>
  <c r="D20" i="86" s="1"/>
  <c r="D24" i="86" s="1"/>
  <c r="K7" i="86" s="1"/>
  <c r="E51" i="82"/>
  <c r="E46" i="82"/>
  <c r="K71" i="82"/>
  <c r="K66" i="82"/>
  <c r="J71" i="82"/>
  <c r="J66" i="82"/>
  <c r="D41" i="74" l="1"/>
  <c r="E14" i="86"/>
  <c r="D985" i="93"/>
  <c r="D986" i="93" s="1"/>
  <c r="D30" i="74"/>
  <c r="E1001" i="93"/>
  <c r="F999" i="93"/>
  <c r="E1005" i="93"/>
  <c r="E1007" i="93"/>
  <c r="E1000" i="93"/>
  <c r="D1002" i="93"/>
  <c r="D1006" i="93" s="1"/>
  <c r="D1022" i="93" s="1"/>
  <c r="E73" i="82"/>
  <c r="E60" i="74"/>
  <c r="E1014" i="93"/>
  <c r="F58" i="74"/>
  <c r="C1008" i="93"/>
  <c r="B1017" i="93"/>
  <c r="B1016" i="93"/>
  <c r="B1021" i="93"/>
  <c r="G20" i="82"/>
  <c r="B20" i="82"/>
  <c r="B21" i="82" s="1"/>
  <c r="D22" i="86"/>
  <c r="E21" i="86"/>
  <c r="K993" i="93"/>
  <c r="E30" i="86"/>
  <c r="B67" i="74"/>
  <c r="B25" i="82"/>
  <c r="B72" i="82" s="1"/>
  <c r="B74" i="82" s="1"/>
  <c r="D997" i="93" l="1"/>
  <c r="E9" i="86"/>
  <c r="E17" i="86" s="1"/>
  <c r="E18" i="86" s="1"/>
  <c r="E20" i="86" s="1"/>
  <c r="E24" i="86" s="1"/>
  <c r="K8" i="86" s="1"/>
  <c r="S21" i="74"/>
  <c r="F14" i="86"/>
  <c r="E985" i="93"/>
  <c r="E986" i="93" s="1"/>
  <c r="E41" i="74"/>
  <c r="E30" i="74"/>
  <c r="F9" i="86" s="1"/>
  <c r="R22" i="74"/>
  <c r="F60" i="74"/>
  <c r="C49" i="86" s="1"/>
  <c r="F1014" i="93"/>
  <c r="F73" i="82"/>
  <c r="G58" i="74"/>
  <c r="D1008" i="93"/>
  <c r="F1001" i="93"/>
  <c r="F1000" i="93"/>
  <c r="F1005" i="93"/>
  <c r="G999" i="93"/>
  <c r="F1007" i="93"/>
  <c r="I29" i="86"/>
  <c r="E1002" i="93"/>
  <c r="E1006" i="93" s="1"/>
  <c r="E1022" i="93" s="1"/>
  <c r="C1021" i="93"/>
  <c r="C1017" i="93"/>
  <c r="C1016" i="93"/>
  <c r="F21" i="86"/>
  <c r="E22" i="86"/>
  <c r="F30" i="86"/>
  <c r="F37" i="86" s="1"/>
  <c r="F38" i="86" s="1"/>
  <c r="F40" i="86" s="1"/>
  <c r="F44" i="86" s="1"/>
  <c r="K16" i="86" s="1"/>
  <c r="C67" i="74"/>
  <c r="B1023" i="93"/>
  <c r="K52" i="82"/>
  <c r="K54" i="82" s="1"/>
  <c r="K55" i="82" s="1"/>
  <c r="K56" i="82" s="1"/>
  <c r="H52" i="82"/>
  <c r="H54" i="82" s="1"/>
  <c r="H55" i="82" s="1"/>
  <c r="H56" i="82" s="1"/>
  <c r="F52" i="82"/>
  <c r="F54" i="82" s="1"/>
  <c r="F55" i="82" s="1"/>
  <c r="H72" i="82"/>
  <c r="J52" i="82"/>
  <c r="J54" i="82" s="1"/>
  <c r="J55" i="82" s="1"/>
  <c r="J56" i="82" s="1"/>
  <c r="C52" i="82"/>
  <c r="C54" i="82" s="1"/>
  <c r="C55" i="82" s="1"/>
  <c r="C56" i="82" s="1"/>
  <c r="G72" i="82"/>
  <c r="F72" i="82"/>
  <c r="G52" i="82"/>
  <c r="G54" i="82" s="1"/>
  <c r="G55" i="82" s="1"/>
  <c r="G56" i="82" s="1"/>
  <c r="E52" i="82"/>
  <c r="E54" i="82" s="1"/>
  <c r="E55" i="82" s="1"/>
  <c r="I72" i="82"/>
  <c r="K72" i="82"/>
  <c r="B52" i="82"/>
  <c r="B54" i="82" s="1"/>
  <c r="B55" i="82" s="1"/>
  <c r="B56" i="82" s="1"/>
  <c r="I52" i="82"/>
  <c r="I54" i="82" s="1"/>
  <c r="I55" i="82" s="1"/>
  <c r="B26" i="82"/>
  <c r="B5" i="82" s="1"/>
  <c r="B6" i="82" s="1"/>
  <c r="B7" i="82" s="1"/>
  <c r="D52" i="82"/>
  <c r="D54" i="82" s="1"/>
  <c r="D55" i="82" s="1"/>
  <c r="D56" i="82" s="1"/>
  <c r="J72" i="82"/>
  <c r="E72" i="82"/>
  <c r="E74" i="82" s="1"/>
  <c r="E75" i="82" s="1"/>
  <c r="E76" i="82" s="1"/>
  <c r="C72" i="82"/>
  <c r="C74" i="82" s="1"/>
  <c r="C75" i="82" s="1"/>
  <c r="C76" i="82" s="1"/>
  <c r="D72" i="82"/>
  <c r="D74" i="82" s="1"/>
  <c r="D75" i="82" s="1"/>
  <c r="D76" i="82" s="1"/>
  <c r="B75" i="82"/>
  <c r="B76" i="82" s="1"/>
  <c r="F17" i="86" l="1"/>
  <c r="F18" i="86" s="1"/>
  <c r="F20" i="86" s="1"/>
  <c r="F24" i="86" s="1"/>
  <c r="K9" i="86" s="1"/>
  <c r="E997" i="93"/>
  <c r="S22" i="74"/>
  <c r="F74" i="82"/>
  <c r="F75" i="82" s="1"/>
  <c r="F76" i="82" s="1"/>
  <c r="F1002" i="93"/>
  <c r="F1006" i="93" s="1"/>
  <c r="F1022" i="93" s="1"/>
  <c r="E1008" i="93"/>
  <c r="H58" i="74"/>
  <c r="G73" i="82"/>
  <c r="G74" i="82" s="1"/>
  <c r="G1014" i="93"/>
  <c r="G60" i="74"/>
  <c r="G1005" i="93"/>
  <c r="G1007" i="93"/>
  <c r="H999" i="93"/>
  <c r="G1000" i="93"/>
  <c r="G1001" i="93"/>
  <c r="D1021" i="93"/>
  <c r="D1017" i="93"/>
  <c r="D1016" i="93"/>
  <c r="G21" i="86"/>
  <c r="F22" i="86"/>
  <c r="F56" i="82"/>
  <c r="C1023" i="93"/>
  <c r="D67" i="74"/>
  <c r="G30" i="86"/>
  <c r="G37" i="86" s="1"/>
  <c r="G38" i="86" s="1"/>
  <c r="G40" i="86" s="1"/>
  <c r="G44" i="86" s="1"/>
  <c r="K17" i="86" s="1"/>
  <c r="I56" i="82"/>
  <c r="B9" i="82"/>
  <c r="B10" i="82" s="1"/>
  <c r="B11" i="82" s="1"/>
  <c r="B28" i="82"/>
  <c r="G21" i="82" s="1"/>
  <c r="E56"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G75" i="82" l="1"/>
  <c r="G76" i="82" s="1"/>
  <c r="G14" i="86"/>
  <c r="F41" i="74"/>
  <c r="F985" i="93"/>
  <c r="F986" i="93" s="1"/>
  <c r="F30" i="74"/>
  <c r="G9" i="86" s="1"/>
  <c r="R23" i="74"/>
  <c r="E1017" i="93"/>
  <c r="E1021" i="93"/>
  <c r="E1016" i="93"/>
  <c r="H1001" i="93"/>
  <c r="H1005" i="93"/>
  <c r="H1007" i="93"/>
  <c r="H1000" i="93"/>
  <c r="I999" i="93"/>
  <c r="H1014" i="93"/>
  <c r="I58" i="74"/>
  <c r="H73" i="82"/>
  <c r="H74" i="82" s="1"/>
  <c r="H75" i="82" s="1"/>
  <c r="H76" i="82" s="1"/>
  <c r="H60" i="74"/>
  <c r="F1008" i="93"/>
  <c r="G1002" i="93"/>
  <c r="G1006" i="93" s="1"/>
  <c r="G1022" i="93" s="1"/>
  <c r="G22" i="86"/>
  <c r="H21" i="86"/>
  <c r="H30" i="86"/>
  <c r="H37" i="86" s="1"/>
  <c r="H38" i="86" s="1"/>
  <c r="H40" i="86" s="1"/>
  <c r="H44" i="86" s="1"/>
  <c r="K18" i="86" s="1"/>
  <c r="D1023" i="93"/>
  <c r="E67" i="74"/>
  <c r="I30" i="86" s="1"/>
  <c r="I37" i="86" s="1"/>
  <c r="I38" i="86" s="1"/>
  <c r="I40" i="86" s="1"/>
  <c r="I44" i="86" s="1"/>
  <c r="K19" i="86" s="1"/>
  <c r="B29" i="82"/>
  <c r="G17" i="86" l="1"/>
  <c r="G18" i="86" s="1"/>
  <c r="G20" i="86" s="1"/>
  <c r="G24" i="86" s="1"/>
  <c r="K10" i="86" s="1"/>
  <c r="S23" i="74"/>
  <c r="F997" i="93"/>
  <c r="G1008" i="93"/>
  <c r="I1007" i="93"/>
  <c r="I1005" i="93"/>
  <c r="I1000" i="93"/>
  <c r="I1001" i="93"/>
  <c r="J999" i="93"/>
  <c r="H1002" i="93"/>
  <c r="H1006" i="93"/>
  <c r="H1022" i="93" s="1"/>
  <c r="J58" i="74"/>
  <c r="I73" i="82"/>
  <c r="I74" i="82" s="1"/>
  <c r="I75" i="82" s="1"/>
  <c r="I76" i="82" s="1"/>
  <c r="I1014" i="93"/>
  <c r="I60" i="74"/>
  <c r="F1016" i="93"/>
  <c r="F1021" i="93"/>
  <c r="F1017" i="93"/>
  <c r="I21" i="86"/>
  <c r="I22" i="86" s="1"/>
  <c r="H22" i="86"/>
  <c r="E1023" i="93"/>
  <c r="F67" i="74"/>
  <c r="H1008" i="93" l="1"/>
  <c r="G985" i="93"/>
  <c r="G986" i="93" s="1"/>
  <c r="H14" i="86"/>
  <c r="G41" i="74"/>
  <c r="G30" i="74"/>
  <c r="H9" i="86" s="1"/>
  <c r="R24" i="74"/>
  <c r="H1021" i="93"/>
  <c r="H1017" i="93"/>
  <c r="G1016" i="93"/>
  <c r="G1021" i="93"/>
  <c r="G1017" i="93"/>
  <c r="I1002" i="93"/>
  <c r="I1006" i="93" s="1"/>
  <c r="I1022" i="93" s="1"/>
  <c r="H1016" i="93"/>
  <c r="K58" i="74"/>
  <c r="J60" i="74"/>
  <c r="J1014" i="93"/>
  <c r="J73" i="82"/>
  <c r="J74" i="82" s="1"/>
  <c r="J75" i="82" s="1"/>
  <c r="J76" i="82" s="1"/>
  <c r="J1000" i="93"/>
  <c r="J1001" i="93"/>
  <c r="J1005" i="93"/>
  <c r="K999" i="93"/>
  <c r="J1007" i="93"/>
  <c r="C50" i="86"/>
  <c r="C57" i="86" s="1"/>
  <c r="C58" i="86" s="1"/>
  <c r="C60" i="86" s="1"/>
  <c r="C64" i="86" s="1"/>
  <c r="K20" i="86" s="1"/>
  <c r="G67" i="74"/>
  <c r="F1023" i="93"/>
  <c r="S24" i="74" l="1"/>
  <c r="G997" i="93"/>
  <c r="H17" i="86"/>
  <c r="H18" i="86" s="1"/>
  <c r="H20" i="86" s="1"/>
  <c r="H24" i="86" s="1"/>
  <c r="K11" i="86" s="1"/>
  <c r="K1007" i="93"/>
  <c r="K1000" i="93"/>
  <c r="B1029" i="93"/>
  <c r="K1005" i="93"/>
  <c r="K1001" i="93"/>
  <c r="I1008" i="93"/>
  <c r="J1002" i="93"/>
  <c r="B88" i="74"/>
  <c r="K1014" i="93"/>
  <c r="K60" i="74"/>
  <c r="K73" i="82"/>
  <c r="K74" i="82" s="1"/>
  <c r="K75" i="82" s="1"/>
  <c r="K76" i="82" s="1"/>
  <c r="D50" i="86"/>
  <c r="D57" i="86" s="1"/>
  <c r="D58" i="86" s="1"/>
  <c r="D60" i="86" s="1"/>
  <c r="D64" i="86" s="1"/>
  <c r="K21" i="86" s="1"/>
  <c r="H67" i="74"/>
  <c r="G1023" i="93"/>
  <c r="H30" i="74" l="1"/>
  <c r="I9" i="86" s="1"/>
  <c r="H41" i="74"/>
  <c r="I14" i="86"/>
  <c r="H985" i="93"/>
  <c r="H986" i="93" s="1"/>
  <c r="R25" i="74"/>
  <c r="S25" i="74" s="1"/>
  <c r="K1002" i="93"/>
  <c r="J1006" i="93"/>
  <c r="J1022" i="93" s="1"/>
  <c r="I1016" i="93"/>
  <c r="I1017" i="93"/>
  <c r="I1021" i="93"/>
  <c r="B1037" i="93"/>
  <c r="C1029" i="93"/>
  <c r="B1035" i="93"/>
  <c r="B1031" i="93"/>
  <c r="B1030" i="93"/>
  <c r="C88" i="74"/>
  <c r="B89" i="74"/>
  <c r="B1044" i="93"/>
  <c r="H1023" i="93"/>
  <c r="I67" i="74"/>
  <c r="E50" i="86"/>
  <c r="E57" i="86" s="1"/>
  <c r="E58" i="86" s="1"/>
  <c r="E60" i="86" s="1"/>
  <c r="E64" i="86" s="1"/>
  <c r="K22" i="86" s="1"/>
  <c r="H997" i="93" l="1"/>
  <c r="K1006" i="93"/>
  <c r="K1022" i="93" s="1"/>
  <c r="I17" i="86"/>
  <c r="I18" i="86" s="1"/>
  <c r="I20" i="86" s="1"/>
  <c r="I24" i="86" s="1"/>
  <c r="K12" i="86" s="1"/>
  <c r="C89" i="74"/>
  <c r="D88" i="74"/>
  <c r="C1044" i="93"/>
  <c r="C1035" i="93"/>
  <c r="C1030" i="93"/>
  <c r="C1037" i="93"/>
  <c r="D1029" i="93"/>
  <c r="C1031" i="93"/>
  <c r="B1032" i="93"/>
  <c r="B1036" i="93" s="1"/>
  <c r="J1008" i="93"/>
  <c r="F50" i="86"/>
  <c r="F57" i="86" s="1"/>
  <c r="F58" i="86" s="1"/>
  <c r="F60" i="86" s="1"/>
  <c r="F64" i="86" s="1"/>
  <c r="K23" i="86" s="1"/>
  <c r="J67" i="74"/>
  <c r="I1023" i="93"/>
  <c r="K1008" i="93" l="1"/>
  <c r="C34" i="86"/>
  <c r="I985" i="93"/>
  <c r="I986" i="93" s="1"/>
  <c r="I41" i="74"/>
  <c r="I30" i="74"/>
  <c r="C29" i="86" s="1"/>
  <c r="R26" i="74"/>
  <c r="B1051" i="93"/>
  <c r="B1038" i="93"/>
  <c r="D1037" i="93"/>
  <c r="E1029" i="93"/>
  <c r="D1035" i="93"/>
  <c r="D1030" i="93"/>
  <c r="D1031" i="93"/>
  <c r="E88" i="74"/>
  <c r="D89" i="74"/>
  <c r="D1044" i="93"/>
  <c r="C1032" i="93"/>
  <c r="J1021" i="93"/>
  <c r="J1017" i="93"/>
  <c r="J1016" i="93"/>
  <c r="G50" i="86"/>
  <c r="G57" i="86" s="1"/>
  <c r="G58" i="86" s="1"/>
  <c r="G60" i="86" s="1"/>
  <c r="G64" i="86" s="1"/>
  <c r="K24" i="86" s="1"/>
  <c r="J1023" i="93"/>
  <c r="K67" i="74"/>
  <c r="S26" i="74" l="1"/>
  <c r="I997" i="93"/>
  <c r="C37" i="86"/>
  <c r="C38" i="86" s="1"/>
  <c r="C40" i="86" s="1"/>
  <c r="C44" i="86" s="1"/>
  <c r="K13" i="86" s="1"/>
  <c r="K1016" i="93"/>
  <c r="K1021" i="93"/>
  <c r="K1017" i="93"/>
  <c r="D1032" i="93"/>
  <c r="D1036" i="93" s="1"/>
  <c r="D1051" i="93" s="1"/>
  <c r="B1045" i="93"/>
  <c r="B1046" i="93"/>
  <c r="B1050" i="93"/>
  <c r="F88" i="74"/>
  <c r="E1044" i="93"/>
  <c r="E89" i="74"/>
  <c r="E1035" i="93"/>
  <c r="F1029" i="93"/>
  <c r="E1037" i="93"/>
  <c r="E1030" i="93"/>
  <c r="E1031" i="93"/>
  <c r="C1036" i="93"/>
  <c r="C1051" i="93" s="1"/>
  <c r="H50" i="86"/>
  <c r="H57" i="86" s="1"/>
  <c r="H58" i="86" s="1"/>
  <c r="H60" i="86" s="1"/>
  <c r="H64" i="86" s="1"/>
  <c r="K25" i="86" s="1"/>
  <c r="C85" i="90"/>
  <c r="L63" i="85"/>
  <c r="L93" i="85"/>
  <c r="B96" i="74"/>
  <c r="K1023" i="93"/>
  <c r="O8" i="86"/>
  <c r="O14" i="86" s="1"/>
  <c r="O33" i="86" s="1"/>
  <c r="H63" i="86" s="1"/>
  <c r="D1038" i="93" l="1"/>
  <c r="J41" i="74"/>
  <c r="J30" i="74"/>
  <c r="D29" i="86" s="1"/>
  <c r="D34" i="86"/>
  <c r="J985" i="93"/>
  <c r="J986" i="93" s="1"/>
  <c r="R27" i="74"/>
  <c r="F1030" i="93"/>
  <c r="F1037" i="93"/>
  <c r="G1029" i="93"/>
  <c r="F1035" i="93"/>
  <c r="F1031" i="93"/>
  <c r="G88" i="74"/>
  <c r="F89" i="74"/>
  <c r="F1044" i="93"/>
  <c r="D1050" i="93"/>
  <c r="D1046" i="93"/>
  <c r="D1045" i="93"/>
  <c r="E1032" i="93"/>
  <c r="E1036" i="93" s="1"/>
  <c r="E1051" i="93" s="1"/>
  <c r="C1038" i="93"/>
  <c r="C96" i="74"/>
  <c r="B1052" i="93"/>
  <c r="D37" i="86" l="1"/>
  <c r="D38" i="86" s="1"/>
  <c r="D40" i="86" s="1"/>
  <c r="D44" i="86" s="1"/>
  <c r="K14" i="86" s="1"/>
  <c r="S27" i="74"/>
  <c r="E1038" i="93"/>
  <c r="E1050" i="93" s="1"/>
  <c r="J997" i="93"/>
  <c r="E1045" i="93"/>
  <c r="F1032" i="93"/>
  <c r="C1050" i="93"/>
  <c r="C1046" i="93"/>
  <c r="C1045" i="93"/>
  <c r="G1031" i="93"/>
  <c r="G1030" i="93"/>
  <c r="H1029" i="93"/>
  <c r="G1035" i="93"/>
  <c r="G1037" i="93"/>
  <c r="H88" i="74"/>
  <c r="G1044" i="93"/>
  <c r="G89" i="74"/>
  <c r="C1052" i="93"/>
  <c r="D96" i="74"/>
  <c r="E1046" i="93" l="1"/>
  <c r="F1036" i="93"/>
  <c r="F1051" i="93" s="1"/>
  <c r="K30" i="74"/>
  <c r="E29" i="86" s="1"/>
  <c r="K985" i="93"/>
  <c r="K986" i="93" s="1"/>
  <c r="E34" i="86"/>
  <c r="K41" i="74"/>
  <c r="R33" i="74"/>
  <c r="R38" i="74"/>
  <c r="R36" i="74"/>
  <c r="R32" i="74"/>
  <c r="R28" i="74"/>
  <c r="R31" i="74"/>
  <c r="R29" i="74"/>
  <c r="R37" i="74"/>
  <c r="R34" i="74"/>
  <c r="S34" i="74" s="1"/>
  <c r="R35" i="74"/>
  <c r="R30" i="74"/>
  <c r="G1032" i="93"/>
  <c r="G1036" i="93" s="1"/>
  <c r="G1051" i="93" s="1"/>
  <c r="H1037" i="93"/>
  <c r="I1029" i="93"/>
  <c r="H1035" i="93"/>
  <c r="H1030" i="93"/>
  <c r="H1031" i="93"/>
  <c r="H1044" i="93"/>
  <c r="I88" i="74"/>
  <c r="H89" i="74"/>
  <c r="D1052" i="93"/>
  <c r="E96" i="74"/>
  <c r="S28" i="74" l="1"/>
  <c r="S37" i="74"/>
  <c r="S32" i="74"/>
  <c r="S35" i="74"/>
  <c r="S31" i="74"/>
  <c r="S29" i="74"/>
  <c r="S38" i="74"/>
  <c r="E37" i="86"/>
  <c r="E38" i="86" s="1"/>
  <c r="E40" i="86" s="1"/>
  <c r="E44" i="86" s="1"/>
  <c r="K15" i="86" s="1"/>
  <c r="S33" i="74"/>
  <c r="K997" i="93"/>
  <c r="B71" i="74"/>
  <c r="G1038" i="93"/>
  <c r="G1050" i="93" s="1"/>
  <c r="I44" i="68"/>
  <c r="I407" i="93" s="1"/>
  <c r="S30" i="74"/>
  <c r="S36" i="74"/>
  <c r="F1038" i="93"/>
  <c r="I1044" i="93"/>
  <c r="I89" i="74"/>
  <c r="J88" i="74"/>
  <c r="J1029" i="93"/>
  <c r="I1037" i="93"/>
  <c r="I1030" i="93"/>
  <c r="I1031" i="93"/>
  <c r="I1035" i="93"/>
  <c r="H1032" i="93"/>
  <c r="H1036" i="93" s="1"/>
  <c r="H1051" i="93" s="1"/>
  <c r="E1052" i="93"/>
  <c r="F96" i="74"/>
  <c r="G1045" i="93" l="1"/>
  <c r="G1046" i="93"/>
  <c r="H1038" i="93"/>
  <c r="H1045" i="93" s="1"/>
  <c r="C71" i="74"/>
  <c r="B1027" i="93"/>
  <c r="F44" i="68"/>
  <c r="F1046" i="93"/>
  <c r="F1045" i="93"/>
  <c r="F1050" i="93"/>
  <c r="H1046" i="93"/>
  <c r="H1050" i="93"/>
  <c r="I1032" i="93"/>
  <c r="I1036" i="93" s="1"/>
  <c r="I1051" i="93" s="1"/>
  <c r="J1030" i="93"/>
  <c r="J1035" i="93"/>
  <c r="J1031" i="93"/>
  <c r="J1037" i="93"/>
  <c r="K1029" i="93"/>
  <c r="K88" i="74"/>
  <c r="J89" i="74"/>
  <c r="J1044" i="93"/>
  <c r="F1052" i="93"/>
  <c r="G96" i="74"/>
  <c r="I45" i="68" l="1"/>
  <c r="F85" i="92" s="1"/>
  <c r="F89" i="92" s="1"/>
  <c r="F105" i="92" s="1"/>
  <c r="F407" i="93"/>
  <c r="C1027" i="93"/>
  <c r="D71" i="74"/>
  <c r="B116" i="74"/>
  <c r="K89" i="74"/>
  <c r="K1044" i="93"/>
  <c r="K1035" i="93"/>
  <c r="K1030" i="93"/>
  <c r="K1037" i="93"/>
  <c r="K1031" i="93"/>
  <c r="B1057" i="93"/>
  <c r="J1032" i="93"/>
  <c r="J1036" i="93" s="1"/>
  <c r="I1038" i="93"/>
  <c r="G1052" i="93"/>
  <c r="H96" i="74"/>
  <c r="F45" i="68" l="1"/>
  <c r="F408" i="93" s="1"/>
  <c r="I408" i="93"/>
  <c r="E71" i="74"/>
  <c r="D1027" i="93"/>
  <c r="J1051" i="93"/>
  <c r="J1038" i="93"/>
  <c r="I1050" i="93"/>
  <c r="I1046" i="93"/>
  <c r="I1045" i="93"/>
  <c r="K1032" i="93"/>
  <c r="K1036" i="93" s="1"/>
  <c r="K1051" i="93" s="1"/>
  <c r="B1058" i="93"/>
  <c r="B1065" i="93"/>
  <c r="C1057" i="93"/>
  <c r="B1063" i="93"/>
  <c r="B1059" i="93"/>
  <c r="B117" i="74"/>
  <c r="B1072" i="93"/>
  <c r="C116" i="74"/>
  <c r="H1052" i="93"/>
  <c r="I96" i="74"/>
  <c r="E1027" i="93" l="1"/>
  <c r="F71" i="74"/>
  <c r="D116" i="74"/>
  <c r="C117" i="74"/>
  <c r="C1072" i="93"/>
  <c r="B1060" i="93"/>
  <c r="B1064" i="93" s="1"/>
  <c r="B1079" i="93" s="1"/>
  <c r="C1058" i="93"/>
  <c r="C1065" i="93"/>
  <c r="D1057" i="93"/>
  <c r="C1059" i="93"/>
  <c r="C1063" i="93"/>
  <c r="K1038" i="93"/>
  <c r="J1050" i="93"/>
  <c r="J1046" i="93"/>
  <c r="J1045" i="93"/>
  <c r="I1052" i="93"/>
  <c r="J96" i="74"/>
  <c r="G71" i="74" l="1"/>
  <c r="G1027" i="93" s="1"/>
  <c r="F1027" i="93"/>
  <c r="C1060" i="93"/>
  <c r="C1064" i="93"/>
  <c r="C1079" i="93" s="1"/>
  <c r="K1050" i="93"/>
  <c r="K1046" i="93"/>
  <c r="K1045" i="93"/>
  <c r="B1066" i="93"/>
  <c r="D1065" i="93"/>
  <c r="D1058" i="93"/>
  <c r="D1063" i="93"/>
  <c r="D1059" i="93"/>
  <c r="E1057" i="93"/>
  <c r="D1072" i="93"/>
  <c r="D117" i="74"/>
  <c r="E116" i="74"/>
  <c r="J1052" i="93"/>
  <c r="K96" i="74"/>
  <c r="C1066" i="93" l="1"/>
  <c r="C1078" i="93" s="1"/>
  <c r="E117" i="74"/>
  <c r="E1072" i="93"/>
  <c r="F116" i="74"/>
  <c r="B1078" i="93"/>
  <c r="B1073" i="93"/>
  <c r="B1074" i="93"/>
  <c r="D1060" i="93"/>
  <c r="D1064" i="93"/>
  <c r="D1079" i="93" s="1"/>
  <c r="E1059" i="93"/>
  <c r="E1063" i="93"/>
  <c r="F1057" i="93"/>
  <c r="E1058" i="93"/>
  <c r="E1065" i="93"/>
  <c r="K1052" i="93"/>
  <c r="B124" i="74"/>
  <c r="C1073" i="93" l="1"/>
  <c r="C1074" i="93"/>
  <c r="D1066" i="93"/>
  <c r="D1073" i="93" s="1"/>
  <c r="D1074" i="93"/>
  <c r="F1072" i="93"/>
  <c r="F117" i="74"/>
  <c r="E1060" i="93"/>
  <c r="E1064" i="93" s="1"/>
  <c r="F1063" i="93"/>
  <c r="F1058" i="93"/>
  <c r="F1065" i="93"/>
  <c r="F1059" i="93"/>
  <c r="B1080" i="93"/>
  <c r="C124" i="74"/>
  <c r="D1078" i="93" l="1"/>
  <c r="E1079" i="93"/>
  <c r="E1066" i="93"/>
  <c r="F1060" i="93"/>
  <c r="F1064" i="93" s="1"/>
  <c r="C1080" i="93"/>
  <c r="D124" i="74"/>
  <c r="F1079" i="93" l="1"/>
  <c r="F1066" i="93"/>
  <c r="E1078" i="93"/>
  <c r="E1073" i="93"/>
  <c r="E1074" i="93"/>
  <c r="D1080" i="93"/>
  <c r="E124" i="74"/>
  <c r="F1074" i="93" l="1"/>
  <c r="F1078" i="93"/>
  <c r="F1073" i="93"/>
  <c r="E1080" i="93"/>
  <c r="F124" i="74"/>
  <c r="F1080" i="9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<sst xmlns="http://schemas.openxmlformats.org/spreadsheetml/2006/main" count="13291" uniqueCount="4855">
  <si>
    <t>Project Narrative</t>
  </si>
  <si>
    <t>NOTE: Row size may be increased or decreased as needed.  Press and hold Alt-Enter to start new paragraphs in the same box.
Please do NOT insert blank lines between paragraphs.  Use outline numbering, bullet points, and/or indentation instead.</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</si>
  <si>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</si>
  <si>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Please note:</t>
  </si>
  <si>
    <r>
      <t>Blue-shaded cells are unlocked for your use and</t>
    </r>
    <r>
      <rPr>
        <b/>
        <sz val="9"/>
        <rFont val="Arial Narrow"/>
        <family val="2"/>
      </rPr>
      <t xml:space="preserve"> do not contain</t>
    </r>
    <r>
      <rPr>
        <sz val="9"/>
        <rFont val="Arial Narrow"/>
        <family val="2"/>
      </rPr>
      <t xml:space="preserve"> references/formulas.</t>
    </r>
  </si>
  <si>
    <t>DCA Use ONLY - Project Nbr:</t>
  </si>
  <si>
    <t>May 2018</t>
  </si>
  <si>
    <r>
      <t>Green-shaded cells are unlocked for your use and</t>
    </r>
    <r>
      <rPr>
        <b/>
        <sz val="9"/>
        <rFont val="Arial Narrow"/>
        <family val="2"/>
      </rPr>
      <t xml:space="preserve"> do contain</t>
    </r>
    <r>
      <rPr>
        <sz val="9"/>
        <rFont val="Arial Narrow"/>
        <family val="2"/>
      </rPr>
      <t xml:space="preserve"> references/formulas that can be overwritten.</t>
    </r>
  </si>
  <si>
    <t>Yellow cells - DCA Use ONLY</t>
  </si>
  <si>
    <t>I.</t>
  </si>
  <si>
    <t>DCA RESOURCES</t>
  </si>
  <si>
    <t>LIHTC (auto-filled from later entries)</t>
  </si>
  <si>
    <t>DCA HOME (from Consent Form)</t>
  </si>
  <si>
    <t>II.</t>
  </si>
  <si>
    <t>TYPE OF APPLICATION</t>
  </si>
  <si>
    <t>9% Credit Competitive Round only</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</si>
  <si>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</si>
  <si>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</si>
  <si>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2018PA-001</t>
  </si>
  <si>
    <t>Was this project previously submitted to DCA?</t>
  </si>
  <si>
    <t>Have any changes occurred in the project since pre-application?</t>
  </si>
  <si>
    <t>No</t>
  </si>
  <si>
    <t>Yes</t>
  </si>
  <si>
    <t>If Yes, please provide the information requested below for the previously submitted project:</t>
  </si>
  <si>
    <t>Project Name previously used:</t>
  </si>
  <si>
    <t>Mill at Stone Valley</t>
  </si>
  <si>
    <t>DCA Project Nbr previously assigned</t>
  </si>
  <si>
    <t>2017-008</t>
  </si>
  <si>
    <t>Has the Project Team changed?</t>
  </si>
  <si>
    <t>If No, what was the DCA Qualification Determination for the Team in that review?</t>
  </si>
  <si>
    <t>Qualified w/out Conditions</t>
  </si>
  <si>
    <t>III.</t>
  </si>
  <si>
    <t>APPLICANT CONTACT FOR APPLICATION SUBMISSION AND REVIEW</t>
  </si>
  <si>
    <t>Organization Name</t>
  </si>
  <si>
    <t>TISHCO Development</t>
  </si>
  <si>
    <t>Contact</t>
  </si>
  <si>
    <t>Mary T. Johnson</t>
  </si>
  <si>
    <t>Title</t>
  </si>
  <si>
    <t>President</t>
  </si>
  <si>
    <t>Address</t>
  </si>
  <si>
    <t>314 North Patterson Street</t>
  </si>
  <si>
    <t>(Enter all phone numbers without using hyphens, parentheses, decimals, etc - for example: 1234567890)</t>
  </si>
  <si>
    <t>City</t>
  </si>
  <si>
    <t>Valdosta</t>
  </si>
  <si>
    <t>State</t>
  </si>
  <si>
    <t>GA</t>
  </si>
  <si>
    <t>Zip+4</t>
  </si>
  <si>
    <t>Office Phone</t>
  </si>
  <si>
    <t>Ext.</t>
  </si>
  <si>
    <t>Direct Line</t>
  </si>
  <si>
    <t>E-mail</t>
  </si>
  <si>
    <t>tish.johnson@tishcollc.com</t>
  </si>
  <si>
    <t>Cellular</t>
  </si>
  <si>
    <t>Alternate Contact</t>
  </si>
  <si>
    <t>Steven T. Johnson</t>
  </si>
  <si>
    <t>Principal</t>
  </si>
  <si>
    <t>steve.johnson@tishcollc.com</t>
  </si>
  <si>
    <t>IV.</t>
  </si>
  <si>
    <t>PROJECT LOCATION</t>
  </si>
  <si>
    <t>Project Name</t>
  </si>
  <si>
    <t>Phased Project?</t>
  </si>
  <si>
    <t>Site Street Address (if known)</t>
  </si>
  <si>
    <t>Ball Ground Highway &amp; Coy M. Holcomb Drive</t>
  </si>
  <si>
    <t>DCA Project Nbr of previous phase:</t>
  </si>
  <si>
    <t>N/A</t>
  </si>
  <si>
    <r>
      <t xml:space="preserve">Nearest Physical Street Address </t>
    </r>
    <r>
      <rPr>
        <b/>
        <sz val="10"/>
        <color rgb="FFFF0000"/>
        <rFont val="Arial Narrow"/>
        <family val="2"/>
      </rPr>
      <t>*</t>
    </r>
  </si>
  <si>
    <t>155 Howell Bridge Road</t>
  </si>
  <si>
    <t>Scattered Site?</t>
  </si>
  <si>
    <t>Nbr of Sites</t>
  </si>
  <si>
    <t>Site Geo Coordinates     (##.######)</t>
  </si>
  <si>
    <t>Latitude:</t>
  </si>
  <si>
    <t>Longitude:</t>
  </si>
  <si>
    <t>Acreage</t>
  </si>
  <si>
    <t>Ball Ground</t>
  </si>
  <si>
    <r>
      <t>9-digit Zip</t>
    </r>
    <r>
      <rPr>
        <b/>
        <sz val="11"/>
        <color indexed="10"/>
        <rFont val="Arial Narrow"/>
        <family val="2"/>
      </rPr>
      <t>**</t>
    </r>
  </si>
  <si>
    <t>Census Tract Number</t>
  </si>
  <si>
    <t>0901.00</t>
  </si>
  <si>
    <t>Site is predominantly located:</t>
  </si>
  <si>
    <t>Within City Limits</t>
  </si>
  <si>
    <t>County</t>
  </si>
  <si>
    <t>QCT?</t>
  </si>
  <si>
    <t>DDA?</t>
  </si>
  <si>
    <t>In USDA Rural Area?</t>
  </si>
  <si>
    <t>In DCA Rural County?</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</si>
  <si>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</si>
  <si>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</si>
  <si>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</si>
  <si>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</si>
  <si>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</si>
  <si>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</si>
  <si>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</si>
  <si>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</si>
  <si>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</si>
  <si>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</si>
  <si>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</si>
  <si>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</si>
  <si>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</si>
  <si>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</si>
  <si>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City of Ball Ground</t>
  </si>
  <si>
    <t>Website</t>
  </si>
  <si>
    <t>http://www.cityofballground.com/</t>
  </si>
  <si>
    <t>Name of Chief Elected Official</t>
  </si>
  <si>
    <t>A.R. (Rick) Roberts III</t>
  </si>
  <si>
    <t>Mayor</t>
  </si>
  <si>
    <t>215 Valley Street</t>
  </si>
  <si>
    <t>Phone</t>
  </si>
  <si>
    <t>Email</t>
  </si>
  <si>
    <t>rickroberts@cityofballground.com</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</si>
  <si>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</si>
  <si>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</si>
  <si>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</si>
  <si>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</si>
  <si>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</si>
  <si>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</si>
  <si>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</si>
  <si>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</si>
  <si>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</si>
  <si>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</si>
  <si>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</si>
  <si>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</si>
  <si>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</si>
  <si>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</si>
  <si>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</si>
  <si>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</si>
  <si>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</si>
  <si>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</si>
  <si>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</si>
  <si>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</si>
  <si>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</si>
  <si>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</si>
  <si>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Number of 50% Units</t>
  </si>
  <si>
    <t>Total Unrestricted (Market) Residential Unit Square Footage</t>
  </si>
  <si>
    <t>Number of 60% Units</t>
  </si>
  <si>
    <t>Total Residential Unit Square Footage</t>
  </si>
  <si>
    <t>Number of Unrestricted (Market) Units</t>
  </si>
  <si>
    <t>Total Common Space Unit Square Footage</t>
  </si>
  <si>
    <t>Total Residential Units</t>
  </si>
  <si>
    <t>Total Square Footage from Units</t>
  </si>
  <si>
    <t>Common Space Units</t>
  </si>
  <si>
    <t>Total Units</t>
  </si>
  <si>
    <t>E.</t>
  </si>
  <si>
    <t>Buildings</t>
  </si>
  <si>
    <t>Number of Residential Buildings</t>
  </si>
  <si>
    <t>Total Common Area Square Footage (from Nonresidential areas)</t>
  </si>
  <si>
    <t>Number of Non-Residential Buildings</t>
  </si>
  <si>
    <t>Total Square Footage</t>
  </si>
  <si>
    <t>Total Number of Buildings</t>
  </si>
  <si>
    <t>F.</t>
  </si>
  <si>
    <t xml:space="preserve">Total Residential Parking Spaces </t>
  </si>
  <si>
    <t>(If no local zoning requirement: DCA minimum 1.5 spaces per unit for family projects, 1 per unit for senior projects)</t>
  </si>
  <si>
    <t>VI.</t>
  </si>
  <si>
    <t>TENANCY CHARACTERISTICS</t>
  </si>
  <si>
    <r>
      <t>Family or Senior</t>
    </r>
    <r>
      <rPr>
        <sz val="8"/>
        <rFont val="Arial Narrow"/>
        <family val="2"/>
      </rPr>
      <t xml:space="preserve"> (if Senior, specify Elderly or HFOP)</t>
    </r>
  </si>
  <si>
    <t>Family</t>
  </si>
  <si>
    <t>If Other, specify:</t>
  </si>
  <si>
    <t>Nbr of Units for each tenancy type::</t>
  </si>
  <si>
    <t>Elderly</t>
  </si>
  <si>
    <t>Other - Non-Sr</t>
  </si>
  <si>
    <t>HFOP</t>
  </si>
  <si>
    <t>Other Sr</t>
  </si>
  <si>
    <t>Mobility Impaired</t>
  </si>
  <si>
    <t>Nbr of Units Equipped:</t>
  </si>
  <si>
    <t>% of Total Units</t>
  </si>
  <si>
    <t>Required:</t>
  </si>
  <si>
    <t>Roll-In Showers</t>
  </si>
  <si>
    <t>% of Units for the Mobility-Impaired</t>
  </si>
  <si>
    <t>Sight / Hearing Impaired</t>
  </si>
  <si>
    <t>VII.</t>
  </si>
  <si>
    <t>RENT AND INCOME ELECTIONS</t>
  </si>
  <si>
    <t>Tax Credit Election</t>
  </si>
  <si>
    <t>40% of Units at 60% of AMI</t>
  </si>
  <si>
    <t>DCA HOME Projects Minimum Set-Aside Requirement (Rent &amp; Income)</t>
  </si>
  <si>
    <t xml:space="preserve">  20% of HOME-Assisted Units at 50% of AMI</t>
  </si>
  <si>
    <t>VIII.</t>
  </si>
  <si>
    <t>SET ASIDES</t>
  </si>
  <si>
    <t>LIHTC:</t>
  </si>
  <si>
    <t>Nonprofit</t>
  </si>
  <si>
    <t>General</t>
  </si>
  <si>
    <t>Rural HOME Preservation</t>
  </si>
  <si>
    <t>HOME:</t>
  </si>
  <si>
    <t>CHDO</t>
  </si>
  <si>
    <t>(must be pre-qualified by DCA as CHDO)</t>
  </si>
  <si>
    <t>IX.</t>
  </si>
  <si>
    <t>COMPETITIVE POOL</t>
  </si>
  <si>
    <t>Rural</t>
  </si>
  <si>
    <t>X.</t>
  </si>
  <si>
    <t>TAX EXEMPT BOND FINANCED PROJECT</t>
  </si>
  <si>
    <t>Issuer:</t>
  </si>
  <si>
    <t>Inducement Date:</t>
  </si>
  <si>
    <t>Office Street Address</t>
  </si>
  <si>
    <t>Applicable QAP:</t>
  </si>
  <si>
    <t>T-E Bond $ Allocated:</t>
  </si>
  <si>
    <t>Contact Name</t>
  </si>
  <si>
    <t>10-Digit Office Phone</t>
  </si>
  <si>
    <t>Direct line</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</si>
  <si>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</si>
  <si>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</si>
  <si>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</si>
  <si>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</si>
  <si>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</si>
  <si>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</si>
  <si>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</si>
  <si>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</si>
  <si>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</si>
  <si>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1  TISHCO Development</t>
  </si>
  <si>
    <t>Direct</t>
  </si>
  <si>
    <t>Names of Projects in which the Owner, Developer and Consultant(s) and each of its principals is partnering with an inexperienced unrelated entity for purposes of meeting DCA Experience Requirements:</t>
  </si>
  <si>
    <t>XII.</t>
  </si>
  <si>
    <t>PRESERVATION</t>
  </si>
  <si>
    <t>Subsequent Allocation</t>
  </si>
  <si>
    <t>Year of Original Allocation</t>
  </si>
  <si>
    <t>Original GHFA/DCA Project Number</t>
  </si>
  <si>
    <t>First Year of Credit Period</t>
  </si>
  <si>
    <t>First Building ID Nbr in Project</t>
  </si>
  <si>
    <t>GA-</t>
  </si>
  <si>
    <t>Expiring Tax Credit (15 Year)</t>
  </si>
  <si>
    <t>Last Building ID Nbr in Project</t>
  </si>
  <si>
    <t>Date all buildings will complete 15 yr Compliance pd</t>
  </si>
  <si>
    <t>Expiring Section 8</t>
  </si>
  <si>
    <t>Expiring HUD</t>
  </si>
  <si>
    <r>
      <t xml:space="preserve">HUD funded affordable </t>
    </r>
    <r>
      <rPr>
        <b/>
        <u/>
        <sz val="10"/>
        <rFont val="Arial Narrow"/>
        <family val="2"/>
      </rPr>
      <t>non</t>
    </r>
    <r>
      <rPr>
        <sz val="10"/>
        <rFont val="Arial Narrow"/>
        <family val="2"/>
      </rPr>
      <t>public housing project</t>
    </r>
  </si>
  <si>
    <t>HUD funded affordable public housing project</t>
  </si>
  <si>
    <t>XIII.</t>
  </si>
  <si>
    <t>ADDITIONAL PROJECT INFORMATION</t>
  </si>
  <si>
    <t>PHA Units</t>
  </si>
  <si>
    <t>Is proposed project part of a local public housing replacement program?</t>
  </si>
  <si>
    <t>Number of Public Housing Units reserved and rented to public housing tenants:</t>
  </si>
  <si>
    <t>% of Total Residential Units</t>
  </si>
  <si>
    <r>
      <t xml:space="preserve">Nbr of Units Reserved and Rented to:         </t>
    </r>
    <r>
      <rPr>
        <sz val="8"/>
        <rFont val="Arial Narrow"/>
        <family val="2"/>
      </rPr>
      <t xml:space="preserve">PHA Tenants w/ PBRA: </t>
    </r>
  </si>
  <si>
    <t>Households on Waiting List:</t>
  </si>
  <si>
    <t>Local PHA</t>
  </si>
  <si>
    <t>Street Address</t>
  </si>
  <si>
    <t>Area Code / Phone</t>
  </si>
  <si>
    <t>Existing properties: currently an Extension of Cancellation Option?</t>
  </si>
  <si>
    <t>If yes, expiration year:</t>
  </si>
  <si>
    <t>Nbr yrs to forgo cancellation option:</t>
  </si>
  <si>
    <t>New properties: to exercise an Extension of Cancellation Option?</t>
  </si>
  <si>
    <t>Is there a Tenant Ownership Plan?</t>
  </si>
  <si>
    <t>Is the Project Currently Occupied?</t>
  </si>
  <si>
    <t xml:space="preserve">   If Yes -----------------&gt;:</t>
  </si>
  <si>
    <r>
      <t xml:space="preserve">Total </t>
    </r>
    <r>
      <rPr>
        <i/>
        <sz val="10"/>
        <rFont val="Arial Narrow"/>
        <family val="2"/>
      </rPr>
      <t>Existing</t>
    </r>
    <r>
      <rPr>
        <sz val="10"/>
        <rFont val="Arial Narrow"/>
        <family val="2"/>
      </rPr>
      <t xml:space="preserve"> Units</t>
    </r>
  </si>
  <si>
    <t>Number Occupied</t>
  </si>
  <si>
    <t>% Existing Occupied</t>
  </si>
  <si>
    <t>Waivers and/or Pre-Approvals - have the following waivers and/or pre-approvals been approved by DCA?</t>
  </si>
  <si>
    <t>Amenities?</t>
  </si>
  <si>
    <t>Qualification Determination?</t>
  </si>
  <si>
    <t>Architectural Standards?</t>
  </si>
  <si>
    <t>Payment and Performance Bond (HOME only)?</t>
  </si>
  <si>
    <t>Sustainable Communities Site Analysis Packet or Feasibility study?</t>
  </si>
  <si>
    <t>Other (specify):</t>
  </si>
  <si>
    <t>HOME Consent?</t>
  </si>
  <si>
    <t>State Basis Boost (extraordinary circumstances)</t>
  </si>
  <si>
    <t>Operating Expense?</t>
  </si>
  <si>
    <t xml:space="preserve">   If Yes, new Limit is --------------------------------------------&gt;:</t>
  </si>
  <si>
    <t>Credit Award Limitation (extraordinary circumstances)?</t>
  </si>
  <si>
    <t>Projected Place-In-Service Date</t>
  </si>
  <si>
    <t>Acquisition</t>
  </si>
  <si>
    <t>Rehab</t>
  </si>
  <si>
    <t>XIV.</t>
  </si>
  <si>
    <t>APPLICANT COMMENTS AND CLARIFICATIONS</t>
  </si>
  <si>
    <t>XV.</t>
  </si>
  <si>
    <t>DCA COMMENTS - DCA USE ONLY</t>
  </si>
  <si>
    <t>NOTE: Row size may be increased or decreased as needed.  Press and hold Alt-Enter to start new paragraphs in the same box.</t>
  </si>
  <si>
    <t>&lt;&lt; Select Designation &gt;&gt;</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</si>
  <si>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</si>
  <si>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</si>
  <si>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</si>
  <si>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</si>
  <si>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</si>
  <si>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</si>
  <si>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</si>
  <si>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</si>
  <si>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</si>
  <si>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</si>
  <si>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</si>
  <si>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</si>
  <si>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</si>
  <si>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</si>
  <si>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</si>
  <si>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</si>
  <si>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</si>
  <si>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</si>
  <si>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</si>
  <si>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</si>
  <si>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</si>
  <si>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</si>
  <si>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</si>
  <si>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</si>
  <si>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</si>
  <si>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</si>
  <si>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</si>
  <si>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</si>
  <si>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</si>
  <si>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</si>
  <si>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</si>
  <si>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</si>
  <si>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</si>
  <si>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</si>
  <si>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</si>
  <si>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</si>
  <si>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</si>
  <si>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</si>
  <si>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</si>
  <si>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</si>
  <si>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</si>
  <si>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</si>
  <si>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</si>
  <si>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</si>
  <si>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</si>
  <si>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</si>
  <si>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</si>
  <si>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</si>
  <si>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</si>
  <si>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</si>
  <si>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</si>
  <si>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</si>
  <si>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</si>
  <si>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</si>
  <si>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</si>
  <si>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</si>
  <si>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</si>
  <si>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</si>
  <si>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</si>
  <si>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</si>
  <si>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</si>
  <si>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</si>
  <si>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</si>
  <si>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</si>
  <si>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</si>
  <si>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</si>
  <si>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</si>
  <si>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</si>
  <si>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</si>
  <si>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</si>
  <si>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</si>
  <si>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</si>
  <si>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</si>
  <si>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</si>
  <si>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</si>
  <si>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</si>
  <si>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</si>
  <si>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</si>
  <si>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</si>
  <si>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</si>
  <si>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</si>
  <si>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</si>
  <si>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</si>
  <si>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</si>
  <si>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</si>
  <si>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</si>
  <si>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</si>
  <si>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</si>
  <si>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</si>
  <si>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</si>
  <si>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</si>
  <si>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</si>
  <si>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</si>
  <si>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</si>
  <si>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</si>
  <si>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</si>
  <si>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</si>
  <si>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</si>
  <si>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</si>
  <si>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</si>
  <si>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</si>
  <si>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</si>
  <si>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</si>
  <si>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</si>
  <si>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</si>
  <si>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TISHCO Ball Ground L.P.</t>
  </si>
  <si>
    <t>Name of Principal</t>
  </si>
  <si>
    <t>Title of Principal</t>
  </si>
  <si>
    <t>Manager of GP</t>
  </si>
  <si>
    <t>Fed Tax ID:</t>
  </si>
  <si>
    <t>Org Type:</t>
  </si>
  <si>
    <t>For Profit</t>
  </si>
  <si>
    <t>10-digit Entity Office Phone / Ext.</t>
  </si>
  <si>
    <r>
      <t>*</t>
    </r>
    <r>
      <rPr>
        <b/>
        <sz val="10"/>
        <rFont val="Arial Narrow"/>
        <family val="2"/>
      </rPr>
      <t xml:space="preserve"> Must be verified by applicant using following website:</t>
    </r>
  </si>
  <si>
    <t>PROPOSED PARTNERSHIP INFORMATION</t>
  </si>
  <si>
    <t>1.</t>
  </si>
  <si>
    <t>GENERAL PARTNER(S)</t>
  </si>
  <si>
    <t>a.</t>
  </si>
  <si>
    <t>Managing Gen'l Partner</t>
  </si>
  <si>
    <t>TISHCO Cherokee LLC</t>
  </si>
  <si>
    <t>Managing Member</t>
  </si>
  <si>
    <t>http://www.tishcollc.com/</t>
  </si>
  <si>
    <t>b.</t>
  </si>
  <si>
    <t>Other General Partner</t>
  </si>
  <si>
    <t>c.</t>
  </si>
  <si>
    <t>2.</t>
  </si>
  <si>
    <t>LIMITED PARTNERS (PROPOSED OR ACTUAL)</t>
  </si>
  <si>
    <t>Federal Limited Partner</t>
  </si>
  <si>
    <t>State Limited Partner</t>
  </si>
  <si>
    <t>3.</t>
  </si>
  <si>
    <t>NONPROFIT SPONSOR</t>
  </si>
  <si>
    <t>Nonprofit Sponsor</t>
  </si>
  <si>
    <t>DEVELOPER(S)</t>
  </si>
  <si>
    <t>DEVELOPER</t>
  </si>
  <si>
    <t>TISHCO Development, Inc.</t>
  </si>
  <si>
    <t>CO-DEVELOPER 1</t>
  </si>
  <si>
    <t>CO-DEVELOPER 2</t>
  </si>
  <si>
    <t>DEVELOPMENT CONSULTANT</t>
  </si>
  <si>
    <t>OTHER PROJECT TEAM MEMBERS</t>
  </si>
  <si>
    <t>OWNERSHIP CONSULTANT</t>
  </si>
  <si>
    <t>GENERAL CONTRACTOR</t>
  </si>
  <si>
    <t>TISHCO Construction, Inc.</t>
  </si>
  <si>
    <t>MANAGEMENT COMPANY</t>
  </si>
  <si>
    <t>TISHCO Properties, LLC</t>
  </si>
  <si>
    <t>ATTORNEY</t>
  </si>
  <si>
    <t>Arnall Golden Gregory LLP</t>
  </si>
  <si>
    <t>Althea J.K. Broughton</t>
  </si>
  <si>
    <t>171 17th Street NW</t>
  </si>
  <si>
    <t>Partner</t>
  </si>
  <si>
    <t>Atlanta</t>
  </si>
  <si>
    <t>http://www.agg.com/</t>
  </si>
  <si>
    <t>althea.broughton@agg.com</t>
  </si>
  <si>
    <t>ACCOUNTANT</t>
  </si>
  <si>
    <t>Aprio</t>
  </si>
  <si>
    <t>Alison Fossyl</t>
  </si>
  <si>
    <t>5 Concourse Parkway, Suite 1000</t>
  </si>
  <si>
    <t>http://www.aprio.com/</t>
  </si>
  <si>
    <t>alison.fossyl@aprio.com</t>
  </si>
  <si>
    <t>ARCHITECT</t>
  </si>
  <si>
    <t>Studio 8 Design</t>
  </si>
  <si>
    <t>Robert Byington</t>
  </si>
  <si>
    <t>2722 North Oak Street</t>
  </si>
  <si>
    <t>Managing Partner</t>
  </si>
  <si>
    <t>http://www.s8darchitects.com/</t>
  </si>
  <si>
    <t>rbyington@s8darchitects.com</t>
  </si>
  <si>
    <t>OTHER REQUIRED INFORMATION  (Answer each of the questions below for each participant listed below.)</t>
  </si>
  <si>
    <r>
      <t>LAND SELLER</t>
    </r>
    <r>
      <rPr>
        <sz val="10"/>
        <rFont val="Arial Narrow"/>
        <family val="2"/>
      </rPr>
      <t xml:space="preserve"> (If applicable)</t>
    </r>
  </si>
  <si>
    <t>JT Ball Ground, L.P.</t>
  </si>
  <si>
    <t>10-Digit Phone / Ext.</t>
  </si>
  <si>
    <t>(229) 561-5959</t>
  </si>
  <si>
    <t>tish.johnson.tishcollc.com</t>
  </si>
  <si>
    <t>IDENTITY OF INTEREST</t>
  </si>
  <si>
    <t>Is there ID of interest between:</t>
  </si>
  <si>
    <t>Yes/No</t>
  </si>
  <si>
    <t>If Yes, explain relationship in boxes provided below, and use Comment box at bottom of this tab or attach additional pages as needed:</t>
  </si>
  <si>
    <t>Developer and Contractor?</t>
  </si>
  <si>
    <t>Identities of interest exist between the Developer and General Contractor and the principals therein.  Mary T. Johnson, Steven T. Johnson, and Rebekah E.J. Stevens each have various interests in each of these entities listed and all share familial relationships.</t>
  </si>
  <si>
    <t>Please increase or decrease row size as needed.</t>
  </si>
  <si>
    <t>Buyer and Seller of Land/Property?</t>
  </si>
  <si>
    <t>Owner and Contractor?</t>
  </si>
  <si>
    <t>Identities of interest exist between the Owner and General Contractor and the principals therein.  Mary T. Johnson, Steven T. Johnson, and Rebekah E.J. Stevens each have various interests in each of these entities listed and all share familial relationships.</t>
  </si>
  <si>
    <t>4.</t>
  </si>
  <si>
    <t>Owner and Consultant?</t>
  </si>
  <si>
    <t>5.</t>
  </si>
  <si>
    <t>Syndicator and Developer?</t>
  </si>
  <si>
    <t>6.</t>
  </si>
  <si>
    <t>Syndicator and Contractor?</t>
  </si>
  <si>
    <t>7.</t>
  </si>
  <si>
    <t>Developer and Consultant?</t>
  </si>
  <si>
    <t>8.</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</si>
  <si>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</si>
  <si>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ADDITIONAL INFORMATION</t>
  </si>
  <si>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</si>
  <si>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</si>
  <si>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</si>
  <si>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</si>
  <si>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</si>
  <si>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</si>
  <si>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</si>
  <si>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</si>
  <si>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</si>
  <si>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Identities of interest exist between the Owner, General Partner, Developer, General Contractor, State Syndicator, potential subcontractors, management company and the principals therein. Mary T. Johnson, Steven T. Johnson and Rebekah E.J. Stevens each have various interests in each of these entities listed here and all share familial relationships.</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</si>
  <si>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</si>
  <si>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</si>
  <si>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</si>
  <si>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</si>
  <si>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</si>
  <si>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</si>
  <si>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</si>
  <si>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</si>
  <si>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</si>
  <si>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</si>
  <si>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</si>
  <si>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</si>
  <si>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</si>
  <si>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AL</t>
  </si>
  <si>
    <t>AK</t>
  </si>
  <si>
    <t>AZ</t>
  </si>
  <si>
    <t>AR</t>
  </si>
  <si>
    <t>CA</t>
  </si>
  <si>
    <t>CO</t>
  </si>
  <si>
    <t>CT</t>
  </si>
  <si>
    <t>DE</t>
  </si>
  <si>
    <t>DC</t>
  </si>
  <si>
    <t>FL</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</si>
  <si>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</si>
  <si>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</si>
  <si>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</si>
  <si>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</si>
  <si>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</si>
  <si>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</si>
  <si>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</si>
  <si>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</si>
  <si>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</si>
  <si>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</si>
  <si>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</si>
  <si>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</si>
  <si>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</si>
  <si>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</si>
  <si>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</si>
  <si>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</si>
  <si>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</si>
  <si>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</si>
  <si>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</si>
  <si>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</si>
  <si>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</si>
  <si>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</si>
  <si>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</si>
  <si>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</si>
  <si>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</si>
  <si>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</si>
  <si>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</si>
  <si>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</si>
  <si>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</si>
  <si>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</si>
  <si>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</si>
  <si>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</si>
  <si>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</si>
  <si>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</si>
  <si>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</si>
  <si>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</si>
  <si>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</si>
  <si>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</si>
  <si>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</si>
  <si>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</si>
  <si>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GOVERNMENT FUNDING SOURCES  (check all that apply)</t>
  </si>
  <si>
    <t>DCA COMMENTS - DCA Use Only</t>
  </si>
  <si>
    <t>Tax Credits</t>
  </si>
  <si>
    <t>FHA Risk Share</t>
  </si>
  <si>
    <t>Kresge Foundation</t>
  </si>
  <si>
    <t>Historic Rehab Credits</t>
  </si>
  <si>
    <t>FHA Insured Mortgage</t>
  </si>
  <si>
    <t>USDA 515</t>
  </si>
  <si>
    <t>Tax Exempt Bonds: Allocation Amt $</t>
  </si>
  <si>
    <t>Replacement Housing Funds</t>
  </si>
  <si>
    <t>USDA 538</t>
  </si>
  <si>
    <t>Taxable Bonds</t>
  </si>
  <si>
    <t>McKinney-Vento Homeless</t>
  </si>
  <si>
    <t>USDA PBRA</t>
  </si>
  <si>
    <t>CDBG</t>
  </si>
  <si>
    <t>FHLB / AHP *</t>
  </si>
  <si>
    <t>Section 8 PBRA</t>
  </si>
  <si>
    <t>HUD Sect 811 Rental Assistance Demonstration (RAD)</t>
  </si>
  <si>
    <t>NAHASDA</t>
  </si>
  <si>
    <t>Other PBRA - Source:</t>
  </si>
  <si>
    <t>Specify Other PBRA Source here</t>
  </si>
  <si>
    <r>
      <t xml:space="preserve">DCA HOME * </t>
    </r>
    <r>
      <rPr>
        <sz val="8"/>
        <rFont val="Arial Narrow"/>
        <family val="2"/>
      </rPr>
      <t xml:space="preserve"> -- Amt $</t>
    </r>
  </si>
  <si>
    <t>Neigborhood Stabilization Program *</t>
  </si>
  <si>
    <t>National Housing Trust Fund</t>
  </si>
  <si>
    <r>
      <t>Other HOME *</t>
    </r>
    <r>
      <rPr>
        <sz val="8"/>
        <rFont val="Arial Narrow"/>
        <family val="2"/>
      </rPr>
      <t xml:space="preserve"> -- Amt $</t>
    </r>
  </si>
  <si>
    <t>HUD CHOICE Neighborhoods</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</si>
  <si>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</si>
  <si>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Other HOME  -  Source</t>
  </si>
  <si>
    <t>Specify Other HOME Source here</t>
  </si>
  <si>
    <t>HUD Sect 202 Supportive Housing for Elderly</t>
  </si>
  <si>
    <r>
      <t xml:space="preserve">Specify </t>
    </r>
    <r>
      <rPr>
        <i/>
        <sz val="9"/>
        <color rgb="FFFF0000"/>
        <rFont val="Arial Narrow"/>
        <family val="2"/>
      </rPr>
      <t>Administrator</t>
    </r>
    <r>
      <rPr>
        <sz val="9"/>
        <rFont val="Arial Narrow"/>
        <family val="2"/>
      </rPr>
      <t xml:space="preserve"> of Other Funding Type here</t>
    </r>
  </si>
  <si>
    <t>*This source may possibly trigger Uniform Relocation Act and/or HUD 104(d) reqmts.  Check with source.  For DCA HOME, refer to Relocation Manual. DCA HOME amount from DCA Consent Ltr.</t>
  </si>
  <si>
    <t>CONSTRUCTION FINANCING</t>
  </si>
  <si>
    <t>Financing Type</t>
  </si>
  <si>
    <t xml:space="preserve"> Name of Financing Entity</t>
  </si>
  <si>
    <t>Amount</t>
  </si>
  <si>
    <t>Effective Interest Rate</t>
  </si>
  <si>
    <t>Term (In Months)</t>
  </si>
  <si>
    <t>Mortgage A</t>
  </si>
  <si>
    <t>Mortgage B</t>
  </si>
  <si>
    <t>Mortgage C</t>
  </si>
  <si>
    <t>Federal Grant</t>
  </si>
  <si>
    <t>State, Local, or Private Grant</t>
  </si>
  <si>
    <t>Deferred Developer Fees</t>
  </si>
  <si>
    <t>Federal Housing Credit Equity</t>
  </si>
  <si>
    <t>State Housing Credit Equity</t>
  </si>
  <si>
    <t>Other Type (specify)</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</si>
  <si>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</si>
  <si>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</si>
  <si>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</si>
  <si>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</si>
  <si>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</si>
  <si>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</si>
  <si>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</si>
  <si>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</si>
  <si>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t>
  </si>
  <si>
    <t>Int Rate</t>
  </si>
  <si>
    <t>(Years)</t>
  </si>
  <si>
    <t>Loan Type</t>
  </si>
  <si>
    <t>Mortgage A (Lien Position 1)</t>
  </si>
  <si>
    <t>Amortizing</t>
  </si>
  <si>
    <t>Mortgage B (Lien Position 2)</t>
  </si>
  <si>
    <t>Mortgage C (Lien Position 3)</t>
  </si>
  <si>
    <t>Other:</t>
  </si>
  <si>
    <t>Foundation or charity funding*</t>
  </si>
  <si>
    <t>Deferred Devlpr Fee</t>
  </si>
  <si>
    <t>Cash Flow</t>
  </si>
  <si>
    <t>Proforma Totals over DDF Term ------&gt;</t>
  </si>
  <si>
    <t>Cash Flow:</t>
  </si>
  <si>
    <t>DDF Paid:</t>
  </si>
  <si>
    <r>
      <t xml:space="preserve">% of CF Intended for DDF </t>
    </r>
    <r>
      <rPr>
        <sz val="8"/>
        <rFont val="Arial Narrow"/>
        <family val="2"/>
      </rPr>
      <t xml:space="preserve"> </t>
    </r>
    <r>
      <rPr>
        <sz val="8"/>
        <color rgb="FFFF0000"/>
        <rFont val="Arial Narrow"/>
        <family val="2"/>
      </rPr>
      <t>(pls enter actual nbr only)</t>
    </r>
  </si>
  <si>
    <t xml:space="preserve">Actual %: </t>
  </si>
  <si>
    <t>Equity Check</t>
  </si>
  <si>
    <t>+ / -</t>
  </si>
  <si>
    <t>TC Equity</t>
  </si>
  <si>
    <t>% of TDC</t>
  </si>
  <si>
    <t>Historic Credit Equity</t>
  </si>
  <si>
    <t>Invstmt Earnings: T-E Bonds</t>
  </si>
  <si>
    <t>Invstmt Earnings: Taxable Bonds</t>
  </si>
  <si>
    <t>Income from Operations</t>
  </si>
  <si>
    <t>Total Permanent Financing:</t>
  </si>
  <si>
    <t>Total Development Costs from Development Budget:</t>
  </si>
  <si>
    <t>Surplus/(Shortage) of Permanent funds to development costs:</t>
  </si>
  <si>
    <t>*Foundation or charity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</si>
  <si>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</si>
  <si>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</si>
  <si>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</si>
  <si>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</si>
  <si>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</si>
  <si>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</si>
  <si>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</si>
  <si>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</si>
  <si>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</si>
  <si>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</si>
  <si>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</si>
  <si>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</si>
  <si>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</si>
  <si>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</si>
  <si>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</si>
  <si>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</si>
  <si>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</si>
  <si>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</si>
  <si>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</si>
  <si>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</si>
  <si>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</si>
  <si>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</si>
  <si>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</si>
  <si>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</si>
  <si>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</si>
  <si>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</si>
  <si>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</si>
  <si>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</si>
  <si>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</si>
  <si>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</si>
  <si>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</si>
  <si>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</si>
  <si>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</si>
  <si>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</si>
  <si>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</si>
  <si>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</si>
  <si>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</si>
  <si>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</si>
  <si>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</si>
  <si>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</si>
  <si>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</si>
  <si>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</si>
  <si>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</si>
  <si>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</si>
  <si>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</si>
  <si>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</si>
  <si>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</si>
  <si>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</si>
  <si>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</si>
  <si>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</si>
  <si>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Front End Analysis</t>
  </si>
  <si>
    <t>&lt;&lt; Enter description here; provide detail &amp; justification in tab Part IV-b &gt;&gt;</t>
  </si>
  <si>
    <t>Subtotal</t>
  </si>
  <si>
    <t>ACQUISITION</t>
  </si>
  <si>
    <t>Land</t>
  </si>
  <si>
    <t>Site Demolition</t>
  </si>
  <si>
    <t>Acquisition Legal Fees (if existing structures)</t>
  </si>
  <si>
    <t>Existing Structures</t>
  </si>
  <si>
    <t>LAND IMPROVEMENTS</t>
  </si>
  <si>
    <t>Site Construction (On-site)</t>
  </si>
  <si>
    <t>Per acre:</t>
  </si>
  <si>
    <t>Site Construction (Off-site)</t>
  </si>
  <si>
    <t>STRUCTURES</t>
  </si>
  <si>
    <t>Residential Structures - New Construction</t>
  </si>
  <si>
    <t>Residential Structures - Rehab</t>
  </si>
  <si>
    <t>Accessory Structures (ie. community bldg, maintenance bldg, etc.) - New Constr</t>
  </si>
  <si>
    <t>Accessory Structures (ie. community bldg, maintenance bldg, etc.) - Rehab</t>
  </si>
  <si>
    <t>CONTRACTOR SERVICES</t>
  </si>
  <si>
    <t>DCA Limit</t>
  </si>
  <si>
    <t>Builder Profit:</t>
  </si>
  <si>
    <t>Builder Overhead</t>
  </si>
  <si>
    <t>General Requirements*</t>
  </si>
  <si>
    <t>*See QAP: General Requirements policy</t>
  </si>
  <si>
    <r>
      <t xml:space="preserve">OTHER CONSTRUCTION HARD COSTS </t>
    </r>
    <r>
      <rPr>
        <sz val="8"/>
        <rFont val="Arial Narrow"/>
        <family val="2"/>
      </rPr>
      <t>(Non-GC work scope items done by Owner)</t>
    </r>
  </si>
  <si>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</si>
  <si>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</si>
  <si>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</si>
  <si>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unit</t>
  </si>
  <si>
    <t>per total sq ft</t>
  </si>
  <si>
    <r>
      <t xml:space="preserve">per </t>
    </r>
    <r>
      <rPr>
        <i/>
        <u/>
        <sz val="8"/>
        <rFont val="Arial Narrow"/>
        <family val="2"/>
      </rPr>
      <t>Res'l</t>
    </r>
    <r>
      <rPr>
        <i/>
        <sz val="8"/>
        <rFont val="Arial Narrow"/>
        <family val="2"/>
      </rPr>
      <t xml:space="preserve"> unit SF</t>
    </r>
  </si>
  <si>
    <t>per unit sq ft</t>
  </si>
  <si>
    <t>CONSTRUCTION CONTINGENCY</t>
  </si>
  <si>
    <t>Actual %</t>
  </si>
  <si>
    <t>Construction Contingency</t>
  </si>
  <si>
    <t>$ Limit:</t>
  </si>
  <si>
    <r>
      <t xml:space="preserve">DEVELOPMENT BUDGET </t>
    </r>
    <r>
      <rPr>
        <i/>
        <sz val="8"/>
        <rFont val="Arial Narrow"/>
        <family val="2"/>
      </rPr>
      <t>(cont'd)</t>
    </r>
  </si>
  <si>
    <t>CONSTRUCTION PERIOD FINANCING</t>
  </si>
  <si>
    <t>Bridge Loan Fee</t>
  </si>
  <si>
    <t>Bridge Loan Interest</t>
  </si>
  <si>
    <t>Construction Loan Fee</t>
  </si>
  <si>
    <t>Construction Loan Interest</t>
  </si>
  <si>
    <t>Construction Legal Fees</t>
  </si>
  <si>
    <t>Construction Period Inspection Fees</t>
  </si>
  <si>
    <t>Construction Period Real Estate Tax</t>
  </si>
  <si>
    <t>Construction Insurance</t>
  </si>
  <si>
    <t>Title and Recording Fees</t>
  </si>
  <si>
    <t>Payment and Performance bonds</t>
  </si>
  <si>
    <t>PROFESSIONAL SERVICES</t>
  </si>
  <si>
    <t>Architectural Fee - Design</t>
  </si>
  <si>
    <t>Architectural Fee - Supervision</t>
  </si>
  <si>
    <t>Green Building Consultant Fee</t>
  </si>
  <si>
    <t xml:space="preserve">Max: </t>
  </si>
  <si>
    <t>Green Building Program Certification Fee (LEED or Earthcraft)</t>
  </si>
  <si>
    <t>Accessibility Inspections and Plan Review</t>
  </si>
  <si>
    <t>Construction Materials Testing</t>
  </si>
  <si>
    <t>Engineering</t>
  </si>
  <si>
    <t>Real Estate Attorney</t>
  </si>
  <si>
    <t>Accounting</t>
  </si>
  <si>
    <t>As-Built Survey</t>
  </si>
  <si>
    <t>LOCAL GOVERNMENT FEES</t>
  </si>
  <si>
    <t>Avg per unit:</t>
  </si>
  <si>
    <t>Building Permits</t>
  </si>
  <si>
    <t>Impact Fees</t>
  </si>
  <si>
    <t>Water Tap Fees</t>
  </si>
  <si>
    <t>waived?</t>
  </si>
  <si>
    <t>Sewer Tap Fees</t>
  </si>
  <si>
    <t>PERMANENT FINANCING FEES</t>
  </si>
  <si>
    <t>Permanent Loan Fees</t>
  </si>
  <si>
    <t>Permanent Loan Legal Fees</t>
  </si>
  <si>
    <t>Bond Issuance Premium</t>
  </si>
  <si>
    <t>Cost of Issuance / Underwriter's Discount</t>
  </si>
  <si>
    <t>Due Diligence Fees</t>
  </si>
  <si>
    <r>
      <t xml:space="preserve">DEVELOPMENT BUDGET </t>
    </r>
    <r>
      <rPr>
        <i/>
        <sz val="8"/>
        <rFont val="Arial Narrow"/>
        <family val="2"/>
      </rPr>
      <t xml:space="preserve"> (cont'd)</t>
    </r>
  </si>
  <si>
    <t>DCA-RELATED COSTS</t>
  </si>
  <si>
    <t>DCA Waiver &amp; Pre-approval Fees (AS&amp;DO/OptAm/OE-$1500 ea, QD-$1000)</t>
  </si>
  <si>
    <t>LIHTC Allocation Processing Fee</t>
  </si>
  <si>
    <t>LIHTC Compliance Monitoring Fee</t>
  </si>
  <si>
    <t>Front End Analysis Fee</t>
  </si>
  <si>
    <t>Construction Inspection Fee (Tax Credit only - no HOME)</t>
  </si>
  <si>
    <t>EQUITY COSTS</t>
  </si>
  <si>
    <t>Partnership Organization Fees</t>
  </si>
  <si>
    <t>Tax Credit Legal Opinion</t>
  </si>
  <si>
    <t>Syndicator Legal Fees</t>
  </si>
  <si>
    <t>DEVELOPER'S FEE</t>
  </si>
  <si>
    <t>Developer's Overhead</t>
  </si>
  <si>
    <t xml:space="preserve">     Developer’s Fee earned during Construction Period    $</t>
  </si>
  <si>
    <t>Consultant's Fee</t>
  </si>
  <si>
    <t>Guarantor Fees</t>
  </si>
  <si>
    <t>Developer's Profit</t>
  </si>
  <si>
    <t>START-UP AND RESERVES</t>
  </si>
  <si>
    <t>Marketing</t>
  </si>
  <si>
    <t>Rent-Up Reserves</t>
  </si>
  <si>
    <t>Operating Deficit Reserve:</t>
  </si>
  <si>
    <t>Replacement Reserve</t>
  </si>
  <si>
    <t>Furniture, Fixtures and Equipment</t>
  </si>
  <si>
    <t>Proposed Avg Per Unit:</t>
  </si>
  <si>
    <t>OTHER COSTS</t>
  </si>
  <si>
    <t>Relocation</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</si>
  <si>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</si>
  <si>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</si>
  <si>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</si>
  <si>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</si>
  <si>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</si>
  <si>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</si>
  <si>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</si>
  <si>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</si>
  <si>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</si>
  <si>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</si>
  <si>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</si>
  <si>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</si>
  <si>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</si>
  <si>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</si>
  <si>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</si>
  <si>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</si>
  <si>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Less Total Subtractions From Basis (see above)</t>
  </si>
  <si>
    <t>Total Eligible Basis</t>
  </si>
  <si>
    <t>Eligible Basis Adjustment (DDA/QCT Location or State Designated Boost)</t>
  </si>
  <si>
    <t>Type:</t>
  </si>
  <si>
    <t>&lt;&lt;Select&gt;&gt;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</si>
  <si>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</si>
  <si>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</si>
  <si>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</si>
  <si>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</si>
  <si>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</si>
  <si>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</si>
  <si>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</si>
  <si>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</si>
  <si>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</si>
  <si>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If TDC &gt; QAP Total PCL, provide amount of funding from foundation or charitable organization to cover the cost exceeding the PCL:</t>
  </si>
  <si>
    <t>If proposed project has Historic Designation, indicate below (Y/N):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</si>
  <si>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</si>
  <si>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Subtract Non-LIHTC (excluding deferred fee) Source of Funds</t>
  </si>
  <si>
    <t>Equity Gap</t>
  </si>
  <si>
    <t>Funding Amount</t>
  </si>
  <si>
    <t>Hist Desig</t>
  </si>
  <si>
    <t>Divide Equity Gap by 10</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</si>
  <si>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</si>
  <si>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</si>
  <si>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</si>
  <si>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</si>
  <si>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</si>
  <si>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</si>
  <si>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</si>
  <si>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</si>
  <si>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</si>
  <si>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</si>
  <si>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</si>
  <si>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</si>
  <si>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</si>
  <si>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</si>
  <si>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</si>
  <si>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</si>
  <si>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</si>
  <si>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</si>
  <si>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 project:</t>
  </si>
  <si>
    <t>Note: Elderly allowances cannot be used except at properties that have 100% HUD PBRA and satisfy the DCA definition of "elderly"</t>
  </si>
  <si>
    <t>UTILITY ALLOWANCE SCHEDULE #1</t>
  </si>
  <si>
    <t>Source of Utility Allowances</t>
  </si>
  <si>
    <t>DCA Northern Region</t>
  </si>
  <si>
    <t>Date of Utility Allowances</t>
  </si>
  <si>
    <t>Structure</t>
  </si>
  <si>
    <t>MF</t>
  </si>
  <si>
    <t>Paid By (check one)</t>
  </si>
  <si>
    <t>Tenant-Paid Utility Allowances by Unit Size (# Bdrms)</t>
  </si>
  <si>
    <t>Utility</t>
  </si>
  <si>
    <t>Fuel</t>
  </si>
  <si>
    <t>Tenant</t>
  </si>
  <si>
    <t>Owner</t>
  </si>
  <si>
    <t>Efficiency</t>
  </si>
  <si>
    <t>Heat</t>
  </si>
  <si>
    <t>Electric Heat Pump</t>
  </si>
  <si>
    <t>X</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</si>
  <si>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</si>
  <si>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Cooking</t>
  </si>
  <si>
    <t>Electric</t>
  </si>
  <si>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</si>
  <si>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</si>
  <si>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</si>
  <si>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</si>
  <si>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</si>
  <si>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</si>
  <si>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</si>
  <si>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</si>
  <si>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</si>
  <si>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</si>
  <si>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</si>
  <si>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</si>
  <si>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</si>
  <si>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DCA COMMENTS</t>
  </si>
  <si>
    <t>RENT SCHEDULE</t>
  </si>
  <si>
    <t xml:space="preserve">Do NOT cut, copy or paste cells in this tab.  Complete ALL columns. For Common Space (non-income producing) units, select "N/A-CS" for Rent Type and "Common Space" for Employee Unit.  </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</si>
  <si>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</si>
  <si>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</si>
  <si>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</si>
  <si>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</si>
  <si>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</si>
  <si>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</si>
  <si>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</si>
  <si>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</si>
  <si>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</si>
  <si>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</si>
  <si>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</si>
  <si>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60% Units</t>
  </si>
  <si>
    <t>1 BR 60% Units</t>
  </si>
  <si>
    <t>2 BR 60% Units</t>
  </si>
  <si>
    <t>3 BR 60% Units</t>
  </si>
  <si>
    <t>4 BR 60% Units</t>
  </si>
  <si>
    <t>Efficiency 50% Units</t>
  </si>
  <si>
    <t>1 BR 50% Units</t>
  </si>
  <si>
    <t>2 BR 50% Units</t>
  </si>
  <si>
    <t>3 BR 50% Units</t>
  </si>
  <si>
    <t>4 BR 50% Units</t>
  </si>
  <si>
    <t>Efficiency 30% Units</t>
  </si>
  <si>
    <t>1 BR 30% Units</t>
  </si>
  <si>
    <t>2 BR 30% Units</t>
  </si>
  <si>
    <t>3 BR 30% Units</t>
  </si>
  <si>
    <t>4 BR 30% Units</t>
  </si>
  <si>
    <t>Efficiency Mkt Units</t>
  </si>
  <si>
    <t>1 BR Mkt Units</t>
  </si>
  <si>
    <t>2 BR Mkt Units</t>
  </si>
  <si>
    <t>3 BR Mkt Units</t>
  </si>
  <si>
    <t>4 BR Mkt Units</t>
  </si>
  <si>
    <t>Efficiency PBRA 30% Units</t>
  </si>
  <si>
    <t>1 BR PBRA 30% Units</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</si>
  <si>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</si>
  <si>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</si>
  <si>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</si>
  <si>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</si>
  <si>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</si>
  <si>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</si>
  <si>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</si>
  <si>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</si>
  <si>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</si>
  <si>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</si>
  <si>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</si>
  <si>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</si>
  <si>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</si>
  <si>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PHA Oper Sub 30% Units</t>
  </si>
  <si>
    <t>1 BR PHA Oper Sub 30% Units</t>
  </si>
  <si>
    <t>2 BR PHA Oper Sub 30% Units</t>
  </si>
  <si>
    <t>3 BR PHA Oper Sub 30% Units</t>
  </si>
  <si>
    <t>4 BR PHA Oper Sub 30%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</si>
  <si>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</si>
  <si>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</si>
  <si>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</si>
  <si>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</si>
  <si>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</si>
  <si>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</si>
  <si>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</si>
  <si>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</si>
  <si>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</si>
  <si>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</si>
  <si>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Common Space Units</t>
  </si>
  <si>
    <t>1 BR Common Space Units</t>
  </si>
  <si>
    <t>2 BR Common Space Units</t>
  </si>
  <si>
    <t>3 BR Common Space Units</t>
  </si>
  <si>
    <t>4 BR Common Space Units</t>
  </si>
  <si>
    <t>Efficiency 60% SF</t>
  </si>
  <si>
    <t>1 BR 60% SF</t>
  </si>
  <si>
    <t>2 BR 60% SF</t>
  </si>
  <si>
    <t>3 BR 60% SF</t>
  </si>
  <si>
    <t>4 BR 60% SF</t>
  </si>
  <si>
    <t>Efficiency 50% SF</t>
  </si>
  <si>
    <t>1 BR 50% SF</t>
  </si>
  <si>
    <t>2 BR 50% SF</t>
  </si>
  <si>
    <t>3 BR 50% SF</t>
  </si>
  <si>
    <t>4 BR 50% SF</t>
  </si>
  <si>
    <t>Efficiency 30% SF</t>
  </si>
  <si>
    <t>1 BR 30% SF</t>
  </si>
  <si>
    <t>2 BR 30% SF</t>
  </si>
  <si>
    <t>3 BR 30% SF</t>
  </si>
  <si>
    <t>4 BR 30%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</si>
  <si>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</si>
  <si>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</si>
  <si>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</si>
  <si>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</si>
  <si>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</si>
  <si>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</si>
  <si>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</si>
  <si>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</si>
  <si>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</si>
  <si>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</si>
  <si>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</si>
  <si>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</si>
  <si>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</si>
  <si>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</si>
  <si>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</si>
  <si>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</si>
  <si>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</si>
  <si>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</si>
  <si>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</si>
  <si>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</si>
  <si>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</si>
  <si>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</si>
  <si>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</si>
  <si>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</si>
  <si>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</si>
  <si>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</si>
  <si>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</si>
  <si>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</si>
  <si>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</si>
  <si>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</si>
  <si>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</si>
  <si>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</si>
  <si>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</si>
  <si>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</si>
  <si>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</si>
  <si>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</si>
  <si>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</si>
  <si>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</si>
  <si>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</si>
  <si>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</si>
  <si>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</si>
  <si>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</si>
  <si>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</si>
  <si>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</si>
  <si>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</si>
  <si>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</si>
  <si>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</si>
  <si>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</si>
  <si>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</si>
  <si>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</si>
  <si>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</si>
  <si>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</si>
  <si>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</si>
  <si>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</si>
  <si>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</si>
  <si>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</si>
  <si>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</si>
  <si>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</si>
  <si>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</si>
  <si>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</si>
  <si>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</si>
  <si>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</si>
  <si>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</si>
  <si>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</si>
  <si>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</si>
  <si>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</si>
  <si>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</si>
  <si>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</si>
  <si>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</si>
  <si>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</si>
  <si>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</si>
  <si>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</si>
  <si>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</si>
  <si>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</si>
  <si>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</si>
  <si>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</si>
  <si>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</si>
  <si>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</si>
  <si>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</si>
  <si>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</si>
  <si>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</si>
  <si>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</si>
  <si>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</si>
  <si>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</si>
  <si>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</si>
  <si>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</si>
  <si>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MSA/NonMSA:</t>
  </si>
  <si>
    <t>AMI</t>
  </si>
  <si>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</si>
  <si>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</si>
  <si>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</si>
  <si>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</si>
  <si>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</si>
  <si>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</si>
  <si>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</si>
  <si>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</si>
  <si>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</si>
  <si>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</si>
  <si>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</si>
  <si>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</si>
  <si>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</si>
  <si>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Allowance</t>
  </si>
  <si>
    <t>Provider or</t>
  </si>
  <si>
    <t>Rehabs Only:</t>
  </si>
  <si>
    <t>Gross</t>
  </si>
  <si>
    <t>(UA Sched 1 UA, so over-write if UA Sched 2 used)</t>
  </si>
  <si>
    <t>Operating</t>
  </si>
  <si>
    <t>Rental</t>
  </si>
  <si>
    <t>Rent</t>
  </si>
  <si>
    <t>Nbr of</t>
  </si>
  <si>
    <t>No. of</t>
  </si>
  <si>
    <t>Unit</t>
  </si>
  <si>
    <r>
      <t xml:space="preserve">Subsidy </t>
    </r>
    <r>
      <rPr>
        <b/>
        <sz val="10"/>
        <color indexed="10"/>
        <rFont val="Arial"/>
        <family val="2"/>
      </rPr>
      <t>***</t>
    </r>
  </si>
  <si>
    <t>Monthly Net Rent</t>
  </si>
  <si>
    <t>Employee</t>
  </si>
  <si>
    <t>Building</t>
  </si>
  <si>
    <t>Type of</t>
  </si>
  <si>
    <t>Affordable to:</t>
  </si>
  <si>
    <t>Current</t>
  </si>
  <si>
    <t>Percent</t>
  </si>
  <si>
    <t>0 BR MF Units</t>
  </si>
  <si>
    <t>SF Det'd Units</t>
  </si>
  <si>
    <t>SF Det'd Hist Units</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</si>
  <si>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</si>
  <si>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</si>
  <si>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</si>
  <si>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</si>
  <si>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</si>
  <si>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</si>
  <si>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</si>
  <si>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</si>
  <si>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</si>
  <si>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</si>
  <si>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</si>
  <si>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</si>
  <si>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Type</t>
  </si>
  <si>
    <t>Bdrms</t>
  </si>
  <si>
    <t>Baths</t>
  </si>
  <si>
    <t>Count</t>
  </si>
  <si>
    <t>Area</t>
  </si>
  <si>
    <t>Limit</t>
  </si>
  <si>
    <t>(See note below)</t>
  </si>
  <si>
    <t>Per Unit</t>
  </si>
  <si>
    <t>Design Type</t>
  </si>
  <si>
    <t>Activity</t>
  </si>
  <si>
    <t>Income</t>
  </si>
  <si>
    <t>% of AMI</t>
  </si>
  <si>
    <t>Diff</t>
  </si>
  <si>
    <t>MF Units</t>
  </si>
  <si>
    <t>MH Units</t>
  </si>
  <si>
    <t>MH Hist Units</t>
  </si>
  <si>
    <t>50% AMI</t>
  </si>
  <si>
    <t>2-Story Walkup</t>
  </si>
  <si>
    <t>60% AMI</t>
  </si>
  <si>
    <t>N/A-CS</t>
  </si>
  <si>
    <t>Common Space</t>
  </si>
  <si>
    <t>TOTAL</t>
  </si>
  <si>
    <t>MONTHLY TOTAL</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</si>
  <si>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</si>
  <si>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</si>
  <si>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</si>
  <si>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</si>
  <si>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1BR</t>
  </si>
  <si>
    <t>2BR</t>
  </si>
  <si>
    <t>3BR</t>
  </si>
  <si>
    <t>4BR</t>
  </si>
  <si>
    <t>Low-Income</t>
  </si>
  <si>
    <t>(Includes inc-restr mgr units)</t>
  </si>
  <si>
    <t>NOTE TO APPLICANTS: If the numbers compiled in this Summary do not appear to match what was entered in the Rent Chart above, please verify that all applicable columns were completed in the rows used in the Rent Chart above.</t>
  </si>
  <si>
    <t>Unrestricted</t>
  </si>
  <si>
    <t>Total Residential</t>
  </si>
  <si>
    <t>(no rent charged)</t>
  </si>
  <si>
    <t>PBRA-Assisted</t>
  </si>
  <si>
    <t>(included in LI above)</t>
  </si>
  <si>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</si>
  <si>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</si>
  <si>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</si>
  <si>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</si>
  <si>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</si>
  <si>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</si>
  <si>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</si>
  <si>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</si>
  <si>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</si>
  <si>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</si>
  <si>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1-Story</t>
  </si>
  <si>
    <t>2-Story</t>
  </si>
  <si>
    <t>2-Story Wlkp</t>
  </si>
  <si>
    <t>3+-Story</t>
  </si>
  <si>
    <t>SF Detached</t>
  </si>
  <si>
    <t>Townhome</t>
  </si>
  <si>
    <t>Duplex</t>
  </si>
  <si>
    <t>Manufactured home</t>
  </si>
  <si>
    <r>
      <t xml:space="preserve">Building Type:
(for </t>
    </r>
    <r>
      <rPr>
        <b/>
        <i/>
        <sz val="10"/>
        <rFont val="Arial"/>
        <family val="2"/>
      </rPr>
      <t>Cost Limit</t>
    </r>
    <r>
      <rPr>
        <sz val="10"/>
        <rFont val="Arial"/>
        <family val="2"/>
      </rPr>
      <t xml:space="preserve"> purposes only)</t>
    </r>
  </si>
  <si>
    <t>Detached / SemiDetached</t>
  </si>
  <si>
    <t>Row House</t>
  </si>
  <si>
    <t>Walkup</t>
  </si>
  <si>
    <t>Elevator</t>
  </si>
  <si>
    <t>Unit Square Footage:</t>
  </si>
  <si>
    <t>Low Income</t>
  </si>
  <si>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</si>
  <si>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</si>
  <si>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</si>
  <si>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</si>
  <si>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</si>
  <si>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</si>
  <si>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</si>
  <si>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</si>
  <si>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</si>
  <si>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</si>
  <si>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</si>
  <si>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</si>
  <si>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</si>
  <si>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</si>
  <si>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</si>
  <si>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t>Taxes and Insurance</t>
  </si>
  <si>
    <t>Management Salaries &amp; Benefits</t>
  </si>
  <si>
    <t>Contracted Guard</t>
  </si>
  <si>
    <t>Real Estate Taxes (Gross)*</t>
  </si>
  <si>
    <t>Maintenance Salaries &amp; Benefits</t>
  </si>
  <si>
    <t>Electronic Alarm System</t>
  </si>
  <si>
    <t>Insurance**</t>
  </si>
  <si>
    <t>Support Services Salaries &amp; Benefits</t>
  </si>
  <si>
    <t>Other (describe here)</t>
  </si>
  <si>
    <t>Health Services Coordinator</t>
  </si>
  <si>
    <t>On-Site Office Costs</t>
  </si>
  <si>
    <t>Professional Services</t>
  </si>
  <si>
    <r>
      <t>Management Fee:</t>
    </r>
    <r>
      <rPr>
        <sz val="9"/>
        <color indexed="10"/>
        <rFont val="Arial"/>
        <family val="2"/>
      </rPr>
      <t/>
    </r>
  </si>
  <si>
    <t>Office Supplies &amp; Postage</t>
  </si>
  <si>
    <t>Legal</t>
  </si>
  <si>
    <t>Average per unit per year</t>
  </si>
  <si>
    <t>Telephone</t>
  </si>
  <si>
    <t>Average per unit per month</t>
  </si>
  <si>
    <t>Travel</t>
  </si>
  <si>
    <t>Advertising</t>
  </si>
  <si>
    <t>(Mgt Fee - see Pro Forma, Sect 1, Operating Assumptions)</t>
  </si>
  <si>
    <t>Leased Furniture / Equipment</t>
  </si>
  <si>
    <t>Activities Supplies / Overhead Cost</t>
  </si>
  <si>
    <t>TOTAL OPERATING EXPENSES</t>
  </si>
  <si>
    <t>Average per unit</t>
  </si>
  <si>
    <t>Total OE Required</t>
  </si>
  <si>
    <t>Maintenance Expenses</t>
  </si>
  <si>
    <t>Utilities</t>
  </si>
  <si>
    <t>(Avg$/mth/unit)</t>
  </si>
  <si>
    <t>Replacement Reserve (RR)</t>
  </si>
  <si>
    <t>Contracted Repairs</t>
  </si>
  <si>
    <t>Electricity</t>
  </si>
  <si>
    <t>Proposed averaga RR/unit amount:</t>
  </si>
  <si>
    <t>General Repairs</t>
  </si>
  <si>
    <t>Natural Gas</t>
  </si>
  <si>
    <t>Minimum Replacement Reserve Calculation</t>
  </si>
  <si>
    <t>Grounds Maintenance</t>
  </si>
  <si>
    <t>Water&amp;Swr</t>
  </si>
  <si>
    <t>Unit Type</t>
  </si>
  <si>
    <t>Units x RR Min</t>
  </si>
  <si>
    <t>Total by Type</t>
  </si>
  <si>
    <t>Extermination</t>
  </si>
  <si>
    <t>Trash Collection</t>
  </si>
  <si>
    <t>Maintenance Supplies</t>
  </si>
  <si>
    <t xml:space="preserve">   Rehab</t>
  </si>
  <si>
    <t>Elevator Maintenance</t>
  </si>
  <si>
    <t xml:space="preserve">   New Constr</t>
  </si>
  <si>
    <t>Redecorating</t>
  </si>
  <si>
    <t>SF or Duplex</t>
  </si>
  <si>
    <t>Historic Rhb</t>
  </si>
  <si>
    <t>Totals</t>
  </si>
  <si>
    <t>TOTAL ANNUAL EXPENSES</t>
  </si>
  <si>
    <t>VI.  DCA COMMENTS</t>
  </si>
  <si>
    <t>NOTE: 
Row size may be increased or decreased as needed.  
Press and hold Alt-Enter to start new paragraphs in the same box.</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</si>
  <si>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</si>
  <si>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</si>
  <si>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</si>
  <si>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</si>
  <si>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</si>
  <si>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</si>
  <si>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</si>
  <si>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</si>
  <si>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</si>
  <si>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</si>
  <si>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</si>
  <si>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</si>
  <si>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</si>
  <si>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</si>
  <si>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</si>
  <si>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</si>
  <si>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</si>
  <si>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</si>
  <si>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</si>
  <si>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</si>
  <si>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Vacancy</t>
  </si>
  <si>
    <t>Yrs Thru</t>
  </si>
  <si>
    <t>Total DDF Paid</t>
  </si>
  <si>
    <t>Other Income (OI)</t>
  </si>
  <si>
    <t>OI Not Subject to Mgt Fee</t>
  </si>
  <si>
    <t>Expenses less Mgt Fee</t>
  </si>
  <si>
    <t>Property Mgmt</t>
  </si>
  <si>
    <t>Reserves</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</si>
  <si>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</si>
  <si>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</si>
  <si>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</si>
  <si>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</si>
  <si>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</si>
  <si>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</si>
  <si>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</si>
  <si>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</si>
  <si>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</si>
  <si>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</si>
  <si>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</si>
  <si>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</si>
  <si>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</si>
  <si>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Years 31 - 35</t>
  </si>
  <si>
    <t>III.  Applicant Comments &amp; Clarifications</t>
  </si>
  <si>
    <t>IV.  DCA Comments</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</si>
  <si>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</si>
  <si>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</si>
  <si>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</si>
  <si>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</si>
  <si>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</si>
  <si>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</si>
  <si>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</si>
  <si>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</si>
  <si>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</si>
  <si>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</si>
  <si>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</si>
  <si>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</si>
  <si>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</si>
  <si>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</si>
  <si>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</si>
  <si>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</si>
  <si>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</si>
  <si>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</si>
  <si>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</si>
  <si>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</si>
  <si>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</si>
  <si>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</si>
  <si>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</si>
  <si>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</si>
  <si>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</si>
  <si>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</si>
  <si>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</si>
  <si>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</si>
  <si>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Row size may be increased.</t>
  </si>
  <si>
    <t>DCA's Comments:</t>
  </si>
  <si>
    <t>COST LIMITS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</si>
  <si>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</si>
  <si>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New Construction and</t>
  </si>
  <si>
    <t>Historic Rehab or Transit-Oriented Devlpmt</t>
  </si>
  <si>
    <t xml:space="preserve">qualifying for Historic Preservation or TOD pt(s) </t>
  </si>
  <si>
    <t>Is this Criterion met?</t>
  </si>
  <si>
    <t>Nbr Units</t>
  </si>
  <si>
    <t>Unit Cost Limit total by Unit Type</t>
  </si>
  <si>
    <t>Detached/Semi-Detached</t>
  </si>
  <si>
    <t>TDC Cost Limit Area:</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</si>
  <si>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</si>
  <si>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t>Tot Development Costs:</t>
  </si>
  <si>
    <t>Subotal</t>
  </si>
  <si>
    <t>Cost Waiver / DCA Override</t>
  </si>
  <si>
    <t>Historic Preservation Pts</t>
  </si>
  <si>
    <t>Applicant</t>
  </si>
  <si>
    <t>DCA</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</si>
  <si>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</si>
  <si>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</si>
  <si>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</si>
  <si>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</si>
  <si>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This project is designated as:</t>
  </si>
  <si>
    <t>REQUIRED SERVICES</t>
  </si>
  <si>
    <t>Applicant certifies that they will designate the specific services and meet the additional policies related to services.</t>
  </si>
  <si>
    <t>Does Applicant agree?</t>
  </si>
  <si>
    <t>Specify at least 2 basic ongoing services from at least 2 categories below for Family projects, or at least 4 basic ongoing services from at least 3 categories below for Senior projects:</t>
  </si>
  <si>
    <t>1)</t>
  </si>
  <si>
    <t>Social &amp; recreational programs planned &amp; overseen by project mgr</t>
  </si>
  <si>
    <t>Specify:</t>
  </si>
  <si>
    <t>2)</t>
  </si>
  <si>
    <t>On-site enrichment classes</t>
  </si>
  <si>
    <t>3)</t>
  </si>
  <si>
    <t>On-site health classes</t>
  </si>
  <si>
    <t>4)</t>
  </si>
  <si>
    <t>Other services approved by DCA at pre-application</t>
  </si>
  <si>
    <t>For applications for rehabilitation of existing congregate supportive housing developments:</t>
  </si>
  <si>
    <t>Name of behavioral health agency, continuum of care or service provider for which MOU included:</t>
  </si>
  <si>
    <t>MARKET FEASIBILITY</t>
  </si>
  <si>
    <t>Provide the name of the market study analyst used by applicant:</t>
  </si>
  <si>
    <t>Project absorption period to reach stabilized occupancy</t>
  </si>
  <si>
    <t xml:space="preserve">Overall Market Occupancy Rate </t>
  </si>
  <si>
    <t>Overall capture rate for</t>
  </si>
  <si>
    <t>D1.  Tax Credit units</t>
  </si>
  <si>
    <t>D2.  Market rate units</t>
  </si>
  <si>
    <t>List DCA funded projects in the primary market area.  Include DCA project number and project name in each case.</t>
  </si>
  <si>
    <t>Project Nbr</t>
  </si>
  <si>
    <t>5)</t>
  </si>
  <si>
    <t>6)</t>
  </si>
  <si>
    <t>Does the unit mix/rents and amenities included in the application match those provided in the market study?</t>
  </si>
  <si>
    <t>For DCA determination:</t>
  </si>
  <si>
    <t>G.</t>
  </si>
  <si>
    <t>Are more than two DCA funded projects in the primary market area which have physical occupancy rates of less than 90 percent and which compete for the same tenant base as the proposed project?</t>
  </si>
  <si>
    <t>H.</t>
  </si>
  <si>
    <t>Has there been a significant change in economic conditions in the proposed market which could detrimentally affect the long term viability of the proposed project and the proposed tenant population?</t>
  </si>
  <si>
    <t>Does the proposed market area appear to be overestimated, creating the likelihood that the demand for the project is weaker than projected?</t>
  </si>
  <si>
    <t>J.</t>
  </si>
  <si>
    <t>Is the capture rate of a specific bedroom type and market segment over 55%?</t>
  </si>
  <si>
    <t>APPRAISALS</t>
  </si>
  <si>
    <t>Is there is an identity of interest between the buyer and seller of the project?</t>
  </si>
  <si>
    <t>Is an appraisal included in this application submission?</t>
  </si>
  <si>
    <t>If an appraisal is included, indicate Appraiser's Name and answer the following questions:</t>
  </si>
  <si>
    <t>Appraiser's Name:</t>
  </si>
  <si>
    <t>Does it provide a land value?</t>
  </si>
  <si>
    <t>Does it provide a value for the improvements?</t>
  </si>
  <si>
    <t>Does the appraisal conform to USPAP standards?</t>
  </si>
  <si>
    <t>For LIHTC projects involving DCA HOME funds, does the total hard cost of the project exceed 90% of the as completed unencumbered appraised value of the property?</t>
  </si>
  <si>
    <t>If an identity of interest exists between the buyer and seller, did the seller purchase this property within the past three (3) years?</t>
  </si>
  <si>
    <t>Has the property been:</t>
  </si>
  <si>
    <t>Rezoned?</t>
  </si>
  <si>
    <t>Subdivided?</t>
  </si>
  <si>
    <t>Modified?</t>
  </si>
  <si>
    <t>ENVIRONMENTAL REQUIREMENTS</t>
  </si>
  <si>
    <t>Name of Company that prepared the Phase I Assessment in accordance with ASTM 1527-13:</t>
  </si>
  <si>
    <t>Is a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</si>
  <si>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</si>
  <si>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</si>
  <si>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</si>
  <si>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 xml:space="preserve"> If "Yes",  what are the contributing factors in decreasing order of magnitude?</t>
  </si>
  <si>
    <t>Is the subject property located in a:</t>
  </si>
  <si>
    <t>Brownfield?</t>
  </si>
  <si>
    <t>100 year flood plain / floodway?</t>
  </si>
  <si>
    <t>If "Yes":</t>
  </si>
  <si>
    <t>a)</t>
  </si>
  <si>
    <t>Percentage of site that is within a floodplain:</t>
  </si>
  <si>
    <t>b)</t>
  </si>
  <si>
    <t>Will any development occur in the floodplain?</t>
  </si>
  <si>
    <t>c)</t>
  </si>
  <si>
    <t>Is documentation provided as per Threshold criteria?</t>
  </si>
  <si>
    <t>Wetlands?</t>
  </si>
  <si>
    <t>Enter the percentage of the site that is a wetlands:</t>
  </si>
  <si>
    <t>Will any development occur in the wetlands?</t>
  </si>
  <si>
    <t>State Waters/Streams/Buffers and Setbacks area?</t>
  </si>
  <si>
    <t>Has the Environmental Professional identified any of the following on the subject property:</t>
  </si>
  <si>
    <t>Lead-based paint?</t>
  </si>
  <si>
    <t>Endangered species?</t>
  </si>
  <si>
    <t>9)</t>
  </si>
  <si>
    <t>Mold?</t>
  </si>
  <si>
    <t>Noise?</t>
  </si>
  <si>
    <t>Historic designation?</t>
  </si>
  <si>
    <t>10)</t>
  </si>
  <si>
    <t>PCB's?</t>
  </si>
  <si>
    <t>Water leaks?</t>
  </si>
  <si>
    <t>7)</t>
  </si>
  <si>
    <t>Vapor intrusion?</t>
  </si>
  <si>
    <t>11)</t>
  </si>
  <si>
    <t>Radon?</t>
  </si>
  <si>
    <t>Lead in water?</t>
  </si>
  <si>
    <t>8)</t>
  </si>
  <si>
    <t>Asbestos-containing materials?</t>
  </si>
  <si>
    <t>12)</t>
  </si>
  <si>
    <t>Other (e.g., Native American burial grounds, etc.) - describe in box below:</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</si>
  <si>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</si>
  <si>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</si>
  <si>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</si>
  <si>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</si>
  <si>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If HUD approval has been previously granted, has the HUD Form 4128 been included?</t>
  </si>
  <si>
    <t>Projects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</si>
  <si>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</si>
  <si>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List all contiguous Census Tracts:</t>
  </si>
  <si>
    <t>Is Contract Addendum included in Application?</t>
  </si>
  <si>
    <t>SITE CONTROL</t>
  </si>
  <si>
    <r>
      <t xml:space="preserve">Is site control provided through </t>
    </r>
    <r>
      <rPr>
        <sz val="8"/>
        <color rgb="FFFF0000"/>
        <rFont val="Arial"/>
        <family val="2"/>
      </rPr>
      <t>November 30, 2018</t>
    </r>
    <r>
      <rPr>
        <sz val="8"/>
        <rFont val="Arial"/>
        <family val="2"/>
      </rPr>
      <t>?</t>
    </r>
  </si>
  <si>
    <t>Expiration Date:</t>
  </si>
  <si>
    <t>Form of site control:</t>
  </si>
  <si>
    <t>Name of Entity with site control:</t>
  </si>
  <si>
    <t>Is there any Identity of Interest between the entity with site control and the applicant?</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</si>
  <si>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</si>
  <si>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</si>
  <si>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</si>
  <si>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</si>
  <si>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</si>
  <si>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SITE ZONING</t>
  </si>
  <si>
    <t>Is Zoning in place at the time of this application submission?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</si>
  <si>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</si>
  <si>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</si>
  <si>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</si>
  <si>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</si>
  <si>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</si>
  <si>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</si>
  <si>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</si>
  <si>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</si>
  <si>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</si>
  <si>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</si>
  <si>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OPERATING UTILITIES</t>
  </si>
  <si>
    <t>Check applicable utilities and enter provider name:</t>
  </si>
  <si>
    <t>Gas</t>
  </si>
  <si>
    <t>PUBLIC WATER/SANITARY SEWER/STORM SEWER</t>
  </si>
  <si>
    <t>Is there a Waiver Approval Letter From DCA included in this application for this criterion as it pertains to single-family detached Rural projects?</t>
  </si>
  <si>
    <t>A1)</t>
  </si>
  <si>
    <t>If Yes, is the waiver request accompanied by an engineering report confirming the availability of water and the percolation of the soil?</t>
  </si>
  <si>
    <t>Check all that are available to the site and enter provider name:</t>
  </si>
  <si>
    <t>Public water</t>
  </si>
  <si>
    <t>B1)</t>
  </si>
  <si>
    <t>Public sewer</t>
  </si>
  <si>
    <t>Is evidence of the easements and commitments from the water and sewer authorities included in the Application?</t>
  </si>
  <si>
    <t>Is verification of any annexation or improvements submitted with the Application?</t>
  </si>
  <si>
    <t>REQUIRED AMENITIES</t>
  </si>
  <si>
    <t>Is there a Pre-Approval Form from DCA included in this application for this criterion?</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</si>
  <si>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</si>
  <si>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</si>
  <si>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Exterior gathering area (if "Other", explain in box provided at right):</t>
  </si>
  <si>
    <t>A2)</t>
  </si>
  <si>
    <t>On site laundry type:</t>
  </si>
  <si>
    <t>A3)</t>
  </si>
  <si>
    <t xml:space="preserve">Applicant agrees to provide the following required Additional Site Amenities to conform with the DCA Amenities Guidebook.  </t>
  </si>
  <si>
    <r>
      <t>The nbr of additional amenities required depends on the total unit count:</t>
    </r>
    <r>
      <rPr>
        <b/>
        <sz val="8"/>
        <rFont val="Arial"/>
        <family val="2"/>
      </rPr>
      <t xml:space="preserve"> 1-125 units = 2 amenities, 126+ units = 4 amenities</t>
    </r>
  </si>
  <si>
    <t>Additional Amenities</t>
  </si>
  <si>
    <t>Additional Amenities (describe below)</t>
  </si>
  <si>
    <t>Guidebook Met?</t>
  </si>
  <si>
    <t>DCA Pre-approved?</t>
  </si>
  <si>
    <t xml:space="preserve">  </t>
  </si>
  <si>
    <t>Applicant agrees to provide the following required Unit Amenities:</t>
  </si>
  <si>
    <t>HVAC systems</t>
  </si>
  <si>
    <t>Energy Star refrigerators</t>
  </si>
  <si>
    <t>Energy Star dishwashers  (not required in senior USDA or HUD properties)</t>
  </si>
  <si>
    <t>Stoves</t>
  </si>
  <si>
    <t>Microwave ovens</t>
  </si>
  <si>
    <t>a. Powder-based stovetop fire suppression canisters installed above the range cook top, OR</t>
  </si>
  <si>
    <t>6a)</t>
  </si>
  <si>
    <t>b. Electronically controlled solid cover plates over stove top burners</t>
  </si>
  <si>
    <t>6b)</t>
  </si>
  <si>
    <t>If proposing a Senior project or Special Needs project, Applicant agrees to provide the following additional required Amenities:</t>
  </si>
  <si>
    <t>Elevators are installed for access to all units above the ground floor.</t>
  </si>
  <si>
    <t>Buildings with multi-story construction have interior furnished gathering areas throughout complex including but not limited to areas near elevators.</t>
  </si>
  <si>
    <t>REHABILITATION STANDARDS (REHABILITATION PROJECTS ONLY)</t>
  </si>
  <si>
    <t>Type of rehab (choose one):</t>
  </si>
  <si>
    <t>Date of Physical Needs Assessment (PNA):</t>
  </si>
  <si>
    <t>Name of consultant preparing PNA:</t>
  </si>
  <si>
    <t>Is 20-year replacement reserve study included?</t>
  </si>
  <si>
    <t>Performance Rpt indicates energy audit completed by qualified BPI Building Analyst?</t>
  </si>
  <si>
    <t>Name of qualified BPI Building Analyst or equivalent professional:</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</si>
  <si>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</si>
  <si>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</si>
  <si>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</si>
  <si>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</si>
  <si>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</si>
  <si>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</si>
  <si>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</si>
  <si>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SITE INFORMATION AND CONCEPTUAL SITE DEVELOPMENT PLAN</t>
  </si>
  <si>
    <t>Is Conceptual Site Development Plan included in application and has it been prepared in accordance with all instructions set forth in the DCA Architectural Manual and Qualified Allocation Plan?</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</si>
  <si>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</si>
  <si>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</si>
  <si>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of proposed property &amp; adjacent surrounding properties &amp; structures are included, numbered, &amp; dated w/brief descriptions?</t>
  </si>
  <si>
    <t>Site Map delineates the approximate location point of each photo?</t>
  </si>
  <si>
    <t>Aerial color photos are current, have high enough resolution to clearly identify existing property &amp; adjacent land uses, &amp; delineate property boundaries?</t>
  </si>
  <si>
    <t>XVI.</t>
  </si>
  <si>
    <t>BUILDING SUSTAINABILITY</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</si>
  <si>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</si>
  <si>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</si>
  <si>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XVII.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</si>
  <si>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</si>
  <si>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</si>
  <si>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</si>
  <si>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</si>
  <si>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2018 Architectural and Accessibility Manuals?</t>
  </si>
  <si>
    <t>For all senior (HFOP or elderly) properties, regardless of the year of first residential use, 100% of the units must be accessible and adaptable, as defined by the Fair Housing Amendments Act of 1988. This is not a waivable requirement.</t>
  </si>
  <si>
    <t>Unit Configuration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</si>
  <si>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</si>
  <si>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</si>
  <si>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</si>
  <si>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</si>
  <si>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</si>
  <si>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</si>
  <si>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</si>
  <si>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b.  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</si>
  <si>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</si>
  <si>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</si>
  <si>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</si>
  <si>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</si>
  <si>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</si>
  <si>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</si>
  <si>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</si>
  <si>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</si>
  <si>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</si>
  <si>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for General Contractor and Subcontractors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</si>
  <si>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</si>
  <si>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</si>
  <si>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</si>
  <si>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</si>
  <si>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</si>
  <si>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XVIII.</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</si>
  <si>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</si>
  <si>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</si>
  <si>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</si>
  <si>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</si>
  <si>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</si>
  <si>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</si>
  <si>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</si>
  <si>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&lt;&lt;Select exterior material /finish upgrade choice from options provided here&gt;&gt;</t>
  </si>
  <si>
    <t xml:space="preserve">                                                                                                                                                                                                                                                                                                                                                                                                                                                                                                                                                                                                                                                                                                                                                                                                                                                                                                                                                                                                                                                                                                                                                                                                                                                                                                                                                                                                                                                                                                                                                                                                                                                                                                                                                                                                                                                                                                                                                                                                                                                                                                                                                                                                                                                                                                                                                                                                                                                                                                                                                                                                                                                                                                                                                                                                                                                                                                                                                                                                                                                                                                                                                                                                                                                                                                                                                                                                                                                                                                                                                                                                                                                                                                                                                                                                                                                                                                                                                                                                                                                                                                                                                                                                                                                                                                                                                                                                                                                                                                                                                                                                                                                                                                                                                                                                                                                                                                                                                                                                                                                                                                                                                                                                                                                                                                                                                                                                                                                                                                                                                                                                                                                                                                                                                                </t>
  </si>
  <si>
    <t>Major Bldg Component Materials &amp; Upgrades  (select one)</t>
  </si>
  <si>
    <t>&lt;&lt;Select materials&gt;&gt;</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</si>
  <si>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</si>
  <si>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XIX.</t>
  </si>
  <si>
    <t>EXPERIENCE, CAPACITY &amp; PERFORMANCE REQUIREMENTS FOR GENERAL PARTNER AND DEVELOPER ENTITIES</t>
  </si>
  <si>
    <t xml:space="preserve">Did the Certifying Entity meet the experience requirement in 2017?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</si>
  <si>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</si>
  <si>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</si>
  <si>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</si>
  <si>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</si>
  <si>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DCA Final Determination</t>
  </si>
  <si>
    <t>XX.</t>
  </si>
  <si>
    <t>COMPLIANCE HISTORY SUMMARY</t>
  </si>
  <si>
    <t>Was a pre-application submitted for this Determination at the Pre-Application Stage?</t>
  </si>
  <si>
    <t xml:space="preserve">If 'Yes", has there been any change in the status of any project included in the CHS form? </t>
  </si>
  <si>
    <t>Has the Certifying Entity and all other project team members completed all required documents as listed in QAP Threshold Section XIX Experience, Capacity And Performance Requirements For General Partner And Developer Entities?</t>
  </si>
  <si>
    <t>XXI.</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</si>
  <si>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</si>
  <si>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</si>
  <si>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</si>
  <si>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</si>
  <si>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</si>
  <si>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</si>
  <si>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</si>
  <si>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</si>
  <si>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</si>
  <si>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</si>
  <si>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</si>
  <si>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XXII.</t>
  </si>
  <si>
    <t>ELIGIBILITY FOR CREDIT UNDER THE RURAL HOME PRESERVATION SET ASIDE</t>
  </si>
  <si>
    <t xml:space="preserve">Requirements </t>
  </si>
  <si>
    <t>Previous DCA Project:       Current Name</t>
  </si>
  <si>
    <t>f.k.a.:</t>
  </si>
  <si>
    <t>DCA Project Nbr:</t>
  </si>
  <si>
    <t>Placed-In-Service Date for previous DCA project listed above:</t>
  </si>
  <si>
    <t>The property is in a(n)</t>
  </si>
  <si>
    <t>area.</t>
  </si>
  <si>
    <t>As of Application Submission, the HOME loan:          a) Existing balance is:</t>
  </si>
  <si>
    <t xml:space="preserve"> b) Payments are current?</t>
  </si>
  <si>
    <t>Applicant is appying for</t>
  </si>
  <si>
    <t>in 9% Credits?</t>
  </si>
  <si>
    <t>Developer Fee calculation for the set aside:</t>
  </si>
  <si>
    <t>Per Applicant</t>
  </si>
  <si>
    <t xml:space="preserve">     Per DCA</t>
  </si>
  <si>
    <t>The Project meets all Threshold Requirements?</t>
  </si>
  <si>
    <t xml:space="preserve">Selection Criteria </t>
  </si>
  <si>
    <t>Original HOME Loan Closing Amount</t>
  </si>
  <si>
    <t>Percentage Paid</t>
  </si>
  <si>
    <t>Percentage of the original HOME loan that has been paid:</t>
  </si>
  <si>
    <t>Number of successful deals completed by the Project Team</t>
  </si>
  <si>
    <t>The property has no other secured debt beside the DCA HOME loan.</t>
  </si>
  <si>
    <t>XXIII.</t>
  </si>
  <si>
    <t>ELIGIBILITY FOR HOME LOANS UNDER THE CHDO SET-ASIDE</t>
  </si>
  <si>
    <t>Name of CHDO:</t>
  </si>
  <si>
    <t>Name of CHDO Managing GP:</t>
  </si>
  <si>
    <t>Is a copy of the CHDO pre-qualification letter from DCA included in the Application?</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</si>
  <si>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</si>
  <si>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</si>
  <si>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</si>
  <si>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XXIV.</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</si>
  <si>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</si>
  <si>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</si>
  <si>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</si>
  <si>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</si>
  <si>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</si>
  <si>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</si>
  <si>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</si>
  <si>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XXV.</t>
  </si>
  <si>
    <t>RELOCATION AND DISPLACEMENT OF TENANTS</t>
  </si>
  <si>
    <t>Does the Applicant anticipate displacing or relocating any tenants?</t>
  </si>
  <si>
    <t xml:space="preserve">1) 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</si>
  <si>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</si>
  <si>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</si>
  <si>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3)  </t>
  </si>
  <si>
    <t>Will any funding source used trigger the Uniform Relocation Act or HUD 104 (d) requirements?</t>
  </si>
  <si>
    <t>Is sufficient comparable replacement housing identified in the relocation plan according to DCA relocation requirements?</t>
  </si>
  <si>
    <t>Provide summary data collected from DCA Relocation Displacement Spreadsheet:</t>
  </si>
  <si>
    <t xml:space="preserve">1) Number of Over Income Tenants </t>
  </si>
  <si>
    <t>4) Number of Down units</t>
  </si>
  <si>
    <t>2) Number of Rent Burdened Tenants</t>
  </si>
  <si>
    <t>5) Number of Displaced Tenants</t>
  </si>
  <si>
    <t>3) Number of Vacancies</t>
  </si>
  <si>
    <t>Indicate Proposed Advisory Services to be used (see Relocation Manual for further explanation):</t>
  </si>
  <si>
    <t>1) Individual interviews</t>
  </si>
  <si>
    <t>3) Written Notifications</t>
  </si>
  <si>
    <t>2) Meetings</t>
  </si>
  <si>
    <t>4) Other - describe in box provided:</t>
  </si>
  <si>
    <t>XXVI.</t>
  </si>
  <si>
    <t>AFFIRMATIVELY FURTHERING FAIR HOUSING (AFFH)</t>
  </si>
  <si>
    <t xml:space="preserve">If selected, does the Applicant agree to prepare and submit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</si>
  <si>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</si>
  <si>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</si>
  <si>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</si>
  <si>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</si>
  <si>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</si>
  <si>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</si>
  <si>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</si>
  <si>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</si>
  <si>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</si>
  <si>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</si>
  <si>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XXVII.7</t>
  </si>
  <si>
    <t>OPTIMAL UTILIZATION OF RESOURCES</t>
  </si>
  <si>
    <t>Furnished Exer/ Fitness Ctr</t>
  </si>
  <si>
    <t>(Select a unit amenity from options provided here)</t>
  </si>
  <si>
    <t>(Select an amenity from options provided here)</t>
  </si>
  <si>
    <t>Microwave Oven in every unit</t>
  </si>
  <si>
    <t>Certifying General Partner</t>
  </si>
  <si>
    <t>In-sink disposal in every unit</t>
  </si>
  <si>
    <t>Arts &amp; Crafts / Activity Center</t>
  </si>
  <si>
    <t>Certifying Developer</t>
  </si>
  <si>
    <t>Built in dishwasher in every unit</t>
  </si>
  <si>
    <t>Attractively fenced community gardens</t>
  </si>
  <si>
    <t>Certifying GP/Developer</t>
  </si>
  <si>
    <t>Installed call system in all units</t>
  </si>
  <si>
    <t>Baseball Field</t>
  </si>
  <si>
    <t>Certifying Principal</t>
  </si>
  <si>
    <t>High-speed internet access No Cost</t>
  </si>
  <si>
    <t>Beauty Parlor</t>
  </si>
  <si>
    <t>Incomplete</t>
  </si>
  <si>
    <t>High-speed internet access Low Cost</t>
  </si>
  <si>
    <t>Complete built-in fire sprinkler system</t>
  </si>
  <si>
    <t>Probationary Certifying GP</t>
  </si>
  <si>
    <t>Covered pavilion w/ picnic/barbecue facilities</t>
  </si>
  <si>
    <t>Probationary Certifying Developer</t>
  </si>
  <si>
    <t>Equipped Computer Center</t>
  </si>
  <si>
    <t>Probationary Certifying GP/Dev</t>
  </si>
  <si>
    <t>Construction of on-site access road req'd for property access</t>
  </si>
  <si>
    <t>Equipped Playground</t>
  </si>
  <si>
    <t>Not Qualified Partnering</t>
  </si>
  <si>
    <t>Construction of off-site access road req'd for property access</t>
  </si>
  <si>
    <t>Equipped soccer field</t>
  </si>
  <si>
    <t>Development of parks on a master plan development site</t>
  </si>
  <si>
    <t>Equipped walking path w/exercise stations or sitting areas</t>
  </si>
  <si>
    <t>Development of green space on a master plan development site</t>
  </si>
  <si>
    <t>Furnished Exercise/Fitness Center</t>
  </si>
  <si>
    <t>Development of walking trails on a master plan development site</t>
  </si>
  <si>
    <t>Furnished Library</t>
  </si>
  <si>
    <t>Development of YMCA center</t>
  </si>
  <si>
    <t>Movie Theater</t>
  </si>
  <si>
    <t>Development of youth center</t>
  </si>
  <si>
    <t>Putting Green</t>
  </si>
  <si>
    <t>Development of senior center</t>
  </si>
  <si>
    <t>Shuffleboard Court</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</si>
  <si>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</si>
  <si>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</si>
  <si>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</si>
  <si>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</si>
  <si>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</si>
  <si>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</si>
  <si>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</si>
  <si>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Additional Required Project Amenities for 4% Tax Credit Projects</t>
  </si>
  <si>
    <t>Installed call system in all units, including a buzzer and light to the exterior</t>
  </si>
  <si>
    <t>High-speed internet access</t>
  </si>
  <si>
    <t>Equipped walking path with exercise stations or sitting areas</t>
  </si>
  <si>
    <t>Retention pond / fountain</t>
  </si>
  <si>
    <t>Equipped playground</t>
  </si>
  <si>
    <t xml:space="preserve">Covered pavilion with picnic/barbecue facilities to encourage community or family reunion type functions  </t>
  </si>
  <si>
    <t>Furnished Children’s Activity center</t>
  </si>
  <si>
    <t xml:space="preserve">     </t>
  </si>
  <si>
    <t>Furnished sitting areas by elevators</t>
  </si>
  <si>
    <t xml:space="preserve">Swimming Pool </t>
  </si>
  <si>
    <t xml:space="preserve">Complete built-in fire sprinkler system in every unit and the community center, including an exterior audio and visual alarm system  </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</si>
  <si>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</si>
  <si>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</si>
  <si>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</si>
  <si>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</si>
  <si>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</si>
  <si>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</si>
  <si>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</si>
  <si>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</si>
  <si>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</si>
  <si>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</si>
  <si>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</si>
  <si>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</si>
  <si>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</si>
  <si>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</si>
  <si>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</si>
  <si>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</si>
  <si>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</si>
  <si>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</si>
  <si>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</si>
  <si>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 xml:space="preserve">Energy star bath exhaust fan with timer and humidistat control </t>
  </si>
  <si>
    <t xml:space="preserve">Fiber cement siding or other 30 year warranty product installed on all exterior wall surfaces not already required to be brick </t>
  </si>
  <si>
    <t>Front Loading washers in Community Laundry</t>
  </si>
  <si>
    <t>Upgraded roofing shingles, or roofing materials  (warranty 30 years or greater)</t>
  </si>
  <si>
    <t>Landscaping and Site Design Features</t>
  </si>
  <si>
    <t>Exterior Wall Finishes and Major Building Component Materials and Upgrades</t>
  </si>
  <si>
    <t>&lt;&lt;Select landscaping or site design feature&gt;&gt;</t>
  </si>
  <si>
    <t>Preservation of existing trees and vegetation</t>
  </si>
  <si>
    <t>Exterior wall faces must have an excess of 30% brick or natural or manufactured stone on each of the exterior wall surfaces.  This is NOT applicable to the interior wall faces of open breezeways</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</si>
  <si>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</si>
  <si>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</si>
  <si>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</si>
  <si>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40% (&amp; ineligible for historic credits) will replace &amp; upgrade existing exterior finish surfaces on all wall faces w/brick or product w/40 yr warranty. N/Ap to interior wall faces of open breezeways.</t>
  </si>
  <si>
    <t>Freestanding shelters</t>
  </si>
  <si>
    <t>For single family units, the total building envelope will have 35% minimum brick coverage; remaining 65% will be fiber cement siding or other product w/40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</si>
  <si>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</si>
  <si>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</si>
  <si>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</si>
  <si>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</si>
  <si>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</si>
  <si>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</si>
  <si>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</si>
  <si>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Site Amenities</t>
  </si>
  <si>
    <t>Equipped play court (basketball, volleyball, shuffleboard or tennis) as appropriate</t>
  </si>
  <si>
    <t>Washer/dryer hookups in all units in addition to required central laundry</t>
  </si>
  <si>
    <t>Picnic area equipped with adequate picnic tables and grills</t>
  </si>
  <si>
    <t>Washers and dryers are installed and maintained in every unit at no additional cost to tenants</t>
  </si>
  <si>
    <t>Equipped playground (Must include minimum of three different pieces of equipment)</t>
  </si>
  <si>
    <t>Installed call system in all units, including a buzzer and light to the exterior (basic amenity for senior projects)</t>
  </si>
  <si>
    <t>Tot lot (fenced and equipped with a minimum of three pieces of equipment)</t>
  </si>
  <si>
    <t>High-speed internet access (see QAP requirements)</t>
  </si>
  <si>
    <t>Large open playing fields (of at least 5,000 square feet) (Family projects only)</t>
  </si>
  <si>
    <t>Furnished Children’s Activity center (must have furnishings, TV, educational media and recreational equipment)</t>
  </si>
  <si>
    <t>Furnished Library (must include sitting areas, tables, periodicals, adequate reference materials)</t>
  </si>
  <si>
    <t>Equipped Computer Center (must have high-speed internet access for every computer, and one computer and printer for every 25 units)</t>
  </si>
  <si>
    <t>Additional Requirements and Amenities for Senior projects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</si>
  <si>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</si>
  <si>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Score</t>
  </si>
  <si>
    <t>Self</t>
  </si>
  <si>
    <t>Value</t>
  </si>
  <si>
    <t>TOTALS:</t>
  </si>
  <si>
    <t>APPLICATION COMPLETENESS</t>
  </si>
  <si>
    <r>
      <t xml:space="preserve">(Applicants start with 10 pts.  Any points entered will be </t>
    </r>
    <r>
      <rPr>
        <i/>
        <u/>
        <sz val="8"/>
        <rFont val="Arial"/>
        <family val="2"/>
      </rPr>
      <t>subtracted</t>
    </r>
    <r>
      <rPr>
        <i/>
        <sz val="8"/>
        <rFont val="Arial"/>
        <family val="2"/>
      </rPr>
      <t xml:space="preserve"> from score value)</t>
    </r>
  </si>
  <si>
    <t>Missing or Incomplete Documents</t>
  </si>
  <si>
    <t>For each missing or incomplete document, one (1) point will be deducted</t>
  </si>
  <si>
    <t>Organization</t>
  </si>
  <si>
    <t>One (1) pt deducted if not organized as set out in the Tab checklist and the Application Instructions</t>
  </si>
  <si>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</si>
  <si>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</si>
  <si>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t>Missing/Inadequate Scoring Justification</t>
  </si>
  <si>
    <t>A. Missing or Illegible or Inaccurate Documents or Application Not Organized Correctly</t>
  </si>
  <si>
    <t>Pt Deductions</t>
  </si>
  <si>
    <t>INCOMPLETE Documents:</t>
  </si>
  <si>
    <t>B. Financial adjustments/revisions:</t>
  </si>
  <si>
    <t>n/a</t>
  </si>
  <si>
    <t>included in 2</t>
  </si>
  <si>
    <t>included in 4</t>
  </si>
  <si>
    <t>included in 6</t>
  </si>
  <si>
    <t>included in 8</t>
  </si>
  <si>
    <t>included in 10</t>
  </si>
  <si>
    <t>Self Score</t>
  </si>
  <si>
    <r>
      <t>B. Financial and Other Adjustments (Continued)</t>
    </r>
    <r>
      <rPr>
        <sz val="8"/>
        <rFont val="Arial"/>
        <family val="2"/>
      </rPr>
      <t xml:space="preserve"> </t>
    </r>
    <r>
      <rPr>
        <i/>
        <sz val="8"/>
        <rFont val="Arial"/>
        <family val="2"/>
      </rPr>
      <t>Sections with Inadequate Applicant Scoring Justification</t>
    </r>
  </si>
  <si>
    <t>Sect #</t>
  </si>
  <si>
    <t>Section Name</t>
  </si>
  <si>
    <t>Applicant Scoring Justification (partial)</t>
  </si>
  <si>
    <t>Desirable/Undesirable Activities</t>
  </si>
  <si>
    <t>Sustainable Developments</t>
  </si>
  <si>
    <t>Place-Based Opportunity</t>
  </si>
  <si>
    <t>Revitalization/Redevelopment Plans</t>
  </si>
  <si>
    <t>Community Transformation</t>
  </si>
  <si>
    <t>Community Designations</t>
  </si>
  <si>
    <t>Priority Point</t>
  </si>
  <si>
    <t>XII</t>
  </si>
  <si>
    <t>Phased Developments / Previous Projects</t>
  </si>
  <si>
    <t>DCA Community Initiatives</t>
  </si>
  <si>
    <t>Favorable Financing</t>
  </si>
  <si>
    <t>Integrated Supportive Housing</t>
  </si>
  <si>
    <t>Historic Preservation</t>
  </si>
  <si>
    <t>DEEPER TARGETING / RENT / INCOME RESTRICTIONS</t>
  </si>
  <si>
    <t>Choose A or B.</t>
  </si>
  <si>
    <t>Deeper Targeting through Rent Restrictions</t>
  </si>
  <si>
    <t>Total Residential Units:</t>
  </si>
  <si>
    <t>Applicant agrees to set income limits at 50% AMI and gross rents at or below 30% of the 50% income limit for at least:</t>
  </si>
  <si>
    <t>Per DCA</t>
  </si>
  <si>
    <t>Actual Percent of Residential Units:</t>
  </si>
  <si>
    <t xml:space="preserve">      Nbr of Restricted Residential Units:</t>
  </si>
  <si>
    <t>of total residential units</t>
  </si>
  <si>
    <t>or</t>
  </si>
  <si>
    <r>
      <t xml:space="preserve">Deeper Targeting through </t>
    </r>
    <r>
      <rPr>
        <b/>
        <i/>
        <u/>
        <sz val="9"/>
        <rFont val="Arial"/>
        <family val="2"/>
      </rPr>
      <t>New</t>
    </r>
    <r>
      <rPr>
        <b/>
        <sz val="9"/>
        <rFont val="Arial"/>
        <family val="2"/>
      </rPr>
      <t xml:space="preserve"> PBRA Contracts</t>
    </r>
  </si>
  <si>
    <t>Nbr of PBRA Residential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</si>
  <si>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</si>
  <si>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</si>
  <si>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</si>
  <si>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</si>
  <si>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</si>
  <si>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</si>
  <si>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</si>
  <si>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</si>
  <si>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&lt;---This box for points, not Y/N.</t>
  </si>
  <si>
    <t xml:space="preserve">Undesirable/Inefficient Site Activities/Characteristics   </t>
  </si>
  <si>
    <t>(2 pts subtracted each)</t>
  </si>
  <si>
    <t>various</t>
  </si>
  <si>
    <t>Scoring Justification per Applicant</t>
  </si>
  <si>
    <t>COMMUNITY TRANSPORTATION OPTIONS</t>
  </si>
  <si>
    <t>See scoring criteria for further requirements and information</t>
  </si>
  <si>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</si>
  <si>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r>
      <t>Mandatory Evaluation Criteria</t>
    </r>
    <r>
      <rPr>
        <b/>
        <i/>
        <u/>
        <sz val="8"/>
        <rFont val="Arial"/>
        <family val="2"/>
      </rPr>
      <t/>
    </r>
  </si>
  <si>
    <t>Competitive Pool chosen:</t>
  </si>
  <si>
    <t>Applicant Agrees?</t>
  </si>
  <si>
    <t>DCA Agrees?</t>
  </si>
  <si>
    <t xml:space="preserve">Transportation service is being publicized to the general public.  </t>
  </si>
  <si>
    <t>Transportation service must be available to all residents of the proposed development/site.</t>
  </si>
  <si>
    <t>Transportation route must have a local route. Routes that only run direct or express will not qualify.</t>
  </si>
  <si>
    <t>Geo Coordinates (##.######) for:</t>
  </si>
  <si>
    <r>
      <rPr>
        <sz val="9"/>
        <rFont val="Arial"/>
        <family val="2"/>
      </rPr>
      <t>Distance</t>
    </r>
    <r>
      <rPr>
        <b/>
        <sz val="9"/>
        <color rgb="FFFF0000"/>
        <rFont val="Arial"/>
        <family val="2"/>
      </rPr>
      <t>*</t>
    </r>
    <r>
      <rPr>
        <sz val="9"/>
        <rFont val="Arial Narrow"/>
        <family val="2"/>
      </rPr>
      <t xml:space="preserve"> (miles)</t>
    </r>
  </si>
  <si>
    <t xml:space="preserve">Pedestrian Site Entrance </t>
  </si>
  <si>
    <t>Proposed Transit Stop</t>
  </si>
  <si>
    <t>If multiple entrances and/or stops:</t>
  </si>
  <si>
    <t>Pedestrian Site Entrance 2</t>
  </si>
  <si>
    <t>Proposed Transit Stop 2</t>
  </si>
  <si>
    <t>Flexible Pool</t>
  </si>
  <si>
    <r>
      <t xml:space="preserve">Choose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</si>
  <si>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</si>
  <si>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</si>
  <si>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</si>
  <si>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</si>
  <si>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</si>
  <si>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t>Applicant in A1 or A2 above serves Family tenancy.</t>
  </si>
  <si>
    <t>Tenancy selected:</t>
  </si>
  <si>
    <t>Access to Public Transportation</t>
  </si>
  <si>
    <r>
      <t xml:space="preserve">Choose only </t>
    </r>
    <r>
      <rPr>
        <b/>
        <i/>
        <u/>
        <sz val="8"/>
        <rFont val="Arial"/>
        <family val="2"/>
      </rPr>
      <t>one</t>
    </r>
    <r>
      <rPr>
        <b/>
        <i/>
        <sz val="8"/>
        <rFont val="Arial"/>
        <family val="2"/>
      </rPr>
      <t xml:space="preserve"> option in 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</si>
  <si>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</si>
  <si>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</si>
  <si>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</si>
  <si>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Rural Pool</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</si>
  <si>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</si>
  <si>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</si>
  <si>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SUSTAINABLE DEVELOPMENTS</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</si>
  <si>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</si>
  <si>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&lt;&lt; Select a Sustainable Development Certification &gt;&gt;</t>
  </si>
  <si>
    <t>Preliminary Scores from Draft Scoring Sheet for the Project from the applicable rating organization:</t>
  </si>
  <si>
    <t>Minimum score required to achieve the level of certification listed above:</t>
  </si>
  <si>
    <t>Expected Score for the Project:</t>
  </si>
  <si>
    <t>Enter points:</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</si>
  <si>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</si>
  <si>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t>Sustainable Building Certification</t>
  </si>
  <si>
    <r>
      <t>Exceptional Sustainable Building Certification</t>
    </r>
    <r>
      <rPr>
        <i/>
        <sz val="9"/>
        <rFont val="Arial"/>
        <family val="2"/>
      </rPr>
      <t xml:space="preserve"> </t>
    </r>
    <r>
      <rPr>
        <i/>
        <sz val="8"/>
        <rFont val="Arial"/>
        <family val="2"/>
      </rPr>
      <t>(Flexible Pool Only)</t>
    </r>
  </si>
  <si>
    <t>High Performance Building Design</t>
  </si>
  <si>
    <t>Indicate building design criteria met for part D (see QAP):</t>
  </si>
  <si>
    <t>ENRICHED PROPERTY SERVICES</t>
  </si>
  <si>
    <t>Education Outcomes</t>
  </si>
  <si>
    <t>(for properties with Family Tenancy only)</t>
  </si>
  <si>
    <t>Healthy Housing Initiatives</t>
  </si>
  <si>
    <t>(Use Pt IX B tab for Narrative identifying local health issue(s), referencing data used, and describing how proposed initiative addresses issue(s).)</t>
  </si>
  <si>
    <t>The data used to identify locally relevant health issues is:</t>
  </si>
  <si>
    <t>List Source(s):</t>
  </si>
  <si>
    <t>Preventive Health Care</t>
  </si>
  <si>
    <t>Applicant agrees to provide on-site preventive health screenings and education at the proposed development?</t>
  </si>
  <si>
    <r>
      <t xml:space="preserve">a)  </t>
    </r>
    <r>
      <rPr>
        <i/>
        <sz val="8"/>
        <rFont val="Arial"/>
        <family val="2"/>
      </rPr>
      <t>Services</t>
    </r>
  </si>
  <si>
    <t>Organizations partnering with to provide services, if applicable:</t>
  </si>
  <si>
    <t xml:space="preserve">      i.   The services will be provided at least monthly and be offered at minimal (no more than $15) or no cost to the residents?</t>
  </si>
  <si>
    <t>i.</t>
  </si>
  <si>
    <t xml:space="preserve">      ii.  The Applicant will provide health education for the residents on at least a monthly basis?</t>
  </si>
  <si>
    <t>ii.</t>
  </si>
  <si>
    <t>Description of Services</t>
  </si>
  <si>
    <t>Occurrence</t>
  </si>
  <si>
    <t>Cost to Resident</t>
  </si>
  <si>
    <t>&lt;&lt; Select &gt;&gt;</t>
  </si>
  <si>
    <r>
      <t xml:space="preserve">b)  </t>
    </r>
    <r>
      <rPr>
        <i/>
        <sz val="8"/>
        <rFont val="Arial"/>
        <family val="2"/>
      </rPr>
      <t>Outcomes</t>
    </r>
  </si>
  <si>
    <t xml:space="preserve">      i.   The Applicant will designate a Health Services Coordinator (HSC), from in-house staff or through an external organization.</t>
  </si>
  <si>
    <t xml:space="preserve">      ii.  The HSC will assess residents’ health needs, make appropriate referrals, and track health outcomes.</t>
  </si>
  <si>
    <t xml:space="preserve">      iii. The outcomes tracked may include the following performance measurements:</t>
  </si>
  <si>
    <t>• Median number of ER visits in the last year</t>
  </si>
  <si>
    <t xml:space="preserve">   • % of residents w/ an established personal doctor and/or report a usual place of care</t>
  </si>
  <si>
    <t>• Median number of hospital admissions in the last yr</t>
  </si>
  <si>
    <t xml:space="preserve">   • % of residents who visited a doctor for routine care in the last year</t>
  </si>
  <si>
    <t>• % of residents enrolled in Medicare and/or Medicaid</t>
  </si>
  <si>
    <t xml:space="preserve">   • % of residents participating in health services and activities</t>
  </si>
  <si>
    <t>• Other: Describe here</t>
  </si>
  <si>
    <t xml:space="preserve">    • Other: Describe here</t>
  </si>
  <si>
    <t>Healthy Eating Initiative</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</si>
  <si>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</si>
  <si>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</si>
  <si>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</si>
  <si>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</si>
  <si>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</si>
  <si>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iii.</t>
  </si>
  <si>
    <t>iv.  Be surrounded on all sides with fence of weatherproof construction?</t>
  </si>
  <si>
    <t>iv.</t>
  </si>
  <si>
    <t>v.   Meet the additional criteria outlined in DCA’s Architectural Manual – Amenities Guidebook?</t>
  </si>
  <si>
    <t>v.</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</si>
  <si>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</si>
  <si>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Description of Monthly Healthy Eating Programs</t>
  </si>
  <si>
    <t>Description of Education Incorporated (Specific Topics)</t>
  </si>
  <si>
    <t>DCA's Comments</t>
  </si>
  <si>
    <t>PLACE-BASED OPPORTUNITY</t>
  </si>
  <si>
    <t>Quality Education Areas</t>
  </si>
  <si>
    <t>Application develops a property located in the attendance zone of one or more high-performing schools as determined by the state CCRPI?</t>
  </si>
  <si>
    <r>
      <rPr>
        <i/>
        <sz val="8"/>
        <rFont val="Arial"/>
        <family val="2"/>
      </rPr>
      <t>NOTE:</t>
    </r>
    <r>
      <rPr>
        <sz val="8"/>
        <rFont val="Arial"/>
        <family val="2"/>
      </rPr>
      <t xml:space="preserve"> 2014-2017 CCRPI 
Data Must Be Used</t>
    </r>
  </si>
  <si>
    <t>District / School System - from state CCRPI website:</t>
  </si>
  <si>
    <t>If Charter school used, does it have a designated (not district wide) attendance zone that includes the property site?</t>
  </si>
  <si>
    <t>Tenancy</t>
  </si>
  <si>
    <t>Charter School?</t>
  </si>
  <si>
    <t>CCRPI Scores from School Years Ending In:</t>
  </si>
  <si>
    <t>Average
CCRPI Score</t>
  </si>
  <si>
    <t>CCRPI &gt; 
State Average?</t>
  </si>
  <si>
    <t>School Level</t>
  </si>
  <si>
    <r>
      <t xml:space="preserve">School Name </t>
    </r>
    <r>
      <rPr>
        <sz val="7"/>
        <rFont val="Arial Narrow"/>
        <family val="2"/>
      </rPr>
      <t>(from state CCRPI website)</t>
    </r>
  </si>
  <si>
    <t>Grades Served</t>
  </si>
  <si>
    <t>State Avg</t>
  </si>
  <si>
    <t>Primary/Elemntry (K-5)</t>
  </si>
  <si>
    <t>Middle / Jr High (6-8)</t>
  </si>
  <si>
    <t>High (9-12)</t>
  </si>
  <si>
    <t>d)</t>
  </si>
  <si>
    <t>e)</t>
  </si>
  <si>
    <t>Middle/Jr High (6-8)</t>
  </si>
  <si>
    <t>f)</t>
  </si>
  <si>
    <t>Workforce Housing Need</t>
  </si>
  <si>
    <t>(choose A or B)</t>
  </si>
  <si>
    <t>(Must use 2014 data from "OnTheMap" tool, but  2015 data may be used if available)</t>
  </si>
  <si>
    <t>Rural Area</t>
  </si>
  <si>
    <t>Other MSA</t>
  </si>
  <si>
    <t>Atlanta Metro</t>
  </si>
  <si>
    <t>Project City</t>
  </si>
  <si>
    <t>Jobs Threshold</t>
  </si>
  <si>
    <t>(Cherokee, Clayton, Cobb, DeKalb, Douglas, Fayette, Fulton, Gwinnett, Henry &amp; Rockdale counties)</t>
  </si>
  <si>
    <t>City of Atlanta</t>
  </si>
  <si>
    <t>Project County</t>
  </si>
  <si>
    <t xml:space="preserve">Minimum </t>
  </si>
  <si>
    <t>HUD SA</t>
  </si>
  <si>
    <t xml:space="preserve">Exceeding Threshold by 50% </t>
  </si>
  <si>
    <t>MSA / Non-MSA</t>
  </si>
  <si>
    <t>Applicable Minimum Jobs Threshold (from chart above) -- Nbr of Jobs:</t>
  </si>
  <si>
    <t>Urban or Rural</t>
  </si>
  <si>
    <t>Total Nbr of Jobs w/in the 2-mile radius:</t>
  </si>
  <si>
    <t>Minimum jobs threshold met?</t>
  </si>
  <si>
    <t>Exceed the minimum jobs threshold by 50%?</t>
  </si>
  <si>
    <t>Minimum Jobs Threshold Exceeded by:</t>
  </si>
  <si>
    <t>REVITALIZATION/REDEVELOPMENT PLANS</t>
  </si>
  <si>
    <t>(Applicants must receive at least 3 points in A to be eligible to receive points in B.)</t>
  </si>
  <si>
    <r>
      <t xml:space="preserve">Eligibility - </t>
    </r>
    <r>
      <rPr>
        <sz val="9"/>
        <rFont val="Arial"/>
        <family val="2"/>
      </rPr>
      <t xml:space="preserve">The Plan </t>
    </r>
  </si>
  <si>
    <t>A Community Transformation Plan submitted in 2017 funding round and satisfiyng criteria (a)-(f) but not (g) is still eligible to receive points as a Community Revitalization Plan.</t>
  </si>
  <si>
    <t>Clearly delineates Targeted Area that includes proposed project site, but does not encompass entire surrounding city / municipality / county?</t>
  </si>
  <si>
    <t>&lt;Enter page nbr(s) from Plan&gt;</t>
  </si>
  <si>
    <r>
      <t xml:space="preserve">Includes public input and engagement </t>
    </r>
    <r>
      <rPr>
        <u/>
        <sz val="8"/>
        <rFont val="Arial"/>
        <family val="2"/>
      </rPr>
      <t>during the planning stages</t>
    </r>
    <r>
      <rPr>
        <sz val="8"/>
        <rFont val="Arial"/>
        <family val="2"/>
      </rPr>
      <t>?</t>
    </r>
  </si>
  <si>
    <t>Calls for the rehabilitation or production of affordable rental housing as a policy goal for the community?</t>
  </si>
  <si>
    <t>Designates implementation measures along with specific time frames for achievement of policies &amp; housing activities?</t>
  </si>
  <si>
    <t>Specific time frames &amp; implementation measures current &amp; ongoing?</t>
  </si>
  <si>
    <t>Includes an assessment of the existing physical structures and infrastructure of the community?</t>
  </si>
  <si>
    <t>Discusses resources that will be utilized to implement the plan?</t>
  </si>
  <si>
    <t>g)</t>
  </si>
  <si>
    <t>Has been officially adopted by a Local Government?</t>
  </si>
  <si>
    <t>Original Adoption Date</t>
  </si>
  <si>
    <t>Most Recent Update</t>
  </si>
  <si>
    <t>h)</t>
  </si>
  <si>
    <r>
      <t xml:space="preserve">Is included </t>
    </r>
    <r>
      <rPr>
        <i/>
        <sz val="8"/>
        <rFont val="Arial"/>
        <family val="2"/>
      </rPr>
      <t xml:space="preserve">in full </t>
    </r>
    <r>
      <rPr>
        <sz val="8"/>
        <rFont val="Arial"/>
        <family val="2"/>
      </rPr>
      <t>in the appropriate tab of the application binder?</t>
    </r>
  </si>
  <si>
    <t>Community Revitalization Plan Website Address (URL):</t>
  </si>
  <si>
    <t>Qualified Census Tract/Revitalization Plan</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</si>
  <si>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</si>
  <si>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</si>
  <si>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Project is in a QCT?</t>
  </si>
  <si>
    <t>Census Tract Number:</t>
  </si>
  <si>
    <t>Eligible Basis Adjustment:</t>
  </si>
  <si>
    <t>Off-Site Capital Investment</t>
  </si>
  <si>
    <t>Unrelated Third-Party Name</t>
  </si>
  <si>
    <t>Unrelated Third-Party Type</t>
  </si>
  <si>
    <t>&lt;Select unrelated 3rd party type&gt;</t>
  </si>
  <si>
    <t>Improvement Completion Date</t>
  </si>
  <si>
    <t>Is 3rd party investment community-wide in scope and/or was improvement completed more than 3 yrs prior to Application Submission?</t>
  </si>
  <si>
    <t>Distance from proposed project site in miles, rounded up to the next tenth of a mile</t>
  </si>
  <si>
    <t>miles</t>
  </si>
  <si>
    <t>Please provide Description of:</t>
  </si>
  <si>
    <t>Investment or Funding Mechanism</t>
  </si>
  <si>
    <t>Investment’s Furtherance of Plan</t>
  </si>
  <si>
    <t>How investment will serve tenant base for  proposed development</t>
  </si>
  <si>
    <t>Full Cost of Improvement</t>
  </si>
  <si>
    <t>Total Development Costs (TDC):</t>
  </si>
  <si>
    <r>
      <t xml:space="preserve">as a </t>
    </r>
    <r>
      <rPr>
        <sz val="8"/>
        <color rgb="FFFF0000"/>
        <rFont val="Arial"/>
        <family val="2"/>
      </rPr>
      <t>Percent of TDC:</t>
    </r>
  </si>
  <si>
    <t>COMMUNITY TRANSFORMATION</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</si>
  <si>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</si>
  <si>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</si>
  <si>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</si>
  <si>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</si>
  <si>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</si>
  <si>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</si>
  <si>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r>
      <t xml:space="preserve">Community-Based Developer </t>
    </r>
    <r>
      <rPr>
        <sz val="9"/>
        <rFont val="Arial"/>
        <family val="2"/>
      </rPr>
      <t>(CBD)</t>
    </r>
  </si>
  <si>
    <t>See QAP for requirements.</t>
  </si>
  <si>
    <t>Entity Name</t>
  </si>
  <si>
    <t>Community Partnerships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</si>
  <si>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</si>
  <si>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CO 1 Name</t>
  </si>
  <si>
    <t>Ltr of Support incl?</t>
  </si>
  <si>
    <t>CO 2 Name</t>
  </si>
  <si>
    <t>Philanthropic Activities</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</si>
  <si>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</si>
  <si>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</si>
  <si>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Activities benefitting a targeted area surrounding their development in another Georgia community.</t>
  </si>
  <si>
    <t>Development Name</t>
  </si>
  <si>
    <t>City &amp; County</t>
  </si>
  <si>
    <t>Community-Driven Initiative</t>
  </si>
  <si>
    <t>The CBD has been selected as a result of a community-driven initiative by the Local Government in a Request for Proposal or similar public bid process?</t>
  </si>
  <si>
    <t>Community Improvement Fund</t>
  </si>
  <si>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</si>
  <si>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</si>
  <si>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</si>
  <si>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</si>
  <si>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</si>
  <si>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</si>
  <si>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STABLE COMMUNITIES</t>
  </si>
  <si>
    <t>(Must use data from the most current FFIEC census report, published as of January 1, 2018)</t>
  </si>
  <si>
    <t>A &amp; B.</t>
  </si>
  <si>
    <t>Census Tract Demographics</t>
  </si>
  <si>
    <t>A. &amp; B.</t>
  </si>
  <si>
    <t>Project is located in a census tract that meets the following demographics according to the most recent FFIEC Census Report (www.ffiec.gov/Census/):</t>
  </si>
  <si>
    <t>Less than</t>
  </si>
  <si>
    <t>(see Income)</t>
  </si>
  <si>
    <t xml:space="preserve">below Poverty level </t>
  </si>
  <si>
    <t>Actual Percent</t>
  </si>
  <si>
    <t>Designated Middle or Upper Income level</t>
  </si>
  <si>
    <t>(see Demographics)</t>
  </si>
  <si>
    <t>Designation:</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</si>
  <si>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</si>
  <si>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</si>
  <si>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Driving Distance (mi) from Site Entr</t>
  </si>
  <si>
    <t>Desirable / Undesirable Activities Pts</t>
  </si>
  <si>
    <t xml:space="preserve">Georgia Department of Public Health Stable Communities </t>
  </si>
  <si>
    <t>Sub-cluster in which project is located, according to the most recent GDPH data hosted on the DCA “Multi-Family Affordable Housing Properties” map:</t>
  </si>
  <si>
    <t>Mixed-Income Developments in Stable Communities</t>
  </si>
  <si>
    <t>Market units:</t>
  </si>
  <si>
    <t>Total Units:</t>
  </si>
  <si>
    <t>Mkt Pct of Total:</t>
  </si>
  <si>
    <t>COMMUNITY DESIGNATIONS</t>
  </si>
  <si>
    <t>(Choose only one.)</t>
  </si>
  <si>
    <t>HUD Choice Neighborhood Implementation (CNI) Grant</t>
  </si>
  <si>
    <t>Purpose Built Communities</t>
  </si>
  <si>
    <t>PHASED DEVELOPMENTS / PREVIOUS PROJECTS</t>
  </si>
  <si>
    <r>
      <t xml:space="preserve">Phased Developments </t>
    </r>
    <r>
      <rPr>
        <i/>
        <sz val="9"/>
        <rFont val="Arial"/>
        <family val="2"/>
      </rPr>
      <t>(Flexible Pool only)</t>
    </r>
  </si>
  <si>
    <t>Phased Development?</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</si>
  <si>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</si>
  <si>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</si>
  <si>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If Yes, indicate DCA Project Nbr and Project Name of the first phase:</t>
  </si>
  <si>
    <t>Number:</t>
  </si>
  <si>
    <t>Name</t>
  </si>
  <si>
    <t>If current application is for third phase, indicate for second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</si>
  <si>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</si>
  <si>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</si>
  <si>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</si>
  <si>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r>
      <t>Previous Projects</t>
    </r>
    <r>
      <rPr>
        <i/>
        <sz val="9"/>
        <rFont val="Arial"/>
        <family val="2"/>
      </rPr>
      <t xml:space="preserve"> (Flexible Pool)</t>
    </r>
  </si>
  <si>
    <t>(choose 1 or 2)</t>
  </si>
  <si>
    <t xml:space="preserve">The proposed development site is not within a 1-mile radius of a Georgia Housing Credit development that has received an award in the last </t>
  </si>
  <si>
    <r>
      <t>Six (6)</t>
    </r>
    <r>
      <rPr>
        <sz val="8"/>
        <rFont val="Arial"/>
        <family val="2"/>
      </rPr>
      <t xml:space="preserve"> DCA funding cycles</t>
    </r>
  </si>
  <si>
    <r>
      <t xml:space="preserve">Four (4) </t>
    </r>
    <r>
      <rPr>
        <sz val="8"/>
        <rFont val="Arial"/>
        <family val="2"/>
      </rPr>
      <t>DCA funding cycles</t>
    </r>
  </si>
  <si>
    <r>
      <t xml:space="preserve">Previous Projects </t>
    </r>
    <r>
      <rPr>
        <i/>
        <sz val="9"/>
        <rFont val="Arial"/>
        <family val="2"/>
      </rPr>
      <t xml:space="preserve"> (Rural Pool)</t>
    </r>
  </si>
  <si>
    <t>(choose 1 or 2 or 3)</t>
  </si>
  <si>
    <t>The proposed development site is within a Local Government boundary which has not received an award of 9% Credits:</t>
  </si>
  <si>
    <t>Since the 2000 DCA Housing Credit Competitive Round</t>
  </si>
  <si>
    <r>
      <rPr>
        <sz val="8"/>
        <rFont val="Arial"/>
        <family val="2"/>
      </rPr>
      <t xml:space="preserve">Within the last </t>
    </r>
    <r>
      <rPr>
        <b/>
        <sz val="8"/>
        <rFont val="Arial"/>
        <family val="2"/>
      </rPr>
      <t>Six (6)</t>
    </r>
    <r>
      <rPr>
        <sz val="8"/>
        <rFont val="Arial"/>
        <family val="2"/>
      </rPr>
      <t xml:space="preserve"> DCA funding cycles</t>
    </r>
  </si>
  <si>
    <r>
      <rPr>
        <sz val="8"/>
        <rFont val="Arial"/>
        <family val="2"/>
      </rPr>
      <t xml:space="preserve">Within the last </t>
    </r>
    <r>
      <rPr>
        <b/>
        <sz val="8"/>
        <rFont val="Arial"/>
        <family val="2"/>
      </rPr>
      <t xml:space="preserve">Four (4) </t>
    </r>
    <r>
      <rPr>
        <sz val="8"/>
        <rFont val="Arial"/>
        <family val="2"/>
      </rPr>
      <t>DCA funding cycles</t>
    </r>
  </si>
  <si>
    <t>EXTENDED AFFORDABILITY COMMITMENT</t>
  </si>
  <si>
    <t>(choose only one)</t>
  </si>
  <si>
    <t xml:space="preserve">Waiver of Qualified Contract Right </t>
  </si>
  <si>
    <t>Applicant agrees to forego cancellation option for at least 5 yrs after close of Compliance period?</t>
  </si>
  <si>
    <t>Tenant Ownership</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</si>
  <si>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</si>
  <si>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</si>
  <si>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</si>
  <si>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Nonprofit Setaside selection from Project Information tab:</t>
  </si>
  <si>
    <t>Is the applicant claiming these points for this project?</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</si>
  <si>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</si>
  <si>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</si>
  <si>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</si>
  <si>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</si>
  <si>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Is this the only application from this Project Team requesting these points in this funding round?</t>
  </si>
  <si>
    <t>PRIORITY POINT</t>
  </si>
  <si>
    <t>Competitive Pool:</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</si>
  <si>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</si>
  <si>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</si>
  <si>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DCA COMMUNITY INITIATIVES</t>
  </si>
  <si>
    <t>Georgia Initiative for Community Housing (GICH)</t>
  </si>
  <si>
    <t>Letter from an eligible GICH team that clearly:</t>
  </si>
  <si>
    <t>&lt; Select applicable GICH &gt;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</si>
  <si>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</si>
  <si>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</si>
  <si>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</si>
  <si>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NOTE:  If more than one letter is issued by a GICH community, no project in that community shall be awarded this point.</t>
  </si>
  <si>
    <t>Designated Military Zones</t>
  </si>
  <si>
    <t>http://www.dca.state.ga.us/economic/DevelopmentTools/programs/militaryZones.asp</t>
  </si>
  <si>
    <t xml:space="preserve">Project site is located within the census tract of a DCA-designated Military Zone (MZ).  </t>
  </si>
  <si>
    <t>City:</t>
  </si>
  <si>
    <t>County:</t>
  </si>
  <si>
    <t>Census Tract #:</t>
  </si>
  <si>
    <t>FAVORABLE FINANCING</t>
  </si>
  <si>
    <t>Indicate that the following criteria are met:</t>
  </si>
  <si>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</si>
  <si>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</si>
  <si>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</si>
  <si>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</si>
  <si>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</si>
  <si>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</si>
  <si>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Federal Home Loan Bank Affordable Housing Program (AHP)</t>
  </si>
  <si>
    <t>Replacement Housing Factor Funds or other HUD PHI fund</t>
  </si>
  <si>
    <t>HOME Funds</t>
  </si>
  <si>
    <t>Beltline Grant/Loan</t>
  </si>
  <si>
    <t>Historic tax credit proceeds</t>
  </si>
  <si>
    <t xml:space="preserve">Community Development Block Grant (CDBG) program funds </t>
  </si>
  <si>
    <r>
      <t>Georgia TCAP acquisition loans passed through a Qualified CDFI revolving loan fund</t>
    </r>
    <r>
      <rPr>
        <sz val="8"/>
        <color rgb="FFFF0000"/>
        <rFont val="Arial"/>
        <family val="2"/>
      </rPr>
      <t>*</t>
    </r>
  </si>
  <si>
    <t>i)</t>
  </si>
  <si>
    <t>Foundation grants, or loans based from grant proceeds per QAP</t>
  </si>
  <si>
    <t>j)</t>
  </si>
  <si>
    <t>Other Federal, State, or Local Government  grant funds or loans</t>
  </si>
  <si>
    <r>
      <rPr>
        <b/>
        <sz val="7"/>
        <color rgb="FFFF0000"/>
        <rFont val="Arial Narrow"/>
        <family val="2"/>
      </rPr>
      <t>*</t>
    </r>
    <r>
      <rPr>
        <sz val="7"/>
        <rFont val="Arial Narrow"/>
        <family val="2"/>
      </rPr>
      <t xml:space="preserve"> These loans do not have to be used for permanent financing or be for a minimum period of 10 years.</t>
    </r>
  </si>
  <si>
    <t>Total Qualifying Sources (TQS):</t>
  </si>
  <si>
    <t>Point Scale</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</si>
  <si>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</si>
  <si>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TQS as a Percent of TDC:</t>
  </si>
  <si>
    <t>Points as suggested by TQS/TDC %</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</si>
  <si>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</si>
  <si>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</si>
  <si>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</si>
  <si>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</si>
  <si>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INTEGRATED SUPPORTIVE HOUSING</t>
  </si>
  <si>
    <t xml:space="preserve">Integrated Supportive Housing/ Section 811 RA                  </t>
  </si>
  <si>
    <t>10% of Total Units (max):</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</si>
  <si>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</si>
  <si>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Total Low Income Units</t>
  </si>
  <si>
    <t>Min 1 BR LI Units required</t>
  </si>
  <si>
    <t>1 BR LI Units Proposed</t>
  </si>
  <si>
    <t xml:space="preserve">Applicant understands the requirements of HUD’s Section 811 Project Rental Assistance (PRA) program, including the 30-year use restriction for all PRA units?
</t>
  </si>
  <si>
    <t>At least 10% of the total low-income units in the proposed Application will be one bedroom units?</t>
  </si>
  <si>
    <t xml:space="preserve">Applicant is willing to accept Assistance affordable to 50% AMI tenants?
</t>
  </si>
  <si>
    <t>Target Population Preference</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</si>
  <si>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</si>
  <si>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Name of Public Housing Authority providing PBRA:</t>
  </si>
  <si>
    <t>PBRA Expiration:</t>
  </si>
  <si>
    <t>Applicant agrees to implement a minimum of 15% of the total units targeting the Settlement population?</t>
  </si>
  <si>
    <t>Nbr of Settlement units:</t>
  </si>
  <si>
    <t>HISTORIC PRESERVATION</t>
  </si>
  <si>
    <t>Nbr Historic units:</t>
  </si>
  <si>
    <t>The property is:</t>
  </si>
  <si>
    <t>&lt;&lt;Select applicable status&gt;&gt;</t>
  </si>
  <si>
    <t>Historic Credit Equity:</t>
  </si>
  <si>
    <r>
      <rPr>
        <b/>
        <sz val="8"/>
        <rFont val="Arial"/>
        <family val="2"/>
      </rPr>
      <t xml:space="preserve">Historic </t>
    </r>
    <r>
      <rPr>
        <b/>
        <i/>
        <u/>
        <sz val="8"/>
        <rFont val="Arial"/>
        <family val="2"/>
      </rPr>
      <t>and</t>
    </r>
    <r>
      <rPr>
        <b/>
        <sz val="8"/>
        <rFont val="Arial"/>
        <family val="2"/>
      </rPr>
      <t xml:space="preserve"> Adaptive Reuse</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</si>
  <si>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</si>
  <si>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r>
      <t xml:space="preserve">Hist </t>
    </r>
    <r>
      <rPr>
        <i/>
        <sz val="8"/>
        <rFont val="Arial"/>
        <family val="2"/>
      </rPr>
      <t>adaptive reuse</t>
    </r>
    <r>
      <rPr>
        <sz val="8"/>
        <rFont val="Arial"/>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</si>
  <si>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</si>
  <si>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</si>
  <si>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</si>
  <si>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</si>
  <si>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</si>
  <si>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COMPLIANCE / PERFORMANCE</t>
  </si>
  <si>
    <t>Base Score</t>
  </si>
  <si>
    <t>Deductions</t>
  </si>
  <si>
    <t>Additions</t>
  </si>
  <si>
    <t>TOTAL POSSIBLE SCORE</t>
  </si>
  <si>
    <t>COMMUNITY TRANSFORMATION POINTS</t>
  </si>
  <si>
    <t>EXCEPTIONAL NONPROFIT/PUBLIC HOUSING AUTHORITY POINTS</t>
  </si>
  <si>
    <t>NET POSSIBLE DCA SCORE WITHOUT DCA EXTRA POINTS</t>
  </si>
  <si>
    <t>DCA has included the following area for Applicants to make comments in any section they claimed points but were not provided with comment section.  Include the section/(s) you are referring to within this area along with any applicable comments.</t>
  </si>
  <si>
    <t>Retention pond/Fountain</t>
  </si>
  <si>
    <t>Covered pavilion with picnic/barbecue facilities</t>
  </si>
  <si>
    <t>Off Site Improvements in Master Plan Communities</t>
  </si>
  <si>
    <t>Bonus Desirables</t>
  </si>
  <si>
    <t>Bonus Desirables Point Values</t>
  </si>
  <si>
    <t>&lt;&lt;Select Desirable Category&gt;&gt;</t>
  </si>
  <si>
    <t>National big box general merchandise store</t>
  </si>
  <si>
    <t>Hospital</t>
  </si>
  <si>
    <t>Traditional town square</t>
  </si>
  <si>
    <t>GICH Communities</t>
  </si>
  <si>
    <t>Grocery store w/meat, dairy, &amp; produce</t>
  </si>
  <si>
    <t>&lt;Select a Stable Communities option&gt;</t>
  </si>
  <si>
    <t xml:space="preserve">Community or Recreational Center </t>
  </si>
  <si>
    <t>Flexible Pool, &lt; 5%</t>
  </si>
  <si>
    <t>Albany</t>
  </si>
  <si>
    <t>Elementary, middle, or high school</t>
  </si>
  <si>
    <t>Flexible Pool, &lt; 10%</t>
  </si>
  <si>
    <t>Americus / Sumter County</t>
  </si>
  <si>
    <t>Public park/Public community garden</t>
  </si>
  <si>
    <t>Flexible Pool, &lt; 15%</t>
  </si>
  <si>
    <t>Athens/Clarke County</t>
  </si>
  <si>
    <t>Public library</t>
  </si>
  <si>
    <t>Rural Pool, &lt; 15%</t>
  </si>
  <si>
    <t>Auburn</t>
  </si>
  <si>
    <t xml:space="preserve">Medical care provider </t>
  </si>
  <si>
    <t>Rural Pool, &lt; 20%</t>
  </si>
  <si>
    <t>Bartow County</t>
  </si>
  <si>
    <t>Day care services</t>
  </si>
  <si>
    <t>Brunswick</t>
  </si>
  <si>
    <t>Fire Station or Police Station</t>
  </si>
  <si>
    <t>Byron</t>
  </si>
  <si>
    <t>Retail/Clothing/Department store</t>
  </si>
  <si>
    <t>Calhoun</t>
  </si>
  <si>
    <t>Restaurants</t>
  </si>
  <si>
    <t>Camden County</t>
  </si>
  <si>
    <t>Federally insured banking institutions</t>
  </si>
  <si>
    <t>Cartersville</t>
  </si>
  <si>
    <t>Church</t>
  </si>
  <si>
    <t>COMMUNITY REVITALIZATION PLANS</t>
  </si>
  <si>
    <t>Cedartown</t>
  </si>
  <si>
    <t>Post Office</t>
  </si>
  <si>
    <t>&lt;Select a Community Revitalization Plan option&gt;</t>
  </si>
  <si>
    <t>Cochran</t>
  </si>
  <si>
    <t>Pharmacy</t>
  </si>
  <si>
    <t>QCT &amp; Local Govt Adptd Revital Plan</t>
  </si>
  <si>
    <t>Colquitt</t>
  </si>
  <si>
    <t>Local Govt Adopted Revitaliztn Plan</t>
  </si>
  <si>
    <t>Commerce</t>
  </si>
  <si>
    <t>HUD Choice Nbrhd Implement Grant</t>
  </si>
  <si>
    <t>Cordele</t>
  </si>
  <si>
    <t>Sustainable Development</t>
  </si>
  <si>
    <t>None</t>
  </si>
  <si>
    <t>Covington</t>
  </si>
  <si>
    <t>Dalton</t>
  </si>
  <si>
    <t>Earth Craft Communities (Urban Development)</t>
  </si>
  <si>
    <t>Earth Craft House Multifamily</t>
  </si>
  <si>
    <t>Douglasville</t>
  </si>
  <si>
    <t>Earth Craft House Multifamily - Platinum Certification</t>
  </si>
  <si>
    <t>Dublin</t>
  </si>
  <si>
    <t>Earth Craft House Single Family</t>
  </si>
  <si>
    <t>Eatonton</t>
  </si>
  <si>
    <t>Earth Craft House Single Family - Platinum Certification</t>
  </si>
  <si>
    <t>Evans County</t>
  </si>
  <si>
    <t>Earth Craft House Renovation</t>
  </si>
  <si>
    <t>Fairburn</t>
  </si>
  <si>
    <t>Earth Craft House Renovation - Platinum Certification</t>
  </si>
  <si>
    <t>Fort Valley</t>
  </si>
  <si>
    <t>Enterprise Foundation Green Communities</t>
  </si>
  <si>
    <t>Gainesville</t>
  </si>
  <si>
    <t>Enterprise Foundation Green Communities - 10 Pts &gt; Min</t>
  </si>
  <si>
    <t>Garden City</t>
  </si>
  <si>
    <t>LEED-ND v4</t>
  </si>
  <si>
    <t>Gray / Jones County</t>
  </si>
  <si>
    <t>LEED for Homes</t>
  </si>
  <si>
    <t>Greensboro</t>
  </si>
  <si>
    <t>LEED for Homes - Platinum Certification</t>
  </si>
  <si>
    <t>Griffin</t>
  </si>
  <si>
    <t>HIRL National Green Building Standard - Min Bronze</t>
  </si>
  <si>
    <t>Hall County</t>
  </si>
  <si>
    <t>HIRL National Green Building Standard - Emerald Certification</t>
  </si>
  <si>
    <t>Harlem</t>
  </si>
  <si>
    <t>EnergyStar v3</t>
  </si>
  <si>
    <t>Hawkinsville</t>
  </si>
  <si>
    <t>USDOE Zero Energy Ready Home</t>
  </si>
  <si>
    <t>Liberty County</t>
  </si>
  <si>
    <t>Lithonia</t>
  </si>
  <si>
    <t>Madison</t>
  </si>
  <si>
    <t>McRae-Helena</t>
  </si>
  <si>
    <t>Metter</t>
  </si>
  <si>
    <t>Milledgeville</t>
  </si>
  <si>
    <t>Millen</t>
  </si>
  <si>
    <t>Monroe</t>
  </si>
  <si>
    <t>Moultrie</t>
  </si>
  <si>
    <t>Nashville</t>
  </si>
  <si>
    <t>Newnan</t>
  </si>
  <si>
    <t>Norcross</t>
  </si>
  <si>
    <t>Pembroke</t>
  </si>
  <si>
    <t>Perry</t>
  </si>
  <si>
    <t>Pine Mountain</t>
  </si>
  <si>
    <t>Porterdale</t>
  </si>
  <si>
    <t>Rincon</t>
  </si>
  <si>
    <t>Rockmart</t>
  </si>
  <si>
    <t>Rome</t>
  </si>
  <si>
    <t>Roswell</t>
  </si>
  <si>
    <t>Sandersville / Tennille / Washington County</t>
  </si>
  <si>
    <t>Sylvester</t>
  </si>
  <si>
    <t>Thomasville</t>
  </si>
  <si>
    <t>Thomson / McDuffie County</t>
  </si>
  <si>
    <t>Tifton</t>
  </si>
  <si>
    <t>Trion</t>
  </si>
  <si>
    <t xml:space="preserve">Troup County / Hogansville / LaGrange / West Point </t>
  </si>
  <si>
    <t>Toccoa</t>
  </si>
  <si>
    <t>Union City</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</si>
  <si>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</si>
  <si>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</si>
  <si>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</si>
  <si>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</si>
  <si>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</si>
  <si>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</si>
  <si>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</si>
  <si>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</si>
  <si>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</si>
  <si>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</si>
  <si>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</si>
  <si>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</si>
  <si>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</si>
  <si>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</si>
  <si>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</si>
  <si>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</si>
  <si>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</si>
  <si>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</si>
  <si>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</si>
  <si>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</si>
  <si>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</si>
  <si>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</si>
  <si>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</si>
  <si>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</si>
  <si>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</si>
  <si>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</si>
  <si>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</si>
  <si>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</si>
  <si>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</si>
  <si>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</si>
  <si>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</si>
  <si>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</si>
  <si>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</si>
  <si>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</si>
  <si>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</si>
  <si>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</si>
  <si>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</si>
  <si>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</si>
  <si>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</si>
  <si>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</si>
  <si>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</si>
  <si>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</si>
  <si>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EXECUTIVE SUMMARY</t>
  </si>
  <si>
    <t>DCA HOME/LIHTC</t>
  </si>
  <si>
    <t>1.  Program Overview</t>
  </si>
  <si>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</si>
  <si>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2.  Borrower</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</si>
  <si>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</si>
  <si>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</si>
  <si>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3.  DCA Loan Term</t>
  </si>
  <si>
    <t xml:space="preserve">     A. Type of Financing</t>
  </si>
  <si>
    <t>Construction/Permanent HOME Funds</t>
  </si>
  <si>
    <t xml:space="preserve">     B. Amount:</t>
  </si>
  <si>
    <t xml:space="preserve">     C. Number of Units:</t>
  </si>
  <si>
    <t>4.  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</si>
  <si>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</si>
  <si>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</si>
  <si>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5.  Project &amp; Loan Review Committee Recommendations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</si>
  <si>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</si>
  <si>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 xml:space="preserve"> </t>
  </si>
  <si>
    <t>6.  Approval and Authorization</t>
  </si>
  <si>
    <t>Division Director</t>
  </si>
  <si>
    <t>Date</t>
  </si>
  <si>
    <t>Deputy Commissioner</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</si>
  <si>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</si>
  <si>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</si>
  <si>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</si>
  <si>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</si>
  <si>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</si>
  <si>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</si>
  <si>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</si>
  <si>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</si>
  <si>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</si>
  <si>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</si>
  <si>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</si>
  <si>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</si>
  <si>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</si>
  <si>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</si>
  <si>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</si>
  <si>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</si>
  <si>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</si>
  <si>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</si>
  <si>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</si>
  <si>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</si>
  <si>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</si>
  <si>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</si>
  <si>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</si>
  <si>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</si>
  <si>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</si>
  <si>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</si>
  <si>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</si>
  <si>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</si>
  <si>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</si>
  <si>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</si>
  <si>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</si>
  <si>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</si>
  <si>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</si>
  <si>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</si>
  <si>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</si>
  <si>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</si>
  <si>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</si>
  <si>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</si>
  <si>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</si>
  <si>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</si>
  <si>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</si>
  <si>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</si>
  <si>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</si>
  <si>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</si>
  <si>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</si>
  <si>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</si>
  <si>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</si>
  <si>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</si>
  <si>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</si>
  <si>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</si>
  <si>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</si>
  <si>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</si>
  <si>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</si>
  <si>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</si>
  <si>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</si>
  <si>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</si>
  <si>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</si>
  <si>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</si>
  <si>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</si>
  <si>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</si>
  <si>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</si>
  <si>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</si>
  <si>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</si>
  <si>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</si>
  <si>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</si>
  <si>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</si>
  <si>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</si>
  <si>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</si>
  <si>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</si>
  <si>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</si>
  <si>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</si>
  <si>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</si>
  <si>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</si>
  <si>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</si>
  <si>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</si>
  <si>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</si>
  <si>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</si>
  <si>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</si>
  <si>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</si>
  <si>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</si>
  <si>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</si>
  <si>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</si>
  <si>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</si>
  <si>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</si>
  <si>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</si>
  <si>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</si>
  <si>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</si>
  <si>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</si>
  <si>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Rural or Urban</t>
  </si>
  <si>
    <t>CHDO Setaside</t>
  </si>
  <si>
    <t>Project Manager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</si>
  <si>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</si>
  <si>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</si>
  <si>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t>Recommendation:</t>
  </si>
  <si>
    <t>Other Conditions:</t>
  </si>
  <si>
    <t>Policy Exception:</t>
  </si>
  <si>
    <t>DCA's 2018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</si>
  <si>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</si>
  <si>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</si>
  <si>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</si>
  <si>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</si>
  <si>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</si>
  <si>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</si>
  <si>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</si>
  <si>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</si>
  <si>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</si>
  <si>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</si>
  <si>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</si>
  <si>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</si>
  <si>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</si>
  <si>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</si>
  <si>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</si>
  <si>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</si>
  <si>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</si>
  <si>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</si>
  <si>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</si>
  <si>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</si>
  <si>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</si>
  <si>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</si>
  <si>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</si>
  <si>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</si>
  <si>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</si>
  <si>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</si>
  <si>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</si>
  <si>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</si>
  <si>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</si>
  <si>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(X) days from the date of commencement.  Each building must be placed in service by December 31, 2020.</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</si>
  <si>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</si>
  <si>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</si>
  <si>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</si>
  <si>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</si>
  <si>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</si>
  <si>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</si>
  <si>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</si>
  <si>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</si>
  <si>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</si>
  <si>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</si>
  <si>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</si>
  <si>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</si>
  <si>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</si>
  <si>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</si>
  <si>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</si>
  <si>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</si>
  <si>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</si>
  <si>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</si>
  <si>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</si>
  <si>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</si>
  <si>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</si>
  <si>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</si>
  <si>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</si>
  <si>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Philip Gilman- Director, Office of Housing Finance</t>
  </si>
  <si>
    <t>Laurel Hart, Division Director</t>
  </si>
  <si>
    <t>Date:</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</si>
  <si>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</si>
  <si>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</si>
  <si>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</si>
  <si>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</si>
  <si>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</si>
  <si>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</si>
  <si>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</si>
  <si>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</si>
  <si>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</si>
  <si>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</si>
  <si>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</si>
  <si>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</si>
  <si>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</si>
  <si>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</si>
  <si>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</si>
  <si>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</si>
  <si>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</si>
  <si>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</si>
  <si>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</si>
  <si>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</si>
  <si>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</si>
  <si>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</si>
  <si>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</si>
  <si>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</si>
  <si>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</si>
  <si>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</si>
  <si>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</si>
  <si>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</si>
  <si>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</si>
  <si>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</si>
  <si>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</si>
  <si>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</si>
  <si>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</si>
  <si>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</si>
  <si>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</si>
  <si>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</si>
  <si>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</si>
  <si>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</si>
  <si>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</si>
  <si>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</si>
  <si>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</si>
  <si>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</si>
  <si>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Method I:</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</si>
  <si>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</si>
  <si>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</si>
  <si>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</si>
  <si>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r>
      <t>Subsidy</t>
    </r>
    <r>
      <rPr>
        <sz val="9"/>
        <rFont val="Arial"/>
        <family val="2"/>
      </rPr>
      <t xml:space="preserve"> Limit</t>
    </r>
  </si>
  <si>
    <t># LI Units</t>
  </si>
  <si>
    <r>
      <t>Cost</t>
    </r>
    <r>
      <rPr>
        <sz val="9"/>
        <rFont val="Arial"/>
        <family val="2"/>
      </rPr>
      <t xml:space="preserve"> Limit</t>
    </r>
  </si>
  <si>
    <t># Units</t>
  </si>
  <si>
    <t>Efficency</t>
  </si>
  <si>
    <t>1 Bedroom</t>
  </si>
  <si>
    <t>TDC in Application</t>
  </si>
  <si>
    <t>2 Bedroom</t>
  </si>
  <si>
    <t>3 Bedroom</t>
  </si>
  <si>
    <t>Project Cost Limit</t>
  </si>
  <si>
    <t>4+ Bedroom</t>
  </si>
  <si>
    <t>(Using TDC Limits Posted by HUD PIH Office of Capital Improvements)</t>
  </si>
  <si>
    <t>Total Subsidy Units</t>
  </si>
  <si>
    <t>Total Project Subsidy Limit</t>
  </si>
  <si>
    <t>Total Unit Cost Limit</t>
  </si>
  <si>
    <t>(HUD 221d(3))</t>
  </si>
  <si>
    <t>Method II:</t>
  </si>
  <si>
    <t>Number of HOME Units Specified in Application</t>
  </si>
  <si>
    <t>(Assumes all Low-Income units are HOME - adjust if otherwise)</t>
  </si>
  <si>
    <t>Number of Total Units Specified in Application</t>
  </si>
  <si>
    <t>HOME Percent of Total Units</t>
  </si>
  <si>
    <t>( = Nbr of Home Units / Nbr of Total Units)</t>
  </si>
  <si>
    <t>Total Development Costs (TDC)</t>
  </si>
  <si>
    <t>(less reserves held for more than 18 months)</t>
  </si>
  <si>
    <t>Operating Deficit Reserve</t>
  </si>
  <si>
    <t xml:space="preserve">Other </t>
  </si>
  <si>
    <t>Total HOME Eligible Costs</t>
  </si>
  <si>
    <t>Proportion of Total HOME Eligible Cost</t>
  </si>
  <si>
    <t>(=Total HOME Eligible Costs x Home Percent of Total Units)</t>
  </si>
  <si>
    <t>HOME Loan:</t>
  </si>
  <si>
    <t>ELIGIBLE Amount</t>
  </si>
  <si>
    <t>(the Lessor of Method I or II)</t>
  </si>
  <si>
    <t>REQUESTED Amount</t>
  </si>
  <si>
    <t>(HOME Eligible Amount cannot exceed HOME Loan Amount)</t>
  </si>
  <si>
    <t>Minimum # of HOME Units (Required):</t>
  </si>
  <si>
    <t>Requested Home Funds</t>
  </si>
  <si>
    <t>Total Eligible Costs</t>
  </si>
  <si>
    <t>(Requested HOME Funds/Total HOME Eligible Costs) x Total Units= # Units</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</si>
  <si>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</si>
  <si>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</si>
  <si>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</si>
  <si>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</si>
  <si>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</si>
  <si>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</si>
  <si>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</si>
  <si>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</si>
  <si>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</si>
  <si>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</si>
  <si>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</si>
  <si>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</si>
  <si>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</si>
  <si>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</si>
  <si>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</si>
  <si>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</si>
  <si>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</si>
  <si>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</si>
  <si>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</si>
  <si>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</si>
  <si>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</si>
  <si>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</si>
  <si>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</si>
  <si>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</si>
  <si>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</si>
  <si>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</si>
  <si>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</si>
  <si>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</si>
  <si>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</si>
  <si>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</si>
  <si>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</si>
  <si>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</si>
  <si>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</si>
  <si>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</si>
  <si>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</si>
  <si>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</si>
  <si>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</si>
  <si>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</si>
  <si>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</si>
  <si>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</si>
  <si>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</si>
  <si>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</si>
  <si>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</si>
  <si>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</si>
  <si>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</si>
  <si>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</si>
  <si>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</si>
  <si>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</si>
  <si>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</si>
  <si>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</si>
  <si>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</si>
  <si>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</si>
  <si>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</si>
  <si>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</si>
  <si>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</si>
  <si>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</si>
  <si>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</si>
  <si>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</si>
  <si>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</si>
  <si>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</si>
  <si>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</si>
  <si>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</si>
  <si>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</si>
  <si>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</si>
  <si>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</si>
  <si>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</si>
  <si>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</si>
  <si>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</si>
  <si>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</si>
  <si>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</si>
  <si>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</si>
  <si>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</si>
  <si>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</si>
  <si>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</si>
  <si>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</si>
  <si>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</si>
  <si>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</si>
  <si>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</si>
  <si>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</si>
  <si>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</si>
  <si>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</si>
  <si>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</si>
  <si>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</si>
  <si>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</si>
  <si>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</si>
  <si>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</si>
  <si>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</si>
  <si>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</si>
  <si>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</si>
  <si>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</si>
  <si>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</si>
  <si>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</si>
  <si>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</si>
  <si>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</si>
  <si>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</si>
  <si>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</si>
  <si>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</si>
  <si>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</si>
  <si>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</si>
  <si>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</si>
  <si>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</si>
  <si>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</si>
  <si>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</si>
  <si>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</si>
  <si>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</si>
  <si>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</si>
  <si>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</si>
  <si>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</si>
  <si>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</si>
  <si>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</si>
  <si>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Attached</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</si>
  <si>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</si>
  <si>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</si>
  <si>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</si>
  <si>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</si>
  <si>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</si>
  <si>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</si>
  <si>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</si>
  <si>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</si>
  <si>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</si>
  <si>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</si>
  <si>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</si>
  <si>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</si>
  <si>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</si>
  <si>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</si>
  <si>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</si>
  <si>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</si>
  <si>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</si>
  <si>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</si>
  <si>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2020</t>
  </si>
  <si>
    <t>This is a 2018 tax credit round project and must be placed in service by year-end 2020.</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</si>
  <si>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</si>
  <si>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</si>
  <si>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</si>
  <si>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</si>
  <si>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</si>
  <si>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</si>
  <si>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</si>
  <si>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</si>
  <si>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</si>
  <si>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</si>
  <si>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</si>
  <si>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</si>
  <si>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</si>
  <si>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</si>
  <si>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</si>
  <si>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</si>
  <si>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</si>
  <si>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</si>
  <si>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</si>
  <si>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</si>
  <si>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</si>
  <si>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</si>
  <si>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</si>
  <si>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</si>
  <si>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</si>
  <si>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</si>
  <si>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</si>
  <si>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</si>
  <si>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</si>
  <si>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</si>
  <si>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</si>
  <si>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</si>
  <si>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</si>
  <si>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</si>
  <si>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</si>
  <si>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</si>
  <si>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</si>
  <si>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</si>
  <si>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</si>
  <si>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</si>
  <si>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</si>
  <si>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</si>
  <si>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</si>
  <si>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</si>
  <si>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</si>
  <si>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</si>
  <si>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</si>
  <si>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</si>
  <si>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</si>
  <si>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</si>
  <si>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</si>
  <si>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</si>
  <si>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</si>
  <si>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</si>
  <si>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</si>
  <si>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</si>
  <si>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</si>
  <si>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</si>
  <si>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</si>
  <si>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</si>
  <si>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</si>
  <si>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</si>
  <si>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Approval was granted subject to the following conditions:</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</si>
  <si>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</si>
  <si>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</si>
  <si>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</si>
  <si>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</si>
  <si>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</si>
  <si>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</si>
  <si>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</si>
  <si>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</si>
  <si>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</si>
  <si>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</si>
  <si>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</si>
  <si>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Exhibit B</t>
  </si>
  <si>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</si>
  <si>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Be sure each low income unit is addressed below; copy and paste to add more units with more bedrooms or different rents. Delete types that don't apply.</t>
  </si>
  <si>
    <r>
      <t xml:space="preserve">For  </t>
    </r>
    <r>
      <rPr>
        <sz val="10"/>
        <color indexed="10"/>
        <rFont val="Arial"/>
        <family val="2"/>
      </rPr>
      <t/>
    </r>
  </si>
  <si>
    <r>
      <rPr>
        <b/>
        <u/>
        <sz val="10"/>
        <rFont val="Arial"/>
        <family val="2"/>
      </rPr>
      <t>One</t>
    </r>
    <r>
      <rPr>
        <sz val="10"/>
        <rFont val="Arial"/>
        <family val="2"/>
      </rPr>
      <t xml:space="preserve"> Bedroom Units:</t>
    </r>
  </si>
  <si>
    <t>if more than one rent amount for one bedroom Low HOME unit, list each separately</t>
  </si>
  <si>
    <t>The greater of:</t>
  </si>
  <si>
    <t>less the applicable utility allowances;</t>
  </si>
  <si>
    <t xml:space="preserve">the lesser of: </t>
  </si>
  <si>
    <r>
      <t>(a) Low HOME Rent</t>
    </r>
    <r>
      <rPr>
        <sz val="10"/>
        <rFont val="Arial"/>
        <family val="2"/>
      </rPr>
      <t xml:space="preserve"> less the applicable utility allowance;</t>
    </r>
  </si>
  <si>
    <t>(b) High HOME Rent less the applicable utility allowance;</t>
  </si>
  <si>
    <r>
      <rPr>
        <b/>
        <u/>
        <sz val="10"/>
        <rFont val="Arial"/>
        <family val="2"/>
      </rPr>
      <t>Two</t>
    </r>
    <r>
      <rPr>
        <sz val="10"/>
        <rFont val="Arial"/>
        <family val="2"/>
      </rPr>
      <t xml:space="preserve"> Bedroom Units:</t>
    </r>
  </si>
  <si>
    <t>if more than one rent amount for two bedroom Low HOME unit, list each separately</t>
  </si>
  <si>
    <t>the lesser of:</t>
  </si>
  <si>
    <r>
      <rPr>
        <b/>
        <u/>
        <sz val="10"/>
        <rFont val="Arial"/>
        <family val="2"/>
      </rPr>
      <t>Three</t>
    </r>
    <r>
      <rPr>
        <sz val="10"/>
        <rFont val="Arial"/>
        <family val="2"/>
      </rPr>
      <t xml:space="preserve"> Bedroom Units:</t>
    </r>
  </si>
  <si>
    <t>if more than one rent amount for three bedroom Low HOME unit, list each separately</t>
  </si>
  <si>
    <t>Be sure each low income unit is addressed below; copy from below and insert/paste above to add more units with more bedrooms or different rents.  Delete types that don't apply.</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</si>
  <si>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</si>
  <si>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</si>
  <si>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High HOME Rent less the applicable utility allowance;</t>
  </si>
  <si>
    <t>if more than one rent amount for two bedroom High HOME unit, list each separately</t>
  </si>
  <si>
    <t>if more than one rent amount for three bedroom High HOME unit, list each separately</t>
  </si>
  <si>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</si>
  <si>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</si>
  <si>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</si>
  <si>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</si>
  <si>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</si>
  <si>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</si>
  <si>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</si>
  <si>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</si>
  <si>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</si>
  <si>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</si>
  <si>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</si>
  <si>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</si>
  <si>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</si>
  <si>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</si>
  <si>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</si>
  <si>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</si>
  <si>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</si>
  <si>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</si>
  <si>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</si>
  <si>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</si>
  <si>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</si>
  <si>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</si>
  <si>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</si>
  <si>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</si>
  <si>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</si>
  <si>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</si>
  <si>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</si>
  <si>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</si>
  <si>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</si>
  <si>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</si>
  <si>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</si>
  <si>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</si>
  <si>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</si>
  <si>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</si>
  <si>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</si>
  <si>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</si>
  <si>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</si>
  <si>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</si>
  <si>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</si>
  <si>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</si>
  <si>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</si>
  <si>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</si>
  <si>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</si>
  <si>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</si>
  <si>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</si>
  <si>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</si>
  <si>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</si>
  <si>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</si>
  <si>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</si>
  <si>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</si>
  <si>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</si>
  <si>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</si>
  <si>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</si>
  <si>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</si>
  <si>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</si>
  <si>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</si>
  <si>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</si>
  <si>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</si>
  <si>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</si>
  <si>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</si>
  <si>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</si>
  <si>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</si>
  <si>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</si>
  <si>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</si>
  <si>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</si>
  <si>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</si>
  <si>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</si>
  <si>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</si>
  <si>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</si>
  <si>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</si>
  <si>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</si>
  <si>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</si>
  <si>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</si>
  <si>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</si>
  <si>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</si>
  <si>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</si>
  <si>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</si>
  <si>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</si>
  <si>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</si>
  <si>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</si>
  <si>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</si>
  <si>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</si>
  <si>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</si>
  <si>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</si>
  <si>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</si>
  <si>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</si>
  <si>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</si>
  <si>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</si>
  <si>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</si>
  <si>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</si>
  <si>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</si>
  <si>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</si>
  <si>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</si>
  <si>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</si>
  <si>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</si>
  <si>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</si>
  <si>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</si>
  <si>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</si>
  <si>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</si>
  <si>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</si>
  <si>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</si>
  <si>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2018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</si>
  <si>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</si>
  <si>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</si>
  <si>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</si>
  <si>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</si>
  <si>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</si>
  <si>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</si>
  <si>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</si>
  <si>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</si>
  <si>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</si>
  <si>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</si>
  <si>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</si>
  <si>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</si>
  <si>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</si>
  <si>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</si>
  <si>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</si>
  <si>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</si>
  <si>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</si>
  <si>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</si>
  <si>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</si>
  <si>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</si>
  <si>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SUMMARY OF DCA UNDERWRITING ASSUMPTIONS</t>
  </si>
  <si>
    <t>Category</t>
  </si>
  <si>
    <t>Specification</t>
  </si>
  <si>
    <t>Scale</t>
  </si>
  <si>
    <t>Funding Limits</t>
  </si>
  <si>
    <t>LIHTC</t>
  </si>
  <si>
    <t xml:space="preserve">Per Project </t>
  </si>
  <si>
    <t>Extraordinary Circumstances Waiver</t>
  </si>
  <si>
    <t xml:space="preserve">Per Owner Per Round </t>
  </si>
  <si>
    <t>Per Project</t>
  </si>
  <si>
    <t>Per Owner Per Round (% of HOME funds available)</t>
  </si>
  <si>
    <t>HUD PIH Office of Capital Improvements - Total Development Costs</t>
  </si>
  <si>
    <t>Per Unit (Avg)</t>
  </si>
  <si>
    <t>Unit TDC Limit by Bedroom Size</t>
  </si>
  <si>
    <t>Historic / CTO</t>
  </si>
  <si>
    <t>MSA</t>
  </si>
  <si>
    <t>4+</t>
  </si>
  <si>
    <t>Athens</t>
  </si>
  <si>
    <t>Augusta</t>
  </si>
  <si>
    <t>Chattanooga</t>
  </si>
  <si>
    <t>Columbus</t>
  </si>
  <si>
    <t>Macon</t>
  </si>
  <si>
    <t>Savannah</t>
  </si>
  <si>
    <t>HOME 221(d)(3) Unit Subsidy Limits</t>
  </si>
  <si>
    <t>Unit Cost Limit</t>
  </si>
  <si>
    <t>Maximum is project-specific</t>
  </si>
  <si>
    <t>Annual Operating Expenses</t>
  </si>
  <si>
    <t>Urban</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</si>
  <si>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</si>
  <si>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</si>
  <si>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</si>
  <si>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</si>
  <si>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</si>
  <si>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</si>
  <si>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</si>
  <si>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</si>
  <si>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</si>
  <si>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</si>
  <si>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</si>
  <si>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</si>
  <si>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</si>
  <si>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</si>
  <si>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</si>
  <si>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</si>
  <si>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</si>
  <si>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</si>
  <si>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</si>
  <si>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</si>
  <si>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</si>
  <si>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</si>
  <si>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</si>
  <si>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t>
  </si>
  <si>
    <t>Tax Credit Letter of Determination Fee</t>
  </si>
  <si>
    <t>Payment &amp; Performance Bond Waiver</t>
  </si>
  <si>
    <t>LIHTC Allocation Fee</t>
  </si>
  <si>
    <t>Percent of Credit Request</t>
  </si>
  <si>
    <t>4% LIHTC IRS Form 8609 Fee</t>
  </si>
  <si>
    <t>Front-End Analysis Fee</t>
  </si>
  <si>
    <t>Project Application Amendments, Post Award Project Concept Amendments, Post Letter of Determination</t>
  </si>
  <si>
    <t>Compliance Monitoring Fee</t>
  </si>
  <si>
    <t>LIHTC Fee (both 4% and 9%)</t>
  </si>
  <si>
    <t>USDA 515 or URFA Fee</t>
  </si>
  <si>
    <t>(same as LIHTC above unless noted separately in QAP)</t>
  </si>
  <si>
    <t>Single Family Detached or Duplex fee</t>
  </si>
  <si>
    <t>Per Dwelling</t>
  </si>
  <si>
    <t>HOME Asset Management</t>
  </si>
  <si>
    <t>Non-compliant Reinspection Fee</t>
  </si>
  <si>
    <t>Per Unit or File</t>
  </si>
  <si>
    <t>Plus travel</t>
  </si>
  <si>
    <t>Developer's Fee</t>
  </si>
  <si>
    <t>SEE QAP</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</si>
  <si>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</si>
  <si>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</si>
  <si>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</si>
  <si>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</si>
  <si>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</si>
  <si>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</si>
  <si>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</si>
  <si>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</si>
  <si>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</si>
  <si>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</si>
  <si>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</si>
  <si>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</si>
  <si>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</si>
  <si>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</si>
  <si>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</si>
  <si>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</si>
  <si>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</si>
  <si>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</si>
  <si>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</si>
  <si>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</si>
  <si>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</si>
  <si>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</si>
  <si>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</si>
  <si>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</si>
  <si>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</si>
  <si>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</si>
  <si>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</si>
  <si>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</si>
  <si>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</si>
  <si>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</si>
  <si>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</si>
  <si>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</si>
  <si>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</si>
  <si>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</si>
  <si>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</si>
  <si>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Total Amount Up To from available 9% credit pool</t>
  </si>
  <si>
    <t>Per Project Amount Up To from available 9% credit pool</t>
  </si>
  <si>
    <t>Amount from State HOME allocation</t>
  </si>
  <si>
    <t>Pools</t>
  </si>
  <si>
    <t>Flexible</t>
  </si>
  <si>
    <t>remaining</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</si>
  <si>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</si>
  <si>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</si>
  <si>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</si>
  <si>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</si>
  <si>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</si>
  <si>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</si>
  <si>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</si>
  <si>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</si>
  <si>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</si>
  <si>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</si>
  <si>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</si>
  <si>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2017 MTSP</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</si>
  <si>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</si>
  <si>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</si>
  <si>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</si>
  <si>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</si>
  <si>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</si>
  <si>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</si>
  <si>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</si>
  <si>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</si>
  <si>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</si>
  <si>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</si>
  <si>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</si>
  <si>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</si>
  <si>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</si>
  <si>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</si>
  <si>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</si>
  <si>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</si>
  <si>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</si>
  <si>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</si>
  <si>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Abbeville</t>
  </si>
  <si>
    <t>Wilcox</t>
  </si>
  <si>
    <t>Has LIHTC Project</t>
  </si>
  <si>
    <t>Atkinson</t>
  </si>
  <si>
    <t>Atkinson Co.</t>
  </si>
  <si>
    <t>Atkinson County, GA</t>
  </si>
  <si>
    <t>002</t>
  </si>
  <si>
    <t>Acworth Downtown Development Authority</t>
  </si>
  <si>
    <t>Acworth</t>
  </si>
  <si>
    <t>Athens-Clarke County</t>
  </si>
  <si>
    <t>Bacon</t>
  </si>
  <si>
    <t>Bacon Co.</t>
  </si>
  <si>
    <t>Bacon County, GA</t>
  </si>
  <si>
    <t>003</t>
  </si>
  <si>
    <t>Adairsville Development Authority</t>
  </si>
  <si>
    <t>Adairsville</t>
  </si>
  <si>
    <t>Bartow</t>
  </si>
  <si>
    <t>Baker</t>
  </si>
  <si>
    <t>Albany, GA MSA</t>
  </si>
  <si>
    <t>Y</t>
  </si>
  <si>
    <t>004</t>
  </si>
  <si>
    <t>Adairsville Downtown Development Authority</t>
  </si>
  <si>
    <t>Adel</t>
  </si>
  <si>
    <t>Cook</t>
  </si>
  <si>
    <t>Adrian</t>
  </si>
  <si>
    <t>Atlanta-Sandy Springs-Marietta</t>
  </si>
  <si>
    <t>Baldwin</t>
  </si>
  <si>
    <t>North</t>
  </si>
  <si>
    <t>Baldwin Co.</t>
  </si>
  <si>
    <t>Baldwin County, GA</t>
  </si>
  <si>
    <t>005</t>
  </si>
  <si>
    <t>Albany-Dougherty Inner City Authority</t>
  </si>
  <si>
    <t>Johnson</t>
  </si>
  <si>
    <t>Alamo</t>
  </si>
  <si>
    <t>Augusta-Richmond Co.</t>
  </si>
  <si>
    <t>Banks</t>
  </si>
  <si>
    <t>Banks Co.</t>
  </si>
  <si>
    <t>Banks County, GA</t>
  </si>
  <si>
    <t>006</t>
  </si>
  <si>
    <t>Alma Downtown Development Authority</t>
  </si>
  <si>
    <t>Ailey</t>
  </si>
  <si>
    <t>Atlanta-Sandy Springs-Marietta, GA HUD Metro FMR Area</t>
  </si>
  <si>
    <t>007</t>
  </si>
  <si>
    <t>Arabi Industrial Development Authority</t>
  </si>
  <si>
    <t>Wheeler</t>
  </si>
  <si>
    <t>Alma</t>
  </si>
  <si>
    <t>008</t>
  </si>
  <si>
    <t>Arlington Housing Authority</t>
  </si>
  <si>
    <t>Alapaha</t>
  </si>
  <si>
    <t>Berrien</t>
  </si>
  <si>
    <t>Alpharetta</t>
  </si>
  <si>
    <t>Ben Hill</t>
  </si>
  <si>
    <t>Ben Hill Co</t>
  </si>
  <si>
    <t>Ben Hill County, GA</t>
  </si>
  <si>
    <t>009</t>
  </si>
  <si>
    <t>Athens-Clarke County Downtown Development Authority</t>
  </si>
  <si>
    <t>Americus</t>
  </si>
  <si>
    <t>Ben Hill Co.</t>
  </si>
  <si>
    <t>Berrien Co.</t>
  </si>
  <si>
    <t>Berrien County, GA</t>
  </si>
  <si>
    <t>010</t>
  </si>
  <si>
    <t>Atkinson County-Coffee County Joint Development Authority</t>
  </si>
  <si>
    <t>Aldora</t>
  </si>
  <si>
    <t>Lamar</t>
  </si>
  <si>
    <t>Aragon</t>
  </si>
  <si>
    <t>Bibb</t>
  </si>
  <si>
    <t>Macon, GA MSA</t>
  </si>
  <si>
    <t>011</t>
  </si>
  <si>
    <t>Atlanta Development Authority</t>
  </si>
  <si>
    <t>Allenhurst</t>
  </si>
  <si>
    <t>Arlington</t>
  </si>
  <si>
    <t>Bleckley Co.</t>
  </si>
  <si>
    <t>Bleckley</t>
  </si>
  <si>
    <t>Bleckley County, GA</t>
  </si>
  <si>
    <t>012</t>
  </si>
  <si>
    <t>Augusta, Georgia Landbank Authority</t>
  </si>
  <si>
    <t>Allentown</t>
  </si>
  <si>
    <t>Wilkinson</t>
  </si>
  <si>
    <t>Ashburn</t>
  </si>
  <si>
    <t>Brantley</t>
  </si>
  <si>
    <t>Brunswick, GA MSA</t>
  </si>
  <si>
    <t>013</t>
  </si>
  <si>
    <t>Bacon County Development Authority</t>
  </si>
  <si>
    <t>Bulloch Co.</t>
  </si>
  <si>
    <t>Brooks</t>
  </si>
  <si>
    <t>Valdosta, GA MSA</t>
  </si>
  <si>
    <t>014</t>
  </si>
  <si>
    <t>Banks/Habersham Counties Joint Development Authority</t>
  </si>
  <si>
    <t>Butts Co.</t>
  </si>
  <si>
    <t>Bryan</t>
  </si>
  <si>
    <t>Savannah, GA MSA</t>
  </si>
  <si>
    <t>015</t>
  </si>
  <si>
    <t>Barnesville Housing Authority</t>
  </si>
  <si>
    <t>Alston</t>
  </si>
  <si>
    <t>Calhoun Co.</t>
  </si>
  <si>
    <t>Bulloch County, GA</t>
  </si>
  <si>
    <t>016</t>
  </si>
  <si>
    <t>Bartow-Cartersville Joint Development Authority</t>
  </si>
  <si>
    <t>Alto</t>
  </si>
  <si>
    <t>Camden Co.</t>
  </si>
  <si>
    <t>Burke</t>
  </si>
  <si>
    <t>Augusta-Richmond County, GA-SC MSA</t>
  </si>
  <si>
    <t>017</t>
  </si>
  <si>
    <t>Ben Hill-Irwin Area Joint Development Authority</t>
  </si>
  <si>
    <t>Ambrose</t>
  </si>
  <si>
    <t>Coffee</t>
  </si>
  <si>
    <t>Austell</t>
  </si>
  <si>
    <t>Candler Co.</t>
  </si>
  <si>
    <t>Butts</t>
  </si>
  <si>
    <t>Butts County, GA HUD Metro FMR Area</t>
  </si>
  <si>
    <t>018</t>
  </si>
  <si>
    <t>Berrien County Development Authority</t>
  </si>
  <si>
    <t>Sumter</t>
  </si>
  <si>
    <t>Avondale Estates</t>
  </si>
  <si>
    <t>Charlton Co.</t>
  </si>
  <si>
    <t>Calhoun County, GA</t>
  </si>
  <si>
    <t>019</t>
  </si>
  <si>
    <t>Boston Downtown Development Authority</t>
  </si>
  <si>
    <t>Andersonville</t>
  </si>
  <si>
    <t>Bainbridge</t>
  </si>
  <si>
    <t>Camden County, GA</t>
  </si>
  <si>
    <t>020</t>
  </si>
  <si>
    <t>Bowdon Housing Authority</t>
  </si>
  <si>
    <t>Chattooga Co.</t>
  </si>
  <si>
    <t>Candler</t>
  </si>
  <si>
    <t>Candler County, GA</t>
  </si>
  <si>
    <t>021</t>
  </si>
  <si>
    <t>Brantley County Development Authority</t>
  </si>
  <si>
    <t>Arabi</t>
  </si>
  <si>
    <t>Crisp</t>
  </si>
  <si>
    <t>Barnesville</t>
  </si>
  <si>
    <t>Clay Co.</t>
  </si>
  <si>
    <t>Carroll</t>
  </si>
  <si>
    <t>022</t>
  </si>
  <si>
    <t>Bremen Housing Authority</t>
  </si>
  <si>
    <t>Polk</t>
  </si>
  <si>
    <t>Blackshear</t>
  </si>
  <si>
    <t>Clinch Co.</t>
  </si>
  <si>
    <t>Chattanooga, TN-GA MSA</t>
  </si>
  <si>
    <t>023</t>
  </si>
  <si>
    <t>Brooks County Development Authority</t>
  </si>
  <si>
    <t>Arcade</t>
  </si>
  <si>
    <t>Jackson</t>
  </si>
  <si>
    <t>Blairsville</t>
  </si>
  <si>
    <t>Coffee Co.</t>
  </si>
  <si>
    <t>Charlton</t>
  </si>
  <si>
    <t>Charlton County, GA</t>
  </si>
  <si>
    <t>024</t>
  </si>
  <si>
    <t>Brunswick and Glynn County Development Authority</t>
  </si>
  <si>
    <t>Argyle</t>
  </si>
  <si>
    <t>Clinch</t>
  </si>
  <si>
    <t>Blakely</t>
  </si>
  <si>
    <t>Colquitt Co.</t>
  </si>
  <si>
    <t>025</t>
  </si>
  <si>
    <t>Bryan County-Pembroke Development Authority</t>
  </si>
  <si>
    <t>Bloomingdale</t>
  </si>
  <si>
    <t>Chattahoochee</t>
  </si>
  <si>
    <t>Columbus, GA-AL MSA</t>
  </si>
  <si>
    <t>026</t>
  </si>
  <si>
    <t>Butts, Henry, Lamar and Spalding County Joint Development Authority</t>
  </si>
  <si>
    <t>Arnoldsville</t>
  </si>
  <si>
    <t>Oglethorpe</t>
  </si>
  <si>
    <t>Blue Ridge</t>
  </si>
  <si>
    <t>Cook Co.</t>
  </si>
  <si>
    <t>Chattooga</t>
  </si>
  <si>
    <t>Chattooga County, GA</t>
  </si>
  <si>
    <t>027</t>
  </si>
  <si>
    <t>Byron  Development Authority</t>
  </si>
  <si>
    <t>Turner</t>
  </si>
  <si>
    <t>Bowman</t>
  </si>
  <si>
    <t>Crisp Co.</t>
  </si>
  <si>
    <t>Cherokee</t>
  </si>
  <si>
    <t>028</t>
  </si>
  <si>
    <t>Byron Downtown Development Authority</t>
  </si>
  <si>
    <t>Clarke</t>
  </si>
  <si>
    <t>Bremen</t>
  </si>
  <si>
    <t>Athens-Clarke Co.</t>
  </si>
  <si>
    <t>Athens-Clarke County, GA MSA</t>
  </si>
  <si>
    <t>029</t>
  </si>
  <si>
    <t>Byron Redevelopment Authority</t>
  </si>
  <si>
    <t>Decatur Co.</t>
  </si>
  <si>
    <t>Clay</t>
  </si>
  <si>
    <t>Clay County, GA</t>
  </si>
  <si>
    <t>030</t>
  </si>
  <si>
    <t>Calhoun Downtown Development Authority</t>
  </si>
  <si>
    <t>Attapulgus</t>
  </si>
  <si>
    <t>Decatur</t>
  </si>
  <si>
    <t>Buchanan</t>
  </si>
  <si>
    <t>Dodge Co.</t>
  </si>
  <si>
    <t>031</t>
  </si>
  <si>
    <t>Camden County Joint Development Authority</t>
  </si>
  <si>
    <t>Buena Vista</t>
  </si>
  <si>
    <t>Dooly Co.</t>
  </si>
  <si>
    <t>Clinch County, GA</t>
  </si>
  <si>
    <t>032</t>
  </si>
  <si>
    <t>Canton Development Authority</t>
  </si>
  <si>
    <t>Richmond</t>
  </si>
  <si>
    <t>Buford</t>
  </si>
  <si>
    <t>Early Co.</t>
  </si>
  <si>
    <t>033</t>
  </si>
  <si>
    <t>Carrollton Redevelopment Authority</t>
  </si>
  <si>
    <t>Butler</t>
  </si>
  <si>
    <t>Elbert Co.</t>
  </si>
  <si>
    <t>Coffee County, GA</t>
  </si>
  <si>
    <t>034</t>
  </si>
  <si>
    <t>Cartersville Development Authority</t>
  </si>
  <si>
    <t>Avalon</t>
  </si>
  <si>
    <t>Stephens</t>
  </si>
  <si>
    <t>Emanuel Co.</t>
  </si>
  <si>
    <t>Colquitt County, GA</t>
  </si>
  <si>
    <t>035</t>
  </si>
  <si>
    <t>Cartersville Downtown Development Authority</t>
  </si>
  <si>
    <t>Avera</t>
  </si>
  <si>
    <t>Jefferson</t>
  </si>
  <si>
    <t>Cairo</t>
  </si>
  <si>
    <t>Evans Co.</t>
  </si>
  <si>
    <t>036</t>
  </si>
  <si>
    <t>Catoosa County Development Authority</t>
  </si>
  <si>
    <t>Fannin Co.</t>
  </si>
  <si>
    <t>Cook County, GA</t>
  </si>
  <si>
    <t>037</t>
  </si>
  <si>
    <t>Cedartown Development Authority</t>
  </si>
  <si>
    <t>Baconton</t>
  </si>
  <si>
    <t>Mitchell</t>
  </si>
  <si>
    <t>Camilla</t>
  </si>
  <si>
    <t>Franklin Co.</t>
  </si>
  <si>
    <t>038</t>
  </si>
  <si>
    <t>Cedartown Downtown Development Authority</t>
  </si>
  <si>
    <t>Canton</t>
  </si>
  <si>
    <t>Crawford</t>
  </si>
  <si>
    <t>039</t>
  </si>
  <si>
    <t>Central Georgia Joint Development Authority</t>
  </si>
  <si>
    <t>Carrollton</t>
  </si>
  <si>
    <t>Gilmer Co.</t>
  </si>
  <si>
    <t>Crisp County, GA</t>
  </si>
  <si>
    <t>040</t>
  </si>
  <si>
    <t>Central Savannah River Area Unified Development Authority</t>
  </si>
  <si>
    <t>Glascock Co.</t>
  </si>
  <si>
    <t>Dade</t>
  </si>
  <si>
    <t>041</t>
  </si>
  <si>
    <t>Central Valdosta Development Authority</t>
  </si>
  <si>
    <t>Cave Spring</t>
  </si>
  <si>
    <t>Gordon Co.</t>
  </si>
  <si>
    <t>Dawson</t>
  </si>
  <si>
    <t>042</t>
  </si>
  <si>
    <t>Chatham-Savannah Authority for the Homeless</t>
  </si>
  <si>
    <t>Grady Co.</t>
  </si>
  <si>
    <t>Decatur County, GA</t>
  </si>
  <si>
    <t>043</t>
  </si>
  <si>
    <t>Chattooga County Development Authority</t>
  </si>
  <si>
    <t>Barwick</t>
  </si>
  <si>
    <t>Thomas</t>
  </si>
  <si>
    <t>Chamblee</t>
  </si>
  <si>
    <t>Greene Co.</t>
  </si>
  <si>
    <t>Dekalb</t>
  </si>
  <si>
    <t>044</t>
  </si>
  <si>
    <t>Cherokee County Development Authority</t>
  </si>
  <si>
    <t>Baxley</t>
  </si>
  <si>
    <t>Chatsworth</t>
  </si>
  <si>
    <t>Habersham Co.</t>
  </si>
  <si>
    <t>Dodge</t>
  </si>
  <si>
    <t>Dodge County, GA</t>
  </si>
  <si>
    <t>045</t>
  </si>
  <si>
    <t>City of Alpharetta Development Authority</t>
  </si>
  <si>
    <t>Bellville</t>
  </si>
  <si>
    <t>Chickamauga</t>
  </si>
  <si>
    <t>Hancock Co.</t>
  </si>
  <si>
    <t>Dooly</t>
  </si>
  <si>
    <t>Dooly County, GA</t>
  </si>
  <si>
    <t>046</t>
  </si>
  <si>
    <t>City of Barnesville and County of Lamar Development Authority</t>
  </si>
  <si>
    <t>Clarkston</t>
  </si>
  <si>
    <t>Haralson Co.</t>
  </si>
  <si>
    <t>047</t>
  </si>
  <si>
    <t>City of Cairo Development Authority</t>
  </si>
  <si>
    <t>Berkeley Lake</t>
  </si>
  <si>
    <t>Gwinnett</t>
  </si>
  <si>
    <t>Claxton</t>
  </si>
  <si>
    <t>Hart Co.</t>
  </si>
  <si>
    <t>048</t>
  </si>
  <si>
    <t>City of Claxton Downtown Development Authority</t>
  </si>
  <si>
    <t>Berlin</t>
  </si>
  <si>
    <t>Hinesville - Fort Stewart</t>
  </si>
  <si>
    <t>Early</t>
  </si>
  <si>
    <t>Early County, GA</t>
  </si>
  <si>
    <t>049</t>
  </si>
  <si>
    <t>City of Clayton Downtown Development Authority</t>
  </si>
  <si>
    <t>Bethlehem</t>
  </si>
  <si>
    <t>Cleveland</t>
  </si>
  <si>
    <t>Irwin Co.</t>
  </si>
  <si>
    <t>Echols</t>
  </si>
  <si>
    <t>050</t>
  </si>
  <si>
    <t>City of Commerce Downtown Development Authority</t>
  </si>
  <si>
    <t>Between</t>
  </si>
  <si>
    <t>Walton</t>
  </si>
  <si>
    <t>Jackson Co.</t>
  </si>
  <si>
    <t>Effingham</t>
  </si>
  <si>
    <t>051</t>
  </si>
  <si>
    <t>City of Cumming Development Authority</t>
  </si>
  <si>
    <t>Bibb City</t>
  </si>
  <si>
    <t>Muscogee</t>
  </si>
  <si>
    <t>College Park</t>
  </si>
  <si>
    <t>Jeff Davis Co.</t>
  </si>
  <si>
    <t>Elbert</t>
  </si>
  <si>
    <t>Elbert County, GA</t>
  </si>
  <si>
    <t>052</t>
  </si>
  <si>
    <t>City of Dawson Development Authority</t>
  </si>
  <si>
    <t>Bishop</t>
  </si>
  <si>
    <t>Oconee</t>
  </si>
  <si>
    <t>Jefferson Co.</t>
  </si>
  <si>
    <t>Emanuel</t>
  </si>
  <si>
    <t>Emanuel County, GA</t>
  </si>
  <si>
    <t>053</t>
  </si>
  <si>
    <t>City of Dublin and County of Laurens Development Authority</t>
  </si>
  <si>
    <t>Pierce</t>
  </si>
  <si>
    <t>Jenkins Co.</t>
  </si>
  <si>
    <t>Evans County, GA</t>
  </si>
  <si>
    <t>054</t>
  </si>
  <si>
    <t>City of Duluth Downtown Development Authority</t>
  </si>
  <si>
    <t>Conyers</t>
  </si>
  <si>
    <t>Johnson Co.</t>
  </si>
  <si>
    <t>Fannin</t>
  </si>
  <si>
    <t>Fannin County, GA</t>
  </si>
  <si>
    <t>055</t>
  </si>
  <si>
    <t>City of Fayetteville Downtown Development Authority</t>
  </si>
  <si>
    <t>Union</t>
  </si>
  <si>
    <t>Lamar Co.</t>
  </si>
  <si>
    <t>Fayette</t>
  </si>
  <si>
    <t>056</t>
  </si>
  <si>
    <t>City of Jesup Downtown Development Authority</t>
  </si>
  <si>
    <t>Cornelia</t>
  </si>
  <si>
    <t>Laurens Co.</t>
  </si>
  <si>
    <t>Rome, GA MSA</t>
  </si>
  <si>
    <t>057</t>
  </si>
  <si>
    <t>City of Stockbridge, Georgia Downtown Development Authority</t>
  </si>
  <si>
    <t>Lincoln Co.</t>
  </si>
  <si>
    <t>Forsyth</t>
  </si>
  <si>
    <t>058</t>
  </si>
  <si>
    <t>City of Sugar Hill Downtown Development Authority</t>
  </si>
  <si>
    <t>Long Co.</t>
  </si>
  <si>
    <t>Franklin</t>
  </si>
  <si>
    <t>Franklin County, GA</t>
  </si>
  <si>
    <t>059</t>
  </si>
  <si>
    <t>City of Sylvania Downtown Development Authority</t>
  </si>
  <si>
    <t>Bluffton</t>
  </si>
  <si>
    <t>Crawfordville</t>
  </si>
  <si>
    <t>Lumpkin Co.</t>
  </si>
  <si>
    <t>060</t>
  </si>
  <si>
    <t>City of Washington Downtown Development Authority</t>
  </si>
  <si>
    <t>Blythe</t>
  </si>
  <si>
    <t>Cumming</t>
  </si>
  <si>
    <t>Gilmer</t>
  </si>
  <si>
    <t>Gilmer County, GA</t>
  </si>
  <si>
    <t>061</t>
  </si>
  <si>
    <t>City of Willacoochee Development Authority</t>
  </si>
  <si>
    <t>Bogart</t>
  </si>
  <si>
    <t>Cuthbert</t>
  </si>
  <si>
    <t>Macon Co.</t>
  </si>
  <si>
    <t>Glascock</t>
  </si>
  <si>
    <t>Glascock County, GA</t>
  </si>
  <si>
    <t>062</t>
  </si>
  <si>
    <t>Clay County Development Authority</t>
  </si>
  <si>
    <t>Dahlonega</t>
  </si>
  <si>
    <t>Meriwether Co.</t>
  </si>
  <si>
    <t>063</t>
  </si>
  <si>
    <t>Clinch County Development Authority</t>
  </si>
  <si>
    <t>Boston</t>
  </si>
  <si>
    <t>Dallas</t>
  </si>
  <si>
    <t>Miller Co.</t>
  </si>
  <si>
    <t>Gordon</t>
  </si>
  <si>
    <t>Gordon County, GA</t>
  </si>
  <si>
    <t>064</t>
  </si>
  <si>
    <t>Consolidated Housing Authority of Talbot County, Georgia</t>
  </si>
  <si>
    <t>Bostwick</t>
  </si>
  <si>
    <t>Morgan</t>
  </si>
  <si>
    <t>Mitchell Co.</t>
  </si>
  <si>
    <t>Grady</t>
  </si>
  <si>
    <t>Grady County, GA</t>
  </si>
  <si>
    <t>065</t>
  </si>
  <si>
    <t>Coweta County Development Authority</t>
  </si>
  <si>
    <t>Bowdon</t>
  </si>
  <si>
    <t>Darien</t>
  </si>
  <si>
    <t>Monroe Co.</t>
  </si>
  <si>
    <t>Greene</t>
  </si>
  <si>
    <t>Greene County, GA</t>
  </si>
  <si>
    <t>066</t>
  </si>
  <si>
    <t>Coweta, Fayette, Meriwether Joint Development Authority</t>
  </si>
  <si>
    <t>Bowersville</t>
  </si>
  <si>
    <t>Montgomery Co.</t>
  </si>
  <si>
    <t>067</t>
  </si>
  <si>
    <t>Crisp-Dooly Joint Development Authority</t>
  </si>
  <si>
    <t>Dawsonville</t>
  </si>
  <si>
    <t>Morgan Co.</t>
  </si>
  <si>
    <t>Habersham County, GA</t>
  </si>
  <si>
    <t>068</t>
  </si>
  <si>
    <t>Dahlonega Downtown Development Authority</t>
  </si>
  <si>
    <t>Braselton</t>
  </si>
  <si>
    <t>Murray Co.</t>
  </si>
  <si>
    <t>Hall</t>
  </si>
  <si>
    <t>Gainesville, GA MSA</t>
  </si>
  <si>
    <t>069</t>
  </si>
  <si>
    <t>Development Authority for the City of Savannah</t>
  </si>
  <si>
    <t>Braswell</t>
  </si>
  <si>
    <t>Paulding</t>
  </si>
  <si>
    <t>Donalsonville</t>
  </si>
  <si>
    <t>Peach Co.</t>
  </si>
  <si>
    <t>Hancock</t>
  </si>
  <si>
    <t>Hancock County, GA</t>
  </si>
  <si>
    <t>070</t>
  </si>
  <si>
    <t>Development Authority of Appling County</t>
  </si>
  <si>
    <t>Haralson</t>
  </si>
  <si>
    <t>Pierce Co.</t>
  </si>
  <si>
    <t>Haralson County, GA HUD Metro FMR Area</t>
  </si>
  <si>
    <t>071</t>
  </si>
  <si>
    <t>Development Authority of Atkinson County</t>
  </si>
  <si>
    <t>Brinson</t>
  </si>
  <si>
    <t>Polk Co.</t>
  </si>
  <si>
    <t>Harris</t>
  </si>
  <si>
    <t>072</t>
  </si>
  <si>
    <t>Development Authority of Bainbridge and Decatur County</t>
  </si>
  <si>
    <t>Bronwood</t>
  </si>
  <si>
    <t>Terrell</t>
  </si>
  <si>
    <t>Pulaski Co.</t>
  </si>
  <si>
    <t>Hart County, GA</t>
  </si>
  <si>
    <t>073</t>
  </si>
  <si>
    <t>Development Authority of Baker County</t>
  </si>
  <si>
    <t>Brookhaven</t>
  </si>
  <si>
    <t>Duluth</t>
  </si>
  <si>
    <t>Putnam Co.</t>
  </si>
  <si>
    <t>Heard</t>
  </si>
  <si>
    <t>074</t>
  </si>
  <si>
    <t>Development Authority of Banks County</t>
  </si>
  <si>
    <t>Brooklet</t>
  </si>
  <si>
    <t>East Dublin</t>
  </si>
  <si>
    <t>Quitman Co.</t>
  </si>
  <si>
    <t>075</t>
  </si>
  <si>
    <t>Development Authority of Bartow County</t>
  </si>
  <si>
    <t>East Ellijay</t>
  </si>
  <si>
    <t>Rabun Co.</t>
  </si>
  <si>
    <t>Warner Robins</t>
  </si>
  <si>
    <t>Warner Robins, GA MSA</t>
  </si>
  <si>
    <t>076</t>
  </si>
  <si>
    <t>Development Authority of Ben Hill County</t>
  </si>
  <si>
    <t>Broxton</t>
  </si>
  <si>
    <t>East Point</t>
  </si>
  <si>
    <t>Randolph Co.</t>
  </si>
  <si>
    <t>Irwin</t>
  </si>
  <si>
    <t>Irwin County, GA</t>
  </si>
  <si>
    <t>077</t>
  </si>
  <si>
    <t>Development Authority of Bibb County</t>
  </si>
  <si>
    <t>Eastman</t>
  </si>
  <si>
    <t>Jackson County, GA</t>
  </si>
  <si>
    <t>078</t>
  </si>
  <si>
    <t>Development Authority of Brooks County, Georgia</t>
  </si>
  <si>
    <t>Jasper</t>
  </si>
  <si>
    <t>079</t>
  </si>
  <si>
    <t>Development Authority of Bulloch County</t>
  </si>
  <si>
    <t>Buckhead</t>
  </si>
  <si>
    <t>Edison</t>
  </si>
  <si>
    <t>Schley Co.</t>
  </si>
  <si>
    <t>Jeff Davis</t>
  </si>
  <si>
    <t>Jeff Davis County, GA</t>
  </si>
  <si>
    <t>080</t>
  </si>
  <si>
    <t>Development Authority of Burke County</t>
  </si>
  <si>
    <t>Marion</t>
  </si>
  <si>
    <t>Elberton</t>
  </si>
  <si>
    <t>Screven Co.</t>
  </si>
  <si>
    <t>Jefferson County, GA</t>
  </si>
  <si>
    <t>081</t>
  </si>
  <si>
    <t>Development Authority of Butts County</t>
  </si>
  <si>
    <t>Ellaville</t>
  </si>
  <si>
    <t>Seminole Co.</t>
  </si>
  <si>
    <t>Jenkins</t>
  </si>
  <si>
    <t>Jenkins County, GA</t>
  </si>
  <si>
    <t>082</t>
  </si>
  <si>
    <t>Development Authority of Carroll County</t>
  </si>
  <si>
    <t>Taylor</t>
  </si>
  <si>
    <t>Ellijay</t>
  </si>
  <si>
    <t>Stephens Co.</t>
  </si>
  <si>
    <t>Johnson County, GA</t>
  </si>
  <si>
    <t>083</t>
  </si>
  <si>
    <t>Development Authority of Cartersville</t>
  </si>
  <si>
    <t>Byromville</t>
  </si>
  <si>
    <t>Stewart Co.</t>
  </si>
  <si>
    <t>Jones</t>
  </si>
  <si>
    <t>084</t>
  </si>
  <si>
    <t>Development Authority of Catoosa County</t>
  </si>
  <si>
    <t>Peach</t>
  </si>
  <si>
    <t>Sumter Co.</t>
  </si>
  <si>
    <t>Lamar County, GA HUD Metro FMR Area</t>
  </si>
  <si>
    <t>085</t>
  </si>
  <si>
    <t>Development Authority of Chattooga County</t>
  </si>
  <si>
    <t>Cadwell</t>
  </si>
  <si>
    <t>Laurens</t>
  </si>
  <si>
    <t>Fitzgerald</t>
  </si>
  <si>
    <t>Talbot Co.</t>
  </si>
  <si>
    <t>Lanier</t>
  </si>
  <si>
    <t>086</t>
  </si>
  <si>
    <t>Development Authority of Cherokee County</t>
  </si>
  <si>
    <t>Fitzgerald Hill</t>
  </si>
  <si>
    <t>Taliaferro Co.</t>
  </si>
  <si>
    <t>Laurens County, GA</t>
  </si>
  <si>
    <t>087</t>
  </si>
  <si>
    <t>Development Authority of City of Edison, Georgia</t>
  </si>
  <si>
    <t>Flowery Branch</t>
  </si>
  <si>
    <t>Tattnall Co.</t>
  </si>
  <si>
    <t>Lee</t>
  </si>
  <si>
    <t>088</t>
  </si>
  <si>
    <t>Development Authority of Clayton County</t>
  </si>
  <si>
    <t>Calvary</t>
  </si>
  <si>
    <t>Folkston</t>
  </si>
  <si>
    <t>Taylor Co.</t>
  </si>
  <si>
    <t>Hinesville-Fort Stewart</t>
  </si>
  <si>
    <t>Hinesville-Fort Stewart, GA HUD Metro FMR Area</t>
  </si>
  <si>
    <t>089</t>
  </si>
  <si>
    <t>Development Authority of Cobb County</t>
  </si>
  <si>
    <t>Camak</t>
  </si>
  <si>
    <t>Warren</t>
  </si>
  <si>
    <t>Forest Park</t>
  </si>
  <si>
    <t>Telfair Co.</t>
  </si>
  <si>
    <t>Lincoln</t>
  </si>
  <si>
    <t>Lincoln County, GA HUD Metro FMR Area</t>
  </si>
  <si>
    <t>090</t>
  </si>
  <si>
    <t>Development Authority of Columbia County</t>
  </si>
  <si>
    <t>Thomas Co.</t>
  </si>
  <si>
    <t>Long</t>
  </si>
  <si>
    <t>Long County, GA HUD Metro FMR Area</t>
  </si>
  <si>
    <t>091</t>
  </si>
  <si>
    <t>Development Authority of Columbus, Georgia</t>
  </si>
  <si>
    <t>Tift Co.</t>
  </si>
  <si>
    <t>092</t>
  </si>
  <si>
    <t>Development Authority of Conyers, Georgia</t>
  </si>
  <si>
    <t>Canon</t>
  </si>
  <si>
    <t>Toombs Co.</t>
  </si>
  <si>
    <t>Lumpkin</t>
  </si>
  <si>
    <t>Lumpkin County, GA</t>
  </si>
  <si>
    <t>093</t>
  </si>
  <si>
    <t>Development Authority of Coweta County</t>
  </si>
  <si>
    <t>Canoochee</t>
  </si>
  <si>
    <t>Franklin Springs</t>
  </si>
  <si>
    <t>Towns Co.</t>
  </si>
  <si>
    <t>Macon County, GA</t>
  </si>
  <si>
    <t>094</t>
  </si>
  <si>
    <t>Development Authority of Crawford County</t>
  </si>
  <si>
    <t>Ft. Gaines</t>
  </si>
  <si>
    <t>Treutlen Co.</t>
  </si>
  <si>
    <t>095</t>
  </si>
  <si>
    <t>Development Authority of Crisp County</t>
  </si>
  <si>
    <t>Carl</t>
  </si>
  <si>
    <t>Ft. Oglethorpe</t>
  </si>
  <si>
    <t>Troup Co.</t>
  </si>
  <si>
    <t>096</t>
  </si>
  <si>
    <t>Development Authority of Dawson County</t>
  </si>
  <si>
    <t>Carlton</t>
  </si>
  <si>
    <t>Turner Co.</t>
  </si>
  <si>
    <t>McDuffie</t>
  </si>
  <si>
    <t>097</t>
  </si>
  <si>
    <t>Development Authority of DeKalb County</t>
  </si>
  <si>
    <t>Carnesville</t>
  </si>
  <si>
    <t>Glennville</t>
  </si>
  <si>
    <t>Union Co.</t>
  </si>
  <si>
    <t>McIntosh</t>
  </si>
  <si>
    <t>098</t>
  </si>
  <si>
    <t>Development Authority of Dougherty County</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</si>
  <si>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</si>
  <si>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</si>
  <si>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</si>
  <si>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</si>
  <si>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</si>
  <si>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</si>
  <si>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</si>
  <si>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</si>
  <si>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</si>
  <si>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</si>
  <si>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</si>
  <si>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</si>
  <si>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</si>
  <si>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</si>
  <si>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Cecil</t>
  </si>
  <si>
    <t>Greenville</t>
  </si>
  <si>
    <t>Monroe County, GA HUD Metro FMR Area</t>
  </si>
  <si>
    <t>102</t>
  </si>
  <si>
    <t>Development Authority of Elbert County, Elberton and Bowman</t>
  </si>
  <si>
    <t>Cedar Springs</t>
  </si>
  <si>
    <t>Warren Co.</t>
  </si>
  <si>
    <t>Montgomery County, GA</t>
  </si>
  <si>
    <t>103</t>
  </si>
  <si>
    <t>Development Authority of Emanuel County</t>
  </si>
  <si>
    <t>Grovetown</t>
  </si>
  <si>
    <t>Washington Co.</t>
  </si>
  <si>
    <t>Morgan County, GA HUD Metro FMR Area</t>
  </si>
  <si>
    <t>104</t>
  </si>
  <si>
    <t>Development Authority of Emanuel County and the City of Swainsboro</t>
  </si>
  <si>
    <t>Centerville</t>
  </si>
  <si>
    <t>Hahira</t>
  </si>
  <si>
    <t>Wayne Co.</t>
  </si>
  <si>
    <t>Murray</t>
  </si>
  <si>
    <t>Murray County, GA HUD Metro FMR Area</t>
  </si>
  <si>
    <t>105</t>
  </si>
  <si>
    <t>Development Authority of Fairburn</t>
  </si>
  <si>
    <t>Centralhatchee</t>
  </si>
  <si>
    <t>Hamilton</t>
  </si>
  <si>
    <t>Webster Co.</t>
  </si>
  <si>
    <t>106</t>
  </si>
  <si>
    <t>Development Authority of Floyd County</t>
  </si>
  <si>
    <t>Hampton</t>
  </si>
  <si>
    <t>Wheeler Co.</t>
  </si>
  <si>
    <t>Newton</t>
  </si>
  <si>
    <t>107</t>
  </si>
  <si>
    <t>Development Authority of Forsyth County</t>
  </si>
  <si>
    <t>White Co.</t>
  </si>
  <si>
    <t>108</t>
  </si>
  <si>
    <t>Development Authority of Fulton County</t>
  </si>
  <si>
    <t>Chattahoochee Hill Country</t>
  </si>
  <si>
    <t>Hartwell</t>
  </si>
  <si>
    <t>Wilcox Co.</t>
  </si>
  <si>
    <t>109</t>
  </si>
  <si>
    <t>Development Authority of Gordon County</t>
  </si>
  <si>
    <t>Wilkes Co.</t>
  </si>
  <si>
    <t>110</t>
  </si>
  <si>
    <t>Development Authority of Gwinnett County</t>
  </si>
  <si>
    <t>Chauncey</t>
  </si>
  <si>
    <t>Hazlehurst</t>
  </si>
  <si>
    <t>Wilkinson Co.</t>
  </si>
  <si>
    <t>Peach County, GA</t>
  </si>
  <si>
    <t>111</t>
  </si>
  <si>
    <t>Development Authority of Haralson County</t>
  </si>
  <si>
    <t>Cherry Log</t>
  </si>
  <si>
    <t>Helena</t>
  </si>
  <si>
    <t>Pickens</t>
  </si>
  <si>
    <t>112</t>
  </si>
  <si>
    <t>Development Authority of Harris County</t>
  </si>
  <si>
    <t>Chester</t>
  </si>
  <si>
    <t>Hiawassee</t>
  </si>
  <si>
    <t>Pierce County, GA</t>
  </si>
  <si>
    <t>113</t>
  </si>
  <si>
    <t>Development Authority of Heard County</t>
  </si>
  <si>
    <t>Hinesville</t>
  </si>
  <si>
    <t>114</t>
  </si>
  <si>
    <t>Development Authority of Houston County</t>
  </si>
  <si>
    <t>Clarkesville</t>
  </si>
  <si>
    <t>Hiram</t>
  </si>
  <si>
    <t>Polk County, GA</t>
  </si>
  <si>
    <t>115</t>
  </si>
  <si>
    <t>Development Authority of Jasper County</t>
  </si>
  <si>
    <t>Hogansville</t>
  </si>
  <si>
    <t>Pulaski</t>
  </si>
  <si>
    <t>Pulaski County, GA</t>
  </si>
  <si>
    <t>116</t>
  </si>
  <si>
    <t>Development Authority of Jefferson County</t>
  </si>
  <si>
    <t>Homerville</t>
  </si>
  <si>
    <t>Putnam</t>
  </si>
  <si>
    <t>Putnam County, GA</t>
  </si>
  <si>
    <t>117</t>
  </si>
  <si>
    <t>Development Authority of Jefferson, Georgia</t>
  </si>
  <si>
    <t>Rabun</t>
  </si>
  <si>
    <t>Ideal</t>
  </si>
  <si>
    <t>Quitman County, GA</t>
  </si>
  <si>
    <t>118</t>
  </si>
  <si>
    <t>Development Authority of Jenkins County</t>
  </si>
  <si>
    <t>Clermont</t>
  </si>
  <si>
    <t>Rabun County, GA</t>
  </si>
  <si>
    <t>119</t>
  </si>
  <si>
    <t>Development Authority of Johnson County, Georgia</t>
  </si>
  <si>
    <t>White</t>
  </si>
  <si>
    <t>Randolph</t>
  </si>
  <si>
    <t>Randolph County, GA</t>
  </si>
  <si>
    <t>120</t>
  </si>
  <si>
    <t>Development Authority of Jones County</t>
  </si>
  <si>
    <t>Climax</t>
  </si>
  <si>
    <t>121</t>
  </si>
  <si>
    <t>Development Authority of LaFayette</t>
  </si>
  <si>
    <t>Cobbtown</t>
  </si>
  <si>
    <t>Tattnall</t>
  </si>
  <si>
    <t>Jesup</t>
  </si>
  <si>
    <t>122</t>
  </si>
  <si>
    <t>Development Authority of LaGrange</t>
  </si>
  <si>
    <t>Johns Creek</t>
  </si>
  <si>
    <t>Schley</t>
  </si>
  <si>
    <t>Schley County, GA</t>
  </si>
  <si>
    <t>123</t>
  </si>
  <si>
    <t>Development Authority of Lanier County</t>
  </si>
  <si>
    <t>Cohutta</t>
  </si>
  <si>
    <t>Whitfield</t>
  </si>
  <si>
    <t>Jonesboro</t>
  </si>
  <si>
    <t>Screven</t>
  </si>
  <si>
    <t>Screven County, GA</t>
  </si>
  <si>
    <t>124</t>
  </si>
  <si>
    <t>Development Authority of Lawrenceville, GA</t>
  </si>
  <si>
    <t>Colbert</t>
  </si>
  <si>
    <t>Kingsland</t>
  </si>
  <si>
    <t>Select City first</t>
  </si>
  <si>
    <t>125</t>
  </si>
  <si>
    <t>Development Authority of Lee County</t>
  </si>
  <si>
    <t>Coleman</t>
  </si>
  <si>
    <t>Lafayette</t>
  </si>
  <si>
    <t>Seminole</t>
  </si>
  <si>
    <t>Seminole County, GA</t>
  </si>
  <si>
    <t>126</t>
  </si>
  <si>
    <t>Development Authority of Lumpkin County</t>
  </si>
  <si>
    <t>Lagrange</t>
  </si>
  <si>
    <t>127</t>
  </si>
  <si>
    <t>Development Authority of Macon County</t>
  </si>
  <si>
    <t>Collins</t>
  </si>
  <si>
    <t>Lake Park</t>
  </si>
  <si>
    <t>Stephens County, GA</t>
  </si>
  <si>
    <t>128</t>
  </si>
  <si>
    <t>Development Authority of McDuffie County</t>
  </si>
  <si>
    <t>Lakeland</t>
  </si>
  <si>
    <t>Stewart</t>
  </si>
  <si>
    <t>Stewart County, GA</t>
  </si>
  <si>
    <t>129</t>
  </si>
  <si>
    <t>Development Authority of McDuffie County and the City of Thomson</t>
  </si>
  <si>
    <t>Lavonia</t>
  </si>
  <si>
    <t>Sumter County, GA</t>
  </si>
  <si>
    <t>130</t>
  </si>
  <si>
    <t>Development Authority of Mitchell County</t>
  </si>
  <si>
    <t>Comer</t>
  </si>
  <si>
    <t>Lawrenceville</t>
  </si>
  <si>
    <t>Talbot</t>
  </si>
  <si>
    <t>Talbot County, GA</t>
  </si>
  <si>
    <t>131</t>
  </si>
  <si>
    <t>Development Authority of Monroe County</t>
  </si>
  <si>
    <t>Leesburg</t>
  </si>
  <si>
    <t>Taliaferro</t>
  </si>
  <si>
    <t>Taliaferro County, GA</t>
  </si>
  <si>
    <t>132</t>
  </si>
  <si>
    <t>Development Authority of Morgan County</t>
  </si>
  <si>
    <t>Concord</t>
  </si>
  <si>
    <t>Lexington</t>
  </si>
  <si>
    <t>Tattnall County, GA</t>
  </si>
  <si>
    <t>133</t>
  </si>
  <si>
    <t>Development Authority of Palmetto</t>
  </si>
  <si>
    <t>Taylor County, GA</t>
  </si>
  <si>
    <t>134</t>
  </si>
  <si>
    <t>Development Authority of Peach County</t>
  </si>
  <si>
    <t>Locust Grove</t>
  </si>
  <si>
    <t>Telfair</t>
  </si>
  <si>
    <t>Telfair County, GA</t>
  </si>
  <si>
    <t>135</t>
  </si>
  <si>
    <t>Development Authority of Peachtree City</t>
  </si>
  <si>
    <t>Coolidge</t>
  </si>
  <si>
    <t>Louisville</t>
  </si>
  <si>
    <t>136</t>
  </si>
  <si>
    <t>Development Authority of Pike County</t>
  </si>
  <si>
    <t>Ludowici</t>
  </si>
  <si>
    <t>Thomas County, GA</t>
  </si>
  <si>
    <t>137</t>
  </si>
  <si>
    <t>Development Authority of Polk County</t>
  </si>
  <si>
    <t>Corinth</t>
  </si>
  <si>
    <t>Lula</t>
  </si>
  <si>
    <t>Tift County, GA</t>
  </si>
  <si>
    <t>138</t>
  </si>
  <si>
    <t>Development Authority of Rabun County</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</si>
  <si>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</si>
  <si>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</si>
  <si>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</si>
  <si>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</si>
  <si>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</si>
  <si>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</si>
  <si>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</si>
  <si>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</si>
  <si>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</si>
  <si>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</si>
  <si>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</si>
  <si>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</si>
  <si>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</si>
  <si>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</si>
  <si>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</si>
  <si>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</si>
  <si>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</si>
  <si>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</si>
  <si>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</si>
  <si>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</si>
  <si>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Crooked Creek</t>
  </si>
  <si>
    <t>Manchester</t>
  </si>
  <si>
    <t>Twiggs</t>
  </si>
  <si>
    <t>144</t>
  </si>
  <si>
    <t>Development Authority of Talbot County</t>
  </si>
  <si>
    <t>Culloden</t>
  </si>
  <si>
    <t>Marietta</t>
  </si>
  <si>
    <t>Union County, GA</t>
  </si>
  <si>
    <t>145</t>
  </si>
  <si>
    <t>Development Authority of Telfair County</t>
  </si>
  <si>
    <t>Marshallville</t>
  </si>
  <si>
    <t>Upson County, GA</t>
  </si>
  <si>
    <t>146</t>
  </si>
  <si>
    <t>Development Authority of the City of Americus</t>
  </si>
  <si>
    <t>Cusseta</t>
  </si>
  <si>
    <t>147</t>
  </si>
  <si>
    <t>Development Authority of the City of Bowdon</t>
  </si>
  <si>
    <t>Maysville</t>
  </si>
  <si>
    <t>148</t>
  </si>
  <si>
    <t>Development Authority of the City of Dalton</t>
  </si>
  <si>
    <t>Dacula</t>
  </si>
  <si>
    <t>Mccaysville</t>
  </si>
  <si>
    <t>Ware County, GA</t>
  </si>
  <si>
    <t>149</t>
  </si>
  <si>
    <t>Development Authority of the City of Folkston and Charlton County</t>
  </si>
  <si>
    <t>Mcdonough</t>
  </si>
  <si>
    <t>Warren County, GA</t>
  </si>
  <si>
    <t>150</t>
  </si>
  <si>
    <t>Development Authority of the City of Homeland</t>
  </si>
  <si>
    <t>Daisy</t>
  </si>
  <si>
    <t>Washington</t>
  </si>
  <si>
    <t>Washington County, GA</t>
  </si>
  <si>
    <t>151</t>
  </si>
  <si>
    <t>Development Authority of the City of Jasper</t>
  </si>
  <si>
    <t>Midville</t>
  </si>
  <si>
    <t>Wayne</t>
  </si>
  <si>
    <t>Wayne County, GA</t>
  </si>
  <si>
    <t>152</t>
  </si>
  <si>
    <t>Development Authority of the City of Jeffersonville and Twiggs County</t>
  </si>
  <si>
    <t>Webster</t>
  </si>
  <si>
    <t>Webster County, GA</t>
  </si>
  <si>
    <t>153</t>
  </si>
  <si>
    <t>Development Authority of the City of Marietta</t>
  </si>
  <si>
    <t>Damascus</t>
  </si>
  <si>
    <t>Wheeler County, GA</t>
  </si>
  <si>
    <t>154</t>
  </si>
  <si>
    <t>Development Authority of the City of Milledgeville and Baldwin County</t>
  </si>
  <si>
    <t>Danielsville</t>
  </si>
  <si>
    <t>White County, GA</t>
  </si>
  <si>
    <t>155</t>
  </si>
  <si>
    <t>Development Authority of the City of Newnan</t>
  </si>
  <si>
    <t>Danville</t>
  </si>
  <si>
    <t>Dalton, GA HUD Metro FMR Area</t>
  </si>
  <si>
    <t>156</t>
  </si>
  <si>
    <t>Development Authority of the City of Oakwood</t>
  </si>
  <si>
    <t>Mt. Vernon</t>
  </si>
  <si>
    <t>Wilcox County, GA</t>
  </si>
  <si>
    <t>157</t>
  </si>
  <si>
    <t>Development Authority of the City of Roswell</t>
  </si>
  <si>
    <t>Dasher</t>
  </si>
  <si>
    <t>Wilkes</t>
  </si>
  <si>
    <t>Wilkes County, GA</t>
  </si>
  <si>
    <t>158</t>
  </si>
  <si>
    <t>Development Authority of the City of Vienna</t>
  </si>
  <si>
    <t>Davisboro</t>
  </si>
  <si>
    <t>Wilkinson County, GA</t>
  </si>
  <si>
    <t>159</t>
  </si>
  <si>
    <t>Development Authority of the Unified Government of Athens-Clarke County, Georgia</t>
  </si>
  <si>
    <t>Ocilla</t>
  </si>
  <si>
    <t>Worth</t>
  </si>
  <si>
    <t>160</t>
  </si>
  <si>
    <t>Development Authority of Tift County</t>
  </si>
  <si>
    <t>Omega</t>
  </si>
  <si>
    <t>Development Authority of Union County</t>
  </si>
  <si>
    <t>De Soto</t>
  </si>
  <si>
    <t>Palmetto</t>
  </si>
  <si>
    <t>Development Authority of Vidalia</t>
  </si>
  <si>
    <t>Dearing</t>
  </si>
  <si>
    <t>Peachtree City</t>
  </si>
  <si>
    <t>Development Authority of Walton County</t>
  </si>
  <si>
    <t>Pearson</t>
  </si>
  <si>
    <t>Development Authority of Warner Robins</t>
  </si>
  <si>
    <t>Pelham</t>
  </si>
  <si>
    <t>Development Authority of Warren County</t>
  </si>
  <si>
    <t>Deepstep</t>
  </si>
  <si>
    <t>Development Authority of Washington County</t>
  </si>
  <si>
    <t>Demorest</t>
  </si>
  <si>
    <t>Development Authority of Wheeler County</t>
  </si>
  <si>
    <t>Denton</t>
  </si>
  <si>
    <t>Development Authority of White County</t>
  </si>
  <si>
    <t>Dewy Rose</t>
  </si>
  <si>
    <t>Pooler</t>
  </si>
  <si>
    <t>Development Authority of Whitfield County</t>
  </si>
  <si>
    <t>Dexter</t>
  </si>
  <si>
    <t>Powder Springs</t>
  </si>
  <si>
    <t>Development Authority of Wilkinson County</t>
  </si>
  <si>
    <t>Dillard</t>
  </si>
  <si>
    <t>Preston</t>
  </si>
  <si>
    <t>Downtown Athens Development Authority</t>
  </si>
  <si>
    <t>Downtown Camilla Development Authority</t>
  </si>
  <si>
    <t>Doerun</t>
  </si>
  <si>
    <t>Rabun Gap</t>
  </si>
  <si>
    <t>Downtown Dalton Development Authority</t>
  </si>
  <si>
    <t>Reidsville</t>
  </si>
  <si>
    <t>Downtown Development Authority for the City of Garden City</t>
  </si>
  <si>
    <t>Dooling</t>
  </si>
  <si>
    <t>Richland</t>
  </si>
  <si>
    <t>Downtown Development Authority for the City of Hahira, Georgia</t>
  </si>
  <si>
    <t>Doraville</t>
  </si>
  <si>
    <t>Richmond Hill</t>
  </si>
  <si>
    <t>Downtown Development Authority for the City of Savannah</t>
  </si>
  <si>
    <t>Downtown Development Authority for the City of Warner Robins</t>
  </si>
  <si>
    <t>Ringgold</t>
  </si>
  <si>
    <t>Downtown Development Authority of Adel, Georgia</t>
  </si>
  <si>
    <t>Riverdale</t>
  </si>
  <si>
    <t>Downtown Development Authority of Albany, Georgia</t>
  </si>
  <si>
    <t>Du Pont</t>
  </si>
  <si>
    <t>Roberta</t>
  </si>
  <si>
    <t>Downtown Development Authority of Augusta-Richmond County</t>
  </si>
  <si>
    <t>Downtown Development Authority of Austell</t>
  </si>
  <si>
    <t>Dudley</t>
  </si>
  <si>
    <t>Downtown Development Authority of Avondale Estates</t>
  </si>
  <si>
    <t>Rossville</t>
  </si>
  <si>
    <t>Downtown Development Authority of Barnesville</t>
  </si>
  <si>
    <t>Dunwoody</t>
  </si>
  <si>
    <t>Downtown Development Authority of Baxley</t>
  </si>
  <si>
    <t>Dutch Island</t>
  </si>
  <si>
    <t>Royston</t>
  </si>
  <si>
    <t>Downtown Development Authority of Bremen</t>
  </si>
  <si>
    <t>Eagle Grove</t>
  </si>
  <si>
    <t>Sandersville</t>
  </si>
  <si>
    <t>Downtown Development Authority of Brunswick</t>
  </si>
  <si>
    <t>Sandy Springs</t>
  </si>
  <si>
    <t>Downtown Development Authority of Centerville</t>
  </si>
  <si>
    <t>Sardis</t>
  </si>
  <si>
    <t>Downtown Development Authority of Chatsworth</t>
  </si>
  <si>
    <t>Downtown Development Authority of Columbus, Georgia</t>
  </si>
  <si>
    <t>Downtown Development Authority of Cordele</t>
  </si>
  <si>
    <t>Shellman</t>
  </si>
  <si>
    <t>Downtown Development Authority of Cuthbert, Georgia</t>
  </si>
  <si>
    <t>Smyrna</t>
  </si>
  <si>
    <t>Downtown Development Authority of Douglas</t>
  </si>
  <si>
    <t>Soperton</t>
  </si>
  <si>
    <t>Downtown Development Authority of Fairburn</t>
  </si>
  <si>
    <t>Edgehill</t>
  </si>
  <si>
    <t>Sparta</t>
  </si>
  <si>
    <t>Downtown Development Authority of Fitzgerald</t>
  </si>
  <si>
    <t>Springfield</t>
  </si>
  <si>
    <t>Downtown Development Authority of Forsyth</t>
  </si>
  <si>
    <t>St. Marys</t>
  </si>
  <si>
    <t>Downtown Development Authority of Fort Gaines, Georgia</t>
  </si>
  <si>
    <t>Statesboro</t>
  </si>
  <si>
    <t>Downtown Development Authority of Hampton</t>
  </si>
  <si>
    <t>Ellenton</t>
  </si>
  <si>
    <t>Stockbridge</t>
  </si>
  <si>
    <t>Downtown Development Authority of Hartwell, Georgia</t>
  </si>
  <si>
    <t>Stone Mountain</t>
  </si>
  <si>
    <t>Downtown Development Authority of Hinesville, Georgia</t>
  </si>
  <si>
    <t>Emerson</t>
  </si>
  <si>
    <t>Summerville</t>
  </si>
  <si>
    <t>Downtown Development Authority of Holly Springs</t>
  </si>
  <si>
    <t>Empire</t>
  </si>
  <si>
    <t>Swainsboro</t>
  </si>
  <si>
    <t>Downtown Development Authority of Lawrenceville, GA</t>
  </si>
  <si>
    <t>Enigma</t>
  </si>
  <si>
    <t>Sylvania</t>
  </si>
  <si>
    <t>Downtown Development Authority of Madison</t>
  </si>
  <si>
    <t>Ephesus</t>
  </si>
  <si>
    <t>Downtown Development Authority of Maysville</t>
  </si>
  <si>
    <t>Epworth</t>
  </si>
  <si>
    <t>Talbotton</t>
  </si>
  <si>
    <t>Downtown Development Authority of Millen, Georgia</t>
  </si>
  <si>
    <t>Eton</t>
  </si>
  <si>
    <t>Tennille</t>
  </si>
  <si>
    <t>Downtown Development Authority of Monticello, Georgia</t>
  </si>
  <si>
    <t>Euharlee</t>
  </si>
  <si>
    <t>Thomaston</t>
  </si>
  <si>
    <t>Downtown Development Authority of Moultrie</t>
  </si>
  <si>
    <t>Downtown Development Authority of Pitts, Georgia</t>
  </si>
  <si>
    <t>Thomson</t>
  </si>
  <si>
    <t>Downtown Development Authority of Smyrna</t>
  </si>
  <si>
    <t>Downtown Development Authority of Snellville, Georgia</t>
  </si>
  <si>
    <t>Downtown Development Authority of Social Circle</t>
  </si>
  <si>
    <t>Fairmount</t>
  </si>
  <si>
    <t>Trenton</t>
  </si>
  <si>
    <t>Downtown Development Authority of the City of Atlanta</t>
  </si>
  <si>
    <t>Downtown Development Authority of the City of Baconton</t>
  </si>
  <si>
    <t>Fargo</t>
  </si>
  <si>
    <t>Downtown Development Authority of the City of Buford</t>
  </si>
  <si>
    <t>Fayetteville</t>
  </si>
  <si>
    <t>Downtown Development Authority of the City of Canton, Georgia</t>
  </si>
  <si>
    <t>Union Point</t>
  </si>
  <si>
    <t>Downtown Development Authority of the City of Dallas, Georgia</t>
  </si>
  <si>
    <t>Flemington</t>
  </si>
  <si>
    <t>Downtown Development Authority of the City of Darien</t>
  </si>
  <si>
    <t>Flovilla</t>
  </si>
  <si>
    <t>Vidalia</t>
  </si>
  <si>
    <t>Downtown Development Authority of the City of Dawson</t>
  </si>
  <si>
    <t>Vienna</t>
  </si>
  <si>
    <t>Downtown Development Authority of the City of Decatur</t>
  </si>
  <si>
    <t>Villa Rica</t>
  </si>
  <si>
    <t>Downtown Development Authority of the City of Douglasville</t>
  </si>
  <si>
    <t>Wadley</t>
  </si>
  <si>
    <t>Downtown Development Authority of the City of Greensboro</t>
  </si>
  <si>
    <t>Warm Springs</t>
  </si>
  <si>
    <t>Downtown Development Authority of the City of Jackson</t>
  </si>
  <si>
    <t>Fort Gaines</t>
  </si>
  <si>
    <t>Downtown Development Authority of the City of Jonesboro</t>
  </si>
  <si>
    <t>Fort Oglethorpe</t>
  </si>
  <si>
    <t>Warrenton</t>
  </si>
  <si>
    <t>Downtown Development Authority of the City of LaFayette</t>
  </si>
  <si>
    <t>Downtown Development Authority of the City of LaGrange</t>
  </si>
  <si>
    <t>Waycross</t>
  </si>
  <si>
    <t>Downtown Development Authority of the City of Locust Grove</t>
  </si>
  <si>
    <t>Waynesboro</t>
  </si>
  <si>
    <t>Downtown Development Authority of the City of Monroe</t>
  </si>
  <si>
    <t>West Point</t>
  </si>
  <si>
    <t>Downtown Development Authority of the City of Morrow, Georgia</t>
  </si>
  <si>
    <t>Funston</t>
  </si>
  <si>
    <t>Willacoochee</t>
  </si>
  <si>
    <t>Downtown Development Authority of the City of Newnan, Georgia</t>
  </si>
  <si>
    <t>Williamson</t>
  </si>
  <si>
    <t>Downtown Development Authority of the City of Norcross</t>
  </si>
  <si>
    <t>Winder</t>
  </si>
  <si>
    <t>Downtown Development Authority of the City of Perry</t>
  </si>
  <si>
    <t>Garfield</t>
  </si>
  <si>
    <t>Woodstock</t>
  </si>
  <si>
    <t>Downtown Development Authority of the City of Richland, Georgia</t>
  </si>
  <si>
    <t>Gay</t>
  </si>
  <si>
    <t>Wrens</t>
  </si>
  <si>
    <t>Downtown Development Authority of the City of Rome</t>
  </si>
  <si>
    <t>Geneva</t>
  </si>
  <si>
    <t>Wrightsville</t>
  </si>
  <si>
    <t>Downtown Development Authority of the City of Rossville</t>
  </si>
  <si>
    <t>Young Harris</t>
  </si>
  <si>
    <t>Downtown Development Authority of the City of Roswell</t>
  </si>
  <si>
    <t>Gibson</t>
  </si>
  <si>
    <t>Downtown Development Authority of the City of Royston</t>
  </si>
  <si>
    <t>Gillsville</t>
  </si>
  <si>
    <t>Downtown Development Authority of the City of Senoia</t>
  </si>
  <si>
    <t>Girard</t>
  </si>
  <si>
    <t>Downtown Development Authority of the City of Smithville</t>
  </si>
  <si>
    <t>Downtown Development Authority of the City of Tallapoosa</t>
  </si>
  <si>
    <t>Glenwood</t>
  </si>
  <si>
    <t>Downtown Development Authority of the City of Thomson</t>
  </si>
  <si>
    <t>Good Hope</t>
  </si>
  <si>
    <t>Downtown Development Authority of the City of Tifton</t>
  </si>
  <si>
    <t>Downtown Development Authority of the City of Unadilla</t>
  </si>
  <si>
    <t>Graham</t>
  </si>
  <si>
    <t>Downtown Development Authority of the City of Vienna</t>
  </si>
  <si>
    <t>Grantville</t>
  </si>
  <si>
    <t>Downtown Development Authority of the City of Warrenton</t>
  </si>
  <si>
    <t>Downtown Development Authority of the City of Warwick</t>
  </si>
  <si>
    <t>Grayson</t>
  </si>
  <si>
    <t>Downtown Development Authority of the City of Zebulon</t>
  </si>
  <si>
    <t>Downtown Development Authority of the Mayor and City Council of Americus</t>
  </si>
  <si>
    <t>Downtown Development Authority of Toccoa</t>
  </si>
  <si>
    <t>Downtown Development Authority of Woodbury</t>
  </si>
  <si>
    <t>Downtown Development Authority of Woodstock</t>
  </si>
  <si>
    <t>Downtown Development Authority, City of Forest Park</t>
  </si>
  <si>
    <t>Gum Branch</t>
  </si>
  <si>
    <t>Downtown LaGrange Development Authority</t>
  </si>
  <si>
    <t>Downtown Marietta Development Authority</t>
  </si>
  <si>
    <t>Guyton</t>
  </si>
  <si>
    <t>Downtown Savannah Authority</t>
  </si>
  <si>
    <t>Hagan</t>
  </si>
  <si>
    <t>Downtown Statesboro Development Authority</t>
  </si>
  <si>
    <t>Downtown Waycross Development Authority</t>
  </si>
  <si>
    <t>Dublin-Laurens County Development Authority</t>
  </si>
  <si>
    <t>Elbert County Richard B. Russell Development Authority</t>
  </si>
  <si>
    <t>Elberton Downtown Development Authority d/b/a MainStreet Elberton</t>
  </si>
  <si>
    <t>Hapeville</t>
  </si>
  <si>
    <t>Emanuel County Development Authority</t>
  </si>
  <si>
    <t>Emanuel-Johnson County Development Authority</t>
  </si>
  <si>
    <t>Hardwick</t>
  </si>
  <si>
    <t>Etowah Area Consolidated Housing Authority</t>
  </si>
  <si>
    <t>Fairburn Housing Authority</t>
  </si>
  <si>
    <t>Harrison</t>
  </si>
  <si>
    <t>Fall Line Regional Development Authority</t>
  </si>
  <si>
    <t>Fayette County Development Authority</t>
  </si>
  <si>
    <t>Fitzgerald/Ben Hill County Development Authority</t>
  </si>
  <si>
    <t>Flint Area Consolidated Housing Authority</t>
  </si>
  <si>
    <t>Helen</t>
  </si>
  <si>
    <t>Fort Oglethorpe Downtown Development Authority</t>
  </si>
  <si>
    <t>Fort Valley Downtown Development Authority</t>
  </si>
  <si>
    <t>Henderson</t>
  </si>
  <si>
    <t>Fulton County/City of Atlanta Land Bank Authority, Inc.</t>
  </si>
  <si>
    <t>Hephzibah</t>
  </si>
  <si>
    <t>Gainesville and Hall County Development Authority</t>
  </si>
  <si>
    <t>Heron Bay</t>
  </si>
  <si>
    <t>Gainesville Redevelopment Authority</t>
  </si>
  <si>
    <t>Georgia Bioscience Joint Development Authority</t>
  </si>
  <si>
    <t>Higgston</t>
  </si>
  <si>
    <t>Gibson Housing Authority</t>
  </si>
  <si>
    <t>Glennville Development Authority</t>
  </si>
  <si>
    <t>Hiltonia</t>
  </si>
  <si>
    <t>Glennville Downtown Development Authority</t>
  </si>
  <si>
    <t>Gordon County - Floyd County Development Authority</t>
  </si>
  <si>
    <t>Gordon Downtown Development Authority</t>
  </si>
  <si>
    <t>Hoboken</t>
  </si>
  <si>
    <t>Grady County Joint Development Authority</t>
  </si>
  <si>
    <t>Greene County Development Authority</t>
  </si>
  <si>
    <t>Holly Springs</t>
  </si>
  <si>
    <t>Griffin-Spalding County Development Authority</t>
  </si>
  <si>
    <t>Homeland</t>
  </si>
  <si>
    <t>Habersham County Development Authority</t>
  </si>
  <si>
    <t>Homer</t>
  </si>
  <si>
    <t>Hapeville Development Authority</t>
  </si>
  <si>
    <t>Hawkinsville Downtown Development Authority</t>
  </si>
  <si>
    <t>Hoschton</t>
  </si>
  <si>
    <t>Hawkinsville Housing Authority</t>
  </si>
  <si>
    <t>Howard</t>
  </si>
  <si>
    <t>Hazlehurst Downtown Development Authority</t>
  </si>
  <si>
    <t>Hull</t>
  </si>
  <si>
    <t>Henry County Development Authority</t>
  </si>
  <si>
    <t>Hogansville Development Authority</t>
  </si>
  <si>
    <t>Ila</t>
  </si>
  <si>
    <t>Housing Authority City of Sylvester, GA</t>
  </si>
  <si>
    <t>Housing Authority of City of Carrollton</t>
  </si>
  <si>
    <t>Iron City</t>
  </si>
  <si>
    <t>Housing Authority of City of Danielsville</t>
  </si>
  <si>
    <t>Housing Authority of Clayton County</t>
  </si>
  <si>
    <t>Irwinton</t>
  </si>
  <si>
    <t>Housing Authority of Cobb County</t>
  </si>
  <si>
    <t>Housing Authority of Columbus, Georgia</t>
  </si>
  <si>
    <t>Ivey</t>
  </si>
  <si>
    <t>Housing Authority of Fulton County</t>
  </si>
  <si>
    <t>Housing Authority of Gwinnett County</t>
  </si>
  <si>
    <t>Jacksonville</t>
  </si>
  <si>
    <t>Housing Authority of Lee County</t>
  </si>
  <si>
    <t>Jakin</t>
  </si>
  <si>
    <t>Housing Authority of Savannah</t>
  </si>
  <si>
    <t>Housing Authority of Screven County</t>
  </si>
  <si>
    <t>Housing Authority of the City of Acworth</t>
  </si>
  <si>
    <t>Jeffersonville</t>
  </si>
  <si>
    <t>Housing Authority of the City of Adel, Georgia</t>
  </si>
  <si>
    <t>Jenkinsburg</t>
  </si>
  <si>
    <t>Housing Authority of the City of Alamo</t>
  </si>
  <si>
    <t>Jersey</t>
  </si>
  <si>
    <t>Housing Authority of the City of Albany</t>
  </si>
  <si>
    <t>Housing Authority of the City of Ashburn</t>
  </si>
  <si>
    <t>Housing Authority of the City of Athens, Georgia</t>
  </si>
  <si>
    <t>Housing Authority of the City of Augusta, Georgia</t>
  </si>
  <si>
    <t>Junction City</t>
  </si>
  <si>
    <t>Housing Authority of the City of Bainbridge</t>
  </si>
  <si>
    <t>Kennesaw</t>
  </si>
  <si>
    <t>Housing Authority of the City of Baxley</t>
  </si>
  <si>
    <t>Keysville</t>
  </si>
  <si>
    <t>Housing Authority of the City of Blackshear</t>
  </si>
  <si>
    <t>Housing Authority of the City of Blakely, Georgia</t>
  </si>
  <si>
    <t>Housing Authority of the City of Buford, Georgia</t>
  </si>
  <si>
    <t>Kingston</t>
  </si>
  <si>
    <t>Housing Authority of the City of Cairo, Georgia</t>
  </si>
  <si>
    <t>Kite</t>
  </si>
  <si>
    <t>Housing Authority of the City of Calhoun</t>
  </si>
  <si>
    <t>Knoxville</t>
  </si>
  <si>
    <t>Housing Authority of the City of Camilla</t>
  </si>
  <si>
    <t>LaFayette</t>
  </si>
  <si>
    <t>Housing Authority of the City of Canton</t>
  </si>
  <si>
    <t>LaGrange</t>
  </si>
  <si>
    <t>Housing Authority of the City of Cave Spring</t>
  </si>
  <si>
    <t>Lake City</t>
  </si>
  <si>
    <t>Housing Authority of the City of Cedartown, Ga.</t>
  </si>
  <si>
    <t>Housing Authority of the City of Clarkesville, Ga.</t>
  </si>
  <si>
    <t>Housing Authority of the City of Clarkston</t>
  </si>
  <si>
    <t>Housing Authority of the City of Clayton, Georgia</t>
  </si>
  <si>
    <t>Housing Authority of the City of Cleveland, Ga.</t>
  </si>
  <si>
    <t>Housing Authority of the City of College Park</t>
  </si>
  <si>
    <t>Housing Authority of the City of Colquitt</t>
  </si>
  <si>
    <t>Leary</t>
  </si>
  <si>
    <t>Housing Authority of the City of Conyers</t>
  </si>
  <si>
    <t>Housing Authority of the City of Cornelia, Ga.</t>
  </si>
  <si>
    <t>Lenox</t>
  </si>
  <si>
    <t>Housing Authority of the City of Covington</t>
  </si>
  <si>
    <t>Leslie</t>
  </si>
  <si>
    <t>Housing Authority of the City of Crawfordville</t>
  </si>
  <si>
    <t>Housing Authority of the City of Cumming</t>
  </si>
  <si>
    <t>Lilburn</t>
  </si>
  <si>
    <t>Housing Authority of the City of Cuthbert, GA</t>
  </si>
  <si>
    <t>Lilly</t>
  </si>
  <si>
    <t>Housing Authority of the City of Dahlonega</t>
  </si>
  <si>
    <t>Housing Authority of the City of Dawson</t>
  </si>
  <si>
    <t>Lincolnton</t>
  </si>
  <si>
    <t>Housing Authority of the City of Decatur, Georgia</t>
  </si>
  <si>
    <t>Linwood</t>
  </si>
  <si>
    <t>Housing Authority of the City of Doerun, Georgia</t>
  </si>
  <si>
    <t>Housing Authority of the City of Dublin, Georgia</t>
  </si>
  <si>
    <t>Housing Authority of the City of East Point, Georgia</t>
  </si>
  <si>
    <t>Housing Authority of the City of Eastman</t>
  </si>
  <si>
    <t>Loganville</t>
  </si>
  <si>
    <t>Housing Authority of the City of Eatonton</t>
  </si>
  <si>
    <t>Lone Oak</t>
  </si>
  <si>
    <t>Housing Authority of the City of Edison, GA.</t>
  </si>
  <si>
    <t>Lookout Mountain</t>
  </si>
  <si>
    <t>Housing Authority of the City of Ellaville</t>
  </si>
  <si>
    <t>Housing Authority of the City of Ellijay, Georgia</t>
  </si>
  <si>
    <t>Lovejoy</t>
  </si>
  <si>
    <t>Housing Authority of the City of Fitzgerald</t>
  </si>
  <si>
    <t>Housing Authority of the City of Forsyth</t>
  </si>
  <si>
    <t>Housing Authority of the City of Fort Gaines</t>
  </si>
  <si>
    <t>Housing Authority of the City of Fort Oglethorpe, Georgia</t>
  </si>
  <si>
    <t>Housing Authority of the City of Fort Valley</t>
  </si>
  <si>
    <t>Luthersville</t>
  </si>
  <si>
    <t>Housing Authority of the City of Gainesville</t>
  </si>
  <si>
    <t>Lyerly</t>
  </si>
  <si>
    <t>Housing Authority of the City of Glennville</t>
  </si>
  <si>
    <t>Housing Authority of the City of Glenwood</t>
  </si>
  <si>
    <t>Housing Authority of the City of Grantville</t>
  </si>
  <si>
    <t>Housing Authority of the City of Greensboro, Georgia</t>
  </si>
  <si>
    <t>Housing Authority of the City of Griffin</t>
  </si>
  <si>
    <t>Manassas</t>
  </si>
  <si>
    <t>Housing Authority of the City of Hahira, Georgia</t>
  </si>
  <si>
    <t>Housing Authority of the City of Hampton, Georgia</t>
  </si>
  <si>
    <t>Mansfield</t>
  </si>
  <si>
    <t>Housing Authority of the City of Harlem, Georgia</t>
  </si>
  <si>
    <t>Housing Authority of the City of Hartwell</t>
  </si>
  <si>
    <t>Housing Authority of the City of Hinesville, Ga</t>
  </si>
  <si>
    <t>Martin</t>
  </si>
  <si>
    <t>Housing Authority of the City of Hogansville</t>
  </si>
  <si>
    <t>Housing Authority of the City of Jasper</t>
  </si>
  <si>
    <t>Matthews</t>
  </si>
  <si>
    <t>Housing Authority of the City of Jefferson</t>
  </si>
  <si>
    <t>Maxeys</t>
  </si>
  <si>
    <t>Housing Authority of the City of Jesup</t>
  </si>
  <si>
    <t>Housing Authority of the City of Lakeland, Georgia</t>
  </si>
  <si>
    <t>McCaysville</t>
  </si>
  <si>
    <t>Housing Authority of the City of Lavonia</t>
  </si>
  <si>
    <t>McDonough</t>
  </si>
  <si>
    <t>Housing Authority of the City of Lawrenceville, GA</t>
  </si>
  <si>
    <t>McIntyre</t>
  </si>
  <si>
    <t>Housing Authority of the City of Lithonia, Georgia</t>
  </si>
  <si>
    <t>McRae</t>
  </si>
  <si>
    <t>Housing Authority of the City of Loganville, GA</t>
  </si>
  <si>
    <t>Meansville</t>
  </si>
  <si>
    <t>Housing Authority of the City of Louisville</t>
  </si>
  <si>
    <t>Meigs</t>
  </si>
  <si>
    <t>Housing Authority of the City of Macon, Georgia</t>
  </si>
  <si>
    <t>Mendes</t>
  </si>
  <si>
    <t>Housing Authority of the City of Madison, GA</t>
  </si>
  <si>
    <t>Menlo</t>
  </si>
  <si>
    <t>Housing Authority of the City of Marietta</t>
  </si>
  <si>
    <t>Housing Authority of the City of McDonough</t>
  </si>
  <si>
    <t>Housing Authority of the City of Menlo, Georgia</t>
  </si>
  <si>
    <t>Midway</t>
  </si>
  <si>
    <t>Housing Authority of the City of Metter</t>
  </si>
  <si>
    <t>Milan</t>
  </si>
  <si>
    <t>Housing Authority of the City of Milledgeville and Sparta</t>
  </si>
  <si>
    <t>Housing Authority of the City of Millen</t>
  </si>
  <si>
    <t>Housing Authority of the City of Monroe, GA</t>
  </si>
  <si>
    <t>Milner</t>
  </si>
  <si>
    <t>Housing Authority of the City of Monticello</t>
  </si>
  <si>
    <t>Milton</t>
  </si>
  <si>
    <t>Housing Authority of the City of Moultrie, Georgia</t>
  </si>
  <si>
    <t>Mineral Bluff</t>
  </si>
  <si>
    <t>Housing Authority of the City of Mt. Vernon</t>
  </si>
  <si>
    <t>Housing Authority of the City of Nahunta</t>
  </si>
  <si>
    <t>Molena</t>
  </si>
  <si>
    <t>Housing Authority of the City of Nashville, Georgia</t>
  </si>
  <si>
    <t>Housing Authority of the City of Oakwood, Georgia</t>
  </si>
  <si>
    <t>Montezuma</t>
  </si>
  <si>
    <t>Housing Authority of the City of Ocilla, Ga</t>
  </si>
  <si>
    <t>Housing Authority of the City of Pearson, Georgia</t>
  </si>
  <si>
    <t>Monticello</t>
  </si>
  <si>
    <t>Housing Authority of the City of Perry, Georgia</t>
  </si>
  <si>
    <t>Montrose</t>
  </si>
  <si>
    <t>Housing Authority of the City of Quitman</t>
  </si>
  <si>
    <t>Housing Authority of the City of Ringgold</t>
  </si>
  <si>
    <t>Moreland</t>
  </si>
  <si>
    <t>Housing Authority of the City of Roberta, GA.</t>
  </si>
  <si>
    <t>Housing Authority of the City of Roswell</t>
  </si>
  <si>
    <t>Morganton</t>
  </si>
  <si>
    <t>Housing Authority of the City of Royston</t>
  </si>
  <si>
    <t>Morrow</t>
  </si>
  <si>
    <t>Housing Authority of the City of Sandersville</t>
  </si>
  <si>
    <t>Morven</t>
  </si>
  <si>
    <t>Housing Authority of the City of Senoia</t>
  </si>
  <si>
    <t>Housing Authority of the City of Shellman</t>
  </si>
  <si>
    <t>Mount Airy</t>
  </si>
  <si>
    <t>Housing Authority of the City of Social Circle, GA</t>
  </si>
  <si>
    <t>Mount Vernon</t>
  </si>
  <si>
    <t>Housing Authority of the City of Soperton</t>
  </si>
  <si>
    <t>Mount Zion</t>
  </si>
  <si>
    <t>Housing Authority of the City of Statesboro</t>
  </si>
  <si>
    <t>Mountain City</t>
  </si>
  <si>
    <t>Housing Authority of the City of Summerville</t>
  </si>
  <si>
    <t>Housing Authority of the City of Swainsboro</t>
  </si>
  <si>
    <t>Housing Authority of the City of Sylvania</t>
  </si>
  <si>
    <t>Nahunta</t>
  </si>
  <si>
    <t>Housing Authority of the City of Tallapoosa, Georgia</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</si>
  <si>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</si>
  <si>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</si>
  <si>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</si>
  <si>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</si>
  <si>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</si>
  <si>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</si>
  <si>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</si>
  <si>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</si>
  <si>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</si>
  <si>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</si>
  <si>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</si>
  <si>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</si>
  <si>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</si>
  <si>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</si>
  <si>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</si>
  <si>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</si>
  <si>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</si>
  <si>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</si>
  <si>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Housing Authority of the City of West Point</t>
  </si>
  <si>
    <t>Housing Authority of the City of Winder</t>
  </si>
  <si>
    <t>Housing Authority of the City of Woodbury, Georgia</t>
  </si>
  <si>
    <t>North High Shoals</t>
  </si>
  <si>
    <t>Housing Authority of the City of Wrightsville</t>
  </si>
  <si>
    <t>Norwood</t>
  </si>
  <si>
    <t>Housing Authority of the County of Atkinson, Georgia</t>
  </si>
  <si>
    <t>Nunez</t>
  </si>
  <si>
    <t>Housing Authority of the County of DeKalb, Georgia</t>
  </si>
  <si>
    <t>Oak Park</t>
  </si>
  <si>
    <t>Housing Authority of the County of Harris</t>
  </si>
  <si>
    <t>Oakwood</t>
  </si>
  <si>
    <t>Housing Authority of the County of Houston, Georgia</t>
  </si>
  <si>
    <t>Ochlocknee</t>
  </si>
  <si>
    <t>Housing Authority of the Town of Homer, Ga.</t>
  </si>
  <si>
    <t>Houston County Development Authority</t>
  </si>
  <si>
    <t>Ideal Downtown Development Authority</t>
  </si>
  <si>
    <t>Odum</t>
  </si>
  <si>
    <t>Jackson Housing Authority</t>
  </si>
  <si>
    <t>Offerman</t>
  </si>
  <si>
    <t>Jenkins County Development Authority</t>
  </si>
  <si>
    <t>Joint Development Authority of Baker, Dougherty, Terrell, and Lee Counties</t>
  </si>
  <si>
    <t>Oliver</t>
  </si>
  <si>
    <t>Joint Development Authority of Bartow County and Pickens County</t>
  </si>
  <si>
    <t>Omaha</t>
  </si>
  <si>
    <t>Joint Development Authority of Brooks, Colquitt, Grady, Mitchell, and Thomas Counties</t>
  </si>
  <si>
    <t>Joint Development Authority of Burke County and City of Waynesboro</t>
  </si>
  <si>
    <t>Orchard Hill</t>
  </si>
  <si>
    <t>Joint Development Authority of Carroll, Haralson, Polk, Heard and Troup Counties</t>
  </si>
  <si>
    <t>Oxford</t>
  </si>
  <si>
    <t>Joint Development Authority of Fannin County, Towns County and Union County</t>
  </si>
  <si>
    <t>Joint Development Authority of Franklin, Hart and Stephens Counties</t>
  </si>
  <si>
    <t>Joint Development Authority of Hazlehurst, Lumber City and Telfair County</t>
  </si>
  <si>
    <t>Parrott</t>
  </si>
  <si>
    <t>Joint Development Authority of Jasper, Morgan, Newton, and Walton Counties</t>
  </si>
  <si>
    <t>Patterson</t>
  </si>
  <si>
    <t>Joint Development Authority of Jeff Davis County, Hazlehurst and Denton, Georgia</t>
  </si>
  <si>
    <t>Pavo</t>
  </si>
  <si>
    <t>Joint Development Authority of Metropolitan Atlanta</t>
  </si>
  <si>
    <t>Payne</t>
  </si>
  <si>
    <t>Joint Development Authority of Northeast Georgia</t>
  </si>
  <si>
    <t>Joint Development Authority of Winder-Barrow County</t>
  </si>
  <si>
    <t>Peachtree Corners</t>
  </si>
  <si>
    <t>Kennesaw Development Authority</t>
  </si>
  <si>
    <t>Kennesaw Downtown Development Authority</t>
  </si>
  <si>
    <t>Kingsland Development Authority</t>
  </si>
  <si>
    <t>Kingsland Downtown Development Authority</t>
  </si>
  <si>
    <t>Pendergrass</t>
  </si>
  <si>
    <t>Kingston Downtown Development Authority</t>
  </si>
  <si>
    <t>Perkins</t>
  </si>
  <si>
    <t>LaFayette Housing Authority</t>
  </si>
  <si>
    <t>LaGrange Development Authority</t>
  </si>
  <si>
    <t>Lake Oconee Area Development Authority</t>
  </si>
  <si>
    <t>Pine Lake</t>
  </si>
  <si>
    <t>Laurens-Treutlen Joint Development Authority</t>
  </si>
  <si>
    <t>Lavonia Downtown Development Authority</t>
  </si>
  <si>
    <t>Pinehurst</t>
  </si>
  <si>
    <t>Lincoln County Development Authority</t>
  </si>
  <si>
    <t>Pineview</t>
  </si>
  <si>
    <t>Long County Housing Authority</t>
  </si>
  <si>
    <t>Pitts</t>
  </si>
  <si>
    <t>Lyons Downtown Development Authority</t>
  </si>
  <si>
    <t>Plains</t>
  </si>
  <si>
    <t>Macon-Bibb County Urban Development Authority</t>
  </si>
  <si>
    <t>Plainville</t>
  </si>
  <si>
    <t>Marion County Development Authority</t>
  </si>
  <si>
    <t>Middle Coastal Unified Development Authority</t>
  </si>
  <si>
    <t>Port Wentworth</t>
  </si>
  <si>
    <t>Middle Georgia Regional Development Authority</t>
  </si>
  <si>
    <t>Portal</t>
  </si>
  <si>
    <t>Milledgeville MainStreet/The Downtown Development Authority of the City of Milledgeville</t>
  </si>
  <si>
    <t>Miller County Development Authority</t>
  </si>
  <si>
    <t>Poulan</t>
  </si>
  <si>
    <t>Mitchell County Development Authority</t>
  </si>
  <si>
    <t>Montezuma Downtown Development Authority</t>
  </si>
  <si>
    <t>Montgomery County Development Authority</t>
  </si>
  <si>
    <t>Moultrie-Colquitt County Development Authority</t>
  </si>
  <si>
    <t>Nashville Downtown Development Authority</t>
  </si>
  <si>
    <t>Northeast Georgia Housing Authority</t>
  </si>
  <si>
    <t>Ranger</t>
  </si>
  <si>
    <t>Northwest Georgia Housing Authority</t>
  </si>
  <si>
    <t>Northwest Georgia Joint Development Authority</t>
  </si>
  <si>
    <t>Ray City</t>
  </si>
  <si>
    <t>Ocmulgee Regional Joint Development Authority</t>
  </si>
  <si>
    <t>Rayle</t>
  </si>
  <si>
    <t>Oglethorpe Development Authority</t>
  </si>
  <si>
    <t>Rebecca</t>
  </si>
  <si>
    <t>Okefenokee Area Development Authority</t>
  </si>
  <si>
    <t>Palmetto Housing Authority</t>
  </si>
  <si>
    <t>Pelham Housing Authority</t>
  </si>
  <si>
    <t>Register</t>
  </si>
  <si>
    <t>Pooler Development Authority</t>
  </si>
  <si>
    <t>Port Wentworth Downtown Development Authority</t>
  </si>
  <si>
    <t>Remerton</t>
  </si>
  <si>
    <t>Powder Springs Downtown Development Authority</t>
  </si>
  <si>
    <t>Rentz</t>
  </si>
  <si>
    <t>Pulaski County-Hawkinsville Development Authority</t>
  </si>
  <si>
    <t>Resaca</t>
  </si>
  <si>
    <t>Putnam Development Authority</t>
  </si>
  <si>
    <t>Rest Haven</t>
  </si>
  <si>
    <t>Randolph County Development Authority</t>
  </si>
  <si>
    <t>Reynolds</t>
  </si>
  <si>
    <t>Redevelopment Authority of Clayton County</t>
  </si>
  <si>
    <t>Rhine</t>
  </si>
  <si>
    <t>Rochelle Housing Authority</t>
  </si>
  <si>
    <t>Riceboro</t>
  </si>
  <si>
    <t>Rockmart Development Authority</t>
  </si>
  <si>
    <t>Rome-Floyd County Development Authority</t>
  </si>
  <si>
    <t>Sandersville Downtown Development Authority</t>
  </si>
  <si>
    <t>Riddleville</t>
  </si>
  <si>
    <t>Sardis Development Authority</t>
  </si>
  <si>
    <t>Schley-Sumter-Macon Counties Joint Development Authority</t>
  </si>
  <si>
    <t>Screven County Development Authority</t>
  </si>
  <si>
    <t>Smyrna Housing Authority</t>
  </si>
  <si>
    <t>Riverside</t>
  </si>
  <si>
    <t>Social Circle Development Authority</t>
  </si>
  <si>
    <t>South Georgia Business and Development Authority</t>
  </si>
  <si>
    <t>Southeast Georgia Consolidated Housing Authority</t>
  </si>
  <si>
    <t>Rochelle</t>
  </si>
  <si>
    <t>Southeast Georgia Joint Development Authority</t>
  </si>
  <si>
    <t>Rockingham</t>
  </si>
  <si>
    <t>Southeast Georgia Regional Development Authority</t>
  </si>
  <si>
    <t>Southwest Georgia Joint Development Authority</t>
  </si>
  <si>
    <t>Rocky Ford</t>
  </si>
  <si>
    <t>Sparta-Hancock County Development Authority</t>
  </si>
  <si>
    <t>St. Marys Downtown Development Authority</t>
  </si>
  <si>
    <t>Roopville</t>
  </si>
  <si>
    <t>Stephens County Development Authority</t>
  </si>
  <si>
    <t>Suwanee Downtown Development Authority</t>
  </si>
  <si>
    <t>Tallapoosa Development Authority</t>
  </si>
  <si>
    <t>Tattnall County Development Authority</t>
  </si>
  <si>
    <t>Taylor County Development Authority</t>
  </si>
  <si>
    <t>Rutledge</t>
  </si>
  <si>
    <t>Temple Downtown Development Authority</t>
  </si>
  <si>
    <t>Sale City</t>
  </si>
  <si>
    <t>Terrell County Development Authority</t>
  </si>
  <si>
    <t>The Commerce Housing Authority</t>
  </si>
  <si>
    <t>The Development Authority of Long County</t>
  </si>
  <si>
    <t>The Development Authority of Pickens County</t>
  </si>
  <si>
    <t>Santa Claus</t>
  </si>
  <si>
    <t>The Development Authority of Snellville, Georgia</t>
  </si>
  <si>
    <t>The Development Authority of the City of Camilla</t>
  </si>
  <si>
    <t>Sasser</t>
  </si>
  <si>
    <t>The Development Authority of the City of Manchester</t>
  </si>
  <si>
    <t>Satilla</t>
  </si>
  <si>
    <t>The Development Authority of the City of Tallapoosa</t>
  </si>
  <si>
    <t>Sautee Nacoochee</t>
  </si>
  <si>
    <t>The Downtown Development Authority of Bainbridge, Georgia</t>
  </si>
  <si>
    <t>The Downtown Development Authority of the City of Griffin, Georgia</t>
  </si>
  <si>
    <t>Scotland</t>
  </si>
  <si>
    <t>The Housing Authority of the City of Americus, GA</t>
  </si>
  <si>
    <t>The Housing Authority of the City of Atlanta, Georgia</t>
  </si>
  <si>
    <t>The Housing Authority of the City of Brunswick, Georgia</t>
  </si>
  <si>
    <t>&lt;&lt; Select from list &gt;&gt;</t>
  </si>
  <si>
    <t>The Housing Authority of the City of Dallas, Georgia</t>
  </si>
  <si>
    <t>Senoia</t>
  </si>
  <si>
    <t>The Housing Authority of the City of Newnan</t>
  </si>
  <si>
    <t>Seville</t>
  </si>
  <si>
    <t>The Housing Authority of the City of Washington</t>
  </si>
  <si>
    <t>Shady Dale</t>
  </si>
  <si>
    <t>Thomaston Downtown Development Authority</t>
  </si>
  <si>
    <t>Thomasville Downtown Development Authority</t>
  </si>
  <si>
    <t>Sharon</t>
  </si>
  <si>
    <t>Tift County Development Authority</t>
  </si>
  <si>
    <t>Sharpsburg</t>
  </si>
  <si>
    <t>Tift-Turner-Worth-Cook Joint Development Authority</t>
  </si>
  <si>
    <t>Toombs County Development Authority</t>
  </si>
  <si>
    <t>Shiloh</t>
  </si>
  <si>
    <t>Treutlen County Development Authority</t>
  </si>
  <si>
    <t>Siloam</t>
  </si>
  <si>
    <t>Troup County Development  Authority</t>
  </si>
  <si>
    <t>Turner County Development Authority</t>
  </si>
  <si>
    <t>Sky Valley</t>
  </si>
  <si>
    <t>Union City Housing Authority</t>
  </si>
  <si>
    <t>Smithville</t>
  </si>
  <si>
    <t>Urban Redevelopment Agency of Clayton County, Georgia</t>
  </si>
  <si>
    <t>Urban Redevelopment Agency of the City of Canton</t>
  </si>
  <si>
    <t>Snellville</t>
  </si>
  <si>
    <t>Urban Redevelopment Agency of the City of Dallas</t>
  </si>
  <si>
    <t>Social Circle</t>
  </si>
  <si>
    <t>Urban Redevelopment Agency of the City of Duluth</t>
  </si>
  <si>
    <t>Urban Redevelopment Agency of the City of Kennesaw, Georgia</t>
  </si>
  <si>
    <t>Sparks</t>
  </si>
  <si>
    <t>Urban Redevelopment Authority of the City of Suwanee</t>
  </si>
  <si>
    <t>Urban Residential Finance Authority of the City of Atlanta, Georgia</t>
  </si>
  <si>
    <t>Valdosta Housing Authority</t>
  </si>
  <si>
    <t>Valley Partnership Joint Development Authority</t>
  </si>
  <si>
    <t>Vidalia Development Authority</t>
  </si>
  <si>
    <t>Stapleton</t>
  </si>
  <si>
    <t>Villa Rica Downtown Development Authority</t>
  </si>
  <si>
    <t>Statenville</t>
  </si>
  <si>
    <t>Walker County Development Authority</t>
  </si>
  <si>
    <t>Waycross and Ware County Development Authority</t>
  </si>
  <si>
    <t>Statham</t>
  </si>
  <si>
    <t>West Central Georgia Joint Development Authority</t>
  </si>
  <si>
    <t>Stillmore</t>
  </si>
  <si>
    <t>West Georgia Joint Development Authority</t>
  </si>
  <si>
    <t>West Point Development Authority</t>
  </si>
  <si>
    <t>West Point Lake Development Authority</t>
  </si>
  <si>
    <t>Sugar Hill</t>
  </si>
  <si>
    <t>Winder Downtown Development Authority</t>
  </si>
  <si>
    <t>Summertown</t>
  </si>
  <si>
    <t>Woodbine Downtown Development Authority</t>
  </si>
  <si>
    <t>Sumner</t>
  </si>
  <si>
    <t>Sunny Side</t>
  </si>
  <si>
    <t>Surrency</t>
  </si>
  <si>
    <t>Suwanee</t>
  </si>
  <si>
    <t>Sycamore</t>
  </si>
  <si>
    <t>Talahi Island</t>
  </si>
  <si>
    <t>Talking Rock</t>
  </si>
  <si>
    <t>Tallapoosa</t>
  </si>
  <si>
    <t>Tallulah Falls</t>
  </si>
  <si>
    <t>Talmo</t>
  </si>
  <si>
    <t>Tarrytown</t>
  </si>
  <si>
    <t>Tate</t>
  </si>
  <si>
    <t>Taylorsville</t>
  </si>
  <si>
    <t>Temple</t>
  </si>
  <si>
    <t>The Rock</t>
  </si>
  <si>
    <t>Thunderbolt</t>
  </si>
  <si>
    <t>Tiger</t>
  </si>
  <si>
    <t>Tignall</t>
  </si>
  <si>
    <t>Toomsboro</t>
  </si>
  <si>
    <t>Tunnell Hill</t>
  </si>
  <si>
    <t>Turin</t>
  </si>
  <si>
    <t>Twin City</t>
  </si>
  <si>
    <t>Ty Ty</t>
  </si>
  <si>
    <t>Tybee Island</t>
  </si>
  <si>
    <t>Tyrone</t>
  </si>
  <si>
    <t>Unadilla</t>
  </si>
  <si>
    <t>Uvalda</t>
  </si>
  <si>
    <t>Varnell</t>
  </si>
  <si>
    <t>Vernonburg</t>
  </si>
  <si>
    <t>Vidette</t>
  </si>
  <si>
    <t>Waco</t>
  </si>
  <si>
    <t>Waleska</t>
  </si>
  <si>
    <t>Walnut Grove</t>
  </si>
  <si>
    <t>Walthourville</t>
  </si>
  <si>
    <t>Warwick</t>
  </si>
  <si>
    <t>Watkinsville</t>
  </si>
  <si>
    <t>Waverly Hall</t>
  </si>
  <si>
    <t>Weston</t>
  </si>
  <si>
    <t>Whigham</t>
  </si>
  <si>
    <t>White Plains</t>
  </si>
  <si>
    <t>Whitesburg</t>
  </si>
  <si>
    <t>Winterville</t>
  </si>
  <si>
    <t>Woodbine</t>
  </si>
  <si>
    <t>Woodbury</t>
  </si>
  <si>
    <t>Woodland</t>
  </si>
  <si>
    <t>Woodville</t>
  </si>
  <si>
    <t>Woolsey</t>
  </si>
  <si>
    <t>Yatesville</t>
  </si>
  <si>
    <t>Yonah</t>
  </si>
  <si>
    <t>Zebulon</t>
  </si>
  <si>
    <t>APPLICANT CONTACT FOR APPLICATION REVIEW</t>
  </si>
  <si>
    <t>Person Completing This Application Form (if different from above)</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</si>
  <si>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</si>
  <si>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</si>
  <si>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</si>
  <si>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</si>
  <si>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</si>
  <si>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</si>
  <si>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</si>
  <si>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 Median number of hospital admissions in the last year</t>
  </si>
  <si>
    <t>as a Percent of TDC:</t>
  </si>
  <si>
    <t>Georgia TCAP acquisition loans passed through a Qualified CDFI revolving loan fund*</t>
  </si>
  <si>
    <t>Due Diligence</t>
  </si>
  <si>
    <t>TSR SI LLC</t>
  </si>
  <si>
    <t>The Mill at Stone Valley is well within the DCA project cost limit, as determined by unit mix and type of construction for 74 walkup-style apartments.</t>
  </si>
  <si>
    <t>The Mill at Stone Valley will be a community designed and operated for families in the Ball Ground, Georgia area.</t>
  </si>
  <si>
    <t>Agree</t>
  </si>
  <si>
    <t>Guardian Bank</t>
  </si>
  <si>
    <t>This is the average cost for Newbanks, our DCA approved front end analysis provider, to perform the front end analysis for DCA requirements and plan review for syndicator requirements. Since the same 3rd party is preparing both, we save on fees.</t>
  </si>
  <si>
    <t>It is a requirement for both DCA and the syndicator, and it relates directly to the planning and construction of the buildings in the project.</t>
  </si>
  <si>
    <t>The property will host semi-monthly recreational programs including, but not limited to, birthday club celebrations and movie nights.</t>
  </si>
  <si>
    <t>The property will host and bring in organizations to offer training in health and well being.</t>
  </si>
  <si>
    <t xml:space="preserve">The property agrees to host at least 2 basic ongoing services from the list above. </t>
  </si>
  <si>
    <t>Acacia Realty Advisors</t>
  </si>
  <si>
    <t>Three to four months</t>
  </si>
  <si>
    <t>Alexander Ridge (Canton)</t>
  </si>
  <si>
    <t>Laurels at Greenwood (Canton)</t>
  </si>
  <si>
    <t>Mountainside Manor (Jasper)</t>
  </si>
  <si>
    <t>River Ridge Apartments (Canton)</t>
  </si>
  <si>
    <t>The Homestead (Jasper)</t>
  </si>
  <si>
    <t>Hearthstone Landing (Canton)</t>
  </si>
  <si>
    <t>2001-532</t>
  </si>
  <si>
    <t>2002-047</t>
  </si>
  <si>
    <t>1999-067</t>
  </si>
  <si>
    <t>1999-015</t>
  </si>
  <si>
    <t>1998-021</t>
  </si>
  <si>
    <t>2003-505</t>
  </si>
  <si>
    <t>Acacia Realty Advisors provided the appraisal for the subject property, which is vacant land located in the City of Ball Ground, Cherokee County, Georgia.  The appraisal is provided due to the identity of interest between the buyer and seller of the property.  The current owner has owned the property for over five years.</t>
  </si>
  <si>
    <t>Geotechnical and Environmental Consultants, Inc.</t>
  </si>
  <si>
    <t>&lt;65</t>
  </si>
  <si>
    <t>Roadway noise, aircraft noise, railway</t>
  </si>
  <si>
    <t>Purchase Contract</t>
  </si>
  <si>
    <t>TISHCO Ball Ground, L.P.</t>
  </si>
  <si>
    <t>TISHCO Ball Ground, L.P., the owner of the Mill at Stone Valley, has an option to purchase the site from JT Ball Ground, L.P., a copy of which is included in Tab 8.  There is an identity of interest between the buyer and seller.</t>
  </si>
  <si>
    <t>N/Ap</t>
  </si>
  <si>
    <t>The subject site is vacant land located in the City of Ball Ground, Cherokee County, Georgia.  There is a small stream on the southeastern side of the property, which will not be affected by the development of the Mill at Stone Valley.  As indicated above, there is an endangered species in the general area, but as indicated in the ESA included in Tab 7, it is not expected to be affected by the development.</t>
  </si>
  <si>
    <t xml:space="preserve">The zoning letter and a copy of the ordinance is included in Tab 10 with all relevant information. The Conceptual Site Development Plan adheres to the zoning restrictions and requirements. </t>
  </si>
  <si>
    <t>The site at the intersection of Ball Ground Highway and Coy M. Holcomb Drive has direct access from the main road.  This can be seen on the Conceptual Site Development Plan, a copy of which is included in Tab 9.</t>
  </si>
  <si>
    <t>Georgia Power Company</t>
  </si>
  <si>
    <t>See the letter from City of Ball Ground in Tab 12 detailing water and sewer service is available to the site and no additional easements are required.</t>
  </si>
  <si>
    <t>Other - explain:</t>
  </si>
  <si>
    <t>Covered Pavilion</t>
  </si>
  <si>
    <t>On-site laundry</t>
  </si>
  <si>
    <t>As a family development, the Mill at Stone Valley will include a package of amenities suitable to its size and type, including community building, covered pavilion, on-site laundry, an equipped playground, and an equipped computer center.</t>
  </si>
  <si>
    <t xml:space="preserve">In addition to the above certifications, please also refer to the draft Earthcraft documentation in Tab 29.  The developer and contractor of the Mill at Stone Valley have developed numerous properties under the Earthcraft program. The developer and contractor have also worked with their sustainability consultant to obtain a certification that meets the high performance building design.  </t>
  </si>
  <si>
    <t xml:space="preserve">We agree to comply with all accessibility standards. In addition, a full accessibility review of the construction documents and inspections during the construction progress will be conducted by a Walker-Bryant Associates to insure all accessibility requirements are met.  </t>
  </si>
  <si>
    <t>Walker Bryant Associates</t>
  </si>
  <si>
    <t>Stratford Capital Group</t>
  </si>
  <si>
    <t>State investors 1% of equity for federal credits</t>
  </si>
  <si>
    <t>As the Mill at Stone Valley is not a nonprofit-sponsored development, this section is not applicable.</t>
  </si>
  <si>
    <t>A compliance history summary was submitted during the pre-application phase.</t>
  </si>
  <si>
    <t>As the Mill at Stone Valley is not a rural-HOME-preservation site, this section is not applicable.</t>
  </si>
  <si>
    <t>As the Mill at Stone Valley is not a HOME or CHDO-sponsored project, this section is not applicable</t>
  </si>
  <si>
    <t>As the Mill at Stone Valley does not feature acquisition credit, assisted living, nonprofit sponsorship, scattered-site development, or other special circumstances, a legal opinion was not required for this application, and this section is not applicable.</t>
  </si>
  <si>
    <t>As the Mill at Stone Valley represents the development of new affordable housing on heretofore vacant land, relocation and displacement issues do not apply.  In accordance with DCA requirements, however, a Relocation Survey Form has been completed and is included in Tab 25.</t>
  </si>
  <si>
    <t>The owner, developer, and sponsor of the Mill at Stone Valley agrees to prepare, submit, and operate under the referenced AFFH Marketing Plan, which will be submitted when the property is placed in service.</t>
  </si>
  <si>
    <t>The Mill at Stone Valley is in a stable area that brings safe, affordable housing to a community that currently has a need for workforce housing. The total development cost are well below the maximum. The property is located in an area that does not have an inventory of affordable housing. Outside debt has been leveraged as much as possible to offset DCA resources. The Project has maximized the number of units per acre that the zoning allows and it is a high density. The site is in close proximity to many desirables. The market study shows a huge demand for housing stock. Unit sizes, while marketable and functionable, are not oversized.</t>
  </si>
  <si>
    <t>The Mill at Stone Valley is located in scenic Ball Ground, Cherokee County, Georgia.  The proposed site is conveniently located in close proximity to many desirable amenities and events, as well as downtown Ball Ground itself, including schools, churches, banking and postal centers, and dining.  A new emergency services and fire station is close to the property, and growth in the Ball Ground/Cherokee area is projected to lead to greater job opportunities and other forms of economic development.  There are not any undesirable characteristics located near the site, nor is it located in a USDA-designated "food desert".</t>
  </si>
  <si>
    <t>The owner, developer, and sponsor of the Mill at Stone Valley commit to delivering a well-constructed, sustainable development, in accordance with the Earthcraft requirements.  The property will be Earthcraft House Multifamily-certified.  Please see the draft Earthcraft House Multifamily scoring sheet in Tab 29, along with a certification of the participation of Steve Johnson, one of the applicant's principals, in DCA's Green Building for Affordable Housing Training.    The developer and contractor have developed numerous properties under the Earthcraft program. 
The property will also meet the conditions for the High Performance Building Design.  On the latter, the design will demonstrate a worst-case HERS rating of 15% lower than the Energy Star index. Please refer to the report from Ed Foskey of Synergy Home Advantage in Dublin, Georgia, in Tab 29, detailing this, along with the draft HERS report and preliminary modeling report.</t>
  </si>
  <si>
    <t>Publicly available</t>
  </si>
  <si>
    <t>Northside Hospital Community Health Needs Assessment (CHNA); Wellstar CHNA</t>
  </si>
  <si>
    <t>Horizon Housing Foundation; Coordinated Services (CSV)</t>
  </si>
  <si>
    <t>Immunizations</t>
  </si>
  <si>
    <t>Diabetes Screenings</t>
  </si>
  <si>
    <t>HIV Tests</t>
  </si>
  <si>
    <t>semi-monthly</t>
  </si>
  <si>
    <t>monthly</t>
  </si>
  <si>
    <t>Monthly handouts and information distribution</t>
  </si>
  <si>
    <t>Healthy eating habits, shopping tips (reading labels, fresh foods), dining-out tips (ordering options), alternatives to sodium</t>
  </si>
  <si>
    <t>Cooking classes</t>
  </si>
  <si>
    <t>Cooking from scratch, fruit and vegetable preparation, meal planning</t>
  </si>
  <si>
    <t>Community garden information</t>
  </si>
  <si>
    <t>Nutritional information for fruits and vegetables grown in the community garden</t>
  </si>
  <si>
    <t>Individualized information</t>
  </si>
  <si>
    <t>Diabetes management, blood pressure concerns</t>
  </si>
  <si>
    <t>Cherokee County School District</t>
  </si>
  <si>
    <t>N/a</t>
  </si>
  <si>
    <t>Pre-K - 5</t>
  </si>
  <si>
    <t>Ball Ground Elementary School</t>
  </si>
  <si>
    <t>Creekland Middle School</t>
  </si>
  <si>
    <t>6-8</t>
  </si>
  <si>
    <t>Creekview High School</t>
  </si>
  <si>
    <t>9-12</t>
  </si>
  <si>
    <t>The Mill at Stone Valley will be located in the Cherokee County School District, which offers quality education in some of the highest-scoring schools in the state.   The property will be served by Ball Ground Elementary School (which is within walking distance), Creekland Middle School, and Creekview High School.  CCRPI score reports and attendance zone maps are offered in Tab 31.  Please note that between 2015 and 2016, the district shifted the 6th grade from Ball Ground Elementary to the middle school level; the "Grades Served" indicated above represent the current structure.
Unfortunately, the 2-mile radius around the property does not yield the minimum number of jobs for the Workforce Housing Need above.</t>
  </si>
  <si>
    <t>The Mill at Stone Valley is not in a Community Revitalization Area, and as a Stable Community (see below) is ineligible regardless.  Therefore this section is intentionally left blank.</t>
  </si>
  <si>
    <t>The Mill at Stone Valley is not subject to a Community Transformation Plan.  This section is intentionally left blank.</t>
  </si>
  <si>
    <t>Middle</t>
  </si>
  <si>
    <t>A3</t>
  </si>
  <si>
    <t>There has never been a 9% Credit award to a property in the City of Ball Ground.</t>
  </si>
  <si>
    <t>The Mill at Stone Valley is the only application being submitted by this development team; therefore, the team claims the one Priority Point here.</t>
  </si>
  <si>
    <t>The Mill at Stone Valley is located in neither a GICH Community nor a Georgia-designated Military Zone</t>
  </si>
  <si>
    <t>The owner, developer, and sponsor of the Mill at Stone Valley will be leveraging the private investment incentivized by the 9% Credit with conventional financing.  Therefore, no points will be claimed here.</t>
  </si>
  <si>
    <t>The Mill at Stone Valley is the development of new affordable housing in Ball Ground, Cherokee County, Georgia, and is thus not subject to scoring for Historic Preservation.</t>
  </si>
  <si>
    <t>Identities of interest exist between the State Syndicator and Developer and the principals therein. Mary T. Johnson, Steven T. Johnson and Rebekah E.J. Stevens each have various interests in each of these entities listed and all share familial relationships.</t>
  </si>
  <si>
    <t>Identities of interest exist between the State Syndicator and General Contractor and the principals therein. Mary T. Johnson, Steven T. Johnson and Rebekah E.J. Stevens each have various interests in each of these entities listed and all share familial relationships.</t>
  </si>
  <si>
    <t>Other (Various Parties)</t>
  </si>
  <si>
    <t>TISHCO Ballground, LP is proposing to implement a Healthy Initiative and Preventative Program on the
New Construction Mill at Stone Valley Apartments in Ballground, Cherokee County, Georgia. From
reviewing the Community Health Needs Assessments of Northside Hospital and WellStar it is becoming
evident that one of the major barriers to a healthy lifestyle was the inability to pay for medical services.
TISHCO Ballground, LP commits to a Healthy Initiative and Preventative Plan by first developing
affordable housing which will give individuals the capability to pay for healthy foods and medical
services when needed. The Northside Hospital CHNA states on page 51, “Affordable Housing is more
likely to allow families enough money to cover other needs that are also associated with health,
including medical expenses, food and transportation.” Continued on page 51 of the Northside Hospital
CHNA it shows evidence that Cherokee County is one of the communities effected by high housing cost
“exceeding 50% of monthly income”. Housing and Health are associated because when an individual
cannot afford proper housing for “themselves or their families, they are forced into living situations that
are not appropriate… these conditions can lead to stress, high blood pressure, and other illnesses.”
(Northside Hospital CHNA pg. 51).
The data suggest many lifestyle habits as being the barrier to healthy routine such as tobacco use, poor
nutrition and little to no physical activity. Mill at Stone Valley Apartments will have a Health Service
Coordinator (HSC) staffed on site to help the residents implement change in these lifestyle behaviors as
part as the preventative care plan. Also, Mill at Stone Valley Apartments will be a Smoke Free Property
which will address both needs assessments’ unhealthy behaviors as a reason for major health
challenges. It is TISHCO Ballground, LP’s goal to break down the barriers for the underuse of
preventative measures for our residents and community. We must start by building affordable quality
housing, then staffing an individual on site who will assess the needs and create a Healthy Initiative and
Preventative atmosphere for everyone in the community. The Mill at Stone Valley Apartments
primarily bridges the gap between housing and health care and allows opportunity for a low-income
individual to achieve a healthier lifestyle by establishing healthier habits and being able to afford to stay
current on well-care visits, screenings and immunizations.</t>
  </si>
  <si>
    <t>Cherokee Area Transportation Service</t>
  </si>
  <si>
    <t>http://www.cherokeega.com/Transportation/canton-fixed-route-service/</t>
  </si>
  <si>
    <t>100 Corporate Place Suite 404</t>
  </si>
  <si>
    <t>Peabody</t>
  </si>
  <si>
    <t>John Sorel</t>
  </si>
  <si>
    <t>Senior Vice President</t>
  </si>
  <si>
    <t>Identities of interest exist between the Buyer and Seller of the Property and the principals therein.  Mary T. Johnson, Steven T. Johnson, and Rebekah E.J. Stevens each have various interests in each of these entities listed and all share familial relationships.</t>
  </si>
  <si>
    <t>These are 3rd party reports for the federal syndicator.  Stratford has agreed to rely upon the lender's reports so only $1,500 has been budgeted for reliance letter costs.</t>
  </si>
  <si>
    <t>These are the due diligence fees required for the Guardian Bank loan.  They include 3rd party reports, insurance, zoing and cost reviews.</t>
  </si>
  <si>
    <t>Utility allowances are taken directly from the DCA chart for the North region.  The project is all electric and residents will pay all utilities with the exception of refuse collections.</t>
  </si>
  <si>
    <t>See Tab 1 for documentation relating to our insurance and real estate tax calculations.  The insurance estimate is from our current provider who handles approximately 50 properties comprising approximately 2400 units in our existing portfolio.  Real estate tax estimates are from extensive research with our property tax consultant, Cherokee County appraiser's office and other tax credit developments in the County.
Project operations are based on our management companies vast experience with rural properties approximating the size of the proposed development.
Rent is not being shown on the common space units because these two units are for management or maintenance, and security officer.</t>
  </si>
  <si>
    <t>Stratford Capital 98.98%; TSR SI 1.00%</t>
  </si>
  <si>
    <t>Total Federal Housing Credit Equity is the total of Stratford Capital's investment (for 98.98% partnership interest) of $7,405,200, and TSR S1 LLC's investment (for 1.00% partnership interest) of $74,800.</t>
  </si>
  <si>
    <t>The annual Asset Management Fee of $20,000 shown above is the total of that paid to Stratford Capital, the federal tax credit investor ($10,000) and TSR SI LLC ($10,000), as stipulated in their respective commitment letters located in Tab 1.</t>
  </si>
  <si>
    <t xml:space="preserve">The Construction Loan Fee is based on 1% of the construction loan amount approved by Guardian Bank.  The Construction Loan Interest is based on a 5% rate from Guardian Bank with a drawdown on the loan over a construction period of 20 months. 
The Permanent Loan Fees and Permanent Legal Fees are based on amounts estimated by Guardian Bank.    See Proposal from Guardian Bank.
Construction Hard Costs are based on estimates from TISHCO Construction Inc. and were based on cost estimates from other projects and a review of the initial site plans and scope based on numerous years of tax credit construction experience.
Legal fees are based on estimates  from our attorney considering the scope of work, partnership structure and financing types involved to close a deal of this size.
The accounting fees are based on estimates from our accountants and include 10% test, cost certifications, final allocation assistance, development period income tax returns and financial statements.  This number is consistent with previous jobs of similar structure.
See Tab 1 for documentation relating to our calculation of fees for water and sewer taps and building permits.
                                                                                                                                                                                                        </t>
  </si>
  <si>
    <t>The Mill at Stone Valley meets all DCA feasibility requirements.  We have presented an application in full compliance with DCA underwriting critera and financial viability.  We are presenting as part of our financing package a $2,650,000 conventional loan from Guardian Bank.  This mortgage allows us to leverage the investment incentivized by federal and state housing tax credit, and cover the cost of developing nine market-rate units.
The Mill at Stone Valley makes efficient use of DCA resources.  Development and construction costs are reasonable as well as equity pricing. Rents and operating costs are reasonable and contribute to the financial feasibility of the project as well as its viability throughout the credit and compliance period. The debt terms are favorable and contribute to the viability of the project beyond the credit period.  All required financial documentation is included in Tab 1.</t>
  </si>
  <si>
    <t>The market study, prepared by Acacia Realty Advisors, shows strong market viability for the project.  With a strong overall market occupancy rate and low capture rates for tax credit and market rate units, the Mill at Stone Valley is well-positioned for successful lease-up and long-term feasibility.</t>
  </si>
  <si>
    <t>The Mill at Stone Valley will be an all-electric facility.  The letter from Georgia Power is located in Tab 11, indicating that electricity is available to the site with no additional easements required.</t>
  </si>
  <si>
    <t>As the Mill at Stone Valley is the development of a new affordable housing community, this section is not applicable.</t>
  </si>
  <si>
    <t>The applicable site information on the Mill at Stone Valley is included in Tab 15, including the Conceptual Site Development Plan, location maps, photographs, and aerial pictures, to facilitate site identification and review.  The site is located with easy access off I-575 and Old Canton Highway, just south of downtown Ball Ground in Cherokee County.</t>
  </si>
  <si>
    <t>The Mill at Stone Valley will meet all DCA architectural design and construction quality standards, including exterior wall faces greater than 30% brick or stone, and upgraded roofing materials.</t>
  </si>
  <si>
    <t>The development team of the Mill at Stone Valley was pre-determined to be Qualified in the pre-application phase.  A copy of DCA's qualification letter is included in Tab 19.  There have been no changes to the development team since pre-application.</t>
  </si>
  <si>
    <t>The Mill at Stone Valley is subject to neither HUD Choice Neignborhood nor Purpose Built Communities program designations.</t>
  </si>
  <si>
    <t>The owner, developer, and sponsor of the Mill at Stone Valley agrees to assist DCA in meeting its obligations under the Olmstead Settlement by accepting Section 811 or other DCA rental assistance for up to 10% of the units in the property for Persons with Disabilities, as defined above.  Furthermore, at least 10% of the low-income units in the property will be one-bedroom units, as stipulated above.</t>
  </si>
  <si>
    <t>I.  Application Completeness.  The owner, developer, and sponsor of the Mill at Stone Valley are presenting a complete, organized application for the 9% Low-Income Housing Tax Credit.
II(A).  Deeper Rent Targeting.  The owner, developer, and sponsor of the Mill at Stone Valley elect to set aside 15 units (20.83% of the total) to be income- and rent-restricted at the 50% of area median income (AMI) level.
IV(B)(4).  Community Transportation Options.  The Mill at Stone Valley will be served by an on-call public transportation service, Cherokee Area Transportation System (CATS), operated by the Cherokee County government.  The documentation for this service is included in Tab 28.
VI(B).  Enriched Property Services - Healthy Housing Initiatives.  The Mill at Stone Valley will offer residents a full healthy housing environment, including both health care assistance and healthy eating options.  These involve both services conducted onsite, information and educational opportunties, and a community garden.  Further discussion of this item is found in Part IX B of this Core Application, as well as in Tab 30.
X.  Stable Communities.  The Mill at Stone Valley is located in Cherokee County Census Tract 901.00, which is designated by the FFIEC as a "Middle"-income censust tract with a poverty rate of 9.75%, which is below the 10% maximum for scoring as a "Stable Community" under the Rural Pool provisions.  Documentation including map and FFIEC report are located in Tab 34.
XIII.  Extended Affordability Commitment.  The owner of the Mill at Stone Valley commits to forego its rights to pursue a Qualified Contract under Section 42 of the Internal Revenue Code for a period of five (5) years following the end of the Compliance Period, and agrees to codify this commitment in its Land Use Restrictive Covenant with DCA, to be recorded on or about the time of closing.
XX.  The development team of the Mill at Stone Valley has a longstanding track record of successfully owning, developing, and operating quality affordable housing throughout the state of Georgia, a current updated list of which is included in Tab 43.  As such, no deductions from the maximum Compliance Score are warranted.</t>
  </si>
  <si>
    <t xml:space="preserve">     TISHCO Development Inc is proposing to develop the Mill at Stone Valley Apartments. The Mill at Stone Valley is a 74-unit multifamily community comprised of 63 tax credit units, nine market rate units, and two common space units. There are 12 one-bedroom units, 32 two-bedroom units and 30 three-bedroom units. The apartment community is located in the city of Ball Ground. The community will be developed using conventional financing and private equity investment attracted by federal and state Low-Income Housing Tax Credit. Construction is expected to start around May 1, 2019 and will be completed within 18 months.  
     The project is located at the intersection of Coy M. Holcomb Drive and Ball Ground Highway. This will be the first tax credit development for the city of Ball Ground, a stable middle-income community in one of the last rural-designated areas of Cherokee County, which noneless boasts excellent educational opportunities, transportation, employment, and proximity to a high quality of life. The Mill at Stone Valley is located close to the downtown area and within one mile of many desirables. The project entrance is located directly across the street from Ball Ground Elementary School and the local fire station. 
     The existing multifamily housing stock within the city limits is small and this project is much needed in a growing community. The Market Study shows the tremendous need for the area. Per the study, the Project has a low capture rate and should enjoy a short absorption period as well as a primary market area that is close to 100% occupied. The Mill at Stone Valley will serve families and offers many job opportunities, strong educational benefits and the ability to grow strong ties in a close-knit community. 
     TISHCO has worked closely with the city of Ball Ground in the development of this community. Working with Lou Oliver, the author of the city of Ball Ground's Master Plan (completed in 2007), we have designed a development that fits perfectly with the city's old style Mill feel. The Mill at Stone Valley has many amenities to encourage educational, health and community advancement.
     TISHCO is looking forward to working with the City of Ball Ground and its community in the development of The Mill at Stone Valley.</t>
  </si>
  <si>
    <t>2018-008</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</si>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</sst>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3">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2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right/>
      <top style="thin">
        <color indexed="64"/>
      </top>
      <bottom/>
      <diagonal/>
    </border>
    <border>
      <left/>
      <right style="thin">
        <color auto="1"/>
      </right>
      <top style="thin">
        <color auto="1"/>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diagonal/>
    </border>
    <border>
      <left style="thin">
        <color indexed="64"/>
      </left>
      <right style="thin">
        <color indexed="64"/>
      </right>
      <top style="thin">
        <color indexed="64"/>
      </top>
      <bottom/>
      <diagonal/>
    </border>
    <border>
      <left style="hair">
        <color indexed="64"/>
      </left>
      <right/>
      <top style="thin">
        <color indexed="64"/>
      </top>
      <bottom/>
      <diagonal/>
    </border>
    <border>
      <left/>
      <right style="hair">
        <color auto="1"/>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0"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5" fillId="0" borderId="0" applyNumberFormat="0" applyFill="0" applyBorder="0" applyAlignment="0" applyProtection="0"/>
    <xf numFmtId="43" fontId="116" fillId="0" borderId="0" applyFont="0" applyFill="0" applyBorder="0" applyAlignment="0" applyProtection="0"/>
    <xf numFmtId="44" fontId="29" fillId="0" borderId="0" applyFont="0" applyFill="0" applyBorder="0" applyAlignment="0" applyProtection="0"/>
    <xf numFmtId="15" fontId="117" fillId="0" borderId="85" applyFont="0" applyFill="0" applyBorder="0" applyProtection="0">
      <alignment horizontal="center"/>
      <protection locked="0"/>
    </xf>
    <xf numFmtId="179" fontId="118" fillId="0" borderId="0" applyFont="0" applyFill="0" applyBorder="0" applyAlignment="0" applyProtection="0"/>
    <xf numFmtId="38" fontId="117" fillId="0" borderId="0" applyFill="0" applyBorder="0" applyAlignment="0" applyProtection="0"/>
    <xf numFmtId="180" fontId="119" fillId="0" borderId="0" applyFill="0" applyBorder="0" applyAlignment="0" applyProtection="0">
      <alignment horizontal="right"/>
    </xf>
    <xf numFmtId="37" fontId="120" fillId="0" borderId="85" applyNumberFormat="0" applyFont="0" applyFill="0" applyAlignment="0" applyProtection="0">
      <alignment horizontal="center" vertical="center"/>
    </xf>
    <xf numFmtId="37" fontId="121" fillId="0" borderId="0"/>
    <xf numFmtId="0" fontId="2" fillId="0" borderId="0"/>
    <xf numFmtId="0" fontId="2" fillId="0" borderId="0"/>
    <xf numFmtId="0" fontId="122" fillId="0" borderId="0" applyNumberFormat="0" applyFill="0" applyBorder="0" applyAlignment="0" applyProtection="0"/>
    <xf numFmtId="37" fontId="123" fillId="0" borderId="0" applyFill="0" applyBorder="0" applyAlignment="0" applyProtection="0"/>
    <xf numFmtId="9" fontId="11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72">
      <alignment horizontal="left" vertical="center"/>
    </xf>
    <xf numFmtId="10" fontId="3" fillId="3" borderId="74" applyNumberFormat="0" applyBorder="0" applyAlignment="0" applyProtection="0"/>
  </cellStyleXfs>
  <cellXfs count="3652">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Protection="1"/>
    <xf numFmtId="0" fontId="7" fillId="0" borderId="0" xfId="0" applyFont="1" applyFill="1" applyBorder="1" applyAlignment="1" applyProtection="1">
      <alignment vertical="center"/>
    </xf>
    <xf numFmtId="0" fontId="18"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0" fontId="19"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3" fillId="0" borderId="0" xfId="0" applyFont="1" applyFill="1" applyAlignment="1" applyProtection="1">
      <alignment horizontal="left" vertical="center"/>
    </xf>
    <xf numFmtId="0" fontId="16" fillId="0" borderId="0" xfId="0" applyFont="1" applyFill="1" applyProtection="1"/>
    <xf numFmtId="0" fontId="19"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3" fillId="0" borderId="0" xfId="0" applyFont="1" applyFill="1" applyAlignment="1" applyProtection="1">
      <alignment vertical="center"/>
    </xf>
    <xf numFmtId="0" fontId="13" fillId="0" borderId="0" xfId="0" applyFont="1" applyFill="1" applyAlignment="1" applyProtection="1">
      <alignment horizontal="right" vertical="center"/>
    </xf>
    <xf numFmtId="0" fontId="15" fillId="0" borderId="0" xfId="0" applyFont="1" applyFill="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3" fillId="0" borderId="0" xfId="0" applyFont="1" applyFill="1" applyBorder="1" applyAlignment="1" applyProtection="1"/>
    <xf numFmtId="0" fontId="23" fillId="0" borderId="0" xfId="0" applyFont="1" applyFill="1" applyBorder="1" applyAlignment="1" applyProtection="1">
      <alignment vertical="center"/>
    </xf>
    <xf numFmtId="0" fontId="23" fillId="0" borderId="0" xfId="0" applyFont="1" applyFill="1" applyAlignment="1" applyProtection="1">
      <alignment horizontal="left" vertical="center"/>
    </xf>
    <xf numFmtId="0" fontId="22"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2" fillId="0" borderId="0" xfId="0" applyFont="1" applyFill="1" applyAlignment="1" applyProtection="1">
      <alignment horizontal="center" vertical="center"/>
    </xf>
    <xf numFmtId="0" fontId="19" fillId="0" borderId="0" xfId="0" applyFont="1" applyAlignment="1" applyProtection="1">
      <alignment horizontal="center"/>
    </xf>
    <xf numFmtId="0" fontId="0" fillId="0" borderId="0" xfId="0" applyAlignment="1" applyProtection="1">
      <alignment horizontal="center"/>
    </xf>
    <xf numFmtId="0" fontId="26" fillId="0" borderId="0" xfId="0" applyFont="1" applyFill="1" applyProtection="1"/>
    <xf numFmtId="0" fontId="7" fillId="0" borderId="5" xfId="0" applyFont="1" applyFill="1" applyBorder="1" applyAlignment="1" applyProtection="1">
      <alignment vertical="center"/>
    </xf>
    <xf numFmtId="0" fontId="15" fillId="0" borderId="9"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6"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5" fillId="0" borderId="9" xfId="0" applyFont="1" applyFill="1" applyBorder="1" applyAlignment="1" applyProtection="1">
      <alignment vertical="center"/>
    </xf>
    <xf numFmtId="0" fontId="3" fillId="0" borderId="9" xfId="0" applyFont="1" applyFill="1" applyBorder="1" applyAlignment="1" applyProtection="1">
      <alignment horizontal="left" vertical="top" wrapText="1"/>
    </xf>
    <xf numFmtId="0" fontId="6" fillId="0" borderId="0" xfId="0" applyFont="1" applyProtection="1"/>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8" fillId="0" borderId="0" xfId="0" applyFont="1" applyFill="1" applyAlignment="1" applyProtection="1">
      <alignment vertical="center"/>
    </xf>
    <xf numFmtId="0" fontId="18" fillId="0" borderId="0" xfId="0" applyFont="1" applyFill="1" applyBorder="1" applyAlignment="1" applyProtection="1">
      <alignment vertical="center"/>
    </xf>
    <xf numFmtId="0" fontId="29"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5" fillId="0" borderId="0" xfId="0" applyFont="1" applyFill="1" applyAlignment="1" applyProtection="1">
      <alignment horizontal="center" vertical="center"/>
    </xf>
    <xf numFmtId="0" fontId="12" fillId="0" borderId="0" xfId="0" applyFont="1" applyFill="1" applyAlignment="1" applyProtection="1">
      <alignment vertical="center"/>
    </xf>
    <xf numFmtId="0" fontId="35" fillId="0" borderId="0" xfId="0" applyFont="1" applyFill="1" applyProtection="1"/>
    <xf numFmtId="0" fontId="18" fillId="0" borderId="0" xfId="0" applyFont="1" applyFill="1" applyBorder="1" applyAlignment="1" applyProtection="1"/>
    <xf numFmtId="0" fontId="13" fillId="0" borderId="0" xfId="0" applyFont="1" applyFill="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24" fillId="0" borderId="0" xfId="0" applyFont="1" applyFill="1" applyAlignment="1" applyProtection="1">
      <alignment horizontal="right"/>
    </xf>
    <xf numFmtId="0" fontId="2" fillId="0" borderId="0" xfId="0" applyFont="1" applyAlignment="1" applyProtection="1">
      <alignment horizontal="center"/>
    </xf>
    <xf numFmtId="0" fontId="25" fillId="0" borderId="0" xfId="0" applyFont="1" applyFill="1" applyAlignment="1" applyProtection="1">
      <alignment vertical="center"/>
    </xf>
    <xf numFmtId="0" fontId="18" fillId="0" borderId="0" xfId="0" applyFont="1" applyFill="1" applyBorder="1" applyAlignment="1" applyProtection="1">
      <alignment horizontal="right" vertical="center"/>
    </xf>
    <xf numFmtId="164" fontId="12" fillId="0" borderId="8" xfId="1" applyNumberFormat="1" applyFont="1" applyFill="1" applyBorder="1" applyAlignment="1" applyProtection="1">
      <alignment horizontal="center" vertical="center"/>
    </xf>
    <xf numFmtId="0" fontId="28" fillId="0" borderId="0" xfId="0" applyFont="1" applyFill="1" applyProtection="1"/>
    <xf numFmtId="0" fontId="4" fillId="0" borderId="0" xfId="0" applyFont="1" applyFill="1" applyProtection="1"/>
    <xf numFmtId="0" fontId="27" fillId="0" borderId="0" xfId="0" applyFont="1" applyFill="1" applyBorder="1" applyAlignment="1" applyProtection="1">
      <alignment horizontal="left" vertical="top"/>
    </xf>
    <xf numFmtId="0" fontId="19"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19"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2"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9" xfId="0" applyFont="1" applyFill="1" applyBorder="1" applyAlignment="1" applyProtection="1">
      <alignment horizontal="left" vertical="center"/>
    </xf>
    <xf numFmtId="0" fontId="13" fillId="0" borderId="0" xfId="0" applyFont="1" applyFill="1" applyAlignment="1" applyProtection="1">
      <alignment horizontal="right" vertical="top"/>
    </xf>
    <xf numFmtId="0" fontId="9" fillId="0" borderId="0" xfId="0" applyFont="1" applyFill="1" applyAlignment="1" applyProtection="1">
      <alignment horizontal="right" vertical="top"/>
    </xf>
    <xf numFmtId="0" fontId="2" fillId="0" borderId="0" xfId="0" applyFont="1" applyFill="1" applyProtection="1"/>
    <xf numFmtId="0" fontId="7" fillId="0" borderId="0" xfId="0" applyFont="1" applyFill="1" applyBorder="1" applyAlignment="1" applyProtection="1">
      <alignment horizontal="left" vertical="top" wrapText="1"/>
    </xf>
    <xf numFmtId="0" fontId="0" fillId="0" borderId="0" xfId="0" applyAlignment="1" applyProtection="1">
      <alignment vertical="center" wrapText="1"/>
    </xf>
    <xf numFmtId="0" fontId="7" fillId="0" borderId="0" xfId="0" applyFont="1" applyAlignment="1" applyProtection="1">
      <alignment horizontal="center" vertical="center"/>
    </xf>
    <xf numFmtId="0" fontId="26" fillId="0" borderId="0" xfId="0" applyFont="1" applyFill="1" applyBorder="1" applyProtection="1"/>
    <xf numFmtId="0" fontId="18" fillId="0" borderId="0" xfId="0" quotePrefix="1" applyFont="1" applyFill="1" applyAlignment="1" applyProtection="1">
      <alignment vertical="center"/>
    </xf>
    <xf numFmtId="0" fontId="18" fillId="0" borderId="0" xfId="0" quotePrefix="1" applyFont="1" applyFill="1" applyBorder="1" applyAlignment="1" applyProtection="1">
      <alignment horizontal="left" vertical="center"/>
    </xf>
    <xf numFmtId="0" fontId="24" fillId="0" borderId="0" xfId="0" applyFont="1" applyFill="1" applyAlignment="1" applyProtection="1">
      <alignment vertical="center"/>
    </xf>
    <xf numFmtId="0" fontId="33"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8" fillId="0" borderId="0" xfId="0" applyFont="1" applyFill="1" applyBorder="1" applyAlignment="1" applyProtection="1">
      <alignment vertical="center"/>
    </xf>
    <xf numFmtId="0" fontId="11" fillId="0" borderId="0" xfId="0" applyFont="1" applyProtection="1"/>
    <xf numFmtId="0" fontId="9" fillId="0" borderId="0" xfId="0" applyFont="1" applyFill="1" applyAlignment="1" applyProtection="1">
      <alignment vertical="center"/>
    </xf>
    <xf numFmtId="0" fontId="37" fillId="0" borderId="0" xfId="0" applyFont="1" applyAlignment="1" applyProtection="1"/>
    <xf numFmtId="0" fontId="39" fillId="0" borderId="0" xfId="0" applyFont="1" applyFill="1" applyBorder="1" applyAlignment="1" applyProtection="1">
      <alignment horizontal="center"/>
    </xf>
    <xf numFmtId="0" fontId="41" fillId="0" borderId="0" xfId="0" applyFont="1" applyAlignment="1" applyProtection="1">
      <alignment vertical="center"/>
    </xf>
    <xf numFmtId="0" fontId="42" fillId="0" borderId="0" xfId="0" applyFont="1" applyFill="1" applyBorder="1" applyAlignment="1" applyProtection="1">
      <alignment horizontal="center" vertical="center"/>
    </xf>
    <xf numFmtId="0" fontId="38" fillId="0" borderId="0" xfId="0" applyFont="1" applyAlignment="1" applyProtection="1">
      <alignment vertical="center"/>
    </xf>
    <xf numFmtId="0" fontId="43" fillId="0" borderId="0" xfId="0" applyFont="1" applyAlignment="1" applyProtection="1">
      <alignment horizontal="center" vertical="center"/>
    </xf>
    <xf numFmtId="0" fontId="38" fillId="0" borderId="0" xfId="0" applyFont="1" applyFill="1" applyAlignment="1" applyProtection="1">
      <alignment vertical="center"/>
    </xf>
    <xf numFmtId="0" fontId="7" fillId="0" borderId="8"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0" fontId="0" fillId="0" borderId="15" xfId="0" applyBorder="1" applyAlignment="1" applyProtection="1">
      <alignment horizontal="center"/>
    </xf>
    <xf numFmtId="0" fontId="0" fillId="0" borderId="0" xfId="0" applyFill="1" applyBorder="1" applyAlignment="1" applyProtection="1">
      <alignment horizontal="center"/>
    </xf>
    <xf numFmtId="0" fontId="0" fillId="0" borderId="16" xfId="0" applyFill="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5" xfId="0" applyFill="1" applyBorder="1" applyAlignment="1" applyProtection="1">
      <alignment horizontal="center"/>
    </xf>
    <xf numFmtId="0" fontId="4" fillId="0" borderId="0" xfId="0" applyFont="1" applyFill="1" applyAlignment="1" applyProtection="1">
      <alignment horizontal="center"/>
    </xf>
    <xf numFmtId="0" fontId="48" fillId="0" borderId="0" xfId="0" applyFont="1" applyAlignment="1" applyProtection="1">
      <alignment horizontal="center"/>
    </xf>
    <xf numFmtId="0" fontId="48"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16" xfId="0" applyBorder="1" applyAlignment="1" applyProtection="1">
      <alignment horizontal="center"/>
    </xf>
    <xf numFmtId="0" fontId="0" fillId="0" borderId="16" xfId="0" applyBorder="1" applyProtection="1"/>
    <xf numFmtId="8" fontId="0" fillId="0" borderId="16" xfId="0" applyNumberFormat="1" applyBorder="1" applyProtection="1"/>
    <xf numFmtId="0" fontId="0" fillId="0" borderId="17" xfId="0" applyBorder="1" applyAlignment="1" applyProtection="1">
      <alignment horizontal="center"/>
    </xf>
    <xf numFmtId="8" fontId="0" fillId="0" borderId="17" xfId="0" applyNumberFormat="1" applyBorder="1" applyProtection="1"/>
    <xf numFmtId="0" fontId="0" fillId="0" borderId="17" xfId="0" applyFill="1" applyBorder="1" applyAlignment="1" applyProtection="1">
      <alignment horizontal="center"/>
    </xf>
    <xf numFmtId="0" fontId="7" fillId="0" borderId="0" xfId="0" applyFont="1" applyBorder="1" applyAlignment="1" applyProtection="1">
      <alignment wrapText="1"/>
    </xf>
    <xf numFmtId="170" fontId="7" fillId="0" borderId="9"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0" fontId="3" fillId="0" borderId="0" xfId="0" applyFont="1" applyFill="1" applyBorder="1" applyAlignment="1" applyProtection="1">
      <alignment horizontal="center" vertical="top"/>
    </xf>
    <xf numFmtId="0" fontId="13" fillId="0" borderId="0" xfId="0" applyFont="1" applyFill="1" applyBorder="1" applyAlignment="1" applyProtection="1">
      <alignment vertical="center"/>
    </xf>
    <xf numFmtId="0" fontId="3" fillId="0" borderId="0" xfId="0" applyFont="1" applyFill="1" applyBorder="1" applyAlignment="1" applyProtection="1">
      <alignment horizontal="right" vertical="top"/>
    </xf>
    <xf numFmtId="170" fontId="48" fillId="0" borderId="0" xfId="0" applyNumberFormat="1" applyFont="1" applyAlignment="1" applyProtection="1">
      <alignment horizontal="center"/>
    </xf>
    <xf numFmtId="0" fontId="0" fillId="0" borderId="4" xfId="0" applyBorder="1" applyAlignment="1" applyProtection="1">
      <alignment horizontal="center"/>
    </xf>
    <xf numFmtId="0" fontId="24" fillId="0" borderId="0" xfId="0" applyFont="1" applyFill="1" applyAlignment="1" applyProtection="1"/>
    <xf numFmtId="166" fontId="0" fillId="0" borderId="0" xfId="0" applyNumberFormat="1" applyAlignment="1" applyProtection="1">
      <alignment horizontal="center"/>
    </xf>
    <xf numFmtId="0" fontId="25" fillId="0" borderId="0" xfId="0" applyFont="1" applyAlignment="1" applyProtection="1">
      <alignment vertical="center" wrapText="1"/>
    </xf>
    <xf numFmtId="8" fontId="0" fillId="0" borderId="0" xfId="0" applyNumberFormat="1" applyFill="1" applyProtection="1"/>
    <xf numFmtId="170" fontId="7" fillId="0" borderId="0" xfId="0" applyNumberFormat="1" applyFont="1" applyAlignment="1" applyProtection="1">
      <alignment horizontal="center"/>
    </xf>
    <xf numFmtId="170" fontId="7" fillId="0" borderId="4" xfId="0" applyNumberFormat="1" applyFont="1" applyBorder="1" applyAlignment="1" applyProtection="1">
      <alignment horizontal="center"/>
    </xf>
    <xf numFmtId="0" fontId="24" fillId="0" borderId="0" xfId="0" applyFont="1" applyAlignment="1" applyProtection="1"/>
    <xf numFmtId="0" fontId="48" fillId="0" borderId="0" xfId="0" applyFont="1" applyFill="1" applyAlignment="1" applyProtection="1">
      <alignment horizontal="center"/>
    </xf>
    <xf numFmtId="0" fontId="0" fillId="0" borderId="17" xfId="0" applyBorder="1" applyProtection="1"/>
    <xf numFmtId="8" fontId="0" fillId="0" borderId="0" xfId="0" applyNumberFormat="1" applyFill="1" applyAlignment="1" applyProtection="1"/>
    <xf numFmtId="0" fontId="0" fillId="0" borderId="17" xfId="0" applyFill="1" applyBorder="1" applyProtection="1"/>
    <xf numFmtId="0" fontId="7" fillId="0" borderId="0" xfId="0" applyFont="1" applyProtection="1"/>
    <xf numFmtId="0" fontId="7" fillId="0" borderId="9" xfId="0" applyFont="1" applyFill="1" applyBorder="1" applyAlignment="1" applyProtection="1">
      <alignment horizontal="center"/>
    </xf>
    <xf numFmtId="0" fontId="7" fillId="0" borderId="9" xfId="0" applyFont="1" applyBorder="1" applyAlignment="1" applyProtection="1">
      <alignment horizontal="center"/>
    </xf>
    <xf numFmtId="0" fontId="0" fillId="0" borderId="29" xfId="0" applyBorder="1" applyProtection="1"/>
    <xf numFmtId="0" fontId="27" fillId="0" borderId="0" xfId="0" applyFont="1" applyProtection="1"/>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8" fontId="7" fillId="0" borderId="0" xfId="0" applyNumberFormat="1" applyFont="1" applyFill="1" applyAlignment="1" applyProtection="1">
      <alignment horizontal="center" vertical="center"/>
    </xf>
    <xf numFmtId="0" fontId="49" fillId="0" borderId="0" xfId="0" applyFont="1" applyFill="1" applyBorder="1" applyAlignment="1" applyProtection="1">
      <alignment horizontal="left" vertical="center"/>
    </xf>
    <xf numFmtId="0" fontId="37" fillId="0" borderId="0" xfId="0" applyFont="1" applyFill="1" applyAlignment="1" applyProtection="1">
      <alignment vertical="center"/>
    </xf>
    <xf numFmtId="0" fontId="37" fillId="0" borderId="0" xfId="0" applyFont="1" applyFill="1" applyBorder="1" applyAlignment="1" applyProtection="1">
      <alignment horizontal="left" vertical="center"/>
    </xf>
    <xf numFmtId="0" fontId="41" fillId="0" borderId="0" xfId="0" applyFont="1" applyProtection="1"/>
    <xf numFmtId="0" fontId="43" fillId="0" borderId="0" xfId="0" applyFont="1" applyAlignment="1" applyProtection="1">
      <alignment vertical="center"/>
    </xf>
    <xf numFmtId="0" fontId="43" fillId="0" borderId="0" xfId="0" applyFont="1" applyAlignment="1" applyProtection="1">
      <alignment horizontal="right" vertical="center"/>
    </xf>
    <xf numFmtId="0" fontId="43" fillId="0" borderId="0" xfId="0" applyFont="1" applyAlignment="1" applyProtection="1">
      <alignment horizontal="left" vertical="center"/>
    </xf>
    <xf numFmtId="0" fontId="43" fillId="0" borderId="0" xfId="0" applyFont="1" applyProtection="1"/>
    <xf numFmtId="0" fontId="44" fillId="0" borderId="0" xfId="0" applyFont="1" applyAlignment="1" applyProtection="1">
      <alignment vertical="center"/>
    </xf>
    <xf numFmtId="0" fontId="38" fillId="0" borderId="0" xfId="0" applyFont="1" applyAlignment="1" applyProtection="1">
      <alignment vertical="center" wrapText="1"/>
    </xf>
    <xf numFmtId="0" fontId="38" fillId="0" borderId="0" xfId="0" applyFont="1" applyAlignment="1" applyProtection="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Border="1" applyAlignment="1" applyProtection="1">
      <alignment horizontal="center" vertical="center"/>
    </xf>
    <xf numFmtId="38" fontId="38" fillId="0" borderId="0" xfId="0" applyNumberFormat="1" applyFont="1" applyBorder="1" applyAlignment="1" applyProtection="1">
      <alignment horizontal="center" vertical="center"/>
    </xf>
    <xf numFmtId="0" fontId="38" fillId="0" borderId="0" xfId="0" applyFont="1" applyProtection="1"/>
    <xf numFmtId="0" fontId="46" fillId="0" borderId="0" xfId="0" applyFont="1" applyBorder="1" applyAlignment="1" applyProtection="1">
      <alignment vertical="center"/>
    </xf>
    <xf numFmtId="0" fontId="46" fillId="0" borderId="0" xfId="0" applyFont="1" applyBorder="1" applyAlignment="1" applyProtection="1">
      <alignment vertical="top" wrapText="1"/>
    </xf>
    <xf numFmtId="0" fontId="37" fillId="0" borderId="0" xfId="0" applyFont="1" applyFill="1" applyAlignment="1" applyProtection="1">
      <alignment horizontal="left" vertical="center"/>
    </xf>
    <xf numFmtId="0" fontId="28" fillId="0" borderId="0" xfId="0" applyFont="1" applyFill="1" applyAlignment="1" applyProtection="1">
      <alignment vertical="center"/>
    </xf>
    <xf numFmtId="3" fontId="28" fillId="0" borderId="0" xfId="0" applyNumberFormat="1" applyFont="1" applyFill="1" applyAlignment="1" applyProtection="1">
      <alignment horizontal="center"/>
    </xf>
    <xf numFmtId="0" fontId="38" fillId="0" borderId="0" xfId="0" applyFont="1" applyAlignment="1" applyProtection="1">
      <alignment horizontal="left" vertical="center"/>
    </xf>
    <xf numFmtId="0" fontId="38" fillId="0" borderId="0" xfId="0" applyFont="1" applyFill="1" applyBorder="1" applyAlignment="1" applyProtection="1">
      <alignment horizontal="center" vertical="center"/>
    </xf>
    <xf numFmtId="0" fontId="38" fillId="0" borderId="9" xfId="0" applyFont="1" applyFill="1" applyBorder="1" applyAlignment="1" applyProtection="1">
      <alignment vertical="center"/>
    </xf>
    <xf numFmtId="0" fontId="38" fillId="0" borderId="0" xfId="0" applyFont="1" applyFill="1" applyBorder="1" applyAlignment="1" applyProtection="1">
      <alignment horizontal="right" vertical="center"/>
    </xf>
    <xf numFmtId="0" fontId="41" fillId="0" borderId="0" xfId="0" applyFont="1" applyFill="1" applyAlignment="1" applyProtection="1">
      <alignment vertical="center"/>
    </xf>
    <xf numFmtId="0" fontId="49" fillId="0" borderId="0" xfId="0" applyFont="1" applyFill="1" applyAlignment="1" applyProtection="1">
      <alignment vertical="center"/>
    </xf>
    <xf numFmtId="0" fontId="41" fillId="0" borderId="0" xfId="0" applyFont="1" applyFill="1" applyAlignment="1" applyProtection="1">
      <alignment horizontal="centerContinuous" vertical="center"/>
    </xf>
    <xf numFmtId="0" fontId="41" fillId="0" borderId="0" xfId="0" applyFont="1" applyFill="1" applyAlignment="1" applyProtection="1">
      <alignment horizontal="left" vertical="center"/>
    </xf>
    <xf numFmtId="0" fontId="49" fillId="0" borderId="0" xfId="0" applyFont="1" applyFill="1" applyAlignment="1" applyProtection="1">
      <alignment horizontal="left" vertical="center"/>
    </xf>
    <xf numFmtId="0" fontId="41" fillId="0" borderId="0" xfId="0" applyFont="1" applyFill="1" applyBorder="1" applyAlignment="1" applyProtection="1">
      <alignment horizontal="right" vertical="center"/>
    </xf>
    <xf numFmtId="0" fontId="41" fillId="0" borderId="0" xfId="0" applyFont="1" applyFill="1" applyBorder="1" applyAlignment="1" applyProtection="1">
      <alignment horizontal="centerContinuous" vertical="center"/>
    </xf>
    <xf numFmtId="0" fontId="41" fillId="0" borderId="0" xfId="0" applyFont="1" applyFill="1" applyBorder="1" applyProtection="1"/>
    <xf numFmtId="0" fontId="41"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vertical="center"/>
    </xf>
    <xf numFmtId="0" fontId="49" fillId="0" borderId="0" xfId="0" applyFont="1" applyFill="1" applyAlignment="1" applyProtection="1">
      <alignment horizontal="right" vertical="center"/>
    </xf>
    <xf numFmtId="0" fontId="41" fillId="0" borderId="0" xfId="0" applyFont="1" applyFill="1" applyAlignment="1" applyProtection="1">
      <alignment horizontal="right" vertical="center"/>
    </xf>
    <xf numFmtId="0" fontId="41" fillId="0" borderId="0" xfId="0" quotePrefix="1" applyFont="1" applyFill="1" applyBorder="1" applyAlignment="1" applyProtection="1">
      <alignment horizontal="center" vertical="center"/>
    </xf>
    <xf numFmtId="0"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xf>
    <xf numFmtId="0" fontId="41" fillId="0" borderId="0" xfId="0" applyFont="1" applyFill="1" applyBorder="1" applyAlignment="1" applyProtection="1">
      <alignment horizontal="center"/>
    </xf>
    <xf numFmtId="0" fontId="47" fillId="0" borderId="0" xfId="0" applyFont="1" applyFill="1" applyAlignment="1" applyProtection="1">
      <alignment vertical="center"/>
    </xf>
    <xf numFmtId="0" fontId="41" fillId="0" borderId="0" xfId="0" applyFont="1" applyFill="1" applyProtection="1"/>
    <xf numFmtId="0" fontId="41" fillId="0" borderId="0" xfId="1" applyNumberFormat="1" applyFont="1" applyFill="1" applyBorder="1" applyAlignment="1" applyProtection="1">
      <alignment horizontal="left" vertical="center"/>
    </xf>
    <xf numFmtId="0" fontId="49" fillId="0" borderId="0" xfId="0" applyFont="1" applyFill="1" applyBorder="1" applyProtection="1"/>
    <xf numFmtId="0" fontId="41" fillId="0" borderId="0" xfId="0" applyFont="1" applyFill="1" applyBorder="1" applyAlignment="1" applyProtection="1"/>
    <xf numFmtId="0" fontId="49" fillId="0" borderId="0" xfId="0" applyFont="1" applyFill="1" applyBorder="1" applyAlignment="1" applyProtection="1"/>
    <xf numFmtId="0" fontId="41" fillId="0" borderId="0" xfId="0" applyFont="1" applyFill="1" applyBorder="1" applyAlignment="1" applyProtection="1">
      <alignment horizontal="right"/>
    </xf>
    <xf numFmtId="0" fontId="49" fillId="0" borderId="0" xfId="0" applyFont="1" applyFill="1" applyProtection="1"/>
    <xf numFmtId="166" fontId="49" fillId="0" borderId="0" xfId="10" applyNumberFormat="1" applyFont="1" applyFill="1" applyBorder="1" applyAlignment="1" applyProtection="1">
      <alignment horizontal="center" vertical="center"/>
    </xf>
    <xf numFmtId="0" fontId="41" fillId="0" borderId="0" xfId="0" applyFont="1" applyAlignment="1" applyProtection="1">
      <alignment wrapText="1"/>
    </xf>
    <xf numFmtId="0" fontId="41" fillId="0" borderId="0" xfId="0" applyFont="1" applyAlignment="1" applyProtection="1">
      <alignment horizontal="left" wrapText="1"/>
    </xf>
    <xf numFmtId="0" fontId="41" fillId="0" borderId="0" xfId="0" applyFont="1" applyFill="1" applyBorder="1" applyAlignment="1" applyProtection="1">
      <alignment vertical="top"/>
    </xf>
    <xf numFmtId="0" fontId="41" fillId="0" borderId="7" xfId="0" applyFont="1" applyFill="1" applyBorder="1" applyAlignment="1" applyProtection="1">
      <alignment horizontal="left" vertical="center"/>
    </xf>
    <xf numFmtId="0" fontId="41" fillId="0" borderId="5" xfId="0" applyFont="1" applyFill="1" applyBorder="1" applyAlignment="1" applyProtection="1">
      <alignment horizontal="left" vertical="center"/>
    </xf>
    <xf numFmtId="167" fontId="41" fillId="0" borderId="0" xfId="0" applyNumberFormat="1" applyFont="1" applyFill="1" applyBorder="1" applyAlignment="1" applyProtection="1">
      <alignment horizontal="center" vertical="center"/>
    </xf>
    <xf numFmtId="0" fontId="41" fillId="0" borderId="0" xfId="0" applyFont="1" applyAlignment="1" applyProtection="1">
      <alignment horizontal="center"/>
    </xf>
    <xf numFmtId="0" fontId="41" fillId="0" borderId="0" xfId="0" quotePrefix="1" applyFont="1" applyFill="1" applyBorder="1" applyAlignment="1" applyProtection="1">
      <alignment horizontal="left" vertical="center"/>
    </xf>
    <xf numFmtId="0" fontId="40" fillId="0" borderId="0" xfId="0" applyFont="1" applyFill="1" applyBorder="1" applyAlignment="1" applyProtection="1">
      <alignment vertical="center"/>
    </xf>
    <xf numFmtId="0" fontId="49" fillId="0" borderId="0" xfId="0" applyFont="1" applyFill="1" applyAlignment="1" applyProtection="1"/>
    <xf numFmtId="0" fontId="49" fillId="0" borderId="0" xfId="0" quotePrefix="1" applyFont="1" applyFill="1" applyAlignment="1" applyProtection="1">
      <alignment horizontal="center" vertical="center"/>
    </xf>
    <xf numFmtId="0" fontId="49" fillId="0" borderId="0" xfId="0" applyFont="1" applyFill="1" applyAlignment="1" applyProtection="1">
      <alignment horizontal="right"/>
    </xf>
    <xf numFmtId="0" fontId="49" fillId="0" borderId="0" xfId="0" quotePrefix="1" applyFont="1" applyFill="1" applyAlignment="1" applyProtection="1"/>
    <xf numFmtId="0" fontId="49" fillId="0" borderId="0" xfId="0" quotePrefix="1" applyFont="1" applyFill="1" applyAlignment="1" applyProtection="1">
      <alignment horizontal="right"/>
    </xf>
    <xf numFmtId="0" fontId="49" fillId="0" borderId="0" xfId="0" quotePrefix="1" applyFont="1" applyFill="1" applyBorder="1" applyAlignment="1" applyProtection="1">
      <alignment horizontal="center" vertical="center"/>
    </xf>
    <xf numFmtId="0" fontId="41" fillId="0" borderId="10" xfId="0" applyFont="1" applyFill="1" applyBorder="1" applyAlignment="1" applyProtection="1">
      <alignment vertical="center"/>
    </xf>
    <xf numFmtId="0" fontId="37" fillId="0" borderId="0" xfId="0" applyFont="1" applyFill="1" applyProtection="1"/>
    <xf numFmtId="0" fontId="40" fillId="0" borderId="0" xfId="0" applyFont="1" applyFill="1" applyAlignment="1" applyProtection="1">
      <alignment vertical="center"/>
    </xf>
    <xf numFmtId="0" fontId="40" fillId="0" borderId="0" xfId="0" applyFont="1" applyFill="1" applyAlignment="1" applyProtection="1">
      <alignment horizontal="center" vertical="center"/>
    </xf>
    <xf numFmtId="0" fontId="40" fillId="0" borderId="0" xfId="0" applyFont="1" applyFill="1" applyAlignment="1" applyProtection="1"/>
    <xf numFmtId="0" fontId="40" fillId="0" borderId="0" xfId="0" applyFont="1" applyFill="1" applyAlignment="1" applyProtection="1">
      <alignment horizontal="left" vertical="center"/>
    </xf>
    <xf numFmtId="0" fontId="40" fillId="0" borderId="0" xfId="0" quotePrefix="1" applyFont="1" applyFill="1" applyAlignment="1" applyProtection="1">
      <alignment horizontal="center" vertical="center"/>
    </xf>
    <xf numFmtId="164" fontId="41" fillId="0" borderId="0" xfId="1" applyNumberFormat="1" applyFont="1" applyFill="1" applyAlignment="1" applyProtection="1">
      <alignment vertical="center"/>
    </xf>
    <xf numFmtId="0" fontId="57" fillId="0" borderId="0" xfId="0" applyFont="1" applyFill="1" applyAlignment="1" applyProtection="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Fill="1" applyAlignment="1" applyProtection="1">
      <alignment horizontal="center"/>
    </xf>
    <xf numFmtId="164" fontId="41" fillId="0" borderId="0" xfId="1" applyNumberFormat="1" applyFont="1" applyFill="1" applyAlignment="1" applyProtection="1">
      <alignment horizontal="center"/>
    </xf>
    <xf numFmtId="0" fontId="41" fillId="0" borderId="0" xfId="0" applyFont="1" applyFill="1" applyAlignment="1" applyProtection="1">
      <alignment horizontal="left" vertical="top"/>
    </xf>
    <xf numFmtId="6" fontId="41" fillId="0" borderId="0" xfId="0" applyNumberFormat="1" applyFont="1" applyFill="1" applyBorder="1" applyAlignment="1" applyProtection="1">
      <alignment horizontal="center" vertical="center"/>
    </xf>
    <xf numFmtId="0" fontId="58" fillId="0" borderId="0" xfId="0" applyFont="1" applyFill="1" applyAlignment="1" applyProtection="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Fill="1" applyAlignment="1" applyProtection="1">
      <alignment horizontal="center" vertical="center"/>
    </xf>
    <xf numFmtId="38" fontId="49" fillId="0" borderId="0" xfId="0"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Fill="1" applyBorder="1" applyAlignment="1" applyProtection="1">
      <alignment horizontal="right" vertical="center"/>
    </xf>
    <xf numFmtId="0" fontId="41" fillId="0" borderId="0" xfId="0" quotePrefix="1" applyFont="1" applyFill="1" applyAlignment="1" applyProtection="1">
      <alignment horizontal="right" vertical="center"/>
    </xf>
    <xf numFmtId="38" fontId="49"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0" fontId="51" fillId="0" borderId="4" xfId="0" applyFont="1" applyFill="1" applyBorder="1" applyAlignment="1" applyProtection="1">
      <alignment horizontal="left" vertical="center"/>
    </xf>
    <xf numFmtId="0" fontId="51" fillId="0" borderId="0" xfId="0" applyFont="1" applyFill="1" applyAlignment="1" applyProtection="1">
      <alignment vertical="center"/>
    </xf>
    <xf numFmtId="0" fontId="41" fillId="0" borderId="0" xfId="0" applyFont="1" applyFill="1" applyAlignment="1" applyProtection="1">
      <alignment horizontal="center"/>
    </xf>
    <xf numFmtId="0" fontId="41" fillId="0" borderId="0" xfId="0" applyFont="1" applyBorder="1" applyAlignment="1" applyProtection="1">
      <alignment vertical="center"/>
    </xf>
    <xf numFmtId="0" fontId="41" fillId="0" borderId="0" xfId="0" applyFont="1" applyFill="1" applyBorder="1" applyAlignment="1" applyProtection="1">
      <alignment vertical="center" wrapText="1"/>
    </xf>
    <xf numFmtId="0" fontId="41" fillId="0" borderId="0" xfId="0" applyFont="1" applyAlignment="1" applyProtection="1">
      <alignment horizontal="center" vertical="center"/>
    </xf>
    <xf numFmtId="0" fontId="51" fillId="0" borderId="0" xfId="0" applyFont="1" applyFill="1" applyAlignment="1" applyProtection="1">
      <alignment horizontal="left" vertical="center"/>
    </xf>
    <xf numFmtId="0" fontId="62" fillId="0" borderId="0" xfId="0" applyFont="1" applyFill="1" applyAlignment="1" applyProtection="1">
      <alignment horizontal="center" vertical="center"/>
    </xf>
    <xf numFmtId="0" fontId="25" fillId="0" borderId="0" xfId="0" applyFont="1" applyAlignment="1" applyProtection="1">
      <alignment horizontal="center"/>
    </xf>
    <xf numFmtId="0" fontId="13" fillId="0" borderId="0" xfId="0" quotePrefix="1" applyFont="1" applyFill="1" applyAlignment="1" applyProtection="1">
      <alignment horizontal="center" vertical="center"/>
    </xf>
    <xf numFmtId="0" fontId="67" fillId="0" borderId="0" xfId="0" applyFont="1" applyFill="1" applyBorder="1" applyAlignment="1" applyProtection="1">
      <alignment horizontal="center" vertical="center"/>
    </xf>
    <xf numFmtId="0" fontId="35" fillId="0" borderId="0" xfId="0" applyFont="1" applyBorder="1" applyAlignment="1" applyProtection="1">
      <alignment vertical="center"/>
    </xf>
    <xf numFmtId="0" fontId="38" fillId="0" borderId="0" xfId="9" applyFont="1" applyProtection="1"/>
    <xf numFmtId="0" fontId="38" fillId="0" borderId="0" xfId="9" applyFont="1" applyAlignment="1" applyProtection="1">
      <alignment horizontal="left"/>
    </xf>
    <xf numFmtId="0" fontId="68" fillId="0" borderId="0" xfId="9" applyFont="1" applyAlignment="1" applyProtection="1">
      <alignment horizontal="center"/>
    </xf>
    <xf numFmtId="0" fontId="69" fillId="0" borderId="0" xfId="0" applyFont="1" applyAlignment="1" applyProtection="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38"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0" fillId="0" borderId="0" xfId="0" applyFont="1" applyFill="1" applyProtection="1"/>
    <xf numFmtId="4" fontId="12" fillId="0" borderId="0" xfId="1" applyNumberFormat="1" applyFont="1" applyFill="1" applyAlignment="1" applyProtection="1">
      <alignment horizontal="center" vertical="center"/>
    </xf>
    <xf numFmtId="0" fontId="53" fillId="0" borderId="0" xfId="0" applyFont="1" applyFill="1" applyProtection="1"/>
    <xf numFmtId="0" fontId="66" fillId="0" borderId="0" xfId="0" applyFont="1" applyFill="1" applyBorder="1" applyAlignment="1" applyProtection="1">
      <alignment horizontal="center" vertical="center"/>
    </xf>
    <xf numFmtId="0" fontId="72" fillId="0" borderId="0" xfId="0" applyFont="1" applyFill="1" applyAlignment="1" applyProtection="1">
      <alignment vertical="center"/>
    </xf>
    <xf numFmtId="166" fontId="41" fillId="0" borderId="0" xfId="0" applyNumberFormat="1" applyFont="1" applyFill="1" applyAlignment="1" applyProtection="1">
      <alignment horizontal="center" vertical="center"/>
    </xf>
    <xf numFmtId="0" fontId="41" fillId="0" borderId="0" xfId="0" applyFont="1" applyBorder="1" applyAlignment="1" applyProtection="1">
      <alignment horizontal="center" vertical="center"/>
    </xf>
    <xf numFmtId="0" fontId="69" fillId="0" borderId="0" xfId="0" applyFont="1" applyBorder="1" applyAlignment="1" applyProtection="1">
      <alignment horizontal="center" vertical="center"/>
    </xf>
    <xf numFmtId="9" fontId="37" fillId="0" borderId="0" xfId="0" applyNumberFormat="1" applyFont="1" applyFill="1" applyBorder="1" applyAlignment="1" applyProtection="1">
      <alignment horizontal="center" vertical="center"/>
    </xf>
    <xf numFmtId="0" fontId="28" fillId="0" borderId="0" xfId="0" applyFont="1" applyFill="1" applyBorder="1" applyProtection="1"/>
    <xf numFmtId="0" fontId="31" fillId="0" borderId="0" xfId="0" applyFont="1" applyAlignment="1" applyProtection="1">
      <alignment horizontal="center"/>
    </xf>
    <xf numFmtId="0" fontId="26" fillId="0" borderId="0" xfId="0" applyFont="1" applyAlignment="1" applyProtection="1">
      <alignment vertical="center"/>
    </xf>
    <xf numFmtId="0" fontId="37" fillId="0" borderId="40" xfId="0" applyFont="1" applyFill="1" applyBorder="1" applyAlignment="1" applyProtection="1">
      <alignment vertical="top"/>
    </xf>
    <xf numFmtId="0" fontId="13" fillId="0" borderId="0" xfId="0" applyFont="1" applyFill="1" applyProtection="1"/>
    <xf numFmtId="0" fontId="25"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applyFont="1" applyFill="1" applyAlignment="1" applyProtection="1">
      <alignment vertical="top"/>
    </xf>
    <xf numFmtId="0" fontId="3" fillId="0" borderId="0" xfId="0" applyFont="1" applyFill="1" applyBorder="1" applyProtection="1"/>
    <xf numFmtId="0" fontId="77" fillId="0" borderId="0" xfId="0" applyFont="1" applyFill="1" applyBorder="1" applyAlignment="1" applyProtection="1">
      <alignment vertical="center" wrapText="1"/>
    </xf>
    <xf numFmtId="0" fontId="77" fillId="0" borderId="0" xfId="0" applyFont="1" applyFill="1" applyAlignment="1" applyProtection="1">
      <alignment vertical="center"/>
    </xf>
    <xf numFmtId="0" fontId="78" fillId="0" borderId="0" xfId="0" applyFont="1" applyFill="1" applyAlignment="1" applyProtection="1">
      <alignment horizontal="center" vertical="center"/>
    </xf>
    <xf numFmtId="0" fontId="76" fillId="0" borderId="0" xfId="0" applyFont="1" applyFill="1" applyProtection="1"/>
    <xf numFmtId="0" fontId="2" fillId="0" borderId="4" xfId="0" applyFont="1" applyFill="1" applyBorder="1" applyProtection="1"/>
    <xf numFmtId="0" fontId="81" fillId="0" borderId="0" xfId="0" applyFont="1" applyFill="1" applyAlignment="1" applyProtection="1">
      <alignment horizontal="center" vertical="center"/>
    </xf>
    <xf numFmtId="0" fontId="84" fillId="0" borderId="0" xfId="0" applyFont="1" applyFill="1" applyAlignment="1" applyProtection="1">
      <alignment vertical="top"/>
    </xf>
    <xf numFmtId="0" fontId="84" fillId="0" borderId="0" xfId="0" applyFont="1" applyFill="1" applyAlignment="1" applyProtection="1">
      <alignment vertical="center"/>
    </xf>
    <xf numFmtId="0" fontId="84"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3" fillId="0" borderId="0" xfId="0" applyFont="1" applyFill="1" applyAlignment="1" applyProtection="1">
      <alignment horizontal="left"/>
    </xf>
    <xf numFmtId="0" fontId="25"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5" fillId="0" borderId="0" xfId="0" applyFont="1" applyAlignment="1" applyProtection="1">
      <alignment horizontal="right" vertical="top"/>
    </xf>
    <xf numFmtId="0" fontId="86"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8" fillId="0" borderId="0" xfId="0" quotePrefix="1" applyFont="1" applyFill="1" applyAlignment="1" applyProtection="1"/>
    <xf numFmtId="38" fontId="24"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38" fillId="0" borderId="0" xfId="1" applyNumberFormat="1" applyFont="1" applyAlignment="1" applyProtection="1">
      <alignment horizontal="center"/>
    </xf>
    <xf numFmtId="0" fontId="36" fillId="0" borderId="4" xfId="0" applyFont="1" applyFill="1" applyBorder="1" applyAlignment="1" applyProtection="1">
      <alignment vertical="center"/>
    </xf>
    <xf numFmtId="0" fontId="36" fillId="0" borderId="0" xfId="0" applyFont="1" applyFill="1" applyAlignment="1" applyProtection="1">
      <alignment vertical="center"/>
    </xf>
    <xf numFmtId="0" fontId="33" fillId="0" borderId="0" xfId="0" applyFont="1" applyFill="1" applyAlignment="1" applyProtection="1">
      <alignment vertical="center"/>
    </xf>
    <xf numFmtId="0" fontId="88" fillId="0" borderId="0" xfId="0" applyFont="1" applyFill="1" applyProtection="1"/>
    <xf numFmtId="0" fontId="90" fillId="0" borderId="0" xfId="0" applyFont="1" applyFill="1" applyAlignment="1" applyProtection="1">
      <alignment horizontal="center" vertical="center"/>
    </xf>
    <xf numFmtId="0" fontId="88" fillId="0" borderId="0" xfId="0" applyFont="1" applyFill="1" applyAlignment="1" applyProtection="1">
      <alignment vertical="center"/>
    </xf>
    <xf numFmtId="0" fontId="88" fillId="0" borderId="0" xfId="0" applyFont="1" applyFill="1" applyAlignment="1" applyProtection="1">
      <alignment horizontal="center" vertical="center"/>
    </xf>
    <xf numFmtId="0" fontId="79" fillId="0" borderId="0" xfId="0" applyFont="1" applyFill="1" applyAlignment="1" applyProtection="1">
      <alignment vertical="center"/>
    </xf>
    <xf numFmtId="0" fontId="92" fillId="0" borderId="0" xfId="0" applyFont="1" applyFill="1" applyProtection="1"/>
    <xf numFmtId="0" fontId="92" fillId="0" borderId="0" xfId="0" applyFont="1" applyFill="1" applyAlignment="1" applyProtection="1">
      <alignment horizont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8" fillId="0" borderId="0" xfId="0" applyFont="1" applyFill="1" applyAlignment="1" applyProtection="1">
      <alignment horizontal="center"/>
    </xf>
    <xf numFmtId="3" fontId="88" fillId="0" borderId="0" xfId="0" applyNumberFormat="1" applyFont="1" applyFill="1" applyAlignment="1" applyProtection="1">
      <alignment horizontal="center"/>
    </xf>
    <xf numFmtId="0" fontId="79" fillId="0" borderId="0" xfId="0" applyFont="1" applyFill="1" applyAlignment="1" applyProtection="1">
      <alignment horizontal="center"/>
    </xf>
    <xf numFmtId="3" fontId="79" fillId="0" borderId="0" xfId="0" applyNumberFormat="1" applyFont="1" applyFill="1" applyAlignment="1" applyProtection="1">
      <alignment horizontal="center"/>
    </xf>
    <xf numFmtId="0" fontId="79" fillId="0" borderId="0" xfId="0" applyFont="1" applyFill="1" applyProtection="1"/>
    <xf numFmtId="0" fontId="89" fillId="0" borderId="0" xfId="0" applyFont="1" applyFill="1" applyBorder="1" applyAlignment="1" applyProtection="1">
      <alignment vertical="center"/>
    </xf>
    <xf numFmtId="164" fontId="88" fillId="0" borderId="0" xfId="1" applyNumberFormat="1" applyFont="1" applyFill="1" applyBorder="1" applyAlignment="1" applyProtection="1">
      <alignment vertical="center"/>
    </xf>
    <xf numFmtId="3" fontId="41"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2"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3" fillId="0" borderId="4" xfId="0" applyFont="1" applyFill="1" applyBorder="1" applyAlignment="1" applyProtection="1">
      <alignment vertical="center"/>
    </xf>
    <xf numFmtId="0" fontId="32" fillId="0" borderId="0" xfId="0" applyFont="1" applyFill="1" applyBorder="1" applyAlignment="1" applyProtection="1">
      <alignment vertical="center"/>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36" fillId="0" borderId="0" xfId="0" applyFont="1" applyFill="1" applyAlignment="1" applyProtection="1">
      <alignment vertical="center" wrapText="1"/>
    </xf>
    <xf numFmtId="0" fontId="28" fillId="0" borderId="0" xfId="0" applyNumberFormat="1" applyFont="1" applyAlignment="1" applyProtection="1">
      <alignment horizontal="center" vertical="center" wrapText="1"/>
    </xf>
    <xf numFmtId="38" fontId="37" fillId="0" borderId="0" xfId="0" applyNumberFormat="1" applyFont="1" applyFill="1" applyBorder="1" applyAlignment="1" applyProtection="1">
      <alignment vertical="center"/>
    </xf>
    <xf numFmtId="0" fontId="3" fillId="0" borderId="0" xfId="0" applyFont="1" applyAlignment="1" applyProtection="1">
      <alignment horizontal="left"/>
    </xf>
    <xf numFmtId="0" fontId="38"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49" fillId="0" borderId="0" xfId="0" applyFont="1" applyFill="1" applyAlignment="1" applyProtection="1">
      <alignment horizontal="center" vertical="center"/>
    </xf>
    <xf numFmtId="0" fontId="41" fillId="0" borderId="0" xfId="0" quotePrefix="1" applyFont="1" applyFill="1" applyAlignment="1" applyProtection="1">
      <alignment vertical="center"/>
    </xf>
    <xf numFmtId="0" fontId="88" fillId="0" borderId="0" xfId="0" applyFont="1" applyProtection="1"/>
    <xf numFmtId="0" fontId="97" fillId="0" borderId="0" xfId="0" applyFont="1" applyFill="1" applyBorder="1" applyAlignment="1" applyProtection="1">
      <alignment vertical="top"/>
    </xf>
    <xf numFmtId="0" fontId="82" fillId="0" borderId="0" xfId="0" applyFont="1" applyFill="1" applyAlignment="1" applyProtection="1"/>
    <xf numFmtId="0" fontId="98" fillId="0" borderId="0" xfId="0" applyFont="1" applyFill="1" applyProtection="1"/>
    <xf numFmtId="0" fontId="91" fillId="0" borderId="0" xfId="0" applyFont="1" applyFill="1" applyBorder="1" applyAlignment="1" applyProtection="1">
      <alignment horizontal="left"/>
    </xf>
    <xf numFmtId="0" fontId="12" fillId="0" borderId="0" xfId="0" applyFont="1" applyFill="1" applyAlignment="1" applyProtection="1">
      <alignment horizontal="left"/>
    </xf>
    <xf numFmtId="0" fontId="43" fillId="0" borderId="0" xfId="9" applyFont="1" applyAlignment="1" applyProtection="1">
      <alignment horizontal="left"/>
    </xf>
    <xf numFmtId="0" fontId="3" fillId="0" borderId="9" xfId="0" applyFont="1" applyFill="1" applyBorder="1" applyAlignment="1" applyProtection="1">
      <alignment vertical="top" wrapText="1"/>
    </xf>
    <xf numFmtId="0" fontId="103" fillId="0" borderId="0" xfId="0" applyFont="1" applyFill="1" applyAlignment="1" applyProtection="1">
      <alignment vertical="center"/>
    </xf>
    <xf numFmtId="3" fontId="41" fillId="0" borderId="0" xfId="0" applyNumberFormat="1" applyFont="1" applyFill="1" applyAlignment="1" applyProtection="1">
      <alignment vertical="center"/>
    </xf>
    <xf numFmtId="3" fontId="41" fillId="0" borderId="0" xfId="0" applyNumberFormat="1" applyFont="1" applyFill="1" applyProtection="1"/>
    <xf numFmtId="0" fontId="3" fillId="0" borderId="0" xfId="0" applyFont="1" applyBorder="1" applyAlignment="1" applyProtection="1">
      <alignment vertical="center"/>
    </xf>
    <xf numFmtId="0" fontId="38" fillId="0" borderId="34" xfId="0" applyFont="1" applyFill="1" applyBorder="1" applyAlignment="1" applyProtection="1">
      <alignment vertical="center"/>
    </xf>
    <xf numFmtId="0" fontId="38" fillId="0" borderId="0" xfId="0" applyFont="1" applyFill="1" applyBorder="1" applyAlignment="1" applyProtection="1">
      <alignment vertical="center"/>
    </xf>
    <xf numFmtId="164" fontId="38" fillId="0" borderId="0" xfId="1" applyNumberFormat="1" applyFont="1" applyFill="1" applyBorder="1" applyAlignment="1" applyProtection="1">
      <alignment horizontal="center" vertical="center"/>
    </xf>
    <xf numFmtId="0" fontId="104" fillId="0" borderId="0" xfId="6" applyFont="1" applyFill="1" applyBorder="1" applyAlignment="1" applyProtection="1">
      <alignment vertical="center"/>
    </xf>
    <xf numFmtId="0" fontId="63" fillId="0" borderId="0" xfId="0" applyFont="1" applyFill="1" applyBorder="1" applyAlignment="1" applyProtection="1">
      <alignment vertical="top"/>
    </xf>
    <xf numFmtId="0" fontId="41" fillId="0" borderId="0" xfId="0" applyFont="1" applyFill="1" applyAlignment="1" applyProtection="1">
      <alignment vertical="top"/>
    </xf>
    <xf numFmtId="0" fontId="38" fillId="0" borderId="0" xfId="0" applyFont="1" applyFill="1" applyBorder="1" applyAlignment="1" applyProtection="1">
      <alignment horizontal="left"/>
    </xf>
    <xf numFmtId="0" fontId="81" fillId="0" borderId="0" xfId="0" applyFont="1" applyFill="1" applyBorder="1" applyAlignment="1" applyProtection="1">
      <alignment vertical="center"/>
    </xf>
    <xf numFmtId="0" fontId="106" fillId="0" borderId="0" xfId="0" applyFont="1" applyFill="1" applyBorder="1" applyAlignment="1" applyProtection="1">
      <alignment horizontal="left" vertical="center"/>
    </xf>
    <xf numFmtId="0" fontId="47" fillId="0" borderId="9" xfId="0" applyFont="1" applyFill="1" applyBorder="1" applyAlignment="1" applyProtection="1">
      <alignment vertical="center"/>
    </xf>
    <xf numFmtId="0" fontId="106" fillId="0" borderId="0" xfId="0" applyFont="1" applyFill="1" applyAlignment="1" applyProtection="1">
      <alignment vertical="center"/>
    </xf>
    <xf numFmtId="0" fontId="87" fillId="0" borderId="0" xfId="0" applyFont="1" applyBorder="1" applyAlignment="1" applyProtection="1">
      <alignment horizontal="right" vertical="center"/>
    </xf>
    <xf numFmtId="0" fontId="2" fillId="0" borderId="0" xfId="0" applyFont="1" applyFill="1" applyAlignment="1" applyProtection="1">
      <alignment horizontal="center" vertical="top"/>
    </xf>
    <xf numFmtId="0" fontId="67" fillId="0" borderId="0" xfId="0" applyFont="1" applyFill="1" applyBorder="1" applyAlignment="1" applyProtection="1">
      <alignment horizontal="center" vertical="top"/>
    </xf>
    <xf numFmtId="0" fontId="12" fillId="0" borderId="0" xfId="0" applyFont="1" applyProtection="1"/>
    <xf numFmtId="0" fontId="102" fillId="0" borderId="0" xfId="0" applyFont="1" applyFill="1" applyAlignment="1" applyProtection="1">
      <alignment vertical="center"/>
    </xf>
    <xf numFmtId="0" fontId="48" fillId="0" borderId="0" xfId="0" applyFont="1" applyFill="1" applyAlignment="1" applyProtection="1">
      <alignment vertical="center"/>
    </xf>
    <xf numFmtId="0" fontId="9" fillId="0" borderId="0" xfId="0" applyFont="1" applyProtection="1"/>
    <xf numFmtId="0" fontId="25" fillId="0" borderId="0" xfId="0" applyFont="1" applyFill="1" applyAlignment="1" applyProtection="1">
      <alignment horizontal="center" vertical="top"/>
    </xf>
    <xf numFmtId="0" fontId="109" fillId="0" borderId="0" xfId="0" applyFont="1" applyFill="1" applyBorder="1" applyAlignment="1" applyProtection="1">
      <alignment horizontal="left"/>
    </xf>
    <xf numFmtId="0" fontId="109" fillId="0" borderId="0" xfId="0" applyFont="1" applyFill="1" applyBorder="1" applyAlignment="1" applyProtection="1">
      <alignment horizontal="left" wrapText="1"/>
    </xf>
    <xf numFmtId="0" fontId="38" fillId="0" borderId="0" xfId="0" applyFont="1" applyFill="1" applyAlignment="1" applyProtection="1">
      <alignment horizontal="right"/>
    </xf>
    <xf numFmtId="0" fontId="38" fillId="0" borderId="0" xfId="0" applyFont="1" applyAlignment="1" applyProtection="1">
      <alignment horizontal="left"/>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86" fillId="0" borderId="0" xfId="0" applyFont="1" applyFill="1" applyAlignment="1" applyProtection="1">
      <alignment horizontal="left" vertical="center"/>
    </xf>
    <xf numFmtId="0" fontId="87"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2" xfId="0" applyNumberFormat="1" applyFont="1" applyFill="1" applyBorder="1" applyAlignment="1" applyProtection="1">
      <alignment horizontal="center" vertical="center"/>
    </xf>
    <xf numFmtId="38" fontId="7" fillId="13" borderId="13" xfId="0" applyNumberFormat="1" applyFont="1" applyFill="1" applyBorder="1" applyAlignment="1" applyProtection="1">
      <alignment horizontal="center" vertical="center"/>
    </xf>
    <xf numFmtId="38" fontId="7" fillId="13" borderId="14"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13" xfId="0" applyFont="1" applyFill="1" applyBorder="1" applyAlignment="1" applyProtection="1">
      <alignment horizontal="center" vertical="center"/>
    </xf>
    <xf numFmtId="0" fontId="13" fillId="13" borderId="14" xfId="0" applyFont="1" applyFill="1" applyBorder="1" applyAlignment="1" applyProtection="1">
      <alignment horizontal="center" vertical="center"/>
    </xf>
    <xf numFmtId="0" fontId="13" fillId="13" borderId="13" xfId="0" applyFont="1" applyFill="1" applyBorder="1" applyAlignment="1" applyProtection="1">
      <alignment horizontal="center" vertical="top"/>
    </xf>
    <xf numFmtId="0" fontId="13" fillId="13" borderId="8" xfId="0" applyFont="1" applyFill="1" applyBorder="1" applyAlignment="1" applyProtection="1">
      <alignment horizontal="center" vertical="center"/>
    </xf>
    <xf numFmtId="0" fontId="13" fillId="13" borderId="25" xfId="0" applyFont="1" applyFill="1" applyBorder="1" applyAlignment="1" applyProtection="1">
      <alignment horizontal="center" vertical="center"/>
    </xf>
    <xf numFmtId="0" fontId="13" fillId="13" borderId="19" xfId="0" applyFont="1" applyFill="1" applyBorder="1" applyAlignment="1" applyProtection="1">
      <alignment horizontal="center" vertical="center"/>
    </xf>
    <xf numFmtId="0" fontId="13" fillId="13" borderId="30" xfId="0" applyFont="1" applyFill="1" applyBorder="1" applyAlignment="1" applyProtection="1">
      <alignment horizontal="center" vertical="center"/>
    </xf>
    <xf numFmtId="0" fontId="13" fillId="13" borderId="20" xfId="0" applyFont="1" applyFill="1" applyBorder="1" applyAlignment="1" applyProtection="1">
      <alignment horizontal="center" vertical="center"/>
    </xf>
    <xf numFmtId="0" fontId="12" fillId="13" borderId="12" xfId="0" applyFont="1" applyFill="1" applyBorder="1" applyAlignment="1" applyProtection="1">
      <alignment horizontal="center" vertical="center"/>
    </xf>
    <xf numFmtId="0" fontId="12" fillId="13" borderId="13" xfId="0" applyFont="1" applyFill="1" applyBorder="1" applyAlignment="1" applyProtection="1">
      <alignment horizontal="center" vertical="center"/>
    </xf>
    <xf numFmtId="0" fontId="12" fillId="13" borderId="14" xfId="0" applyFont="1" applyFill="1" applyBorder="1" applyAlignment="1" applyProtection="1">
      <alignment horizontal="center" vertical="center"/>
    </xf>
    <xf numFmtId="0" fontId="96" fillId="0" borderId="0" xfId="0" applyFont="1" applyFill="1" applyAlignment="1" applyProtection="1">
      <alignment vertical="top"/>
    </xf>
    <xf numFmtId="174" fontId="41" fillId="0" borderId="8" xfId="10" applyNumberFormat="1" applyFont="1" applyFill="1" applyBorder="1" applyAlignment="1" applyProtection="1">
      <alignment vertical="center"/>
    </xf>
    <xf numFmtId="0" fontId="110" fillId="0" borderId="0" xfId="0" applyFont="1" applyFill="1" applyBorder="1" applyAlignment="1" applyProtection="1"/>
    <xf numFmtId="0" fontId="110" fillId="0" borderId="0" xfId="0" applyFont="1" applyFill="1" applyBorder="1" applyAlignment="1" applyProtection="1">
      <alignment vertical="center"/>
    </xf>
    <xf numFmtId="0" fontId="2" fillId="0" borderId="0" xfId="13" applyFont="1"/>
    <xf numFmtId="0" fontId="43" fillId="0" borderId="0" xfId="0" applyFont="1" applyAlignment="1" applyProtection="1">
      <alignment horizontal="left" wrapText="1"/>
    </xf>
    <xf numFmtId="0" fontId="43" fillId="0" borderId="0" xfId="0" applyFont="1" applyFill="1" applyAlignment="1" applyProtection="1">
      <alignment horizontal="left" wrapText="1"/>
    </xf>
    <xf numFmtId="0" fontId="43" fillId="0" borderId="0" xfId="0" applyFont="1" applyAlignment="1" applyProtection="1">
      <alignment horizontal="center" wrapText="1"/>
    </xf>
    <xf numFmtId="0" fontId="43" fillId="0" borderId="0" xfId="0" applyFont="1" applyFill="1" applyProtection="1"/>
    <xf numFmtId="0" fontId="43" fillId="0" borderId="0" xfId="0" applyFont="1" applyFill="1" applyBorder="1" applyAlignment="1" applyProtection="1">
      <alignment horizontal="left"/>
    </xf>
    <xf numFmtId="0" fontId="38" fillId="0" borderId="0" xfId="0" applyFont="1" applyBorder="1" applyAlignment="1" applyProtection="1">
      <alignment horizontal="left" vertical="center"/>
    </xf>
    <xf numFmtId="0" fontId="80" fillId="0" borderId="0" xfId="0" applyFont="1" applyFill="1" applyAlignment="1" applyProtection="1"/>
    <xf numFmtId="0" fontId="38" fillId="0" borderId="0" xfId="0" applyFont="1" applyFill="1" applyBorder="1" applyAlignment="1" applyProtection="1">
      <alignment wrapText="1"/>
    </xf>
    <xf numFmtId="0" fontId="45" fillId="0" borderId="0" xfId="0" applyFont="1" applyFill="1" applyBorder="1" applyAlignment="1" applyProtection="1">
      <alignment horizontal="left"/>
    </xf>
    <xf numFmtId="0" fontId="45"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0" fontId="26" fillId="0" borderId="0" xfId="0" applyFont="1" applyFill="1" applyAlignment="1" applyProtection="1">
      <alignment horizontal="center" vertical="center" wrapText="1"/>
    </xf>
    <xf numFmtId="38" fontId="38" fillId="0" borderId="0" xfId="0" applyNumberFormat="1" applyFont="1" applyBorder="1" applyAlignment="1" applyProtection="1">
      <alignment horizontal="left" vertical="center"/>
    </xf>
    <xf numFmtId="38" fontId="110" fillId="0" borderId="0" xfId="0" applyNumberFormat="1" applyFont="1" applyBorder="1" applyAlignment="1" applyProtection="1">
      <alignment horizontal="left" vertical="center"/>
    </xf>
    <xf numFmtId="0" fontId="38" fillId="0" borderId="9" xfId="0" applyFont="1" applyBorder="1" applyAlignment="1" applyProtection="1">
      <alignment vertical="center"/>
    </xf>
    <xf numFmtId="0" fontId="41" fillId="0" borderId="82" xfId="0" applyFont="1" applyBorder="1" applyAlignment="1" applyProtection="1">
      <alignment horizontal="center" vertical="center"/>
    </xf>
    <xf numFmtId="0" fontId="41" fillId="0" borderId="9" xfId="0" applyFont="1" applyBorder="1" applyAlignment="1" applyProtection="1">
      <alignment horizontal="center" vertical="center"/>
    </xf>
    <xf numFmtId="0" fontId="38" fillId="0" borderId="83"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4" fillId="0" borderId="0" xfId="0" applyFont="1" applyFill="1" applyProtection="1"/>
    <xf numFmtId="0" fontId="149" fillId="0" borderId="0" xfId="0" applyFont="1" applyFill="1" applyAlignment="1" applyProtection="1">
      <alignment vertical="center"/>
    </xf>
    <xf numFmtId="0" fontId="147" fillId="0" borderId="15"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2" xfId="0" applyNumberFormat="1" applyFont="1" applyFill="1" applyBorder="1" applyAlignment="1" applyProtection="1">
      <alignment horizontal="center" vertical="center"/>
    </xf>
    <xf numFmtId="0" fontId="86" fillId="0" borderId="0" xfId="0" applyFont="1" applyAlignment="1" applyProtection="1">
      <alignment horizontal="center"/>
    </xf>
    <xf numFmtId="0" fontId="72" fillId="0" borderId="0" xfId="0" applyFont="1" applyAlignment="1" applyProtection="1">
      <alignment horizontal="center" vertical="center"/>
    </xf>
    <xf numFmtId="0" fontId="0" fillId="0" borderId="0" xfId="0" applyAlignment="1" applyProtection="1">
      <alignment horizontal="center" vertical="center"/>
    </xf>
    <xf numFmtId="0" fontId="43" fillId="0" borderId="0" xfId="0" applyFont="1" applyAlignment="1" applyProtection="1">
      <alignment wrapText="1"/>
    </xf>
    <xf numFmtId="0" fontId="13" fillId="0" borderId="0" xfId="0" applyFont="1" applyAlignment="1" applyProtection="1">
      <alignment vertical="center"/>
    </xf>
    <xf numFmtId="0" fontId="87"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2" fillId="0" borderId="0" xfId="0" applyNumberFormat="1" applyFont="1" applyBorder="1" applyAlignment="1" applyProtection="1">
      <alignment horizontal="left"/>
    </xf>
    <xf numFmtId="0" fontId="72"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0"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2" xfId="1" applyNumberFormat="1" applyFont="1" applyFill="1" applyBorder="1" applyAlignment="1" applyProtection="1">
      <alignment horizontal="center" vertical="center"/>
    </xf>
    <xf numFmtId="38" fontId="12" fillId="0" borderId="13" xfId="1" applyNumberFormat="1" applyFont="1" applyFill="1" applyBorder="1" applyAlignment="1" applyProtection="1">
      <alignment horizontal="center" vertical="center"/>
    </xf>
    <xf numFmtId="38" fontId="12" fillId="0" borderId="14" xfId="1" applyNumberFormat="1" applyFont="1" applyFill="1" applyBorder="1" applyAlignment="1" applyProtection="1">
      <alignment horizontal="center" vertical="center"/>
    </xf>
    <xf numFmtId="38" fontId="2" fillId="0" borderId="18" xfId="1" applyNumberFormat="1" applyFont="1" applyFill="1" applyBorder="1" applyAlignment="1" applyProtection="1">
      <alignment horizontal="right" vertical="center"/>
    </xf>
    <xf numFmtId="0" fontId="151" fillId="0" borderId="0" xfId="0" applyFont="1" applyAlignment="1" applyProtection="1">
      <alignment horizontal="center"/>
    </xf>
    <xf numFmtId="0" fontId="49" fillId="0" borderId="0" xfId="0" quotePrefix="1" applyFont="1" applyFill="1" applyAlignment="1" applyProtection="1">
      <alignment vertical="top"/>
    </xf>
    <xf numFmtId="0" fontId="49" fillId="0" borderId="90" xfId="0" applyFont="1" applyFill="1" applyBorder="1" applyAlignment="1" applyProtection="1">
      <alignment vertical="top" wrapText="1"/>
    </xf>
    <xf numFmtId="0" fontId="37" fillId="0" borderId="0" xfId="0" applyFont="1" applyFill="1" applyAlignment="1" applyProtection="1">
      <alignment horizontal="right" vertical="center"/>
    </xf>
    <xf numFmtId="3" fontId="40" fillId="0" borderId="89" xfId="0" applyNumberFormat="1" applyFont="1" applyFill="1" applyBorder="1" applyAlignment="1" applyProtection="1">
      <alignment horizontal="center" vertical="center"/>
    </xf>
    <xf numFmtId="164" fontId="40" fillId="0" borderId="0" xfId="1" applyNumberFormat="1" applyFont="1" applyFill="1" applyBorder="1" applyAlignment="1" applyProtection="1">
      <alignment horizontal="right" vertical="center"/>
    </xf>
    <xf numFmtId="0" fontId="146" fillId="0" borderId="0" xfId="0" applyFont="1" applyFill="1" applyBorder="1" applyAlignment="1" applyProtection="1">
      <alignment vertical="center"/>
    </xf>
    <xf numFmtId="0" fontId="146" fillId="0" borderId="16" xfId="0" applyNumberFormat="1" applyFont="1" applyFill="1" applyBorder="1" applyAlignment="1" applyProtection="1">
      <alignment vertical="center" wrapText="1"/>
    </xf>
    <xf numFmtId="0" fontId="87"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38" fillId="0" borderId="9" xfId="0" applyFont="1" applyBorder="1" applyAlignment="1" applyProtection="1">
      <alignment horizontal="justify"/>
    </xf>
    <xf numFmtId="0" fontId="3" fillId="0" borderId="9" xfId="0" applyFont="1" applyBorder="1" applyAlignment="1" applyProtection="1">
      <alignment wrapText="1"/>
    </xf>
    <xf numFmtId="0" fontId="152"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4" fillId="0" borderId="12" xfId="0" applyFont="1" applyFill="1" applyBorder="1" applyAlignment="1" applyProtection="1">
      <alignment horizontal="center" vertical="center"/>
    </xf>
    <xf numFmtId="0" fontId="154" fillId="0" borderId="13" xfId="0" applyFont="1" applyFill="1" applyBorder="1" applyAlignment="1" applyProtection="1">
      <alignment horizontal="center" vertical="center"/>
    </xf>
    <xf numFmtId="0" fontId="154" fillId="0" borderId="14" xfId="0" applyFont="1" applyFill="1" applyBorder="1" applyAlignment="1" applyProtection="1">
      <alignment horizontal="center" vertical="center"/>
    </xf>
    <xf numFmtId="0" fontId="103" fillId="0" borderId="12" xfId="0" applyFont="1" applyFill="1" applyBorder="1" applyAlignment="1" applyProtection="1">
      <alignment horizontal="center" vertical="center"/>
    </xf>
    <xf numFmtId="0" fontId="103" fillId="0" borderId="13" xfId="0" applyFont="1" applyFill="1" applyBorder="1" applyAlignment="1" applyProtection="1">
      <alignment horizontal="center" vertical="center"/>
    </xf>
    <xf numFmtId="0" fontId="103" fillId="0" borderId="14" xfId="0" applyFont="1" applyFill="1" applyBorder="1" applyAlignment="1" applyProtection="1">
      <alignment horizontal="center" vertical="center"/>
    </xf>
    <xf numFmtId="0" fontId="2" fillId="0" borderId="26" xfId="0" applyFont="1" applyBorder="1" applyProtection="1"/>
    <xf numFmtId="0" fontId="24" fillId="0" borderId="0" xfId="1" applyNumberFormat="1" applyFont="1" applyFill="1" applyAlignment="1" applyProtection="1">
      <alignment horizontal="center"/>
    </xf>
    <xf numFmtId="0" fontId="80" fillId="0" borderId="34" xfId="0" applyFont="1" applyFill="1" applyBorder="1" applyAlignment="1" applyProtection="1"/>
    <xf numFmtId="0" fontId="26" fillId="0" borderId="0" xfId="0" applyFont="1" applyFill="1" applyBorder="1" applyAlignment="1" applyProtection="1">
      <alignment vertical="center"/>
    </xf>
    <xf numFmtId="0" fontId="26" fillId="0" borderId="35" xfId="0" applyFont="1" applyFill="1" applyBorder="1" applyAlignment="1" applyProtection="1">
      <alignment vertical="center"/>
    </xf>
    <xf numFmtId="3" fontId="3" fillId="0" borderId="35" xfId="0" applyNumberFormat="1" applyFont="1" applyFill="1" applyBorder="1" applyAlignment="1" applyProtection="1">
      <alignment horizontal="center" vertical="center"/>
    </xf>
    <xf numFmtId="0" fontId="80" fillId="0" borderId="34"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2" fillId="0" borderId="32" xfId="13" applyNumberFormat="1" applyFont="1" applyBorder="1" applyAlignment="1" applyProtection="1">
      <alignment vertical="center"/>
    </xf>
    <xf numFmtId="0" fontId="88" fillId="0" borderId="0" xfId="0" applyFont="1" applyFill="1" applyBorder="1" applyProtection="1"/>
    <xf numFmtId="0" fontId="41" fillId="0" borderId="0" xfId="0" applyFont="1" applyFill="1" applyAlignment="1" applyProtection="1">
      <alignment wrapText="1"/>
    </xf>
    <xf numFmtId="3" fontId="113" fillId="0" borderId="0" xfId="13" quotePrefix="1" applyNumberFormat="1" applyFont="1" applyFill="1" applyAlignment="1" applyProtection="1">
      <alignment horizontal="left"/>
    </xf>
    <xf numFmtId="0" fontId="113" fillId="0" borderId="0" xfId="13" applyFont="1" applyProtection="1"/>
    <xf numFmtId="0" fontId="113" fillId="7" borderId="0" xfId="13" applyFont="1" applyFill="1" applyProtection="1"/>
    <xf numFmtId="0" fontId="114" fillId="0" borderId="0" xfId="13" applyFont="1" applyProtection="1"/>
    <xf numFmtId="0" fontId="4" fillId="0" borderId="0" xfId="13" applyFont="1" applyProtection="1"/>
    <xf numFmtId="0" fontId="113" fillId="0" borderId="0" xfId="13" applyFont="1" applyAlignment="1" applyProtection="1">
      <alignment horizontal="center"/>
    </xf>
    <xf numFmtId="6" fontId="113" fillId="0" borderId="0" xfId="13" applyNumberFormat="1" applyFont="1" applyProtection="1"/>
    <xf numFmtId="0" fontId="113" fillId="0" borderId="0" xfId="13" quotePrefix="1" applyFont="1" applyProtection="1"/>
    <xf numFmtId="38" fontId="113" fillId="0" borderId="0" xfId="13" applyNumberFormat="1" applyFont="1" applyProtection="1"/>
    <xf numFmtId="0" fontId="113" fillId="0" borderId="73" xfId="13" applyFont="1" applyBorder="1" applyProtection="1"/>
    <xf numFmtId="0" fontId="24" fillId="0" borderId="0" xfId="13" applyFont="1" applyAlignment="1" applyProtection="1">
      <alignment horizontal="centerContinuous"/>
    </xf>
    <xf numFmtId="0" fontId="8" fillId="0" borderId="0" xfId="13" applyFont="1" applyAlignment="1" applyProtection="1">
      <alignment horizontal="centerContinuous"/>
    </xf>
    <xf numFmtId="0" fontId="136" fillId="0" borderId="0" xfId="13" applyFont="1" applyAlignment="1" applyProtection="1">
      <alignment horizontal="centerContinuous"/>
    </xf>
    <xf numFmtId="0" fontId="8" fillId="0" borderId="0" xfId="13" applyFont="1" applyProtection="1"/>
    <xf numFmtId="0" fontId="24"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4"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6" fillId="0" borderId="71" xfId="13" applyFont="1" applyBorder="1" applyAlignment="1" applyProtection="1">
      <alignment horizontal="center" vertical="center"/>
    </xf>
    <xf numFmtId="0" fontId="156" fillId="0" borderId="17" xfId="13" applyFont="1" applyBorder="1" applyAlignment="1" applyProtection="1">
      <alignment horizontal="center" vertical="center"/>
    </xf>
    <xf numFmtId="0" fontId="156" fillId="0" borderId="68"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36" xfId="13" applyNumberFormat="1" applyFont="1" applyBorder="1" applyAlignment="1" applyProtection="1">
      <alignment horizontal="center" vertical="top"/>
    </xf>
    <xf numFmtId="38" fontId="2" fillId="0" borderId="16" xfId="13" applyNumberFormat="1" applyFont="1" applyBorder="1" applyAlignment="1" applyProtection="1">
      <alignment horizontal="center" vertical="top"/>
    </xf>
    <xf numFmtId="0" fontId="2" fillId="0" borderId="51" xfId="13" applyFont="1" applyBorder="1" applyAlignment="1" applyProtection="1">
      <alignment horizontal="center" vertical="top"/>
    </xf>
    <xf numFmtId="0" fontId="134" fillId="0" borderId="0" xfId="13" applyFont="1" applyAlignment="1" applyProtection="1">
      <alignment vertical="center"/>
    </xf>
    <xf numFmtId="0" fontId="8" fillId="0" borderId="32" xfId="13" applyFont="1" applyBorder="1" applyAlignment="1" applyProtection="1">
      <alignment horizontal="center" vertical="top"/>
    </xf>
    <xf numFmtId="0" fontId="134" fillId="0" borderId="0" xfId="13" applyFont="1" applyAlignment="1" applyProtection="1">
      <alignment horizontal="left" vertical="top"/>
    </xf>
    <xf numFmtId="0" fontId="136" fillId="0" borderId="0" xfId="13" applyFont="1" applyAlignment="1" applyProtection="1">
      <alignment horizontal="left"/>
    </xf>
    <xf numFmtId="0" fontId="8" fillId="0" borderId="32" xfId="13" applyFont="1" applyBorder="1" applyAlignment="1" applyProtection="1">
      <alignment vertical="top"/>
    </xf>
    <xf numFmtId="0" fontId="8" fillId="10" borderId="0" xfId="13" applyFont="1" applyFill="1" applyAlignment="1" applyProtection="1">
      <alignment horizontal="center" vertical="top"/>
    </xf>
    <xf numFmtId="0" fontId="8" fillId="0" borderId="73" xfId="13" applyFont="1" applyBorder="1" applyProtection="1"/>
    <xf numFmtId="0" fontId="113" fillId="0" borderId="0" xfId="13" applyFont="1" applyAlignment="1" applyProtection="1">
      <alignment horizontal="centerContinuous"/>
    </xf>
    <xf numFmtId="0" fontId="4" fillId="18" borderId="0" xfId="13" applyFont="1" applyFill="1" applyProtection="1"/>
    <xf numFmtId="0" fontId="113" fillId="18" borderId="0" xfId="13" applyFont="1" applyFill="1" applyProtection="1"/>
    <xf numFmtId="177" fontId="113" fillId="18" borderId="0" xfId="13" applyNumberFormat="1" applyFont="1" applyFill="1" applyAlignment="1" applyProtection="1">
      <alignment horizontal="left"/>
    </xf>
    <xf numFmtId="14" fontId="113" fillId="10" borderId="0" xfId="13" applyNumberFormat="1" applyFont="1" applyFill="1" applyBorder="1" applyAlignment="1" applyProtection="1">
      <alignment horizontal="left"/>
    </xf>
    <xf numFmtId="0" fontId="113" fillId="0" borderId="0" xfId="13" applyFont="1" applyFill="1" applyProtection="1"/>
    <xf numFmtId="0" fontId="4" fillId="0" borderId="0" xfId="13" applyFont="1" applyFill="1" applyProtection="1"/>
    <xf numFmtId="0" fontId="127" fillId="0" borderId="0" xfId="13" applyFont="1" applyProtection="1"/>
    <xf numFmtId="0" fontId="113" fillId="5" borderId="0" xfId="13" applyFont="1" applyFill="1" applyProtection="1"/>
    <xf numFmtId="0" fontId="138" fillId="0" borderId="0" xfId="13" applyFont="1" applyFill="1" applyAlignment="1" applyProtection="1">
      <alignment horizontal="center"/>
    </xf>
    <xf numFmtId="181" fontId="113" fillId="0" borderId="0" xfId="13" applyNumberFormat="1" applyFont="1" applyFill="1" applyProtection="1"/>
    <xf numFmtId="181" fontId="113" fillId="0" borderId="0" xfId="13" applyNumberFormat="1" applyFont="1" applyProtection="1"/>
    <xf numFmtId="177" fontId="113" fillId="0" borderId="0" xfId="13" applyNumberFormat="1" applyFont="1" applyAlignment="1" applyProtection="1">
      <alignment horizontal="left"/>
    </xf>
    <xf numFmtId="0" fontId="4" fillId="0" borderId="0" xfId="13" applyFont="1" applyFill="1" applyAlignment="1" applyProtection="1">
      <alignment horizontal="centerContinuous"/>
    </xf>
    <xf numFmtId="0" fontId="113" fillId="0" borderId="0" xfId="13" applyFont="1" applyFill="1" applyAlignment="1" applyProtection="1">
      <alignment horizontal="centerContinuous"/>
    </xf>
    <xf numFmtId="0" fontId="124" fillId="0" borderId="0" xfId="13" applyFont="1" applyAlignment="1" applyProtection="1">
      <alignment horizontal="center" wrapText="1"/>
    </xf>
    <xf numFmtId="0" fontId="113" fillId="5" borderId="0" xfId="13" applyFont="1" applyFill="1" applyAlignment="1" applyProtection="1">
      <alignment horizontal="left"/>
    </xf>
    <xf numFmtId="5" fontId="113" fillId="5" borderId="0" xfId="13" applyNumberFormat="1" applyFont="1" applyFill="1" applyProtection="1"/>
    <xf numFmtId="0" fontId="113" fillId="5" borderId="0" xfId="13" applyFont="1" applyFill="1" applyAlignment="1" applyProtection="1">
      <alignment horizontal="center"/>
    </xf>
    <xf numFmtId="10" fontId="113" fillId="0" borderId="0" xfId="13" applyNumberFormat="1" applyFont="1" applyFill="1" applyAlignment="1" applyProtection="1">
      <alignment horizontal="right"/>
    </xf>
    <xf numFmtId="0" fontId="4" fillId="0" borderId="0" xfId="13" applyFont="1" applyAlignment="1" applyProtection="1">
      <alignment horizontal="right"/>
    </xf>
    <xf numFmtId="5" fontId="113" fillId="0" borderId="59" xfId="13" applyNumberFormat="1" applyFont="1" applyFill="1" applyBorder="1" applyProtection="1"/>
    <xf numFmtId="5" fontId="113" fillId="0" borderId="0" xfId="13" applyNumberFormat="1" applyFont="1" applyFill="1" applyBorder="1" applyProtection="1"/>
    <xf numFmtId="9" fontId="113" fillId="0" borderId="0" xfId="13" applyNumberFormat="1" applyFont="1" applyFill="1" applyProtection="1"/>
    <xf numFmtId="0" fontId="7" fillId="0" borderId="0" xfId="13" applyFont="1" applyProtection="1"/>
    <xf numFmtId="5" fontId="113" fillId="0" borderId="0" xfId="13" applyNumberFormat="1" applyFont="1" applyFill="1" applyProtection="1"/>
    <xf numFmtId="0" fontId="124" fillId="0" borderId="0" xfId="13" applyFont="1" applyFill="1" applyProtection="1"/>
    <xf numFmtId="0" fontId="113" fillId="0" borderId="0" xfId="13" applyNumberFormat="1" applyFont="1" applyFill="1" applyAlignment="1" applyProtection="1">
      <alignment horizontal="right"/>
    </xf>
    <xf numFmtId="9" fontId="113" fillId="0" borderId="0" xfId="13" applyNumberFormat="1" applyFont="1" applyProtection="1"/>
    <xf numFmtId="9" fontId="113"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4" fillId="0" borderId="0" xfId="13" applyFont="1" applyProtection="1"/>
    <xf numFmtId="0" fontId="124" fillId="0" borderId="71" xfId="13" applyFont="1" applyBorder="1" applyProtection="1"/>
    <xf numFmtId="165" fontId="113" fillId="5" borderId="68" xfId="13" applyNumberFormat="1" applyFont="1" applyFill="1" applyBorder="1" applyAlignment="1" applyProtection="1">
      <alignment horizontal="left"/>
    </xf>
    <xf numFmtId="165" fontId="113" fillId="0" borderId="0" xfId="13" applyNumberFormat="1" applyFont="1" applyAlignment="1" applyProtection="1">
      <alignment horizontal="left"/>
    </xf>
    <xf numFmtId="0" fontId="113" fillId="0" borderId="0" xfId="13" applyFont="1" applyFill="1" applyAlignment="1" applyProtection="1">
      <alignment vertical="center"/>
    </xf>
    <xf numFmtId="6" fontId="113" fillId="0" borderId="0" xfId="13" applyNumberFormat="1" applyFont="1" applyFill="1" applyAlignment="1" applyProtection="1">
      <alignment vertical="center"/>
    </xf>
    <xf numFmtId="165" fontId="113" fillId="0" borderId="0" xfId="13" applyNumberFormat="1" applyFont="1" applyAlignment="1" applyProtection="1">
      <alignment vertical="center"/>
    </xf>
    <xf numFmtId="6" fontId="113" fillId="0" borderId="0" xfId="13" quotePrefix="1" applyNumberFormat="1" applyFont="1" applyFill="1" applyAlignment="1" applyProtection="1">
      <alignment vertical="center"/>
    </xf>
    <xf numFmtId="165" fontId="113" fillId="5" borderId="0" xfId="13" quotePrefix="1" applyNumberFormat="1" applyFont="1" applyFill="1" applyAlignment="1" applyProtection="1">
      <alignment vertical="center"/>
    </xf>
    <xf numFmtId="165" fontId="113" fillId="0" borderId="0" xfId="13" quotePrefix="1" applyNumberFormat="1" applyFont="1" applyFill="1" applyAlignment="1" applyProtection="1">
      <alignment vertical="center"/>
    </xf>
    <xf numFmtId="6" fontId="113" fillId="0" borderId="0" xfId="13" applyNumberFormat="1" applyFont="1" applyFill="1" applyBorder="1" applyAlignment="1" applyProtection="1">
      <alignment vertical="center"/>
    </xf>
    <xf numFmtId="165" fontId="113" fillId="5" borderId="0" xfId="13" applyNumberFormat="1" applyFont="1" applyFill="1" applyAlignment="1" applyProtection="1">
      <alignment vertical="center"/>
    </xf>
    <xf numFmtId="0" fontId="113" fillId="0" borderId="0" xfId="13" applyFont="1" applyAlignment="1" applyProtection="1">
      <alignment vertical="center"/>
    </xf>
    <xf numFmtId="0" fontId="113"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3" fillId="0" borderId="9" xfId="13"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3" fillId="0" borderId="0" xfId="13" applyNumberFormat="1" applyFont="1" applyFill="1" applyAlignment="1" applyProtection="1">
      <alignment horizontal="right" vertical="center"/>
    </xf>
    <xf numFmtId="5" fontId="113" fillId="0" borderId="0" xfId="13" applyNumberFormat="1" applyFont="1" applyFill="1" applyAlignment="1" applyProtection="1">
      <alignment vertical="center"/>
    </xf>
    <xf numFmtId="0" fontId="124" fillId="0" borderId="0" xfId="13" applyFont="1" applyFill="1" applyAlignment="1" applyProtection="1">
      <alignment vertical="center"/>
    </xf>
    <xf numFmtId="5" fontId="113" fillId="0" borderId="0" xfId="13" applyNumberFormat="1" applyFont="1" applyAlignment="1" applyProtection="1">
      <alignment vertical="center"/>
    </xf>
    <xf numFmtId="9" fontId="113" fillId="0" borderId="11" xfId="13" applyNumberFormat="1" applyFont="1" applyBorder="1" applyAlignment="1" applyProtection="1">
      <alignment horizontal="center" vertical="center"/>
    </xf>
    <xf numFmtId="0" fontId="24" fillId="0" borderId="0" xfId="13" applyNumberFormat="1" applyFont="1" applyProtection="1"/>
    <xf numFmtId="6" fontId="24" fillId="10" borderId="0" xfId="1" applyNumberFormat="1" applyFont="1" applyFill="1" applyAlignment="1" applyProtection="1">
      <alignment horizontal="right"/>
    </xf>
    <xf numFmtId="3" fontId="8" fillId="0" borderId="0" xfId="13" applyNumberFormat="1" applyFont="1" applyProtection="1"/>
    <xf numFmtId="0" fontId="8" fillId="0" borderId="9" xfId="13" applyFont="1" applyBorder="1" applyAlignment="1" applyProtection="1">
      <alignment horizontal="center"/>
    </xf>
    <xf numFmtId="6" fontId="24" fillId="0" borderId="0" xfId="1" applyNumberFormat="1" applyFont="1" applyProtection="1"/>
    <xf numFmtId="165" fontId="24"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4" fillId="0" borderId="0" xfId="13" applyFont="1" applyAlignment="1" applyProtection="1">
      <alignment horizontal="right"/>
    </xf>
    <xf numFmtId="6" fontId="8" fillId="0" borderId="0" xfId="13" applyNumberFormat="1" applyFont="1" applyProtection="1"/>
    <xf numFmtId="0" fontId="128"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2" fillId="0" borderId="0" xfId="13" applyFont="1" applyProtection="1"/>
    <xf numFmtId="0" fontId="18" fillId="0" borderId="0" xfId="13" applyFont="1" applyProtection="1"/>
    <xf numFmtId="0" fontId="148" fillId="0" borderId="0" xfId="13" applyFont="1" applyProtection="1"/>
    <xf numFmtId="0" fontId="48" fillId="0" borderId="0" xfId="13" applyFont="1" applyAlignment="1" applyProtection="1">
      <alignment horizontal="center" vertical="top"/>
    </xf>
    <xf numFmtId="0" fontId="9" fillId="0" borderId="9" xfId="13" applyFont="1" applyBorder="1" applyAlignment="1" applyProtection="1">
      <alignment horizontal="left" wrapText="1"/>
    </xf>
    <xf numFmtId="0" fontId="12" fillId="0" borderId="0" xfId="13" applyFont="1" applyAlignment="1" applyProtection="1">
      <alignment horizontal="center" wrapText="1"/>
    </xf>
    <xf numFmtId="0" fontId="9" fillId="0" borderId="50" xfId="13" applyFont="1" applyBorder="1" applyAlignment="1" applyProtection="1">
      <alignment horizontal="center" wrapText="1"/>
    </xf>
    <xf numFmtId="0" fontId="2" fillId="0" borderId="0" xfId="13" applyFont="1" applyAlignment="1" applyProtection="1">
      <alignment horizontal="center" vertical="center"/>
    </xf>
    <xf numFmtId="3" fontId="2" fillId="10" borderId="32" xfId="13" applyNumberFormat="1" applyFont="1" applyFill="1" applyBorder="1" applyAlignment="1" applyProtection="1">
      <alignment horizontal="center" vertical="center"/>
    </xf>
    <xf numFmtId="0" fontId="133"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3" fillId="0" borderId="32" xfId="13" applyNumberFormat="1" applyFont="1" applyBorder="1" applyAlignment="1" applyProtection="1">
      <alignment vertical="center"/>
    </xf>
    <xf numFmtId="0" fontId="2" fillId="0" borderId="9" xfId="13" applyFont="1" applyBorder="1" applyAlignment="1" applyProtection="1">
      <alignment vertical="center"/>
    </xf>
    <xf numFmtId="3" fontId="2" fillId="10" borderId="44" xfId="13" applyNumberFormat="1" applyFont="1" applyFill="1" applyBorder="1" applyAlignment="1" applyProtection="1">
      <alignment horizontal="center" vertical="center"/>
    </xf>
    <xf numFmtId="0" fontId="133" fillId="0" borderId="9" xfId="13" applyFont="1" applyBorder="1" applyAlignment="1" applyProtection="1">
      <alignment horizontal="center" vertical="center"/>
    </xf>
    <xf numFmtId="3" fontId="2" fillId="0" borderId="9" xfId="13" applyNumberFormat="1" applyFont="1" applyBorder="1" applyAlignment="1" applyProtection="1">
      <alignment horizontal="center" vertical="center"/>
    </xf>
    <xf numFmtId="0" fontId="21" fillId="0" borderId="0" xfId="13" applyFont="1" applyAlignment="1" applyProtection="1">
      <alignment vertical="center"/>
    </xf>
    <xf numFmtId="0" fontId="7" fillId="0" borderId="0" xfId="13" applyFont="1" applyAlignment="1" applyProtection="1">
      <alignment vertical="center"/>
    </xf>
    <xf numFmtId="3" fontId="2" fillId="0" borderId="11" xfId="13" applyNumberFormat="1" applyFont="1" applyFill="1" applyBorder="1" applyAlignment="1" applyProtection="1">
      <alignment horizontal="center" vertical="center"/>
    </xf>
    <xf numFmtId="3" fontId="2" fillId="0" borderId="32" xfId="13" applyNumberFormat="1" applyFont="1" applyBorder="1" applyAlignment="1" applyProtection="1">
      <alignment horizontal="center" vertical="center"/>
    </xf>
    <xf numFmtId="0" fontId="15" fillId="0" borderId="0" xfId="13" applyFont="1" applyAlignment="1" applyProtection="1">
      <alignment horizontal="left"/>
    </xf>
    <xf numFmtId="0" fontId="20" fillId="0" borderId="0" xfId="13" applyFont="1" applyProtection="1"/>
    <xf numFmtId="0" fontId="2" fillId="0" borderId="0" xfId="13" applyFont="1" applyBorder="1" applyAlignment="1" applyProtection="1">
      <alignment vertical="center"/>
    </xf>
    <xf numFmtId="0" fontId="132" fillId="0" borderId="0" xfId="13" applyFont="1" applyAlignment="1" applyProtection="1">
      <alignment vertical="center"/>
    </xf>
    <xf numFmtId="3" fontId="133" fillId="10" borderId="32" xfId="13" applyNumberFormat="1" applyFont="1" applyFill="1" applyBorder="1" applyAlignment="1" applyProtection="1">
      <alignment vertical="center"/>
    </xf>
    <xf numFmtId="0" fontId="132" fillId="0" borderId="0" xfId="13" applyFont="1" applyProtection="1"/>
    <xf numFmtId="3" fontId="133" fillId="0" borderId="0" xfId="13" applyNumberFormat="1" applyFont="1" applyProtection="1"/>
    <xf numFmtId="3" fontId="2" fillId="0" borderId="0" xfId="13" applyNumberFormat="1" applyFont="1" applyProtection="1"/>
    <xf numFmtId="0" fontId="15" fillId="0" borderId="0" xfId="13" applyFont="1" applyAlignment="1" applyProtection="1">
      <alignment vertical="center" wrapText="1"/>
    </xf>
    <xf numFmtId="0" fontId="148" fillId="0" borderId="0" xfId="13" applyFont="1" applyAlignment="1" applyProtection="1">
      <alignment vertical="center"/>
    </xf>
    <xf numFmtId="0" fontId="4" fillId="0" borderId="0" xfId="13" applyFont="1" applyAlignment="1" applyProtection="1">
      <alignment vertical="center"/>
    </xf>
    <xf numFmtId="3" fontId="4" fillId="20" borderId="11"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47" xfId="13" applyFont="1" applyBorder="1" applyAlignment="1" applyProtection="1">
      <alignment horizontal="center" vertical="center"/>
    </xf>
    <xf numFmtId="0" fontId="15" fillId="0" borderId="0" xfId="13" applyFont="1" applyAlignment="1" applyProtection="1"/>
    <xf numFmtId="0" fontId="48"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0" xfId="13" applyFont="1" applyBorder="1" applyAlignment="1" applyProtection="1">
      <alignment horizontal="center"/>
    </xf>
    <xf numFmtId="0" fontId="2" fillId="0" borderId="0" xfId="13" applyFont="1" applyAlignment="1" applyProtection="1">
      <alignment vertical="top"/>
    </xf>
    <xf numFmtId="0" fontId="7" fillId="10" borderId="9"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9" xfId="13" applyNumberFormat="1" applyFont="1" applyFill="1" applyBorder="1" applyAlignment="1" applyProtection="1">
      <alignment horizontal="left"/>
    </xf>
    <xf numFmtId="0" fontId="7" fillId="0" borderId="9" xfId="13" applyFont="1" applyFill="1" applyBorder="1" applyAlignment="1" applyProtection="1">
      <alignment horizontal="left"/>
    </xf>
    <xf numFmtId="0" fontId="7" fillId="0" borderId="9"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9" xfId="13" applyNumberFormat="1" applyFont="1" applyBorder="1" applyAlignment="1" applyProtection="1">
      <alignment horizontal="left"/>
    </xf>
    <xf numFmtId="181" fontId="7" fillId="0" borderId="0" xfId="13" quotePrefix="1" applyNumberFormat="1" applyFont="1" applyFill="1" applyProtection="1"/>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1"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4" fillId="10" borderId="9" xfId="13" applyNumberFormat="1" applyFont="1" applyFill="1" applyBorder="1" applyAlignment="1" applyProtection="1">
      <alignment horizontal="center"/>
    </xf>
    <xf numFmtId="0" fontId="27" fillId="0" borderId="0" xfId="13" applyFont="1" applyProtection="1"/>
    <xf numFmtId="0" fontId="2" fillId="0" borderId="0" xfId="13" quotePrefix="1" applyFont="1" applyAlignment="1" applyProtection="1">
      <alignment horizontal="center" vertical="top"/>
    </xf>
    <xf numFmtId="181" fontId="7" fillId="10" borderId="9" xfId="13" applyNumberFormat="1" applyFont="1" applyFill="1" applyBorder="1" applyAlignment="1" applyProtection="1">
      <alignment horizontal="center" vertical="top"/>
    </xf>
    <xf numFmtId="0" fontId="18" fillId="0" borderId="0" xfId="13" applyFont="1" applyAlignment="1" applyProtection="1">
      <alignment horizontal="right" vertical="top"/>
    </xf>
    <xf numFmtId="0" fontId="18" fillId="0" borderId="0" xfId="13" applyFont="1" applyAlignment="1" applyProtection="1">
      <alignment horizontal="center"/>
    </xf>
    <xf numFmtId="3" fontId="41" fillId="0" borderId="12" xfId="1" applyNumberFormat="1" applyFont="1" applyFill="1" applyBorder="1" applyAlignment="1" applyProtection="1">
      <alignment horizontal="center" vertical="center"/>
    </xf>
    <xf numFmtId="3" fontId="41" fillId="0" borderId="14" xfId="1"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top" wrapText="1"/>
    </xf>
    <xf numFmtId="0" fontId="41" fillId="0" borderId="4" xfId="0" applyFont="1" applyFill="1" applyBorder="1" applyAlignment="1" applyProtection="1">
      <alignment wrapText="1"/>
    </xf>
    <xf numFmtId="0" fontId="38" fillId="0" borderId="0" xfId="0" applyFont="1" applyFill="1" applyAlignment="1" applyProtection="1">
      <alignment horizontal="right" vertical="center"/>
    </xf>
    <xf numFmtId="0" fontId="38" fillId="0" borderId="0" xfId="0" applyFont="1" applyAlignment="1" applyProtection="1">
      <alignment horizontal="justify" vertical="center"/>
    </xf>
    <xf numFmtId="0" fontId="145"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38" fillId="0" borderId="0" xfId="0" applyNumberFormat="1" applyFont="1" applyFill="1" applyAlignment="1" applyProtection="1">
      <alignment horizontal="center" vertical="center"/>
    </xf>
    <xf numFmtId="0" fontId="38" fillId="0" borderId="0" xfId="0" applyFont="1" applyBorder="1" applyAlignment="1" applyProtection="1">
      <alignment horizontal="justify" vertical="center"/>
    </xf>
    <xf numFmtId="37" fontId="145" fillId="0" borderId="0" xfId="0" applyNumberFormat="1" applyFont="1" applyFill="1" applyAlignment="1" applyProtection="1">
      <alignment horizontal="center" vertical="center"/>
    </xf>
    <xf numFmtId="166" fontId="13" fillId="13" borderId="13" xfId="0" applyNumberFormat="1" applyFont="1" applyFill="1" applyBorder="1" applyAlignment="1" applyProtection="1">
      <alignment horizontal="center" vertical="center"/>
    </xf>
    <xf numFmtId="0" fontId="86" fillId="0" borderId="0" xfId="0" applyFont="1" applyAlignment="1" applyProtection="1">
      <alignment horizontal="left" vertical="center"/>
    </xf>
    <xf numFmtId="38" fontId="7" fillId="13" borderId="12" xfId="0" applyNumberFormat="1" applyFont="1" applyFill="1" applyBorder="1" applyAlignment="1" applyProtection="1">
      <alignment horizontal="center" vertical="top"/>
    </xf>
    <xf numFmtId="0" fontId="71" fillId="0" borderId="0" xfId="0" applyFont="1" applyAlignment="1" applyProtection="1">
      <alignment horizontal="center"/>
    </xf>
    <xf numFmtId="0" fontId="70" fillId="0" borderId="0" xfId="0" applyFont="1" applyAlignment="1" applyProtection="1">
      <alignment horizontal="center"/>
    </xf>
    <xf numFmtId="0" fontId="0" fillId="0" borderId="0" xfId="0" applyAlignment="1" applyProtection="1">
      <alignment horizontal="justify"/>
    </xf>
    <xf numFmtId="0" fontId="70" fillId="0" borderId="0" xfId="0" applyFont="1" applyAlignment="1" applyProtection="1">
      <alignment horizontal="center" vertical="center"/>
    </xf>
    <xf numFmtId="0" fontId="71"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0"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94"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88"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19" xfId="0" applyFont="1" applyFill="1" applyBorder="1" applyAlignment="1" applyProtection="1">
      <alignment horizontal="center" vertical="top" wrapText="1"/>
    </xf>
    <xf numFmtId="0" fontId="7" fillId="13" borderId="21" xfId="0" applyFont="1" applyFill="1" applyBorder="1" applyAlignment="1" applyProtection="1">
      <alignment horizontal="center" vertical="top" wrapText="1"/>
    </xf>
    <xf numFmtId="0" fontId="7" fillId="13" borderId="20"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19"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87" fillId="0" borderId="0" xfId="0" applyFont="1" applyAlignment="1" applyProtection="1">
      <alignment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0" fontId="164" fillId="0" borderId="0" xfId="0" applyFont="1" applyProtection="1"/>
    <xf numFmtId="0" fontId="164" fillId="0" borderId="0" xfId="0" applyFont="1" applyAlignment="1" applyProtection="1">
      <alignment horizontal="center" vertical="top"/>
    </xf>
    <xf numFmtId="0" fontId="86"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87" fillId="0" borderId="0" xfId="0" applyFont="1" applyFill="1" applyAlignment="1" applyProtection="1">
      <alignment horizontal="right"/>
    </xf>
    <xf numFmtId="0" fontId="38" fillId="0" borderId="0" xfId="0" applyFont="1" applyFill="1" applyAlignment="1" applyProtection="1"/>
    <xf numFmtId="0" fontId="13" fillId="13" borderId="88"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87" fillId="0" borderId="0" xfId="0" applyNumberFormat="1" applyFont="1" applyFill="1" applyBorder="1" applyAlignment="1" applyProtection="1">
      <alignment horizontal="center"/>
    </xf>
    <xf numFmtId="38" fontId="12" fillId="0" borderId="12" xfId="0" applyNumberFormat="1" applyFont="1" applyFill="1" applyBorder="1" applyAlignment="1" applyProtection="1">
      <alignment horizontal="center" vertical="center"/>
    </xf>
    <xf numFmtId="38" fontId="12" fillId="0" borderId="14" xfId="0" applyNumberFormat="1" applyFont="1" applyFill="1" applyBorder="1" applyAlignment="1" applyProtection="1">
      <alignment horizontal="center" vertical="center"/>
    </xf>
    <xf numFmtId="0" fontId="47"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7" fontId="12" fillId="0" borderId="10"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4" fillId="0" borderId="0" xfId="0" applyFont="1" applyFill="1" applyBorder="1" applyAlignment="1" applyProtection="1">
      <alignment horizontal="right"/>
    </xf>
    <xf numFmtId="0" fontId="9" fillId="0" borderId="0" xfId="0" applyFont="1" applyFill="1" applyProtection="1"/>
    <xf numFmtId="0" fontId="12" fillId="0" borderId="0" xfId="0" applyFont="1" applyBorder="1" applyAlignment="1" applyProtection="1"/>
    <xf numFmtId="9" fontId="12" fillId="0" borderId="0" xfId="10" applyFont="1" applyFill="1" applyBorder="1" applyProtection="1"/>
    <xf numFmtId="0" fontId="167"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0" fontId="67" fillId="0" borderId="0" xfId="0" applyFont="1" applyFill="1" applyProtection="1"/>
    <xf numFmtId="44" fontId="12" fillId="0" borderId="0" xfId="0" applyNumberFormat="1" applyFont="1" applyFill="1" applyProtection="1"/>
    <xf numFmtId="0" fontId="61" fillId="0" borderId="0" xfId="0" applyFont="1" applyFill="1" applyAlignment="1" applyProtection="1">
      <alignment vertical="center"/>
    </xf>
    <xf numFmtId="0" fontId="47" fillId="0" borderId="0" xfId="0" applyFont="1" applyFill="1" applyProtection="1"/>
    <xf numFmtId="0" fontId="47" fillId="0" borderId="0" xfId="0" applyFont="1" applyFill="1" applyAlignment="1" applyProtection="1">
      <alignment horizontal="right"/>
    </xf>
    <xf numFmtId="0" fontId="13" fillId="0" borderId="0" xfId="0" applyFont="1" applyFill="1" applyBorder="1" applyAlignment="1" applyProtection="1">
      <alignment vertical="top"/>
    </xf>
    <xf numFmtId="0" fontId="87"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3" fillId="0" borderId="0" xfId="0" applyFont="1" applyAlignment="1" applyProtection="1">
      <alignment horizontal="center"/>
    </xf>
    <xf numFmtId="9" fontId="41" fillId="0" borderId="0" xfId="0" applyNumberFormat="1" applyFont="1" applyFill="1" applyAlignment="1" applyProtection="1">
      <alignment horizontal="center" vertical="center"/>
    </xf>
    <xf numFmtId="0" fontId="34" fillId="0" borderId="0" xfId="0" applyFont="1" applyFill="1" applyAlignment="1" applyProtection="1">
      <alignment vertical="top"/>
    </xf>
    <xf numFmtId="0" fontId="13" fillId="13" borderId="18" xfId="0" applyFont="1" applyFill="1" applyBorder="1" applyAlignment="1" applyProtection="1">
      <alignment horizontal="center" vertical="center"/>
    </xf>
    <xf numFmtId="0" fontId="135" fillId="0" borderId="0" xfId="0" applyFont="1" applyFill="1" applyBorder="1" applyAlignment="1" applyProtection="1">
      <alignment horizontal="center"/>
    </xf>
    <xf numFmtId="0" fontId="3" fillId="0" borderId="0" xfId="0" applyFont="1" applyBorder="1" applyAlignment="1" applyProtection="1">
      <alignment vertical="top"/>
    </xf>
    <xf numFmtId="0" fontId="28" fillId="0" borderId="0" xfId="13" applyFont="1" applyFill="1" applyBorder="1" applyAlignment="1" applyProtection="1">
      <alignment vertical="center"/>
    </xf>
    <xf numFmtId="0" fontId="80" fillId="0" borderId="0" xfId="13" applyFont="1" applyFill="1" applyAlignment="1" applyProtection="1">
      <alignment horizontal="center" vertical="center"/>
    </xf>
    <xf numFmtId="0" fontId="38" fillId="0" borderId="0" xfId="13" applyFont="1" applyFill="1" applyAlignment="1" applyProtection="1">
      <alignment vertical="center"/>
    </xf>
    <xf numFmtId="0" fontId="38" fillId="0" borderId="0" xfId="13" applyFont="1" applyFill="1" applyBorder="1" applyAlignment="1" applyProtection="1">
      <alignment horizontal="left" vertical="center"/>
    </xf>
    <xf numFmtId="6" fontId="38" fillId="0" borderId="0" xfId="13" applyNumberFormat="1" applyFont="1" applyFill="1" applyBorder="1" applyAlignment="1" applyProtection="1">
      <alignment horizontal="center" vertical="center"/>
    </xf>
    <xf numFmtId="0" fontId="38" fillId="0" borderId="0" xfId="13" applyFont="1" applyFill="1" applyBorder="1" applyAlignment="1" applyProtection="1">
      <alignment horizontal="right" vertical="center" wrapText="1"/>
    </xf>
    <xf numFmtId="164" fontId="38" fillId="0" borderId="0" xfId="1" applyNumberFormat="1" applyFont="1" applyFill="1" applyAlignment="1" applyProtection="1">
      <alignment vertical="center"/>
    </xf>
    <xf numFmtId="0" fontId="38" fillId="0" borderId="5" xfId="13" applyFont="1" applyFill="1" applyBorder="1" applyAlignment="1" applyProtection="1">
      <alignment vertical="center"/>
    </xf>
    <xf numFmtId="164" fontId="38" fillId="0" borderId="32" xfId="1" applyNumberFormat="1" applyFont="1" applyFill="1" applyBorder="1" applyAlignment="1" applyProtection="1">
      <alignment horizontal="right" vertical="center"/>
    </xf>
    <xf numFmtId="0" fontId="47"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1" fillId="20" borderId="0" xfId="0" applyFont="1" applyFill="1" applyAlignment="1" applyProtection="1">
      <alignment horizontal="left" vertical="center"/>
    </xf>
    <xf numFmtId="0" fontId="41" fillId="20" borderId="0" xfId="0" applyFont="1" applyFill="1" applyProtection="1"/>
    <xf numFmtId="38" fontId="2" fillId="0" borderId="88" xfId="1" applyNumberFormat="1" applyFont="1" applyFill="1" applyBorder="1" applyAlignment="1" applyProtection="1">
      <alignment horizontal="right" vertical="center"/>
    </xf>
    <xf numFmtId="38" fontId="2"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57" fillId="0" borderId="0" xfId="0" applyFont="1" applyFill="1" applyBorder="1" applyAlignment="1" applyProtection="1">
      <alignment horizontal="right" vertical="center"/>
    </xf>
    <xf numFmtId="0" fontId="38" fillId="0" borderId="0" xfId="0" applyFont="1" applyFill="1" applyBorder="1" applyAlignment="1" applyProtection="1"/>
    <xf numFmtId="0" fontId="38"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1" fillId="0" borderId="0" xfId="0" applyFont="1" applyFill="1" applyAlignment="1" applyProtection="1">
      <alignment vertical="top" wrapText="1"/>
    </xf>
    <xf numFmtId="0" fontId="41" fillId="0" borderId="7"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6" fillId="0" borderId="0" xfId="0" applyFont="1" applyFill="1" applyAlignment="1" applyProtection="1">
      <alignment vertical="center"/>
    </xf>
    <xf numFmtId="3" fontId="140" fillId="0" borderId="0" xfId="0" applyNumberFormat="1" applyFont="1" applyFill="1" applyAlignment="1" applyProtection="1">
      <alignment vertical="center"/>
    </xf>
    <xf numFmtId="166" fontId="40" fillId="0" borderId="9" xfId="0" applyNumberFormat="1" applyFont="1" applyFill="1" applyBorder="1" applyAlignment="1" applyProtection="1">
      <alignment horizontal="center" vertical="center"/>
    </xf>
    <xf numFmtId="166" fontId="37"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1" fillId="0" borderId="0" xfId="0" applyNumberFormat="1" applyFont="1" applyFill="1" applyBorder="1" applyAlignment="1" applyProtection="1">
      <alignment horizontal="center" vertical="center"/>
    </xf>
    <xf numFmtId="37" fontId="101" fillId="0" borderId="0" xfId="0" applyNumberFormat="1" applyFont="1" applyFill="1" applyBorder="1" applyAlignment="1" applyProtection="1">
      <alignment horizontal="center" vertical="center"/>
    </xf>
    <xf numFmtId="166" fontId="170" fillId="0" borderId="95" xfId="0" applyNumberFormat="1" applyFont="1" applyFill="1" applyBorder="1" applyAlignment="1" applyProtection="1">
      <alignment horizontal="center"/>
    </xf>
    <xf numFmtId="37" fontId="170" fillId="0" borderId="95" xfId="1" applyNumberFormat="1" applyFont="1" applyFill="1" applyBorder="1" applyAlignment="1" applyProtection="1">
      <alignment horizontal="center"/>
    </xf>
    <xf numFmtId="0" fontId="110" fillId="0" borderId="0" xfId="0" applyFont="1" applyFill="1" applyAlignment="1" applyProtection="1">
      <alignment vertical="center"/>
    </xf>
    <xf numFmtId="37" fontId="58" fillId="0" borderId="0" xfId="0" applyNumberFormat="1" applyFont="1" applyFill="1" applyAlignment="1" applyProtection="1">
      <alignment horizontal="center" vertical="center"/>
    </xf>
    <xf numFmtId="164" fontId="110" fillId="0" borderId="0" xfId="1" applyNumberFormat="1" applyFont="1" applyFill="1" applyAlignment="1" applyProtection="1">
      <alignment horizontal="left" vertical="center"/>
    </xf>
    <xf numFmtId="0" fontId="38" fillId="0" borderId="0" xfId="0" applyFont="1" applyAlignment="1" applyProtection="1">
      <alignment horizontal="center"/>
    </xf>
    <xf numFmtId="164" fontId="110" fillId="0" borderId="0" xfId="1" applyNumberFormat="1" applyFont="1" applyFill="1" applyBorder="1" applyAlignment="1" applyProtection="1">
      <alignment vertical="center"/>
    </xf>
    <xf numFmtId="0" fontId="150" fillId="0" borderId="34" xfId="0" applyFont="1" applyFill="1" applyBorder="1" applyAlignment="1" applyProtection="1"/>
    <xf numFmtId="0" fontId="150" fillId="0" borderId="35" xfId="0" applyFont="1" applyFill="1" applyBorder="1" applyAlignment="1" applyProtection="1">
      <alignment horizontal="center"/>
    </xf>
    <xf numFmtId="0" fontId="12" fillId="0" borderId="71" xfId="0" applyFont="1" applyFill="1" applyBorder="1" applyAlignment="1" applyProtection="1">
      <alignment horizontal="right" vertical="center"/>
    </xf>
    <xf numFmtId="3" fontId="12" fillId="0" borderId="17" xfId="0" applyNumberFormat="1" applyFont="1" applyFill="1" applyBorder="1" applyAlignment="1" applyProtection="1">
      <alignment horizontal="center" vertical="center"/>
    </xf>
    <xf numFmtId="3" fontId="102" fillId="20" borderId="68" xfId="0" applyNumberFormat="1" applyFont="1" applyFill="1" applyBorder="1" applyAlignment="1" applyProtection="1">
      <alignment horizontal="center" vertical="center"/>
    </xf>
    <xf numFmtId="0" fontId="3" fillId="0" borderId="38" xfId="0" applyFont="1" applyFill="1" applyBorder="1" applyAlignment="1" applyProtection="1">
      <alignment vertical="center"/>
    </xf>
    <xf numFmtId="3" fontId="12" fillId="0" borderId="11" xfId="1" applyNumberFormat="1" applyFont="1" applyFill="1" applyBorder="1" applyAlignment="1" applyProtection="1">
      <alignment horizontal="right" vertical="center"/>
    </xf>
    <xf numFmtId="0" fontId="38" fillId="23" borderId="0" xfId="0" applyFont="1" applyFill="1" applyAlignment="1" applyProtection="1">
      <alignment horizontal="left" vertical="center"/>
    </xf>
    <xf numFmtId="3" fontId="38" fillId="23" borderId="0" xfId="0" applyNumberFormat="1" applyFont="1" applyFill="1" applyAlignment="1" applyProtection="1">
      <alignment horizontal="center" vertical="center"/>
    </xf>
    <xf numFmtId="0" fontId="38" fillId="22" borderId="0" xfId="0" applyFont="1" applyFill="1" applyAlignment="1" applyProtection="1">
      <alignment horizontal="left" vertical="center"/>
    </xf>
    <xf numFmtId="3" fontId="38" fillId="22" borderId="0" xfId="0" applyNumberFormat="1" applyFont="1" applyFill="1" applyAlignment="1" applyProtection="1">
      <alignment horizontal="center" vertical="center"/>
    </xf>
    <xf numFmtId="0" fontId="38" fillId="11" borderId="0" xfId="0" applyFont="1" applyFill="1" applyAlignment="1" applyProtection="1">
      <alignment horizontal="left" vertical="center"/>
    </xf>
    <xf numFmtId="3" fontId="38" fillId="11" borderId="0" xfId="0" applyNumberFormat="1" applyFont="1" applyFill="1" applyAlignment="1" applyProtection="1">
      <alignment horizontal="center" vertical="center"/>
    </xf>
    <xf numFmtId="0" fontId="38" fillId="13" borderId="0" xfId="0" applyFont="1" applyFill="1" applyAlignment="1" applyProtection="1">
      <alignment horizontal="left" vertical="center"/>
    </xf>
    <xf numFmtId="3" fontId="38" fillId="13" borderId="0" xfId="0" applyNumberFormat="1" applyFont="1" applyFill="1" applyAlignment="1" applyProtection="1">
      <alignment horizontal="center" vertical="center"/>
    </xf>
    <xf numFmtId="0" fontId="38" fillId="24" borderId="0" xfId="0" applyFont="1" applyFill="1" applyAlignment="1" applyProtection="1">
      <alignment horizontal="left" vertical="center"/>
    </xf>
    <xf numFmtId="3" fontId="38" fillId="24" borderId="0" xfId="0" applyNumberFormat="1" applyFont="1" applyFill="1" applyAlignment="1" applyProtection="1">
      <alignment horizontal="center" vertical="center"/>
    </xf>
    <xf numFmtId="38" fontId="7" fillId="13" borderId="13" xfId="0" applyNumberFormat="1" applyFont="1" applyFill="1" applyBorder="1" applyAlignment="1" applyProtection="1">
      <alignment horizontal="center" vertical="top"/>
    </xf>
    <xf numFmtId="0" fontId="38" fillId="25" borderId="0" xfId="0" applyFont="1" applyFill="1" applyAlignment="1" applyProtection="1">
      <alignment horizontal="left" vertical="center"/>
    </xf>
    <xf numFmtId="3" fontId="38" fillId="25" borderId="0" xfId="0" applyNumberFormat="1" applyFont="1" applyFill="1" applyAlignment="1" applyProtection="1">
      <alignment horizontal="center" vertical="center"/>
    </xf>
    <xf numFmtId="0" fontId="38" fillId="26" borderId="0" xfId="0" applyFont="1" applyFill="1" applyProtection="1"/>
    <xf numFmtId="0" fontId="38" fillId="26" borderId="0" xfId="9" applyFont="1" applyFill="1" applyAlignment="1" applyProtection="1">
      <alignment horizontal="left"/>
    </xf>
    <xf numFmtId="0" fontId="38" fillId="26" borderId="0" xfId="0" quotePrefix="1" applyNumberFormat="1" applyFont="1" applyFill="1" applyProtection="1"/>
    <xf numFmtId="0" fontId="38" fillId="26" borderId="0" xfId="0" applyNumberFormat="1" applyFont="1" applyFill="1" applyAlignment="1" applyProtection="1">
      <alignment horizontal="center"/>
    </xf>
    <xf numFmtId="0" fontId="38" fillId="26" borderId="0" xfId="9" applyFont="1" applyFill="1" applyProtection="1"/>
    <xf numFmtId="0" fontId="38" fillId="26" borderId="0" xfId="0" applyFont="1" applyFill="1" applyAlignment="1" applyProtection="1">
      <alignment horizontal="left"/>
    </xf>
    <xf numFmtId="0" fontId="108" fillId="0" borderId="0" xfId="0" applyFont="1" applyAlignment="1" applyProtection="1">
      <alignment horizontal="center" vertical="center" wrapText="1"/>
    </xf>
    <xf numFmtId="0" fontId="81" fillId="0" borderId="0" xfId="0" applyFont="1" applyFill="1" applyAlignment="1" applyProtection="1">
      <alignment horizontal="left" vertical="center"/>
    </xf>
    <xf numFmtId="0" fontId="15" fillId="0" borderId="0" xfId="0" applyFont="1" applyFill="1" applyAlignment="1" applyProtection="1">
      <alignment horizontal="center" vertical="center"/>
    </xf>
    <xf numFmtId="0" fontId="85"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87" fillId="0" borderId="0" xfId="0" applyNumberFormat="1" applyFont="1" applyFill="1" applyAlignment="1" applyProtection="1">
      <alignment horizontal="center" vertical="center"/>
    </xf>
    <xf numFmtId="0" fontId="171" fillId="0" borderId="32" xfId="0" applyFont="1" applyFill="1" applyBorder="1" applyAlignment="1" applyProtection="1">
      <alignment horizontal="center" vertical="center"/>
    </xf>
    <xf numFmtId="10" fontId="13" fillId="0" borderId="14" xfId="0" applyNumberFormat="1" applyFont="1" applyFill="1" applyBorder="1" applyAlignment="1" applyProtection="1">
      <alignment horizontal="center" vertical="center"/>
    </xf>
    <xf numFmtId="0" fontId="38"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38"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4" xfId="0" applyFont="1" applyFill="1" applyBorder="1" applyAlignment="1" applyProtection="1">
      <alignment vertical="top"/>
    </xf>
    <xf numFmtId="0" fontId="17" fillId="0" borderId="49" xfId="0" applyFont="1" applyFill="1" applyBorder="1" applyProtection="1"/>
    <xf numFmtId="0" fontId="17" fillId="0" borderId="25" xfId="0" applyFont="1" applyFill="1" applyBorder="1" applyProtection="1"/>
    <xf numFmtId="0" fontId="0" fillId="0" borderId="22" xfId="0" applyBorder="1" applyProtection="1"/>
    <xf numFmtId="0" fontId="2" fillId="0" borderId="4" xfId="0" applyFont="1" applyBorder="1" applyProtection="1"/>
    <xf numFmtId="0" fontId="0" fillId="0" borderId="4" xfId="0" applyBorder="1" applyProtection="1"/>
    <xf numFmtId="0" fontId="2" fillId="0" borderId="23" xfId="0" applyFont="1" applyBorder="1" applyProtection="1"/>
    <xf numFmtId="0" fontId="0" fillId="0" borderId="23" xfId="0" applyBorder="1" applyProtection="1"/>
    <xf numFmtId="0" fontId="0" fillId="0" borderId="6" xfId="0"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4" fillId="0" borderId="4" xfId="0" applyFont="1" applyFill="1" applyBorder="1" applyAlignment="1" applyProtection="1">
      <alignment vertical="center"/>
    </xf>
    <xf numFmtId="3" fontId="86" fillId="0" borderId="12" xfId="0" applyNumberFormat="1" applyFont="1" applyFill="1" applyBorder="1" applyAlignment="1" applyProtection="1">
      <alignment horizontal="center" vertical="center"/>
    </xf>
    <xf numFmtId="3" fontId="86" fillId="0" borderId="13" xfId="0" applyNumberFormat="1" applyFont="1" applyFill="1" applyBorder="1" applyAlignment="1" applyProtection="1">
      <alignment horizontal="center" vertical="center"/>
    </xf>
    <xf numFmtId="3" fontId="86" fillId="0" borderId="14"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46" xfId="0" applyNumberFormat="1" applyFont="1" applyFill="1" applyBorder="1" applyAlignment="1" applyProtection="1">
      <alignment horizontal="center" vertical="center" wrapText="1"/>
    </xf>
    <xf numFmtId="4" fontId="3" fillId="13" borderId="47" xfId="0" applyNumberFormat="1" applyFont="1" applyFill="1" applyBorder="1" applyAlignment="1" applyProtection="1">
      <alignment horizontal="center" vertical="center" wrapText="1"/>
    </xf>
    <xf numFmtId="4" fontId="3" fillId="13" borderId="19" xfId="0" applyNumberFormat="1" applyFont="1" applyFill="1" applyBorder="1" applyAlignment="1" applyProtection="1">
      <alignment horizontal="center" vertical="center" wrapText="1"/>
    </xf>
    <xf numFmtId="4" fontId="3" fillId="13" borderId="45" xfId="0" applyNumberFormat="1" applyFont="1" applyFill="1" applyBorder="1" applyAlignment="1" applyProtection="1">
      <alignment horizontal="center" vertical="center" wrapText="1"/>
    </xf>
    <xf numFmtId="4" fontId="3" fillId="13" borderId="32" xfId="0" applyNumberFormat="1" applyFont="1" applyFill="1" applyBorder="1" applyAlignment="1" applyProtection="1">
      <alignment horizontal="center" vertical="center" wrapText="1"/>
    </xf>
    <xf numFmtId="4" fontId="3" fillId="13" borderId="21" xfId="0" applyNumberFormat="1" applyFont="1" applyFill="1" applyBorder="1" applyAlignment="1" applyProtection="1">
      <alignment horizontal="center" vertical="center" wrapText="1"/>
    </xf>
    <xf numFmtId="4" fontId="3" fillId="13" borderId="43" xfId="0" applyNumberFormat="1" applyFont="1" applyFill="1" applyBorder="1" applyAlignment="1" applyProtection="1">
      <alignment horizontal="center" vertical="center" wrapText="1"/>
    </xf>
    <xf numFmtId="4" fontId="3" fillId="13" borderId="44" xfId="0" applyNumberFormat="1" applyFont="1" applyFill="1" applyBorder="1" applyAlignment="1" applyProtection="1">
      <alignment horizontal="center" vertical="center" wrapText="1"/>
    </xf>
    <xf numFmtId="4" fontId="3" fillId="13" borderId="20" xfId="0" applyNumberFormat="1" applyFont="1" applyFill="1" applyBorder="1" applyAlignment="1" applyProtection="1">
      <alignment horizontal="center" vertical="center" wrapText="1"/>
    </xf>
    <xf numFmtId="0" fontId="89" fillId="7" borderId="0" xfId="0" applyFont="1" applyFill="1" applyProtection="1"/>
    <xf numFmtId="0" fontId="88" fillId="0" borderId="0" xfId="0" applyFont="1" applyAlignment="1" applyProtection="1">
      <alignment horizontal="center"/>
    </xf>
    <xf numFmtId="0" fontId="79" fillId="0" borderId="0" xfId="0" applyFont="1" applyAlignment="1" applyProtection="1">
      <alignment horizontal="center"/>
    </xf>
    <xf numFmtId="0" fontId="89" fillId="0" borderId="0" xfId="0" applyFont="1" applyFill="1" applyProtection="1"/>
    <xf numFmtId="0" fontId="89" fillId="0" borderId="0" xfId="0" applyFont="1" applyProtection="1"/>
    <xf numFmtId="0" fontId="89" fillId="0" borderId="0" xfId="0" applyFont="1" applyAlignment="1" applyProtection="1">
      <alignment horizontal="center"/>
    </xf>
    <xf numFmtId="0" fontId="181" fillId="0" borderId="0" xfId="0" applyFont="1" applyAlignment="1" applyProtection="1">
      <alignment horizontal="center"/>
    </xf>
    <xf numFmtId="0" fontId="89" fillId="0" borderId="0" xfId="0" applyFont="1" applyAlignment="1" applyProtection="1">
      <alignment horizontal="left"/>
    </xf>
    <xf numFmtId="0" fontId="89" fillId="0" borderId="0" xfId="0" applyFont="1" applyFill="1" applyAlignment="1" applyProtection="1">
      <alignment horizontal="left"/>
    </xf>
    <xf numFmtId="0" fontId="89" fillId="0" borderId="0" xfId="0" applyFont="1" applyFill="1" applyAlignment="1" applyProtection="1">
      <alignment horizontal="left" vertical="center"/>
    </xf>
    <xf numFmtId="0" fontId="182" fillId="0" borderId="0" xfId="0" applyFont="1" applyProtection="1"/>
    <xf numFmtId="0" fontId="182" fillId="0" borderId="0" xfId="0" applyFont="1" applyFill="1" applyProtection="1"/>
    <xf numFmtId="0" fontId="181" fillId="0" borderId="0" xfId="0" applyFont="1" applyFill="1" applyProtection="1"/>
    <xf numFmtId="0" fontId="89" fillId="0" borderId="0" xfId="0" applyNumberFormat="1" applyFont="1" applyFill="1" applyProtection="1"/>
    <xf numFmtId="0" fontId="89" fillId="0" borderId="0" xfId="0" applyNumberFormat="1" applyFont="1" applyAlignment="1" applyProtection="1">
      <alignment horizontal="left" vertical="center"/>
    </xf>
    <xf numFmtId="0" fontId="89" fillId="0" borderId="0" xfId="0" applyFont="1" applyFill="1" applyBorder="1" applyProtection="1"/>
    <xf numFmtId="0" fontId="89" fillId="0" borderId="0" xfId="0" applyFont="1" applyAlignment="1" applyProtection="1">
      <alignment vertical="top"/>
    </xf>
    <xf numFmtId="0" fontId="9" fillId="0" borderId="0" xfId="0" applyFont="1" applyFill="1" applyAlignment="1" applyProtection="1">
      <alignment horizontal="center" vertical="center" wrapText="1"/>
    </xf>
    <xf numFmtId="0" fontId="102" fillId="0" borderId="0" xfId="0" applyFont="1" applyFill="1" applyAlignment="1" applyProtection="1">
      <alignment horizontal="left"/>
    </xf>
    <xf numFmtId="0" fontId="3" fillId="0" borderId="0" xfId="0" applyFont="1" applyFill="1" applyAlignment="1" applyProtection="1"/>
    <xf numFmtId="0" fontId="87" fillId="0" borderId="0" xfId="0" applyFont="1" applyFill="1" applyProtection="1"/>
    <xf numFmtId="0" fontId="23" fillId="0" borderId="0" xfId="0" applyFont="1" applyFill="1" applyAlignment="1" applyProtection="1">
      <alignment horizontal="right" vertical="center"/>
    </xf>
    <xf numFmtId="0" fontId="81" fillId="0" borderId="0" xfId="0" applyFont="1" applyFill="1" applyAlignment="1" applyProtection="1">
      <alignment vertical="center" wrapText="1"/>
    </xf>
    <xf numFmtId="0" fontId="81" fillId="0" borderId="0" xfId="0" applyFont="1" applyFill="1" applyBorder="1" applyAlignment="1" applyProtection="1">
      <alignment vertical="center" wrapText="1"/>
    </xf>
    <xf numFmtId="0" fontId="37" fillId="0" borderId="0" xfId="0" applyFont="1" applyFill="1" applyBorder="1" applyAlignment="1" applyProtection="1">
      <alignment vertical="center"/>
    </xf>
    <xf numFmtId="10" fontId="41" fillId="0" borderId="0" xfId="0" applyNumberFormat="1" applyFont="1" applyFill="1" applyBorder="1" applyAlignment="1" applyProtection="1">
      <alignment horizontal="center" vertical="center"/>
    </xf>
    <xf numFmtId="3" fontId="41" fillId="0" borderId="0" xfId="0" applyNumberFormat="1" applyFont="1" applyFill="1" applyAlignment="1" applyProtection="1">
      <alignment horizontal="left" vertical="center"/>
    </xf>
    <xf numFmtId="0" fontId="81" fillId="0" borderId="0" xfId="0" applyFont="1" applyFill="1" applyAlignment="1" applyProtection="1">
      <alignment vertical="center"/>
    </xf>
    <xf numFmtId="0" fontId="187" fillId="0" borderId="0" xfId="0" applyFont="1" applyFill="1" applyBorder="1" applyAlignment="1" applyProtection="1">
      <alignment vertical="center" wrapText="1"/>
    </xf>
    <xf numFmtId="1" fontId="41" fillId="0" borderId="12" xfId="1" applyNumberFormat="1" applyFont="1" applyFill="1" applyBorder="1" applyAlignment="1" applyProtection="1">
      <alignment horizontal="center" vertical="center"/>
    </xf>
    <xf numFmtId="1" fontId="41" fillId="0" borderId="13" xfId="1" applyNumberFormat="1" applyFont="1" applyFill="1" applyBorder="1" applyAlignment="1" applyProtection="1">
      <alignment horizontal="center" vertical="center"/>
    </xf>
    <xf numFmtId="1" fontId="41" fillId="0" borderId="14" xfId="1" applyNumberFormat="1" applyFont="1" applyFill="1" applyBorder="1" applyAlignment="1" applyProtection="1">
      <alignment horizontal="center" vertical="center"/>
    </xf>
    <xf numFmtId="3" fontId="41" fillId="0" borderId="88" xfId="1" applyNumberFormat="1" applyFont="1" applyFill="1" applyBorder="1" applyAlignment="1" applyProtection="1">
      <alignment horizontal="center" vertical="center"/>
    </xf>
    <xf numFmtId="0" fontId="36" fillId="0" borderId="0" xfId="0" applyFont="1" applyFill="1" applyBorder="1" applyAlignment="1" applyProtection="1">
      <alignment vertical="center"/>
    </xf>
    <xf numFmtId="0" fontId="81" fillId="0" borderId="0" xfId="0" applyFont="1" applyFill="1" applyAlignment="1" applyProtection="1"/>
    <xf numFmtId="4" fontId="41" fillId="0" borderId="0" xfId="0" applyNumberFormat="1" applyFont="1" applyFill="1" applyAlignment="1" applyProtection="1">
      <alignment horizontal="right" vertical="center"/>
    </xf>
    <xf numFmtId="0" fontId="140" fillId="0" borderId="0" xfId="0" applyFont="1" applyAlignment="1" applyProtection="1">
      <alignment vertical="center"/>
    </xf>
    <xf numFmtId="0" fontId="3" fillId="0" borderId="18" xfId="0" applyFont="1" applyBorder="1" applyAlignment="1" applyProtection="1">
      <alignment horizontal="left" vertical="center"/>
    </xf>
    <xf numFmtId="0" fontId="3" fillId="0" borderId="80" xfId="0" applyFont="1" applyBorder="1" applyAlignment="1" applyProtection="1">
      <alignment vertical="center"/>
    </xf>
    <xf numFmtId="0" fontId="49" fillId="0" borderId="73" xfId="0" applyFont="1" applyFill="1" applyBorder="1" applyAlignment="1" applyProtection="1">
      <alignment horizontal="right" vertical="center"/>
    </xf>
    <xf numFmtId="0" fontId="106" fillId="0" borderId="0" xfId="0" applyFont="1" applyFill="1" applyProtection="1"/>
    <xf numFmtId="0" fontId="75" fillId="0" borderId="0" xfId="0" applyFont="1" applyFill="1" applyProtection="1"/>
    <xf numFmtId="0" fontId="75" fillId="0" borderId="0" xfId="0" applyFont="1" applyProtection="1"/>
    <xf numFmtId="0" fontId="75" fillId="0" borderId="0" xfId="0" applyFont="1" applyAlignment="1" applyProtection="1">
      <alignment horizontal="left"/>
    </xf>
    <xf numFmtId="0" fontId="94" fillId="0" borderId="0" xfId="0" applyFont="1" applyFill="1" applyAlignment="1" applyProtection="1">
      <alignment horizontal="left" vertical="center"/>
    </xf>
    <xf numFmtId="0" fontId="12" fillId="0" borderId="0" xfId="0" applyFont="1" applyFill="1" applyBorder="1" applyAlignment="1" applyProtection="1"/>
    <xf numFmtId="0" fontId="45" fillId="0" borderId="0" xfId="0" applyFont="1" applyFill="1" applyBorder="1" applyAlignment="1" applyProtection="1">
      <alignment vertical="center" wrapText="1"/>
    </xf>
    <xf numFmtId="0" fontId="38"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0" fillId="0" borderId="0" xfId="0" applyFont="1" applyFill="1" applyAlignment="1" applyProtection="1">
      <alignment horizontal="left" vertical="center"/>
    </xf>
    <xf numFmtId="38" fontId="7" fillId="0" borderId="97" xfId="0" applyNumberFormat="1" applyFont="1" applyFill="1" applyBorder="1" applyAlignment="1" applyProtection="1">
      <alignment horizontal="center" vertical="center"/>
    </xf>
    <xf numFmtId="38" fontId="7" fillId="0" borderId="11" xfId="0" applyNumberFormat="1" applyFont="1" applyFill="1" applyBorder="1" applyAlignment="1" applyProtection="1">
      <alignment horizontal="center" vertical="center"/>
    </xf>
    <xf numFmtId="3" fontId="15" fillId="0" borderId="15"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47" fillId="0" borderId="15" xfId="0" applyNumberFormat="1" applyFont="1" applyFill="1" applyBorder="1" applyAlignment="1" applyProtection="1">
      <alignment horizontal="center" vertical="top"/>
    </xf>
    <xf numFmtId="0" fontId="20" fillId="0" borderId="0" xfId="0" applyFont="1" applyFill="1" applyAlignment="1" applyProtection="1">
      <alignment vertical="top"/>
    </xf>
    <xf numFmtId="3" fontId="47" fillId="0" borderId="100" xfId="0" applyNumberFormat="1" applyFont="1" applyFill="1" applyBorder="1" applyAlignment="1" applyProtection="1">
      <alignment horizontal="center" vertical="top"/>
    </xf>
    <xf numFmtId="3" fontId="144" fillId="0" borderId="32"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0" fontId="87" fillId="0" borderId="0" xfId="0" applyFont="1" applyFill="1" applyBorder="1" applyAlignment="1" applyProtection="1">
      <alignment vertical="center"/>
    </xf>
    <xf numFmtId="0" fontId="106" fillId="0" borderId="0" xfId="0" applyFont="1" applyAlignment="1" applyProtection="1">
      <alignment vertical="center"/>
    </xf>
    <xf numFmtId="0" fontId="23" fillId="0" borderId="0" xfId="0" applyFont="1" applyFill="1" applyAlignment="1" applyProtection="1">
      <alignment vertical="top"/>
    </xf>
    <xf numFmtId="0" fontId="87" fillId="0" borderId="0" xfId="0" applyFont="1" applyAlignment="1" applyProtection="1">
      <alignment horizontal="center" vertical="top"/>
    </xf>
    <xf numFmtId="0" fontId="103" fillId="0" borderId="0" xfId="0" applyFont="1" applyFill="1" applyAlignment="1" applyProtection="1">
      <alignment horizontal="left" vertical="center"/>
    </xf>
    <xf numFmtId="0" fontId="190" fillId="0" borderId="0" xfId="0" applyFont="1" applyFill="1" applyProtection="1"/>
    <xf numFmtId="0" fontId="191" fillId="0" borderId="0" xfId="0" applyFont="1" applyFill="1" applyProtection="1"/>
    <xf numFmtId="38" fontId="7" fillId="13" borderId="14" xfId="0" applyNumberFormat="1" applyFont="1" applyFill="1" applyBorder="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29" fillId="0" borderId="0" xfId="0" applyFont="1" applyFill="1" applyProtection="1"/>
    <xf numFmtId="0" fontId="3" fillId="0" borderId="0" xfId="0" applyFont="1" applyFill="1" applyAlignment="1" applyProtection="1">
      <alignment vertical="center" wrapText="1"/>
    </xf>
    <xf numFmtId="0" fontId="13" fillId="0" borderId="0" xfId="0" applyFont="1" applyBorder="1" applyAlignment="1" applyProtection="1">
      <alignment vertical="top" wrapText="1"/>
    </xf>
    <xf numFmtId="0" fontId="87" fillId="0" borderId="0" xfId="0" applyFont="1" applyFill="1" applyAlignment="1" applyProtection="1">
      <alignment horizontal="left"/>
    </xf>
    <xf numFmtId="0" fontId="87" fillId="0" borderId="4" xfId="0" applyFont="1" applyFill="1" applyBorder="1" applyAlignment="1" applyProtection="1"/>
    <xf numFmtId="0" fontId="12" fillId="0" borderId="0" xfId="0" applyFont="1" applyAlignment="1" applyProtection="1">
      <alignment horizontal="center"/>
    </xf>
    <xf numFmtId="0" fontId="92" fillId="0" borderId="0" xfId="0" applyFont="1" applyProtection="1"/>
    <xf numFmtId="0" fontId="92" fillId="0" borderId="0" xfId="0" applyFont="1" applyFill="1" applyAlignment="1" applyProtection="1">
      <alignment horizontal="left" vertical="center"/>
    </xf>
    <xf numFmtId="0" fontId="103" fillId="0" borderId="0" xfId="0" applyFont="1" applyAlignment="1" applyProtection="1">
      <alignment horizontal="center" vertical="center"/>
    </xf>
    <xf numFmtId="38" fontId="7" fillId="13" borderId="11"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0" fontId="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07"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7"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0" fillId="0" borderId="0" xfId="0" applyFont="1" applyFill="1" applyProtection="1"/>
    <xf numFmtId="38" fontId="24" fillId="0" borderId="102" xfId="0" applyNumberFormat="1" applyFont="1" applyFill="1" applyBorder="1" applyAlignment="1" applyProtection="1">
      <alignment horizontal="center" vertical="center"/>
    </xf>
    <xf numFmtId="38" fontId="9" fillId="0" borderId="8" xfId="0" applyNumberFormat="1" applyFont="1" applyFill="1" applyBorder="1" applyAlignment="1" applyProtection="1">
      <alignment horizontal="center" vertical="center"/>
    </xf>
    <xf numFmtId="0" fontId="7" fillId="0" borderId="11" xfId="0" applyFont="1" applyFill="1" applyBorder="1" applyAlignment="1" applyProtection="1">
      <alignment horizontal="center" vertical="center"/>
    </xf>
    <xf numFmtId="0" fontId="13" fillId="13" borderId="18" xfId="0" applyFont="1" applyFill="1" applyBorder="1" applyAlignment="1" applyProtection="1">
      <alignment horizontal="center" vertical="top"/>
    </xf>
    <xf numFmtId="38" fontId="7" fillId="17" borderId="11" xfId="0" applyNumberFormat="1" applyFont="1" applyFill="1" applyBorder="1" applyAlignment="1" applyProtection="1">
      <alignment horizontal="center" vertical="center"/>
    </xf>
    <xf numFmtId="0" fontId="7" fillId="13" borderId="11" xfId="0"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 fontId="7" fillId="0" borderId="11" xfId="0" applyNumberFormat="1" applyFont="1" applyFill="1" applyBorder="1" applyAlignment="1" applyProtection="1">
      <alignment horizontal="center" vertical="center"/>
    </xf>
    <xf numFmtId="38" fontId="7" fillId="0" borderId="102" xfId="0" applyNumberFormat="1" applyFont="1" applyFill="1" applyBorder="1" applyAlignment="1" applyProtection="1">
      <alignment horizontal="center" vertical="center"/>
    </xf>
    <xf numFmtId="3" fontId="7" fillId="0" borderId="12" xfId="0" applyNumberFormat="1" applyFont="1" applyFill="1" applyBorder="1" applyAlignment="1" applyProtection="1">
      <alignment horizontal="center" vertical="center"/>
    </xf>
    <xf numFmtId="3" fontId="7" fillId="0" borderId="14" xfId="0" applyNumberFormat="1" applyFont="1" applyFill="1" applyBorder="1" applyAlignment="1" applyProtection="1">
      <alignment horizontal="center" vertical="center"/>
    </xf>
    <xf numFmtId="3" fontId="3" fillId="13" borderId="12" xfId="0" applyNumberFormat="1" applyFont="1" applyFill="1" applyBorder="1" applyAlignment="1" applyProtection="1">
      <alignment horizontal="center" vertical="center" wrapText="1"/>
    </xf>
    <xf numFmtId="3" fontId="3" fillId="13" borderId="14" xfId="0" applyNumberFormat="1" applyFont="1" applyFill="1" applyBorder="1" applyAlignment="1" applyProtection="1">
      <alignment horizontal="center" vertical="center" wrapText="1"/>
    </xf>
    <xf numFmtId="0" fontId="0" fillId="0" borderId="0" xfId="0" applyBorder="1" applyAlignment="1" applyProtection="1">
      <alignment vertical="top"/>
    </xf>
    <xf numFmtId="0" fontId="13" fillId="13" borderId="12" xfId="0" applyFont="1" applyFill="1" applyBorder="1" applyAlignment="1" applyProtection="1">
      <alignment horizontal="center" vertical="top"/>
    </xf>
    <xf numFmtId="0" fontId="12" fillId="0" borderId="15" xfId="0" applyFont="1" applyFill="1" applyBorder="1" applyAlignment="1" applyProtection="1">
      <alignment vertical="center"/>
    </xf>
    <xf numFmtId="0" fontId="38" fillId="0" borderId="15" xfId="0" applyFont="1" applyFill="1" applyBorder="1" applyAlignment="1" applyProtection="1">
      <alignment vertical="center"/>
    </xf>
    <xf numFmtId="0" fontId="26" fillId="0" borderId="15" xfId="0" applyFont="1" applyFill="1" applyBorder="1" applyProtection="1"/>
    <xf numFmtId="0" fontId="26" fillId="0" borderId="28" xfId="0" applyFont="1" applyFill="1" applyBorder="1" applyProtection="1"/>
    <xf numFmtId="0" fontId="26" fillId="0" borderId="5" xfId="0" applyFont="1" applyFill="1" applyBorder="1" applyProtection="1"/>
    <xf numFmtId="0" fontId="3" fillId="0" borderId="15"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9" xfId="0" applyFont="1" applyFill="1" applyBorder="1" applyAlignment="1" applyProtection="1">
      <alignment horizontal="center" vertical="center" wrapText="1"/>
    </xf>
    <xf numFmtId="0" fontId="86" fillId="0" borderId="0" xfId="0" applyFont="1" applyFill="1" applyAlignment="1" applyProtection="1">
      <alignment vertical="center"/>
    </xf>
    <xf numFmtId="10" fontId="87" fillId="0" borderId="12" xfId="0" applyNumberFormat="1" applyFont="1" applyFill="1" applyBorder="1" applyAlignment="1" applyProtection="1">
      <alignment horizontal="center" vertical="center"/>
    </xf>
    <xf numFmtId="0" fontId="87" fillId="0" borderId="13" xfId="0" applyFont="1" applyFill="1" applyBorder="1" applyAlignment="1" applyProtection="1">
      <alignment horizontal="center"/>
    </xf>
    <xf numFmtId="166" fontId="87" fillId="0" borderId="14"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37" fillId="13" borderId="14" xfId="0" applyNumberFormat="1" applyFont="1" applyFill="1" applyBorder="1" applyAlignment="1" applyProtection="1">
      <alignment vertical="center"/>
    </xf>
    <xf numFmtId="168" fontId="37" fillId="13" borderId="18" xfId="0" applyNumberFormat="1" applyFont="1" applyFill="1" applyBorder="1" applyAlignment="1" applyProtection="1">
      <alignment vertical="center"/>
    </xf>
    <xf numFmtId="0" fontId="13" fillId="13" borderId="14" xfId="0" applyFont="1" applyFill="1" applyBorder="1" applyAlignment="1" applyProtection="1">
      <alignment horizontal="center" vertical="top"/>
    </xf>
    <xf numFmtId="10" fontId="3" fillId="13" borderId="12" xfId="0" applyNumberFormat="1" applyFont="1" applyFill="1" applyBorder="1" applyAlignment="1" applyProtection="1">
      <alignment horizontal="center" vertical="center"/>
    </xf>
    <xf numFmtId="0" fontId="3" fillId="0" borderId="0" xfId="0" applyFont="1" applyAlignment="1" applyProtection="1">
      <alignment wrapText="1"/>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29" xfId="0" applyFont="1" applyFill="1" applyBorder="1" applyAlignment="1" applyProtection="1">
      <alignment horizontal="center" vertical="center"/>
    </xf>
    <xf numFmtId="38" fontId="186"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5" fillId="0" borderId="0" xfId="0" applyFont="1" applyAlignment="1" applyProtection="1">
      <alignment vertical="center"/>
    </xf>
    <xf numFmtId="3" fontId="7" fillId="0" borderId="88" xfId="0" applyNumberFormat="1" applyFont="1" applyFill="1" applyBorder="1" applyAlignment="1" applyProtection="1">
      <alignment horizontal="center" vertical="center"/>
    </xf>
    <xf numFmtId="0" fontId="38" fillId="0" borderId="4" xfId="0" applyFont="1" applyFill="1" applyBorder="1" applyAlignment="1" applyProtection="1">
      <alignment horizontal="left" vertical="top" wrapText="1"/>
    </xf>
    <xf numFmtId="0" fontId="38" fillId="0" borderId="35" xfId="0" applyFont="1" applyFill="1" applyBorder="1" applyAlignment="1" applyProtection="1">
      <alignment vertical="top" wrapText="1"/>
    </xf>
    <xf numFmtId="0" fontId="38" fillId="0" borderId="6" xfId="0" applyFont="1" applyFill="1" applyBorder="1" applyAlignment="1" applyProtection="1">
      <alignment horizontal="left" vertical="top" wrapText="1"/>
    </xf>
    <xf numFmtId="0" fontId="38" fillId="0" borderId="9" xfId="0" applyFont="1" applyFill="1" applyBorder="1" applyAlignment="1" applyProtection="1">
      <alignment vertical="top"/>
    </xf>
    <xf numFmtId="0" fontId="38" fillId="0" borderId="9" xfId="0" applyFont="1" applyFill="1" applyBorder="1" applyAlignment="1" applyProtection="1">
      <alignment vertical="top" wrapText="1"/>
    </xf>
    <xf numFmtId="0" fontId="38" fillId="0" borderId="83" xfId="0" applyFont="1" applyFill="1" applyBorder="1" applyAlignment="1" applyProtection="1">
      <alignment vertical="top" wrapText="1"/>
    </xf>
    <xf numFmtId="0" fontId="38" fillId="0" borderId="22" xfId="0" applyFont="1" applyFill="1" applyBorder="1" applyAlignment="1" applyProtection="1">
      <alignment horizontal="left" vertical="top" wrapText="1"/>
    </xf>
    <xf numFmtId="0" fontId="38" fillId="0" borderId="15" xfId="0" applyFont="1" applyFill="1" applyBorder="1" applyAlignment="1" applyProtection="1">
      <alignment vertical="top"/>
    </xf>
    <xf numFmtId="0" fontId="38" fillId="0" borderId="15" xfId="0" applyFont="1" applyFill="1" applyBorder="1" applyAlignment="1" applyProtection="1">
      <alignment vertical="top" wrapText="1"/>
    </xf>
    <xf numFmtId="0" fontId="38" fillId="0" borderId="33" xfId="0" applyFont="1" applyFill="1" applyBorder="1" applyAlignment="1" applyProtection="1">
      <alignment vertical="top" wrapText="1"/>
    </xf>
    <xf numFmtId="0" fontId="80" fillId="0" borderId="21"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3" fillId="0" borderId="9"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1" fillId="0" borderId="0" xfId="0" applyFont="1" applyFill="1" applyAlignment="1" applyProtection="1">
      <alignment horizontal="center"/>
    </xf>
    <xf numFmtId="0" fontId="92" fillId="0" borderId="0" xfId="0" applyFont="1" applyFill="1" applyAlignment="1" applyProtection="1">
      <alignment horizontal="left"/>
    </xf>
    <xf numFmtId="0" fontId="92" fillId="0" borderId="0" xfId="0" applyNumberFormat="1" applyFont="1" applyFill="1" applyProtection="1"/>
    <xf numFmtId="0" fontId="92" fillId="0" borderId="0" xfId="0" applyNumberFormat="1" applyFont="1" applyFill="1" applyAlignment="1" applyProtection="1">
      <alignment horizontal="left" vertical="center"/>
    </xf>
    <xf numFmtId="0" fontId="183" fillId="0" borderId="0" xfId="0" applyFont="1" applyFill="1" applyAlignment="1" applyProtection="1">
      <alignment horizontal="left"/>
    </xf>
    <xf numFmtId="0" fontId="92" fillId="0" borderId="0" xfId="0" applyFont="1" applyFill="1" applyBorder="1" applyAlignment="1" applyProtection="1">
      <alignment horizontal="center" vertical="top"/>
    </xf>
    <xf numFmtId="0" fontId="92" fillId="0" borderId="0" xfId="0" applyFont="1" applyFill="1" applyAlignment="1" applyProtection="1"/>
    <xf numFmtId="0" fontId="92" fillId="0" borderId="0" xfId="0" applyFont="1" applyFill="1" applyAlignment="1" applyProtection="1">
      <alignment vertical="top"/>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201" fillId="0" borderId="0" xfId="0" applyFont="1" applyFill="1" applyAlignment="1" applyProtection="1"/>
    <xf numFmtId="0" fontId="92" fillId="0" borderId="0" xfId="0" applyFont="1" applyFill="1" applyBorder="1" applyAlignment="1" applyProtection="1">
      <alignment vertical="top" wrapText="1"/>
    </xf>
    <xf numFmtId="0" fontId="92" fillId="0" borderId="0" xfId="0" applyFont="1" applyFill="1" applyBorder="1" applyProtection="1"/>
    <xf numFmtId="0" fontId="13" fillId="0" borderId="0" xfId="0" applyFont="1" applyAlignment="1" applyProtection="1">
      <alignment horizontal="left" vertical="center"/>
    </xf>
    <xf numFmtId="0" fontId="188" fillId="0" borderId="0" xfId="0" applyFont="1" applyFill="1" applyAlignment="1" applyProtection="1">
      <alignment vertical="center"/>
    </xf>
    <xf numFmtId="0" fontId="17" fillId="0" borderId="5" xfId="0" applyFont="1" applyFill="1" applyBorder="1" applyProtection="1"/>
    <xf numFmtId="0" fontId="17" fillId="0" borderId="5" xfId="0" applyFont="1" applyFill="1" applyBorder="1" applyAlignment="1" applyProtection="1">
      <alignment vertical="top"/>
    </xf>
    <xf numFmtId="0" fontId="3" fillId="0" borderId="38" xfId="0" applyFont="1" applyFill="1" applyBorder="1" applyAlignment="1" applyProtection="1">
      <alignment horizontal="left" vertical="center"/>
    </xf>
    <xf numFmtId="0" fontId="17" fillId="0" borderId="28" xfId="0" applyFont="1" applyFill="1" applyBorder="1" applyProtection="1"/>
    <xf numFmtId="0" fontId="3" fillId="0" borderId="34" xfId="0" applyFont="1" applyFill="1" applyBorder="1" applyAlignment="1" applyProtection="1">
      <alignment horizontal="left" vertical="center"/>
    </xf>
    <xf numFmtId="0" fontId="3" fillId="0" borderId="36" xfId="0" applyFont="1" applyFill="1" applyBorder="1" applyAlignment="1" applyProtection="1">
      <alignment horizontal="left" vertical="center"/>
    </xf>
    <xf numFmtId="0" fontId="17" fillId="0" borderId="80" xfId="0" applyFont="1" applyFill="1" applyBorder="1" applyAlignment="1" applyProtection="1">
      <alignment vertical="top"/>
    </xf>
    <xf numFmtId="176" fontId="38" fillId="13" borderId="20" xfId="0" applyNumberFormat="1" applyFont="1" applyFill="1" applyBorder="1" applyAlignment="1" applyProtection="1">
      <alignment horizontal="center" vertical="center"/>
    </xf>
    <xf numFmtId="0" fontId="13" fillId="13" borderId="8" xfId="0" applyFont="1" applyFill="1" applyBorder="1" applyAlignment="1" applyProtection="1">
      <alignment horizontal="center" vertical="top"/>
    </xf>
    <xf numFmtId="1" fontId="9" fillId="13" borderId="12" xfId="0" applyNumberFormat="1" applyFont="1" applyFill="1" applyBorder="1" applyAlignment="1" applyProtection="1">
      <alignment horizontal="center" vertical="center"/>
    </xf>
    <xf numFmtId="1" fontId="9" fillId="13" borderId="8"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7"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4" fillId="0" borderId="0" xfId="0" applyFont="1" applyAlignment="1" applyProtection="1">
      <alignment horizontal="center"/>
    </xf>
    <xf numFmtId="0" fontId="151" fillId="0" borderId="0" xfId="0" applyFont="1" applyAlignment="1" applyProtection="1">
      <alignment horizontal="center" vertical="center"/>
    </xf>
    <xf numFmtId="0" fontId="3" fillId="13" borderId="14" xfId="0" applyFont="1" applyFill="1" applyBorder="1" applyAlignment="1" applyProtection="1">
      <alignment horizontal="center" vertical="center"/>
    </xf>
    <xf numFmtId="38" fontId="13" fillId="0" borderId="34" xfId="0" applyNumberFormat="1" applyFont="1" applyFill="1" applyBorder="1" applyAlignment="1" applyProtection="1">
      <alignment horizontal="center" vertical="center" wrapText="1"/>
    </xf>
    <xf numFmtId="0" fontId="13" fillId="0" borderId="34" xfId="0" applyFont="1" applyFill="1" applyBorder="1" applyAlignment="1" applyProtection="1">
      <alignment horizontal="center" vertical="center" wrapText="1"/>
    </xf>
    <xf numFmtId="0" fontId="13" fillId="0" borderId="82" xfId="0" applyFont="1" applyFill="1" applyBorder="1" applyAlignment="1" applyProtection="1">
      <alignment horizontal="center" vertical="center" wrapText="1"/>
    </xf>
    <xf numFmtId="0" fontId="94" fillId="0" borderId="0" xfId="0" applyFont="1" applyFill="1" applyProtection="1"/>
    <xf numFmtId="0" fontId="170"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right"/>
    </xf>
    <xf numFmtId="4" fontId="81" fillId="0" borderId="0" xfId="0" applyNumberFormat="1" applyFont="1" applyFill="1" applyAlignment="1" applyProtection="1">
      <alignment horizontal="left"/>
    </xf>
    <xf numFmtId="0" fontId="38" fillId="0" borderId="0" xfId="0" applyFont="1" applyFill="1" applyAlignment="1" applyProtection="1">
      <alignment horizontal="center" vertical="top"/>
    </xf>
    <xf numFmtId="166" fontId="37" fillId="0" borderId="10"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38"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48"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48" fillId="0" borderId="0" xfId="13" applyFont="1" applyAlignment="1" applyProtection="1">
      <alignment horizontal="centerContinuous"/>
    </xf>
    <xf numFmtId="3" fontId="41" fillId="0" borderId="0" xfId="0" applyNumberFormat="1" applyFont="1" applyFill="1" applyAlignment="1" applyProtection="1">
      <alignment horizontal="right" vertical="center"/>
    </xf>
    <xf numFmtId="0" fontId="113" fillId="0" borderId="0" xfId="13" applyFont="1" applyFill="1" applyAlignment="1" applyProtection="1">
      <alignment horizontal="right"/>
    </xf>
    <xf numFmtId="38" fontId="113" fillId="0" borderId="0" xfId="13" quotePrefix="1" applyNumberFormat="1" applyFont="1" applyFill="1" applyAlignment="1" applyProtection="1">
      <alignment horizontal="left"/>
    </xf>
    <xf numFmtId="3" fontId="113" fillId="0" borderId="0" xfId="13" applyNumberFormat="1" applyFont="1" applyFill="1" applyAlignment="1" applyProtection="1"/>
    <xf numFmtId="38" fontId="8" fillId="0" borderId="0" xfId="13" applyNumberFormat="1" applyFont="1" applyAlignment="1" applyProtection="1">
      <alignment horizontal="left"/>
    </xf>
    <xf numFmtId="38" fontId="2" fillId="10" borderId="32" xfId="13" applyNumberFormat="1" applyFont="1" applyFill="1" applyBorder="1" applyAlignment="1" applyProtection="1">
      <alignment vertical="center"/>
    </xf>
    <xf numFmtId="0" fontId="113" fillId="20" borderId="0" xfId="13" applyFont="1" applyFill="1" applyProtection="1"/>
    <xf numFmtId="5" fontId="113" fillId="0" borderId="0" xfId="13" applyNumberFormat="1" applyFont="1" applyFill="1" applyAlignment="1" applyProtection="1">
      <alignment horizontal="right"/>
    </xf>
    <xf numFmtId="43" fontId="8" fillId="0" borderId="32"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3" fillId="0" borderId="0" xfId="13" applyFont="1"/>
    <xf numFmtId="0" fontId="113" fillId="0" borderId="0" xfId="13" applyFont="1" applyAlignment="1">
      <alignment horizontal="center"/>
    </xf>
    <xf numFmtId="177" fontId="113" fillId="0" borderId="0" xfId="13" applyNumberFormat="1" applyFont="1" applyAlignment="1">
      <alignment horizontal="center"/>
    </xf>
    <xf numFmtId="0" fontId="113" fillId="0" borderId="0" xfId="13" applyFont="1" applyFill="1" applyAlignment="1">
      <alignment horizontal="center"/>
    </xf>
    <xf numFmtId="38" fontId="133" fillId="0" borderId="0" xfId="13" applyNumberFormat="1" applyFont="1" applyAlignment="1" applyProtection="1">
      <alignment horizontal="center" vertical="center"/>
    </xf>
    <xf numFmtId="38" fontId="133" fillId="0" borderId="9" xfId="13" applyNumberFormat="1" applyFont="1" applyBorder="1" applyAlignment="1" applyProtection="1">
      <alignment horizontal="center" vertical="center"/>
    </xf>
    <xf numFmtId="0" fontId="27"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3" fontId="133" fillId="0" borderId="32" xfId="13" applyNumberFormat="1" applyFont="1" applyBorder="1" applyAlignment="1" applyProtection="1">
      <alignment horizontal="center" vertical="center"/>
    </xf>
    <xf numFmtId="0" fontId="27" fillId="13" borderId="0" xfId="13" applyFont="1" applyFill="1" applyAlignment="1" applyProtection="1">
      <alignment vertical="center"/>
    </xf>
    <xf numFmtId="0" fontId="2" fillId="13" borderId="0" xfId="13" applyFont="1" applyFill="1" applyAlignment="1" applyProtection="1">
      <alignment vertical="center"/>
    </xf>
    <xf numFmtId="0" fontId="170"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16"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9" xfId="13" applyNumberFormat="1" applyFont="1" applyFill="1" applyBorder="1" applyAlignment="1" applyProtection="1">
      <alignment horizontal="left"/>
    </xf>
    <xf numFmtId="0" fontId="7" fillId="10" borderId="9" xfId="13" applyFont="1" applyFill="1" applyBorder="1" applyProtection="1"/>
    <xf numFmtId="4" fontId="7" fillId="10" borderId="9" xfId="13" applyNumberFormat="1" applyFont="1" applyFill="1" applyBorder="1" applyAlignment="1" applyProtection="1">
      <alignment horizontal="left"/>
    </xf>
    <xf numFmtId="10" fontId="7" fillId="0" borderId="16" xfId="13" applyNumberFormat="1" applyFont="1" applyBorder="1" applyAlignment="1" applyProtection="1">
      <alignment horizontal="left"/>
    </xf>
    <xf numFmtId="10" fontId="7" fillId="10" borderId="50" xfId="13" applyNumberFormat="1" applyFont="1" applyFill="1" applyBorder="1" applyAlignment="1" applyProtection="1">
      <alignment horizontal="left"/>
    </xf>
    <xf numFmtId="0" fontId="7" fillId="10" borderId="83" xfId="13" applyFont="1" applyFill="1" applyBorder="1" applyAlignment="1" applyProtection="1">
      <alignment horizontal="left"/>
    </xf>
    <xf numFmtId="181" fontId="7" fillId="10" borderId="82" xfId="13" applyNumberFormat="1" applyFont="1" applyFill="1" applyBorder="1" applyAlignment="1" applyProtection="1">
      <alignment horizontal="left"/>
    </xf>
    <xf numFmtId="0" fontId="75" fillId="0" borderId="0" xfId="0" applyFont="1" applyFill="1" applyBorder="1" applyAlignment="1" applyProtection="1">
      <alignment horizontal="left" vertical="center"/>
    </xf>
    <xf numFmtId="38" fontId="13" fillId="0" borderId="38" xfId="0" applyNumberFormat="1" applyFont="1" applyFill="1" applyBorder="1" applyAlignment="1" applyProtection="1">
      <alignment horizontal="center" vertical="center" wrapText="1"/>
    </xf>
    <xf numFmtId="38" fontId="13" fillId="0" borderId="36" xfId="0" applyNumberFormat="1" applyFont="1" applyFill="1" applyBorder="1" applyAlignment="1" applyProtection="1">
      <alignment horizontal="center" vertical="center" wrapText="1"/>
    </xf>
    <xf numFmtId="0" fontId="2" fillId="0" borderId="5" xfId="0" applyFont="1" applyFill="1" applyBorder="1" applyAlignment="1" applyProtection="1">
      <alignment vertical="center" wrapText="1"/>
    </xf>
    <xf numFmtId="0" fontId="2" fillId="0" borderId="9" xfId="0" applyFont="1" applyFill="1" applyBorder="1" applyAlignment="1" applyProtection="1">
      <alignment vertical="center"/>
    </xf>
    <xf numFmtId="10" fontId="2" fillId="0" borderId="32" xfId="0" applyNumberFormat="1" applyFont="1" applyBorder="1" applyAlignment="1" applyProtection="1">
      <alignment horizontal="center"/>
    </xf>
    <xf numFmtId="10" fontId="2" fillId="0" borderId="32"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3" fillId="0" borderId="0" xfId="13" applyNumberFormat="1" applyFont="1" applyFill="1" applyAlignment="1" applyProtection="1">
      <alignment horizontal="right" vertical="center"/>
    </xf>
    <xf numFmtId="0" fontId="24" fillId="10" borderId="0" xfId="13" applyFont="1" applyFill="1" applyProtection="1"/>
    <xf numFmtId="0" fontId="204" fillId="0" borderId="0" xfId="13" applyFont="1" applyAlignment="1">
      <alignment vertical="center"/>
    </xf>
    <xf numFmtId="0" fontId="4" fillId="0" borderId="9"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9" xfId="12" applyFont="1" applyBorder="1"/>
    <xf numFmtId="3" fontId="13" fillId="13" borderId="13" xfId="0" applyNumberFormat="1" applyFont="1" applyFill="1" applyBorder="1" applyAlignment="1" applyProtection="1">
      <alignment horizontal="center" vertical="center"/>
    </xf>
    <xf numFmtId="3" fontId="113" fillId="0" borderId="0" xfId="13" applyNumberFormat="1" applyFont="1" applyFill="1" applyAlignment="1" applyProtection="1">
      <alignment horizontal="left"/>
    </xf>
    <xf numFmtId="0" fontId="8" fillId="0" borderId="0" xfId="13" applyFont="1" applyAlignment="1" applyProtection="1">
      <alignment vertical="top" wrapText="1"/>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4"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5" xfId="13" applyBorder="1" applyProtection="1"/>
    <xf numFmtId="0" fontId="2" fillId="0" borderId="0" xfId="13" applyBorder="1" applyProtection="1"/>
    <xf numFmtId="0" fontId="2" fillId="0" borderId="0" xfId="13" applyFont="1" applyBorder="1" applyAlignment="1" applyProtection="1"/>
    <xf numFmtId="0" fontId="2" fillId="0" borderId="32"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19" xfId="13" applyFont="1" applyBorder="1" applyAlignment="1" applyProtection="1">
      <alignment horizontal="center"/>
    </xf>
    <xf numFmtId="0" fontId="2" fillId="0" borderId="4" xfId="13" applyBorder="1" applyProtection="1"/>
    <xf numFmtId="0" fontId="2" fillId="0" borderId="0" xfId="13" applyFont="1" applyBorder="1" applyAlignment="1" applyProtection="1">
      <alignment horizontal="left" vertical="top"/>
    </xf>
    <xf numFmtId="0" fontId="2" fillId="0" borderId="5" xfId="13" applyBorder="1" applyProtection="1"/>
    <xf numFmtId="0" fontId="2" fillId="0" borderId="4" xfId="13" applyFont="1" applyBorder="1" applyProtection="1"/>
    <xf numFmtId="0" fontId="2" fillId="10" borderId="21" xfId="13" applyFont="1" applyFill="1" applyBorder="1" applyAlignment="1" applyProtection="1">
      <alignment horizontal="center"/>
    </xf>
    <xf numFmtId="0" fontId="3" fillId="0" borderId="4" xfId="13" applyFont="1" applyFill="1" applyBorder="1" applyProtection="1"/>
    <xf numFmtId="0" fontId="3" fillId="0" borderId="0" xfId="13" applyFont="1" applyFill="1" applyBorder="1" applyProtection="1"/>
    <xf numFmtId="0" fontId="2" fillId="0" borderId="21" xfId="13" applyFont="1" applyBorder="1" applyAlignment="1" applyProtection="1">
      <alignment horizontal="center"/>
    </xf>
    <xf numFmtId="0" fontId="3" fillId="0" borderId="4" xfId="13" applyFont="1" applyBorder="1" applyProtection="1"/>
    <xf numFmtId="0" fontId="2" fillId="0" borderId="5" xfId="13" applyFont="1" applyBorder="1" applyAlignment="1" applyProtection="1">
      <alignment horizontal="center"/>
    </xf>
    <xf numFmtId="0" fontId="2" fillId="0" borderId="6" xfId="13" applyBorder="1" applyProtection="1"/>
    <xf numFmtId="0" fontId="2" fillId="0" borderId="9" xfId="13" applyBorder="1" applyProtection="1"/>
    <xf numFmtId="0" fontId="2" fillId="0" borderId="10" xfId="13" applyBorder="1" applyProtection="1"/>
    <xf numFmtId="1" fontId="2" fillId="0" borderId="32" xfId="13" applyNumberFormat="1" applyFill="1" applyBorder="1" applyAlignment="1" applyProtection="1">
      <alignment horizontal="center"/>
    </xf>
    <xf numFmtId="0" fontId="2" fillId="0" borderId="21"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4" xfId="13" applyFont="1" applyBorder="1" applyProtection="1"/>
    <xf numFmtId="0" fontId="2" fillId="10" borderId="9" xfId="13" applyFont="1" applyFill="1" applyBorder="1" applyAlignment="1" applyProtection="1">
      <alignment horizontal="center" vertical="center"/>
    </xf>
    <xf numFmtId="0" fontId="2" fillId="0" borderId="0" xfId="13" applyBorder="1" applyAlignment="1" applyProtection="1">
      <alignment vertical="top"/>
    </xf>
    <xf numFmtId="0" fontId="2" fillId="0" borderId="5" xfId="13" applyBorder="1" applyAlignment="1" applyProtection="1">
      <alignment vertical="top"/>
    </xf>
    <xf numFmtId="0" fontId="12" fillId="0" borderId="4"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4" xfId="13" applyFont="1" applyBorder="1" applyAlignment="1" applyProtection="1">
      <alignment horizontal="left"/>
    </xf>
    <xf numFmtId="1" fontId="2" fillId="0" borderId="0" xfId="13" applyNumberFormat="1" applyFill="1" applyBorder="1" applyAlignment="1" applyProtection="1"/>
    <xf numFmtId="0" fontId="2" fillId="10" borderId="32" xfId="13" applyFill="1" applyBorder="1" applyAlignment="1" applyProtection="1">
      <alignment horizontal="center"/>
    </xf>
    <xf numFmtId="0" fontId="10" fillId="0" borderId="0" xfId="13" applyFont="1" applyAlignment="1" applyProtection="1">
      <alignment horizontal="center" vertical="center" wrapText="1"/>
    </xf>
    <xf numFmtId="0" fontId="2" fillId="0" borderId="15" xfId="13" applyFont="1" applyBorder="1" applyAlignment="1" applyProtection="1"/>
    <xf numFmtId="0" fontId="2" fillId="0" borderId="15" xfId="13" applyBorder="1" applyAlignment="1" applyProtection="1"/>
    <xf numFmtId="0" fontId="2" fillId="0" borderId="28" xfId="13" applyBorder="1" applyAlignment="1" applyProtection="1"/>
    <xf numFmtId="0" fontId="2" fillId="0" borderId="4" xfId="13" applyFont="1" applyFill="1" applyBorder="1" applyAlignment="1" applyProtection="1">
      <alignment horizontal="left"/>
    </xf>
    <xf numFmtId="169" fontId="2" fillId="0" borderId="32" xfId="13" applyNumberFormat="1" applyFont="1" applyBorder="1" applyAlignment="1" applyProtection="1">
      <alignment horizontal="center"/>
    </xf>
    <xf numFmtId="0" fontId="2" fillId="0" borderId="32" xfId="13" applyFont="1" applyBorder="1" applyAlignment="1" applyProtection="1"/>
    <xf numFmtId="1" fontId="2" fillId="0" borderId="32" xfId="13" applyNumberFormat="1" applyBorder="1" applyAlignment="1" applyProtection="1">
      <alignment horizontal="center"/>
    </xf>
    <xf numFmtId="1" fontId="2" fillId="0" borderId="0" xfId="13" applyNumberFormat="1" applyBorder="1" applyAlignment="1" applyProtection="1"/>
    <xf numFmtId="3" fontId="2" fillId="0" borderId="32" xfId="13" applyNumberFormat="1" applyBorder="1" applyAlignment="1" applyProtection="1">
      <alignment horizontal="center"/>
    </xf>
    <xf numFmtId="3" fontId="2" fillId="0" borderId="0" xfId="13" applyNumberFormat="1" applyBorder="1" applyAlignment="1" applyProtection="1"/>
    <xf numFmtId="3" fontId="2" fillId="10" borderId="32" xfId="13" applyNumberFormat="1" applyFont="1" applyFill="1" applyBorder="1" applyAlignment="1" applyProtection="1">
      <alignment horizontal="center"/>
    </xf>
    <xf numFmtId="0" fontId="137" fillId="0" borderId="0" xfId="13" applyFont="1" applyBorder="1" applyAlignment="1" applyProtection="1"/>
    <xf numFmtId="0" fontId="2" fillId="0" borderId="4" xfId="13" applyFont="1" applyBorder="1" applyAlignment="1" applyProtection="1">
      <alignment horizontal="left"/>
    </xf>
    <xf numFmtId="3" fontId="2" fillId="0" borderId="21" xfId="13" applyNumberFormat="1" applyBorder="1" applyAlignment="1" applyProtection="1">
      <alignment horizontal="center"/>
    </xf>
    <xf numFmtId="0" fontId="12" fillId="0" borderId="0" xfId="13" applyFont="1" applyBorder="1" applyAlignment="1" applyProtection="1"/>
    <xf numFmtId="3" fontId="2" fillId="0" borderId="5" xfId="13" applyNumberFormat="1" applyBorder="1" applyAlignment="1" applyProtection="1">
      <alignment horizontal="center"/>
    </xf>
    <xf numFmtId="0" fontId="2" fillId="10" borderId="32" xfId="13" applyFont="1" applyFill="1" applyBorder="1" applyAlignment="1" applyProtection="1">
      <alignment horizontal="center"/>
    </xf>
    <xf numFmtId="0" fontId="15" fillId="0" borderId="5" xfId="13" applyFont="1" applyBorder="1" applyAlignment="1" applyProtection="1">
      <alignment horizontal="right"/>
    </xf>
    <xf numFmtId="0" fontId="88" fillId="0" borderId="0" xfId="13" applyFont="1" applyProtection="1"/>
    <xf numFmtId="49" fontId="210" fillId="0" borderId="0" xfId="0" quotePrefix="1" applyNumberFormat="1" applyFont="1" applyFill="1" applyAlignment="1" applyProtection="1">
      <alignment vertical="center"/>
    </xf>
    <xf numFmtId="8" fontId="26" fillId="0" borderId="0" xfId="0" applyNumberFormat="1" applyFont="1" applyAlignment="1" applyProtection="1">
      <alignment vertical="center"/>
    </xf>
    <xf numFmtId="8" fontId="26" fillId="0" borderId="0" xfId="0" applyNumberFormat="1" applyFont="1" applyAlignment="1" applyProtection="1">
      <alignment horizontal="right" vertical="center"/>
    </xf>
    <xf numFmtId="177" fontId="2" fillId="0" borderId="0" xfId="0" applyNumberFormat="1" applyFont="1" applyAlignment="1" applyProtection="1">
      <alignment horizontal="center"/>
    </xf>
    <xf numFmtId="8" fontId="2" fillId="0" borderId="0" xfId="0" applyNumberFormat="1" applyFont="1" applyAlignment="1" applyProtection="1">
      <alignment horizontal="center"/>
    </xf>
    <xf numFmtId="8" fontId="2" fillId="0" borderId="0" xfId="0" applyNumberFormat="1" applyFont="1" applyFill="1" applyAlignment="1" applyProtection="1">
      <alignment horizontal="center"/>
    </xf>
    <xf numFmtId="177" fontId="2" fillId="0" borderId="15" xfId="0" applyNumberFormat="1" applyFont="1" applyBorder="1" applyAlignment="1" applyProtection="1">
      <alignment horizontal="center"/>
    </xf>
    <xf numFmtId="177" fontId="2" fillId="0" borderId="0" xfId="0" applyNumberFormat="1" applyFont="1" applyBorder="1" applyAlignment="1" applyProtection="1">
      <alignment horizontal="center"/>
    </xf>
    <xf numFmtId="177" fontId="2" fillId="0" borderId="16" xfId="0" applyNumberFormat="1" applyFont="1" applyBorder="1" applyAlignment="1" applyProtection="1">
      <alignment horizontal="center"/>
    </xf>
    <xf numFmtId="8" fontId="2" fillId="0" borderId="0" xfId="0" applyNumberFormat="1" applyFont="1" applyAlignment="1" applyProtection="1"/>
    <xf numFmtId="8" fontId="12" fillId="0" borderId="0" xfId="0" applyNumberFormat="1" applyFont="1" applyAlignment="1" applyProtection="1">
      <alignment horizontal="center"/>
    </xf>
    <xf numFmtId="0" fontId="12" fillId="0" borderId="4" xfId="0" applyFont="1" applyBorder="1" applyAlignment="1" applyProtection="1">
      <alignment horizontal="center"/>
    </xf>
    <xf numFmtId="8" fontId="12" fillId="0" borderId="0" xfId="0" applyNumberFormat="1" applyFont="1" applyFill="1" applyAlignment="1" applyProtection="1">
      <alignment horizontal="center"/>
    </xf>
    <xf numFmtId="8" fontId="12" fillId="0" borderId="16" xfId="0" applyNumberFormat="1" applyFont="1" applyBorder="1" applyAlignment="1" applyProtection="1">
      <alignment horizontal="center"/>
    </xf>
    <xf numFmtId="0" fontId="12" fillId="0" borderId="15" xfId="0" applyFont="1" applyBorder="1" applyAlignment="1" applyProtection="1">
      <alignment horizontal="center"/>
    </xf>
    <xf numFmtId="8" fontId="12" fillId="0" borderId="15" xfId="0" applyNumberFormat="1" applyFont="1" applyBorder="1" applyAlignment="1" applyProtection="1">
      <alignment horizontal="center"/>
    </xf>
    <xf numFmtId="0" fontId="12" fillId="0" borderId="22" xfId="0" applyFont="1" applyBorder="1" applyAlignment="1" applyProtection="1">
      <alignment horizontal="center"/>
    </xf>
    <xf numFmtId="8" fontId="12" fillId="0" borderId="0" xfId="0" applyNumberFormat="1" applyFont="1" applyBorder="1" applyAlignment="1" applyProtection="1">
      <alignment horizontal="center"/>
    </xf>
    <xf numFmtId="0" fontId="12" fillId="0" borderId="16" xfId="0" applyFont="1" applyFill="1" applyBorder="1" applyAlignment="1" applyProtection="1">
      <alignment horizontal="center"/>
    </xf>
    <xf numFmtId="0" fontId="12" fillId="0" borderId="23" xfId="0" applyFont="1" applyBorder="1" applyAlignment="1" applyProtection="1">
      <alignment horizontal="center"/>
    </xf>
    <xf numFmtId="0" fontId="12" fillId="0" borderId="15" xfId="0" applyFont="1" applyFill="1" applyBorder="1" applyAlignment="1" applyProtection="1">
      <alignment horizontal="center"/>
    </xf>
    <xf numFmtId="0" fontId="2" fillId="0" borderId="5" xfId="0" applyFont="1" applyFill="1" applyBorder="1" applyProtection="1"/>
    <xf numFmtId="0" fontId="2" fillId="0" borderId="7" xfId="0" applyFont="1" applyFill="1" applyBorder="1" applyProtection="1"/>
    <xf numFmtId="0" fontId="2" fillId="0" borderId="80" xfId="0" applyFont="1" applyFill="1" applyBorder="1" applyProtection="1"/>
    <xf numFmtId="0" fontId="2" fillId="0" borderId="18" xfId="0" applyFont="1" applyFill="1" applyBorder="1" applyProtection="1"/>
    <xf numFmtId="0" fontId="2" fillId="0" borderId="28" xfId="0" applyFont="1" applyFill="1" applyBorder="1" applyProtection="1"/>
    <xf numFmtId="0" fontId="2" fillId="0" borderId="88" xfId="0" applyFont="1" applyFill="1" applyBorder="1" applyProtection="1"/>
    <xf numFmtId="0" fontId="2" fillId="0" borderId="10" xfId="0" applyFont="1" applyFill="1" applyBorder="1" applyProtection="1"/>
    <xf numFmtId="0" fontId="2" fillId="0" borderId="8" xfId="0" applyFont="1" applyFill="1" applyBorder="1" applyProtection="1"/>
    <xf numFmtId="38" fontId="2" fillId="0" borderId="12" xfId="1" applyNumberFormat="1" applyFont="1" applyFill="1" applyBorder="1" applyAlignment="1" applyProtection="1">
      <alignment horizontal="right" vertical="center"/>
    </xf>
    <xf numFmtId="38" fontId="2" fillId="0" borderId="14" xfId="1" applyNumberFormat="1" applyFont="1" applyFill="1" applyBorder="1" applyAlignment="1" applyProtection="1">
      <alignment horizontal="right" vertical="center"/>
    </xf>
    <xf numFmtId="38" fontId="2" fillId="0" borderId="0" xfId="0" applyNumberFormat="1" applyFont="1" applyFill="1" applyAlignment="1" applyProtection="1">
      <alignment horizontal="right" vertical="center"/>
    </xf>
    <xf numFmtId="0" fontId="2" fillId="0" borderId="0" xfId="0" applyFont="1" applyFill="1" applyAlignment="1" applyProtection="1">
      <alignment vertical="center" wrapText="1"/>
    </xf>
    <xf numFmtId="0" fontId="2" fillId="0" borderId="15" xfId="0" applyFont="1" applyFill="1" applyBorder="1" applyAlignment="1" applyProtection="1">
      <alignment vertical="center"/>
    </xf>
    <xf numFmtId="38" fontId="2" fillId="0" borderId="7" xfId="1" applyNumberFormat="1" applyFont="1" applyFill="1" applyBorder="1" applyAlignment="1" applyProtection="1">
      <alignment horizontal="right" vertical="center"/>
    </xf>
    <xf numFmtId="38" fontId="2" fillId="0" borderId="0" xfId="0" applyNumberFormat="1" applyFont="1" applyFill="1" applyProtection="1"/>
    <xf numFmtId="38" fontId="2" fillId="0" borderId="0" xfId="0" applyNumberFormat="1" applyFont="1" applyFill="1" applyAlignment="1" applyProtection="1">
      <alignment vertical="center"/>
    </xf>
    <xf numFmtId="38" fontId="2" fillId="0" borderId="18"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4" xfId="1" applyNumberFormat="1" applyFont="1" applyFill="1" applyBorder="1" applyAlignment="1" applyProtection="1">
      <alignment vertical="center"/>
    </xf>
    <xf numFmtId="44" fontId="2" fillId="0" borderId="0" xfId="0" applyNumberFormat="1" applyFont="1" applyFill="1" applyProtection="1"/>
    <xf numFmtId="3" fontId="2" fillId="0" borderId="8" xfId="0" applyNumberFormat="1" applyFont="1" applyFill="1" applyBorder="1" applyAlignment="1" applyProtection="1">
      <alignment vertical="center"/>
    </xf>
    <xf numFmtId="3" fontId="2" fillId="0" borderId="0" xfId="0" applyNumberFormat="1" applyFont="1" applyFill="1" applyBorder="1" applyAlignment="1" applyProtection="1">
      <alignment vertical="center"/>
    </xf>
    <xf numFmtId="38" fontId="2" fillId="0" borderId="0" xfId="1" applyNumberFormat="1" applyFont="1" applyFill="1" applyBorder="1" applyAlignment="1" applyProtection="1">
      <alignment horizontal="right" vertical="center"/>
    </xf>
    <xf numFmtId="38" fontId="2" fillId="0" borderId="0" xfId="0" applyNumberFormat="1" applyFont="1" applyFill="1" applyAlignment="1" applyProtection="1">
      <alignment horizontal="center" vertical="center"/>
    </xf>
    <xf numFmtId="3" fontId="2" fillId="0" borderId="11" xfId="1" applyNumberFormat="1" applyFont="1" applyFill="1" applyBorder="1" applyAlignment="1" applyProtection="1">
      <alignment vertical="center"/>
    </xf>
    <xf numFmtId="3" fontId="2" fillId="0" borderId="0" xfId="1" applyNumberFormat="1" applyFont="1" applyFill="1" applyBorder="1" applyAlignment="1" applyProtection="1">
      <alignment vertical="center"/>
    </xf>
    <xf numFmtId="3" fontId="2" fillId="0" borderId="11" xfId="0" applyNumberFormat="1" applyFont="1" applyFill="1" applyBorder="1" applyAlignment="1" applyProtection="1">
      <alignment vertical="center"/>
    </xf>
    <xf numFmtId="10" fontId="2" fillId="0" borderId="0" xfId="0" applyNumberFormat="1" applyFont="1" applyFill="1" applyBorder="1" applyAlignment="1" applyProtection="1">
      <alignment horizontal="left"/>
    </xf>
    <xf numFmtId="10" fontId="2" fillId="0" borderId="0" xfId="0" applyNumberFormat="1" applyFont="1" applyFill="1" applyAlignment="1" applyProtection="1">
      <alignment horizontal="center"/>
    </xf>
    <xf numFmtId="0" fontId="2" fillId="0" borderId="0" xfId="0" applyFont="1" applyBorder="1" applyAlignment="1" applyProtection="1">
      <alignment vertical="center"/>
    </xf>
    <xf numFmtId="0" fontId="2" fillId="0" borderId="0" xfId="0" applyFont="1" applyFill="1" applyAlignment="1" applyProtection="1">
      <alignment horizontal="right"/>
    </xf>
    <xf numFmtId="0" fontId="2" fillId="0" borderId="0" xfId="0" quotePrefix="1" applyFont="1" applyAlignment="1" applyProtection="1">
      <alignment horizontal="left" vertical="center"/>
    </xf>
    <xf numFmtId="164" fontId="2" fillId="0" borderId="0" xfId="1" applyNumberFormat="1" applyFont="1" applyFill="1" applyBorder="1" applyProtection="1"/>
    <xf numFmtId="164" fontId="2" fillId="0" borderId="5" xfId="1" applyNumberFormat="1" applyFont="1" applyFill="1" applyBorder="1" applyProtection="1"/>
    <xf numFmtId="43" fontId="2" fillId="0" borderId="0" xfId="1" applyNumberFormat="1" applyFont="1" applyFill="1" applyBorder="1" applyProtection="1"/>
    <xf numFmtId="43" fontId="2" fillId="0" borderId="5" xfId="1" applyNumberFormat="1" applyFont="1" applyFill="1" applyBorder="1" applyProtection="1"/>
    <xf numFmtId="39" fontId="2" fillId="0" borderId="0" xfId="1" applyNumberFormat="1" applyFont="1" applyFill="1" applyBorder="1" applyAlignment="1" applyProtection="1">
      <alignment horizontal="right"/>
    </xf>
    <xf numFmtId="39" fontId="2" fillId="0" borderId="10" xfId="1" applyNumberFormat="1" applyFont="1" applyFill="1" applyBorder="1" applyAlignment="1" applyProtection="1">
      <alignment horizontal="right"/>
    </xf>
    <xf numFmtId="164" fontId="2" fillId="0" borderId="0" xfId="1" applyNumberFormat="1" applyFont="1" applyFill="1" applyProtection="1"/>
    <xf numFmtId="39" fontId="2" fillId="0" borderId="5" xfId="1" applyNumberFormat="1" applyFont="1" applyFill="1" applyBorder="1" applyAlignment="1" applyProtection="1">
      <alignment horizontal="right"/>
    </xf>
    <xf numFmtId="0" fontId="2" fillId="0" borderId="6" xfId="0" applyFont="1" applyFill="1" applyBorder="1" applyProtection="1"/>
    <xf numFmtId="164" fontId="2" fillId="0" borderId="0" xfId="1" applyNumberFormat="1" applyFont="1" applyFill="1" applyBorder="1" applyAlignment="1" applyProtection="1">
      <alignment horizontal="right" vertical="center"/>
    </xf>
    <xf numFmtId="0" fontId="2" fillId="0" borderId="0" xfId="0" applyFont="1" applyFill="1" applyBorder="1" applyAlignment="1" applyProtection="1">
      <alignment horizontal="left" vertical="center"/>
    </xf>
    <xf numFmtId="0" fontId="2" fillId="0" borderId="0" xfId="0" applyFont="1" applyFill="1" applyBorder="1" applyAlignment="1" applyProtection="1">
      <alignment horizontal="center" vertical="top" wrapText="1"/>
    </xf>
    <xf numFmtId="0" fontId="2" fillId="0" borderId="0" xfId="0" applyFont="1" applyFill="1" applyBorder="1" applyAlignment="1" applyProtection="1">
      <alignment horizontal="center" vertical="center" wrapText="1"/>
    </xf>
    <xf numFmtId="0" fontId="3" fillId="0" borderId="0" xfId="0" applyFont="1" applyBorder="1" applyAlignment="1" applyProtection="1">
      <alignment horizontal="center"/>
    </xf>
    <xf numFmtId="0" fontId="3" fillId="0" borderId="0" xfId="0" applyFont="1" applyBorder="1" applyAlignment="1" applyProtection="1"/>
    <xf numFmtId="38" fontId="8" fillId="0" borderId="0" xfId="0" applyNumberFormat="1" applyFont="1" applyFill="1" applyAlignment="1" applyProtection="1">
      <alignment horizontal="center" vertical="center"/>
    </xf>
    <xf numFmtId="0" fontId="41" fillId="0" borderId="107" xfId="0" applyFont="1" applyFill="1" applyBorder="1" applyAlignment="1" applyProtection="1">
      <alignment horizontal="center" vertical="center"/>
    </xf>
    <xf numFmtId="0" fontId="49" fillId="0" borderId="107" xfId="0" quotePrefix="1" applyFont="1" applyFill="1" applyBorder="1" applyAlignment="1" applyProtection="1">
      <alignment vertical="top"/>
    </xf>
    <xf numFmtId="0" fontId="2" fillId="0" borderId="107" xfId="0" applyFont="1" applyFill="1" applyBorder="1" applyAlignment="1" applyProtection="1">
      <alignment vertical="center"/>
    </xf>
    <xf numFmtId="0" fontId="58" fillId="0" borderId="108" xfId="0" applyFont="1" applyFill="1" applyBorder="1" applyAlignment="1" applyProtection="1">
      <alignment vertical="center"/>
    </xf>
    <xf numFmtId="0" fontId="2" fillId="0" borderId="108" xfId="0" applyFont="1" applyFill="1" applyBorder="1" applyProtection="1"/>
    <xf numFmtId="164" fontId="2" fillId="0" borderId="107" xfId="1" applyNumberFormat="1" applyFont="1" applyFill="1" applyBorder="1" applyAlignment="1" applyProtection="1">
      <alignment vertical="center"/>
    </xf>
    <xf numFmtId="0" fontId="7" fillId="0" borderId="107" xfId="0" applyFont="1" applyFill="1" applyBorder="1" applyAlignment="1" applyProtection="1"/>
    <xf numFmtId="164" fontId="2" fillId="0" borderId="107" xfId="1" applyNumberFormat="1" applyFont="1" applyFill="1" applyBorder="1" applyProtection="1"/>
    <xf numFmtId="164" fontId="2" fillId="0" borderId="108" xfId="1" applyNumberFormat="1" applyFont="1" applyFill="1" applyBorder="1" applyProtection="1"/>
    <xf numFmtId="10" fontId="3" fillId="0" borderId="108" xfId="0" applyNumberFormat="1" applyFont="1" applyFill="1" applyBorder="1" applyAlignment="1" applyProtection="1">
      <alignment horizontal="right" vertical="center"/>
    </xf>
    <xf numFmtId="0" fontId="2" fillId="0" borderId="107" xfId="0" applyFont="1" applyFill="1" applyBorder="1" applyProtection="1"/>
    <xf numFmtId="0" fontId="21" fillId="0" borderId="107" xfId="0" quotePrefix="1" applyFont="1" applyFill="1" applyBorder="1" applyAlignment="1" applyProtection="1">
      <alignment vertical="center"/>
    </xf>
    <xf numFmtId="0" fontId="38" fillId="0" borderId="107" xfId="0" applyFont="1" applyFill="1" applyBorder="1" applyAlignment="1" applyProtection="1">
      <alignment vertical="top"/>
    </xf>
    <xf numFmtId="0" fontId="38" fillId="0" borderId="107" xfId="0" applyFont="1" applyFill="1" applyBorder="1" applyAlignment="1" applyProtection="1">
      <alignment vertical="top" wrapText="1"/>
    </xf>
    <xf numFmtId="0" fontId="17" fillId="0" borderId="107" xfId="0" applyFont="1" applyFill="1" applyBorder="1" applyProtection="1"/>
    <xf numFmtId="0" fontId="113" fillId="0" borderId="107" xfId="13" applyFont="1" applyFill="1" applyBorder="1" applyAlignment="1" applyProtection="1">
      <alignment vertical="center"/>
    </xf>
    <xf numFmtId="6" fontId="113" fillId="0" borderId="107" xfId="13" applyNumberFormat="1" applyFont="1" applyFill="1" applyBorder="1" applyAlignment="1" applyProtection="1">
      <alignment vertical="center"/>
    </xf>
    <xf numFmtId="0" fontId="4" fillId="0" borderId="107" xfId="13" applyFont="1" applyFill="1" applyBorder="1" applyAlignment="1" applyProtection="1">
      <alignment vertical="center"/>
    </xf>
    <xf numFmtId="6" fontId="4" fillId="0" borderId="107" xfId="13" applyNumberFormat="1" applyFont="1" applyFill="1" applyBorder="1" applyAlignment="1" applyProtection="1">
      <alignment vertical="center"/>
    </xf>
    <xf numFmtId="0" fontId="7" fillId="0" borderId="107" xfId="13" applyFont="1" applyBorder="1" applyAlignment="1" applyProtection="1">
      <alignment horizontal="center"/>
    </xf>
    <xf numFmtId="0" fontId="2" fillId="0" borderId="107" xfId="13" applyFont="1" applyBorder="1" applyAlignment="1" applyProtection="1">
      <alignment horizontal="center"/>
    </xf>
    <xf numFmtId="0" fontId="2" fillId="0" borderId="107" xfId="13" applyBorder="1" applyProtection="1"/>
    <xf numFmtId="0" fontId="2" fillId="0" borderId="108" xfId="13" applyBorder="1" applyProtection="1"/>
    <xf numFmtId="0" fontId="49" fillId="5" borderId="112" xfId="0" applyFont="1" applyFill="1" applyBorder="1" applyAlignment="1" applyProtection="1">
      <alignment horizontal="center" vertical="center"/>
    </xf>
    <xf numFmtId="0" fontId="49" fillId="6" borderId="112" xfId="0" applyFont="1" applyFill="1" applyBorder="1" applyAlignment="1" applyProtection="1">
      <alignment horizontal="center" vertical="center"/>
    </xf>
    <xf numFmtId="0" fontId="49" fillId="16" borderId="112" xfId="0" applyFont="1" applyFill="1" applyBorder="1" applyAlignment="1" applyProtection="1">
      <alignment vertical="center"/>
    </xf>
    <xf numFmtId="0" fontId="106" fillId="0" borderId="112" xfId="0" applyFont="1" applyFill="1" applyBorder="1" applyAlignment="1" applyProtection="1">
      <alignment horizontal="center" vertical="center"/>
    </xf>
    <xf numFmtId="1" fontId="41" fillId="0" borderId="112" xfId="1" applyNumberFormat="1" applyFont="1" applyFill="1" applyBorder="1" applyAlignment="1" applyProtection="1">
      <alignment horizontal="center" vertical="center"/>
    </xf>
    <xf numFmtId="3" fontId="41" fillId="0" borderId="112" xfId="1" applyNumberFormat="1" applyFont="1" applyFill="1" applyBorder="1" applyAlignment="1" applyProtection="1">
      <alignment horizontal="center" vertical="center"/>
    </xf>
    <xf numFmtId="165" fontId="41" fillId="0" borderId="112" xfId="1" applyNumberFormat="1" applyFont="1" applyFill="1" applyBorder="1" applyAlignment="1" applyProtection="1">
      <alignment horizontal="center" vertical="center"/>
    </xf>
    <xf numFmtId="9" fontId="41" fillId="0" borderId="112" xfId="1" applyNumberFormat="1" applyFont="1" applyFill="1" applyBorder="1" applyAlignment="1" applyProtection="1">
      <alignment horizontal="center" vertical="center"/>
    </xf>
    <xf numFmtId="10" fontId="49" fillId="0" borderId="112" xfId="10" applyNumberFormat="1" applyFont="1" applyFill="1" applyBorder="1" applyAlignment="1" applyProtection="1">
      <alignment horizontal="center" vertical="center"/>
    </xf>
    <xf numFmtId="10" fontId="41" fillId="0" borderId="112" xfId="0" applyNumberFormat="1" applyFont="1" applyFill="1" applyBorder="1" applyAlignment="1" applyProtection="1">
      <alignment horizontal="center" vertical="center"/>
    </xf>
    <xf numFmtId="9" fontId="37" fillId="0" borderId="113" xfId="0" applyNumberFormat="1" applyFont="1" applyFill="1" applyBorder="1" applyAlignment="1" applyProtection="1">
      <alignment horizontal="center" vertical="center"/>
    </xf>
    <xf numFmtId="177" fontId="0" fillId="5" borderId="112" xfId="0" applyNumberFormat="1" applyFill="1" applyBorder="1" applyAlignment="1" applyProtection="1">
      <alignment horizontal="center" vertical="center"/>
      <protection locked="0"/>
    </xf>
    <xf numFmtId="10" fontId="0" fillId="5" borderId="112" xfId="0" applyNumberFormat="1" applyFill="1" applyBorder="1" applyAlignment="1" applyProtection="1">
      <alignment horizontal="center" vertical="center"/>
      <protection locked="0"/>
    </xf>
    <xf numFmtId="3" fontId="0" fillId="5" borderId="112" xfId="0" applyNumberFormat="1" applyFill="1" applyBorder="1" applyAlignment="1" applyProtection="1">
      <alignment horizontal="center" vertical="center"/>
      <protection locked="0"/>
    </xf>
    <xf numFmtId="177" fontId="0" fillId="5" borderId="112" xfId="0" applyNumberFormat="1" applyFill="1" applyBorder="1" applyProtection="1">
      <protection locked="0"/>
    </xf>
    <xf numFmtId="166" fontId="0" fillId="5" borderId="112" xfId="0" applyNumberFormat="1" applyFill="1" applyBorder="1" applyAlignment="1" applyProtection="1">
      <alignment horizontal="center"/>
      <protection locked="0"/>
    </xf>
    <xf numFmtId="10" fontId="0" fillId="5" borderId="112" xfId="0" applyNumberFormat="1" applyFill="1" applyBorder="1" applyAlignment="1" applyProtection="1">
      <alignment horizontal="center"/>
      <protection locked="0"/>
    </xf>
    <xf numFmtId="3" fontId="0" fillId="5" borderId="112" xfId="0" applyNumberFormat="1" applyFill="1" applyBorder="1" applyAlignment="1" applyProtection="1">
      <alignment horizontal="center"/>
      <protection locked="0"/>
    </xf>
    <xf numFmtId="0" fontId="58" fillId="0" borderId="114" xfId="0" applyFont="1" applyFill="1" applyBorder="1" applyAlignment="1" applyProtection="1">
      <alignment vertical="top"/>
    </xf>
    <xf numFmtId="0" fontId="58" fillId="0" borderId="113" xfId="0" applyFont="1" applyFill="1" applyBorder="1" applyAlignment="1" applyProtection="1">
      <alignment vertical="center"/>
    </xf>
    <xf numFmtId="0" fontId="58" fillId="0" borderId="113" xfId="0" applyFont="1" applyFill="1" applyBorder="1" applyAlignment="1" applyProtection="1">
      <alignment horizontal="center" vertical="center"/>
    </xf>
    <xf numFmtId="0" fontId="0" fillId="0" borderId="114" xfId="0" applyBorder="1" applyProtection="1"/>
    <xf numFmtId="0" fontId="2" fillId="0" borderId="115" xfId="0" applyFont="1" applyFill="1" applyBorder="1" applyProtection="1"/>
    <xf numFmtId="38" fontId="2" fillId="0" borderId="115" xfId="1" applyNumberFormat="1" applyFont="1" applyFill="1" applyBorder="1" applyAlignment="1" applyProtection="1">
      <alignment horizontal="right" vertical="center"/>
    </xf>
    <xf numFmtId="38" fontId="2" fillId="0" borderId="115" xfId="1" applyNumberFormat="1" applyFont="1" applyFill="1" applyBorder="1" applyAlignment="1" applyProtection="1">
      <alignment vertical="center"/>
    </xf>
    <xf numFmtId="0" fontId="2" fillId="0" borderId="114" xfId="0" applyFont="1" applyFill="1" applyBorder="1" applyProtection="1"/>
    <xf numFmtId="10" fontId="13" fillId="0" borderId="114" xfId="0" applyNumberFormat="1" applyFont="1" applyFill="1" applyBorder="1" applyAlignment="1" applyProtection="1">
      <alignment vertical="center"/>
    </xf>
    <xf numFmtId="0" fontId="7" fillId="0" borderId="114" xfId="0" applyFont="1" applyFill="1" applyBorder="1" applyAlignment="1" applyProtection="1">
      <alignment horizontal="center" vertical="center"/>
    </xf>
    <xf numFmtId="0" fontId="7" fillId="0" borderId="115" xfId="0" applyFont="1" applyFill="1" applyBorder="1" applyAlignment="1" applyProtection="1">
      <alignment horizontal="center" vertical="center"/>
    </xf>
    <xf numFmtId="0" fontId="7" fillId="0" borderId="74" xfId="0" applyFont="1" applyFill="1" applyBorder="1" applyAlignment="1" applyProtection="1">
      <alignment horizontal="center" vertical="center"/>
    </xf>
    <xf numFmtId="0" fontId="38" fillId="0" borderId="114" xfId="0" applyFont="1" applyFill="1" applyBorder="1" applyAlignment="1" applyProtection="1">
      <alignment horizontal="left" vertical="top" wrapText="1"/>
    </xf>
    <xf numFmtId="0" fontId="38" fillId="0" borderId="117" xfId="0" applyFont="1" applyFill="1" applyBorder="1" applyAlignment="1" applyProtection="1">
      <alignment vertical="top" wrapText="1"/>
    </xf>
    <xf numFmtId="38" fontId="13" fillId="0" borderId="116" xfId="0" applyNumberFormat="1" applyFont="1" applyFill="1" applyBorder="1" applyAlignment="1" applyProtection="1">
      <alignment horizontal="center" vertical="center" wrapText="1"/>
    </xf>
    <xf numFmtId="38" fontId="12" fillId="0" borderId="74" xfId="0" applyNumberFormat="1" applyFont="1" applyFill="1" applyBorder="1" applyAlignment="1" applyProtection="1">
      <alignment horizontal="center" vertical="center"/>
    </xf>
    <xf numFmtId="1" fontId="9" fillId="13" borderId="74" xfId="0" applyNumberFormat="1" applyFont="1" applyFill="1" applyBorder="1" applyAlignment="1" applyProtection="1">
      <alignment horizontal="center" vertical="center"/>
    </xf>
    <xf numFmtId="10" fontId="13" fillId="0" borderId="74" xfId="0" applyNumberFormat="1" applyFont="1" applyFill="1" applyBorder="1" applyAlignment="1" applyProtection="1">
      <alignment horizontal="center" vertical="center"/>
    </xf>
    <xf numFmtId="168" fontId="37" fillId="13" borderId="74" xfId="0" applyNumberFormat="1" applyFont="1" applyFill="1" applyBorder="1" applyAlignment="1" applyProtection="1">
      <alignment vertical="center"/>
    </xf>
    <xf numFmtId="38" fontId="2" fillId="0" borderId="74" xfId="0" applyNumberFormat="1" applyFont="1" applyFill="1" applyBorder="1" applyAlignment="1" applyProtection="1">
      <alignment horizontal="center" vertical="center"/>
    </xf>
    <xf numFmtId="38" fontId="7" fillId="13" borderId="74" xfId="0" applyNumberFormat="1" applyFont="1" applyFill="1" applyBorder="1" applyAlignment="1" applyProtection="1">
      <alignment horizontal="center" vertical="center"/>
    </xf>
    <xf numFmtId="38" fontId="7" fillId="0" borderId="74" xfId="0" applyNumberFormat="1" applyFont="1" applyFill="1" applyBorder="1" applyAlignment="1" applyProtection="1">
      <alignment horizontal="center" vertical="center"/>
    </xf>
    <xf numFmtId="0" fontId="13" fillId="13" borderId="74" xfId="0" applyFont="1" applyFill="1" applyBorder="1" applyAlignment="1" applyProtection="1">
      <alignment horizontal="center" vertical="center"/>
    </xf>
    <xf numFmtId="0" fontId="2" fillId="0" borderId="74" xfId="0" applyFont="1" applyFill="1" applyBorder="1" applyAlignment="1" applyProtection="1">
      <alignment horizontal="center" vertical="center"/>
    </xf>
    <xf numFmtId="176" fontId="38" fillId="13" borderId="74" xfId="0" applyNumberFormat="1" applyFont="1" applyFill="1" applyBorder="1" applyAlignment="1" applyProtection="1">
      <alignment horizontal="center" vertical="center"/>
    </xf>
    <xf numFmtId="38" fontId="9" fillId="0" borderId="74" xfId="0" applyNumberFormat="1" applyFont="1" applyFill="1" applyBorder="1" applyAlignment="1" applyProtection="1">
      <alignment horizontal="center" vertical="center"/>
    </xf>
    <xf numFmtId="0" fontId="13" fillId="13" borderId="74" xfId="0" applyFont="1" applyFill="1" applyBorder="1" applyAlignment="1" applyProtection="1">
      <alignment horizontal="center" vertical="top"/>
    </xf>
    <xf numFmtId="0" fontId="3" fillId="0" borderId="115" xfId="0" applyFont="1" applyBorder="1" applyAlignment="1" applyProtection="1">
      <alignment vertical="center"/>
    </xf>
    <xf numFmtId="3" fontId="7" fillId="0" borderId="74" xfId="0" applyNumberFormat="1" applyFont="1" applyFill="1" applyBorder="1" applyAlignment="1" applyProtection="1">
      <alignment horizontal="center" vertical="center"/>
    </xf>
    <xf numFmtId="0" fontId="7" fillId="13" borderId="74" xfId="0" applyFont="1" applyFill="1" applyBorder="1" applyAlignment="1" applyProtection="1">
      <alignment horizontal="center" vertical="center"/>
    </xf>
    <xf numFmtId="0" fontId="3" fillId="13" borderId="74" xfId="0" applyFont="1" applyFill="1" applyBorder="1" applyAlignment="1" applyProtection="1">
      <alignment horizontal="center" vertical="center"/>
    </xf>
    <xf numFmtId="3" fontId="13" fillId="0" borderId="74" xfId="0" applyNumberFormat="1" applyFont="1" applyBorder="1" applyAlignment="1" applyProtection="1">
      <alignment horizontal="center"/>
    </xf>
    <xf numFmtId="10" fontId="13" fillId="0" borderId="74" xfId="0" applyNumberFormat="1" applyFont="1" applyBorder="1" applyAlignment="1" applyProtection="1">
      <alignment horizontal="center"/>
    </xf>
    <xf numFmtId="38" fontId="7" fillId="0" borderId="74" xfId="0" applyNumberFormat="1" applyFont="1" applyBorder="1" applyAlignment="1" applyProtection="1">
      <alignment horizontal="center" vertical="center"/>
    </xf>
    <xf numFmtId="3" fontId="86" fillId="0" borderId="74" xfId="0" applyNumberFormat="1" applyFont="1" applyFill="1" applyBorder="1" applyAlignment="1" applyProtection="1">
      <alignment horizontal="center" vertical="center"/>
    </xf>
    <xf numFmtId="38" fontId="9" fillId="0" borderId="115" xfId="0" applyNumberFormat="1" applyFont="1" applyFill="1" applyBorder="1" applyAlignment="1" applyProtection="1">
      <alignment horizontal="center" vertical="center"/>
    </xf>
    <xf numFmtId="165" fontId="3" fillId="0" borderId="74"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166" fontId="2" fillId="0" borderId="74" xfId="13" applyNumberFormat="1" applyFont="1" applyBorder="1" applyAlignment="1" applyProtection="1">
      <alignment vertical="center"/>
    </xf>
    <xf numFmtId="3" fontId="7" fillId="0" borderId="74" xfId="13" applyNumberFormat="1" applyFont="1" applyBorder="1" applyAlignment="1" applyProtection="1">
      <alignment vertical="center"/>
    </xf>
    <xf numFmtId="3" fontId="2" fillId="0" borderId="74" xfId="13" applyNumberFormat="1" applyFont="1" applyFill="1" applyBorder="1" applyAlignment="1" applyProtection="1">
      <alignment vertical="center"/>
    </xf>
    <xf numFmtId="3" fontId="157" fillId="0" borderId="74" xfId="13" applyNumberFormat="1" applyFont="1" applyFill="1" applyBorder="1" applyAlignment="1" applyProtection="1">
      <alignment vertical="center"/>
    </xf>
    <xf numFmtId="0" fontId="2" fillId="0" borderId="114" xfId="13" applyFont="1" applyBorder="1" applyProtection="1"/>
    <xf numFmtId="0" fontId="2" fillId="0" borderId="114" xfId="13" applyBorder="1" applyProtection="1"/>
    <xf numFmtId="38" fontId="38" fillId="0" borderId="74" xfId="0" applyNumberFormat="1" applyFont="1" applyBorder="1" applyAlignment="1" applyProtection="1">
      <alignment horizontal="center" vertical="center"/>
    </xf>
    <xf numFmtId="37" fontId="38" fillId="0" borderId="74" xfId="1" applyNumberFormat="1" applyFont="1" applyFill="1" applyBorder="1" applyAlignment="1" applyProtection="1">
      <alignment horizontal="center" vertical="center"/>
    </xf>
    <xf numFmtId="0" fontId="38" fillId="0" borderId="74" xfId="0" applyFont="1" applyBorder="1" applyAlignment="1" applyProtection="1">
      <alignment horizontal="center" vertical="center"/>
    </xf>
    <xf numFmtId="37" fontId="38" fillId="0" borderId="74" xfId="1" applyNumberFormat="1" applyFont="1" applyBorder="1" applyAlignment="1" applyProtection="1">
      <alignment horizontal="center" vertical="center"/>
    </xf>
    <xf numFmtId="0" fontId="38" fillId="0" borderId="74" xfId="0" applyFont="1" applyFill="1" applyBorder="1" applyAlignment="1" applyProtection="1">
      <alignment horizontal="center" vertical="center"/>
    </xf>
    <xf numFmtId="1" fontId="38" fillId="0" borderId="74" xfId="10" applyNumberFormat="1" applyFont="1" applyBorder="1" applyAlignment="1" applyProtection="1">
      <alignment horizontal="center" vertical="center"/>
    </xf>
    <xf numFmtId="0" fontId="38" fillId="0" borderId="74" xfId="0" applyNumberFormat="1" applyFont="1" applyBorder="1" applyAlignment="1" applyProtection="1">
      <alignment horizontal="center" vertical="center"/>
    </xf>
    <xf numFmtId="0" fontId="46" fillId="0" borderId="74" xfId="0" applyFont="1" applyBorder="1" applyAlignment="1" applyProtection="1">
      <alignment horizontal="center" vertical="top" wrapText="1"/>
    </xf>
    <xf numFmtId="9" fontId="46" fillId="0" borderId="74" xfId="0" applyNumberFormat="1" applyFont="1" applyBorder="1" applyAlignment="1" applyProtection="1">
      <alignment horizontal="center" vertical="top" wrapText="1"/>
    </xf>
    <xf numFmtId="8" fontId="2" fillId="0" borderId="0" xfId="0" applyNumberFormat="1" applyFont="1" applyBorder="1" applyAlignment="1" applyProtection="1">
      <alignment horizontal="center"/>
    </xf>
    <xf numFmtId="8" fontId="2" fillId="0" borderId="16" xfId="0" applyNumberFormat="1" applyFont="1" applyBorder="1" applyAlignment="1" applyProtection="1">
      <alignment horizontal="center"/>
    </xf>
    <xf numFmtId="8" fontId="2" fillId="0" borderId="15" xfId="0" applyNumberFormat="1" applyFont="1" applyBorder="1" applyAlignment="1" applyProtection="1">
      <alignment horizontal="center"/>
    </xf>
    <xf numFmtId="0" fontId="7" fillId="0" borderId="9" xfId="0" applyFont="1" applyBorder="1" applyAlignment="1" applyProtection="1">
      <alignment horizontal="center" vertical="center" wrapText="1"/>
    </xf>
    <xf numFmtId="0" fontId="7" fillId="0" borderId="0" xfId="0" applyFont="1" applyAlignment="1" applyProtection="1">
      <alignment horizont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8" fillId="0" borderId="0" xfId="13" applyFont="1" applyAlignment="1" applyProtection="1">
      <alignment horizontal="justify" vertical="top" wrapText="1"/>
    </xf>
    <xf numFmtId="0" fontId="113" fillId="0" borderId="0" xfId="13" applyFont="1" applyAlignment="1" applyProtection="1"/>
    <xf numFmtId="0" fontId="113" fillId="0" borderId="0" xfId="13" applyFont="1" applyAlignment="1" applyProtection="1">
      <alignment horizontal="justify" vertical="top" wrapText="1"/>
    </xf>
    <xf numFmtId="0" fontId="113" fillId="0" borderId="0" xfId="13" applyFont="1" applyFill="1" applyAlignment="1" applyProtection="1">
      <alignment horizontal="left"/>
    </xf>
    <xf numFmtId="181" fontId="113" fillId="0" borderId="0" xfId="13" applyNumberFormat="1" applyFont="1" applyFill="1" applyAlignment="1" applyProtection="1">
      <alignment horizontal="left"/>
    </xf>
    <xf numFmtId="4" fontId="113" fillId="0" borderId="0" xfId="13" applyNumberFormat="1" applyFont="1" applyFill="1" applyAlignment="1" applyProtection="1">
      <alignment horizontal="left"/>
    </xf>
    <xf numFmtId="0" fontId="113"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4" fillId="0" borderId="0" xfId="13" applyFont="1" applyAlignment="1" applyProtection="1">
      <alignment horizontal="left"/>
    </xf>
    <xf numFmtId="0" fontId="128" fillId="10" borderId="0" xfId="13" applyFont="1" applyFill="1" applyAlignment="1" applyProtection="1">
      <alignment horizontal="left" vertical="top" wrapText="1"/>
    </xf>
    <xf numFmtId="0" fontId="8" fillId="0" borderId="0" xfId="13" applyFont="1" applyAlignment="1" applyProtection="1">
      <alignment horizontal="left"/>
    </xf>
    <xf numFmtId="0" fontId="204" fillId="0" borderId="0" xfId="13" applyFont="1" applyAlignment="1">
      <alignment horizontal="center" vertical="center"/>
    </xf>
    <xf numFmtId="0" fontId="21" fillId="0" borderId="74" xfId="13" applyFont="1" applyBorder="1" applyAlignment="1" applyProtection="1">
      <alignment horizontal="center" vertical="center" wrapText="1"/>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7" fillId="10" borderId="9" xfId="13" applyFont="1" applyFill="1" applyBorder="1" applyAlignment="1" applyProtection="1">
      <alignment horizontal="left"/>
    </xf>
    <xf numFmtId="0" fontId="2" fillId="0" borderId="0" xfId="13" applyFont="1" applyAlignment="1" applyProtection="1">
      <alignment horizontal="justify" vertical="top" wrapText="1"/>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7" fillId="0" borderId="0" xfId="13" applyFont="1" applyBorder="1" applyAlignment="1" applyProtection="1">
      <alignment horizontal="center"/>
    </xf>
    <xf numFmtId="0" fontId="148" fillId="0" borderId="74" xfId="13" applyFont="1" applyFill="1" applyBorder="1" applyAlignment="1" applyProtection="1">
      <alignment horizontal="center" vertical="center" wrapText="1"/>
    </xf>
    <xf numFmtId="164" fontId="12" fillId="0" borderId="74" xfId="1" applyNumberFormat="1" applyFont="1" applyFill="1" applyBorder="1" applyAlignment="1" applyProtection="1">
      <alignment horizontal="center" vertical="center"/>
    </xf>
    <xf numFmtId="38" fontId="2" fillId="0" borderId="74" xfId="1" applyNumberFormat="1" applyFont="1" applyFill="1" applyBorder="1" applyAlignment="1" applyProtection="1">
      <alignment horizontal="right" vertical="center"/>
    </xf>
    <xf numFmtId="38" fontId="2" fillId="0" borderId="74" xfId="1" applyNumberFormat="1" applyFont="1" applyFill="1" applyBorder="1" applyAlignment="1" applyProtection="1">
      <alignment vertical="center"/>
    </xf>
    <xf numFmtId="10" fontId="12" fillId="0" borderId="74" xfId="0" applyNumberFormat="1" applyFont="1" applyFill="1" applyBorder="1" applyProtection="1"/>
    <xf numFmtId="164" fontId="12" fillId="0" borderId="74" xfId="1" applyNumberFormat="1" applyFont="1" applyFill="1" applyBorder="1" applyAlignment="1" applyProtection="1">
      <alignment vertical="center"/>
    </xf>
    <xf numFmtId="0" fontId="7" fillId="6" borderId="74" xfId="0" applyFont="1" applyFill="1" applyBorder="1" applyAlignment="1" applyProtection="1">
      <alignment horizontal="center" vertical="center"/>
    </xf>
    <xf numFmtId="0" fontId="7" fillId="13" borderId="74" xfId="0" applyFont="1" applyFill="1" applyBorder="1" applyAlignment="1" applyProtection="1">
      <alignment horizontal="center" vertical="center" wrapText="1"/>
    </xf>
    <xf numFmtId="1" fontId="87" fillId="0" borderId="74" xfId="0" applyNumberFormat="1" applyFont="1" applyFill="1" applyBorder="1" applyAlignment="1" applyProtection="1">
      <alignment horizontal="center" vertical="center"/>
    </xf>
    <xf numFmtId="166" fontId="41" fillId="0" borderId="121" xfId="0" applyNumberFormat="1" applyFont="1" applyFill="1" applyBorder="1" applyAlignment="1" applyProtection="1">
      <alignment horizontal="center" vertical="center"/>
    </xf>
    <xf numFmtId="0" fontId="57" fillId="0" borderId="121" xfId="0" applyFont="1" applyFill="1" applyBorder="1" applyAlignment="1" applyProtection="1">
      <alignment horizontal="left" vertical="center"/>
    </xf>
    <xf numFmtId="10" fontId="3" fillId="0" borderId="125" xfId="0" applyNumberFormat="1" applyFont="1" applyFill="1" applyBorder="1" applyAlignment="1" applyProtection="1">
      <alignment horizontal="center" vertical="center" wrapText="1"/>
    </xf>
    <xf numFmtId="10" fontId="3" fillId="0" borderId="127" xfId="0" applyNumberFormat="1" applyFont="1" applyFill="1" applyBorder="1" applyAlignment="1" applyProtection="1">
      <alignment horizontal="center" vertical="center" wrapText="1"/>
    </xf>
    <xf numFmtId="0" fontId="13" fillId="13" borderId="127" xfId="0" applyFont="1" applyFill="1" applyBorder="1" applyAlignment="1" applyProtection="1">
      <alignment horizontal="center" vertical="center"/>
    </xf>
    <xf numFmtId="38" fontId="186" fillId="0" borderId="123" xfId="0" applyNumberFormat="1" applyFont="1" applyBorder="1" applyAlignment="1" applyProtection="1">
      <alignment horizontal="center" vertical="center" wrapText="1"/>
    </xf>
    <xf numFmtId="38" fontId="195" fillId="0" borderId="124" xfId="0" applyNumberFormat="1" applyFont="1" applyBorder="1" applyAlignment="1" applyProtection="1">
      <alignment horizontal="left" vertical="center" wrapText="1"/>
    </xf>
    <xf numFmtId="0" fontId="8" fillId="0" borderId="123" xfId="13" applyFont="1" applyBorder="1" applyAlignment="1" applyProtection="1">
      <alignment vertical="center"/>
    </xf>
    <xf numFmtId="0" fontId="8" fillId="0" borderId="72" xfId="13" applyFont="1" applyBorder="1" applyAlignment="1" applyProtection="1">
      <alignment vertical="center"/>
    </xf>
    <xf numFmtId="0" fontId="24" fillId="0" borderId="72" xfId="13" applyFont="1" applyBorder="1" applyAlignment="1" applyProtection="1">
      <alignment horizontal="right" vertical="center"/>
    </xf>
    <xf numFmtId="10" fontId="7" fillId="10" borderId="72" xfId="13" applyNumberFormat="1" applyFont="1" applyFill="1" applyBorder="1" applyAlignment="1" applyProtection="1">
      <alignment horizontal="left"/>
    </xf>
    <xf numFmtId="0" fontId="2" fillId="10" borderId="72" xfId="13" applyFont="1" applyFill="1" applyBorder="1" applyAlignment="1" applyProtection="1">
      <alignment horizontal="center" vertical="center"/>
    </xf>
    <xf numFmtId="0" fontId="38" fillId="5" borderId="72" xfId="0" applyFont="1" applyFill="1" applyBorder="1" applyAlignment="1" applyProtection="1">
      <alignment horizontal="left"/>
    </xf>
    <xf numFmtId="0" fontId="38" fillId="5" borderId="124" xfId="0" applyFont="1" applyFill="1" applyBorder="1" applyAlignment="1" applyProtection="1">
      <alignment horizontal="left"/>
    </xf>
    <xf numFmtId="0" fontId="38" fillId="5" borderId="123" xfId="0" applyFont="1" applyFill="1" applyBorder="1" applyAlignment="1" applyProtection="1">
      <alignment horizontal="left"/>
    </xf>
    <xf numFmtId="0" fontId="36" fillId="0" borderId="0" xfId="0" applyFont="1" applyFill="1" applyAlignment="1" applyProtection="1">
      <alignment horizontal="center" vertical="center" wrapText="1"/>
    </xf>
    <xf numFmtId="0" fontId="41" fillId="0" borderId="114" xfId="0" applyFont="1" applyFill="1" applyBorder="1" applyAlignment="1" applyProtection="1">
      <alignment horizontal="center" vertical="center"/>
    </xf>
    <xf numFmtId="0" fontId="41" fillId="0" borderId="9" xfId="0" applyFont="1" applyFill="1" applyBorder="1" applyAlignment="1" applyProtection="1">
      <alignment horizontal="center" vertical="center"/>
    </xf>
    <xf numFmtId="0" fontId="41" fillId="0" borderId="0" xfId="0" applyFont="1" applyFill="1" applyBorder="1" applyAlignment="1" applyProtection="1">
      <alignment horizontal="left" vertical="center"/>
    </xf>
    <xf numFmtId="0" fontId="41" fillId="0" borderId="0" xfId="0" applyFont="1" applyFill="1" applyBorder="1" applyAlignment="1" applyProtection="1">
      <alignment horizontal="left"/>
    </xf>
    <xf numFmtId="0" fontId="41" fillId="0" borderId="0" xfId="0" applyFont="1" applyFill="1" applyAlignment="1" applyProtection="1">
      <alignment horizontal="center" vertical="center"/>
    </xf>
    <xf numFmtId="0" fontId="41" fillId="0" borderId="5" xfId="0" applyFont="1" applyFill="1" applyBorder="1" applyAlignment="1" applyProtection="1">
      <alignment horizontal="center" vertical="center"/>
    </xf>
    <xf numFmtId="0" fontId="49" fillId="0" borderId="0" xfId="0" applyFont="1" applyFill="1" applyBorder="1" applyAlignment="1" applyProtection="1">
      <alignment horizontal="left"/>
    </xf>
    <xf numFmtId="0" fontId="41" fillId="0" borderId="9" xfId="0" applyFont="1" applyFill="1" applyBorder="1" applyAlignment="1" applyProtection="1">
      <alignment horizontal="left" vertical="center"/>
    </xf>
    <xf numFmtId="0" fontId="7" fillId="0" borderId="0" xfId="0" applyFont="1" applyFill="1" applyAlignment="1" applyProtection="1">
      <alignment horizontal="left"/>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41" fillId="0" borderId="107" xfId="0" applyFont="1" applyFill="1" applyBorder="1" applyAlignment="1" applyProtection="1">
      <alignment vertical="center"/>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0" xfId="0" applyFont="1" applyFill="1" applyBorder="1" applyAlignment="1" applyProtection="1">
      <alignment horizontal="center" vertical="center"/>
    </xf>
    <xf numFmtId="0" fontId="41" fillId="0" borderId="0" xfId="0" applyFont="1" applyFill="1" applyBorder="1" applyAlignment="1" applyProtection="1">
      <alignment horizontal="center" wrapText="1"/>
    </xf>
    <xf numFmtId="0" fontId="41" fillId="0" borderId="113" xfId="0" applyFont="1" applyFill="1" applyBorder="1" applyAlignment="1" applyProtection="1">
      <alignment horizontal="center" vertical="center"/>
    </xf>
    <xf numFmtId="0" fontId="41" fillId="0" borderId="5" xfId="0" applyFont="1" applyFill="1" applyBorder="1" applyAlignment="1" applyProtection="1">
      <alignment vertical="center"/>
    </xf>
    <xf numFmtId="0" fontId="12" fillId="0" borderId="0" xfId="0" applyFont="1" applyAlignment="1" applyProtection="1">
      <alignment horizontal="center" vertical="center"/>
    </xf>
    <xf numFmtId="171" fontId="49" fillId="0" borderId="0" xfId="0" applyNumberFormat="1" applyFont="1" applyFill="1" applyBorder="1" applyAlignment="1" applyProtection="1">
      <alignment horizontal="center" vertical="center"/>
    </xf>
    <xf numFmtId="4" fontId="58" fillId="0" borderId="9" xfId="1" applyNumberFormat="1" applyFont="1" applyFill="1" applyBorder="1" applyAlignment="1" applyProtection="1">
      <alignment horizontal="right" vertical="center"/>
    </xf>
    <xf numFmtId="4" fontId="58" fillId="0" borderId="107" xfId="1" applyNumberFormat="1" applyFont="1" applyFill="1" applyBorder="1" applyAlignment="1" applyProtection="1">
      <alignment horizontal="right" vertical="center"/>
    </xf>
    <xf numFmtId="171" fontId="47" fillId="0" borderId="107" xfId="0" applyNumberFormat="1" applyFont="1" applyFill="1" applyBorder="1" applyAlignment="1" applyProtection="1">
      <alignment horizontal="left" vertical="center"/>
    </xf>
    <xf numFmtId="164" fontId="41" fillId="0" borderId="0" xfId="1"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7" fillId="0" borderId="0" xfId="0" applyFont="1" applyFill="1" applyAlignment="1" applyProtection="1">
      <alignment horizont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wrapText="1"/>
    </xf>
    <xf numFmtId="0" fontId="38" fillId="0" borderId="9" xfId="0" applyFont="1" applyBorder="1" applyAlignment="1" applyProtection="1">
      <alignment horizontal="center" vertical="center"/>
    </xf>
    <xf numFmtId="0" fontId="86" fillId="0" borderId="0"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49" fontId="86" fillId="0" borderId="0" xfId="0" applyNumberFormat="1" applyFont="1" applyAlignment="1" applyProtection="1">
      <alignment horizontal="left" vertical="center"/>
    </xf>
    <xf numFmtId="0" fontId="3" fillId="0" borderId="9" xfId="0" applyFont="1" applyFill="1" applyBorder="1" applyAlignment="1" applyProtection="1">
      <alignment horizontal="left" vertical="center" wrapText="1"/>
    </xf>
    <xf numFmtId="3" fontId="12" fillId="0" borderId="12" xfId="0" applyNumberFormat="1" applyFont="1" applyBorder="1" applyAlignment="1" applyProtection="1">
      <alignment horizontal="center" vertical="center" wrapText="1"/>
    </xf>
    <xf numFmtId="3" fontId="12" fillId="0" borderId="14" xfId="0" applyNumberFormat="1" applyFont="1" applyBorder="1" applyAlignment="1" applyProtection="1">
      <alignment horizontal="center" vertical="center" wrapText="1"/>
    </xf>
    <xf numFmtId="0" fontId="87" fillId="0" borderId="0" xfId="0" applyFont="1" applyFill="1" applyAlignment="1" applyProtection="1">
      <alignment horizontal="left" vertical="center"/>
    </xf>
    <xf numFmtId="3" fontId="38" fillId="0" borderId="74" xfId="10" applyNumberFormat="1" applyFont="1" applyBorder="1" applyAlignment="1" applyProtection="1">
      <alignment horizontal="center" vertical="center"/>
    </xf>
    <xf numFmtId="9" fontId="38" fillId="0" borderId="74" xfId="10" applyFont="1" applyBorder="1" applyAlignment="1" applyProtection="1">
      <alignment horizontal="center" vertical="center"/>
    </xf>
    <xf numFmtId="0" fontId="41" fillId="0" borderId="0" xfId="0" applyFont="1" applyFill="1" applyBorder="1" applyAlignment="1" applyProtection="1">
      <alignment vertical="top" wrapText="1"/>
    </xf>
    <xf numFmtId="167" fontId="41" fillId="0" borderId="0" xfId="0" applyNumberFormat="1" applyFont="1" applyFill="1" applyBorder="1" applyAlignment="1" applyProtection="1">
      <alignment vertical="center"/>
    </xf>
    <xf numFmtId="1" fontId="41" fillId="0" borderId="0" xfId="0" applyNumberFormat="1" applyFont="1" applyFill="1" applyBorder="1" applyAlignment="1" applyProtection="1">
      <alignment horizontal="center" vertical="center"/>
    </xf>
    <xf numFmtId="166" fontId="41" fillId="0" borderId="0" xfId="0" applyNumberFormat="1" applyFont="1" applyFill="1" applyBorder="1" applyAlignment="1" applyProtection="1">
      <alignment horizontal="center" vertical="center"/>
    </xf>
    <xf numFmtId="0" fontId="37" fillId="0" borderId="0" xfId="0" applyFont="1" applyFill="1" applyBorder="1" applyAlignment="1" applyProtection="1">
      <alignment horizontal="center" vertical="center"/>
    </xf>
    <xf numFmtId="38" fontId="41" fillId="0" borderId="0" xfId="2" applyNumberFormat="1" applyFont="1" applyFill="1" applyBorder="1" applyAlignment="1" applyProtection="1">
      <alignment horizontal="center" vertical="center"/>
    </xf>
    <xf numFmtId="0" fontId="38" fillId="0" borderId="0" xfId="13" applyFont="1" applyFill="1" applyBorder="1" applyAlignment="1" applyProtection="1">
      <alignment vertical="center"/>
    </xf>
    <xf numFmtId="3" fontId="2" fillId="0" borderId="0" xfId="1" applyNumberFormat="1" applyFont="1" applyFill="1" applyBorder="1" applyAlignment="1" applyProtection="1">
      <alignment horizontal="right" vertical="center"/>
    </xf>
    <xf numFmtId="0" fontId="36" fillId="0" borderId="0" xfId="0" applyFont="1" applyFill="1" applyAlignment="1" applyProtection="1">
      <alignment horizontal="center" vertical="center" wrapText="1"/>
    </xf>
    <xf numFmtId="0" fontId="41" fillId="0" borderId="0" xfId="0" applyFont="1" applyFill="1" applyBorder="1" applyAlignment="1" applyProtection="1">
      <alignment horizontal="left" vertical="center"/>
    </xf>
    <xf numFmtId="0" fontId="41" fillId="0" borderId="4" xfId="0" applyFont="1" applyBorder="1" applyAlignment="1" applyProtection="1">
      <alignment horizontal="center"/>
    </xf>
    <xf numFmtId="0" fontId="41" fillId="0" borderId="5" xfId="0" applyFont="1" applyBorder="1" applyAlignment="1" applyProtection="1">
      <alignment horizontal="center"/>
    </xf>
    <xf numFmtId="0" fontId="41" fillId="0" borderId="4" xfId="0" applyFont="1" applyFill="1" applyBorder="1" applyAlignment="1" applyProtection="1">
      <alignment horizontal="center" vertical="center"/>
    </xf>
    <xf numFmtId="0" fontId="41" fillId="0" borderId="0" xfId="0" applyFont="1" applyFill="1" applyAlignment="1" applyProtection="1">
      <alignment horizontal="center" vertical="center"/>
    </xf>
    <xf numFmtId="0" fontId="41" fillId="0" borderId="5" xfId="0" applyFont="1" applyFill="1" applyBorder="1" applyAlignment="1" applyProtection="1">
      <alignment horizontal="center" vertical="center"/>
    </xf>
    <xf numFmtId="0" fontId="49" fillId="0" borderId="0" xfId="0" applyFont="1" applyFill="1" applyBorder="1" applyAlignment="1" applyProtection="1">
      <alignment horizontal="left"/>
    </xf>
    <xf numFmtId="0" fontId="41" fillId="0" borderId="0" xfId="0" applyFont="1" applyBorder="1" applyAlignment="1" applyProtection="1">
      <alignment horizontal="left"/>
    </xf>
    <xf numFmtId="0" fontId="49" fillId="0" borderId="0" xfId="0" applyFont="1" applyFill="1" applyBorder="1" applyAlignment="1" applyProtection="1">
      <alignment horizontal="left" wrapText="1"/>
    </xf>
    <xf numFmtId="0" fontId="41" fillId="0" borderId="0" xfId="0" applyFont="1" applyFill="1" applyBorder="1" applyAlignment="1" applyProtection="1">
      <alignment horizontal="left"/>
    </xf>
    <xf numFmtId="0" fontId="41" fillId="0" borderId="0" xfId="0" applyFont="1" applyFill="1" applyBorder="1" applyAlignment="1" applyProtection="1">
      <alignment horizontal="left" vertical="top" wrapText="1"/>
    </xf>
    <xf numFmtId="0" fontId="41" fillId="0" borderId="0" xfId="0" applyFont="1" applyFill="1" applyAlignment="1" applyProtection="1">
      <alignment horizontal="left" vertical="top" wrapText="1"/>
    </xf>
    <xf numFmtId="0" fontId="104" fillId="0" borderId="0" xfId="6" applyFont="1" applyFill="1" applyBorder="1" applyAlignment="1" applyProtection="1">
      <alignment horizontal="left" vertical="center"/>
    </xf>
    <xf numFmtId="0" fontId="105" fillId="0" borderId="0" xfId="6" applyFont="1" applyFill="1" applyBorder="1" applyAlignment="1" applyProtection="1">
      <alignment horizontal="left" vertical="center"/>
    </xf>
    <xf numFmtId="0" fontId="41" fillId="0" borderId="114" xfId="0" applyFont="1" applyFill="1" applyBorder="1" applyAlignment="1" applyProtection="1">
      <alignment horizontal="center" vertical="center"/>
    </xf>
    <xf numFmtId="0" fontId="41" fillId="0" borderId="108" xfId="0" applyFont="1" applyFill="1" applyBorder="1" applyAlignment="1" applyProtection="1">
      <alignment horizontal="center" vertical="center"/>
    </xf>
    <xf numFmtId="0" fontId="41" fillId="0" borderId="9" xfId="0" applyFont="1" applyFill="1" applyBorder="1" applyAlignment="1" applyProtection="1">
      <alignment horizontal="center"/>
    </xf>
    <xf numFmtId="0" fontId="41" fillId="0" borderId="9" xfId="0" applyFont="1" applyFill="1" applyBorder="1" applyAlignment="1" applyProtection="1">
      <alignment horizontal="center" vertical="center"/>
    </xf>
    <xf numFmtId="0" fontId="170" fillId="0" borderId="0" xfId="0" applyFont="1" applyFill="1" applyBorder="1" applyAlignment="1" applyProtection="1">
      <alignment horizontal="center" vertical="center" wrapText="1"/>
    </xf>
    <xf numFmtId="0" fontId="170" fillId="0" borderId="107" xfId="0" applyFont="1" applyFill="1" applyBorder="1" applyAlignment="1" applyProtection="1">
      <alignment horizontal="center" vertical="center" wrapText="1"/>
    </xf>
    <xf numFmtId="0" fontId="50" fillId="8" borderId="109" xfId="0" applyFont="1" applyFill="1" applyBorder="1" applyAlignment="1" applyProtection="1">
      <alignment horizontal="center" vertical="center"/>
    </xf>
    <xf numFmtId="0" fontId="50" fillId="8" borderId="110" xfId="0" applyFont="1" applyFill="1" applyBorder="1" applyAlignment="1" applyProtection="1">
      <alignment horizontal="center" vertical="center"/>
    </xf>
    <xf numFmtId="0" fontId="50" fillId="8" borderId="111" xfId="0" applyFont="1" applyFill="1" applyBorder="1" applyAlignment="1" applyProtection="1">
      <alignment horizontal="center" vertical="center"/>
    </xf>
    <xf numFmtId="42" fontId="41" fillId="0" borderId="121" xfId="2" applyNumberFormat="1" applyFont="1" applyFill="1" applyBorder="1" applyAlignment="1" applyProtection="1">
      <alignment horizontal="center" vertical="center"/>
    </xf>
    <xf numFmtId="42" fontId="41" fillId="0" borderId="122" xfId="2" applyNumberFormat="1" applyFont="1" applyFill="1" applyBorder="1" applyAlignment="1" applyProtection="1">
      <alignment horizontal="center" vertical="center"/>
    </xf>
    <xf numFmtId="42" fontId="2" fillId="0" borderId="121" xfId="2" applyNumberFormat="1" applyFont="1" applyFill="1" applyBorder="1" applyAlignment="1" applyProtection="1">
      <alignment horizontal="center" vertical="center"/>
    </xf>
    <xf numFmtId="42" fontId="2" fillId="0" borderId="122" xfId="2" applyNumberFormat="1" applyFont="1" applyFill="1" applyBorder="1" applyAlignment="1" applyProtection="1">
      <alignment horizontal="center" vertical="center"/>
    </xf>
    <xf numFmtId="0" fontId="81" fillId="0" borderId="0" xfId="0" applyFont="1" applyFill="1" applyBorder="1" applyAlignment="1" applyProtection="1">
      <alignment horizontal="justify" vertical="center" wrapText="1"/>
    </xf>
    <xf numFmtId="0" fontId="41" fillId="0" borderId="0" xfId="0" applyFont="1" applyFill="1" applyAlignment="1" applyProtection="1">
      <alignment horizontal="left" wrapText="1"/>
    </xf>
    <xf numFmtId="49" fontId="107" fillId="20" borderId="0" xfId="0" applyNumberFormat="1" applyFont="1" applyFill="1" applyBorder="1" applyAlignment="1" applyProtection="1">
      <alignment horizontal="center" vertical="center" wrapText="1"/>
    </xf>
    <xf numFmtId="0" fontId="37" fillId="0" borderId="26" xfId="0" applyFont="1" applyFill="1" applyBorder="1" applyAlignment="1" applyProtection="1">
      <alignment horizontal="left" vertical="top" wrapText="1"/>
    </xf>
    <xf numFmtId="0" fontId="37" fillId="0" borderId="17" xfId="0" applyFont="1" applyFill="1" applyBorder="1" applyAlignment="1" applyProtection="1">
      <alignment horizontal="left" vertical="top" wrapText="1"/>
    </xf>
    <xf numFmtId="0" fontId="37" fillId="0" borderId="27" xfId="0" applyFont="1" applyFill="1" applyBorder="1" applyAlignment="1" applyProtection="1">
      <alignment horizontal="left" vertical="top" wrapText="1"/>
    </xf>
    <xf numFmtId="0" fontId="37" fillId="0" borderId="29" xfId="0" applyFont="1" applyFill="1" applyBorder="1" applyAlignment="1" applyProtection="1">
      <alignment horizontal="left" vertical="top" wrapText="1"/>
    </xf>
    <xf numFmtId="0" fontId="37" fillId="0" borderId="50" xfId="0" applyFont="1" applyFill="1" applyBorder="1" applyAlignment="1" applyProtection="1">
      <alignment horizontal="left" vertical="top" wrapText="1"/>
    </xf>
    <xf numFmtId="0" fontId="37" fillId="0" borderId="30" xfId="0" applyFont="1" applyFill="1" applyBorder="1" applyAlignment="1" applyProtection="1">
      <alignment horizontal="left" vertical="top" wrapText="1"/>
    </xf>
    <xf numFmtId="0" fontId="37" fillId="0" borderId="24" xfId="0" applyFont="1" applyFill="1" applyBorder="1" applyAlignment="1" applyProtection="1">
      <alignment horizontal="left" vertical="top" wrapText="1"/>
    </xf>
    <xf numFmtId="0" fontId="37" fillId="0" borderId="49" xfId="0" applyFont="1" applyFill="1" applyBorder="1" applyAlignment="1" applyProtection="1">
      <alignment horizontal="left" vertical="top" wrapText="1"/>
    </xf>
    <xf numFmtId="0" fontId="37" fillId="0" borderId="25" xfId="0" applyFont="1" applyFill="1" applyBorder="1" applyAlignment="1" applyProtection="1">
      <alignment horizontal="left" vertical="top" wrapText="1"/>
    </xf>
    <xf numFmtId="0" fontId="41" fillId="0" borderId="114" xfId="0" applyFont="1" applyFill="1" applyBorder="1" applyAlignment="1" applyProtection="1">
      <alignment horizontal="left" vertical="top" wrapText="1"/>
    </xf>
    <xf numFmtId="0" fontId="41" fillId="0" borderId="107" xfId="0" applyFont="1" applyFill="1" applyBorder="1" applyAlignment="1" applyProtection="1">
      <alignment horizontal="left" vertical="top" wrapText="1"/>
    </xf>
    <xf numFmtId="0" fontId="41" fillId="0" borderId="4" xfId="0" applyFont="1" applyFill="1" applyBorder="1" applyAlignment="1" applyProtection="1">
      <alignment horizontal="left" vertical="top" wrapText="1"/>
    </xf>
    <xf numFmtId="0" fontId="41" fillId="0" borderId="6" xfId="0" applyFont="1" applyFill="1" applyBorder="1" applyAlignment="1" applyProtection="1">
      <alignment horizontal="left" vertical="top" wrapText="1"/>
    </xf>
    <xf numFmtId="0" fontId="41" fillId="0" borderId="9" xfId="0" applyFont="1" applyFill="1" applyBorder="1" applyAlignment="1" applyProtection="1">
      <alignment horizontal="left" vertical="top" wrapText="1"/>
    </xf>
    <xf numFmtId="0" fontId="41" fillId="0" borderId="114" xfId="0" applyFont="1" applyFill="1" applyBorder="1" applyAlignment="1" applyProtection="1">
      <alignment horizontal="center" vertical="top" wrapText="1"/>
    </xf>
    <xf numFmtId="0" fontId="41" fillId="0" borderId="107" xfId="0" applyFont="1" applyFill="1" applyBorder="1" applyAlignment="1" applyProtection="1">
      <alignment horizontal="center" vertical="top" wrapText="1"/>
    </xf>
    <xf numFmtId="0" fontId="41" fillId="0" borderId="108" xfId="0" applyFont="1" applyFill="1" applyBorder="1" applyAlignment="1" applyProtection="1">
      <alignment horizontal="center" vertical="top" wrapText="1"/>
    </xf>
    <xf numFmtId="0" fontId="41" fillId="0" borderId="4" xfId="0" applyFont="1" applyFill="1" applyBorder="1" applyAlignment="1" applyProtection="1">
      <alignment horizontal="center" vertical="top" wrapText="1"/>
    </xf>
    <xf numFmtId="0" fontId="41" fillId="0" borderId="0" xfId="0" applyFont="1" applyFill="1" applyBorder="1" applyAlignment="1" applyProtection="1">
      <alignment horizontal="center" vertical="top" wrapText="1"/>
    </xf>
    <xf numFmtId="0" fontId="41" fillId="0" borderId="5" xfId="0" applyFont="1" applyFill="1" applyBorder="1" applyAlignment="1" applyProtection="1">
      <alignment horizontal="center" vertical="top" wrapText="1"/>
    </xf>
    <xf numFmtId="0" fontId="41" fillId="0" borderId="115" xfId="0" applyFont="1" applyFill="1" applyBorder="1" applyAlignment="1" applyProtection="1">
      <alignment horizontal="center" vertical="top" wrapText="1"/>
    </xf>
    <xf numFmtId="0" fontId="41" fillId="0" borderId="7" xfId="0" applyFont="1" applyFill="1" applyBorder="1" applyAlignment="1" applyProtection="1">
      <alignment horizontal="center" vertical="top" wrapText="1"/>
    </xf>
    <xf numFmtId="0" fontId="41" fillId="0" borderId="8" xfId="0" applyFont="1" applyFill="1" applyBorder="1" applyAlignment="1" applyProtection="1">
      <alignment horizontal="center" vertical="top" wrapText="1"/>
    </xf>
    <xf numFmtId="0" fontId="49" fillId="0" borderId="115" xfId="0" applyFont="1" applyFill="1" applyBorder="1" applyAlignment="1" applyProtection="1">
      <alignment horizontal="center" vertical="top" wrapText="1"/>
    </xf>
    <xf numFmtId="0" fontId="49" fillId="0" borderId="7" xfId="0" applyFont="1" applyFill="1" applyBorder="1" applyAlignment="1" applyProtection="1">
      <alignment horizontal="center" vertical="top" wrapText="1"/>
    </xf>
    <xf numFmtId="0" fontId="49" fillId="0" borderId="8" xfId="0" applyFont="1" applyFill="1" applyBorder="1" applyAlignment="1" applyProtection="1">
      <alignment horizontal="center" vertical="top" wrapText="1"/>
    </xf>
    <xf numFmtId="0" fontId="49" fillId="0" borderId="114" xfId="0" applyFont="1" applyFill="1" applyBorder="1" applyAlignment="1" applyProtection="1">
      <alignment horizontal="center" vertical="top" wrapText="1"/>
    </xf>
    <xf numFmtId="0" fontId="49" fillId="0" borderId="107" xfId="0" applyFont="1" applyFill="1" applyBorder="1" applyAlignment="1" applyProtection="1">
      <alignment horizontal="center" vertical="top" wrapText="1"/>
    </xf>
    <xf numFmtId="0" fontId="49" fillId="0" borderId="108" xfId="0" applyFont="1" applyFill="1" applyBorder="1" applyAlignment="1" applyProtection="1">
      <alignment horizontal="center" vertical="top" wrapText="1"/>
    </xf>
    <xf numFmtId="0" fontId="49" fillId="0" borderId="4"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5" xfId="0" applyFont="1" applyFill="1" applyBorder="1" applyAlignment="1" applyProtection="1">
      <alignment horizontal="center" vertical="top" wrapText="1"/>
    </xf>
    <xf numFmtId="0" fontId="38" fillId="0" borderId="22" xfId="0" applyFont="1" applyFill="1" applyBorder="1" applyAlignment="1" applyProtection="1">
      <alignment horizontal="center" wrapText="1"/>
    </xf>
    <xf numFmtId="0" fontId="38" fillId="0" borderId="15" xfId="0" applyFont="1" applyFill="1" applyBorder="1" applyAlignment="1" applyProtection="1">
      <alignment horizontal="center" wrapText="1"/>
    </xf>
    <xf numFmtId="0" fontId="38" fillId="0" borderId="33" xfId="0" applyFont="1" applyFill="1" applyBorder="1" applyAlignment="1" applyProtection="1">
      <alignment horizontal="center" wrapText="1"/>
    </xf>
    <xf numFmtId="0" fontId="38" fillId="0" borderId="6" xfId="0" applyFont="1" applyFill="1" applyBorder="1" applyAlignment="1" applyProtection="1">
      <alignment horizontal="center" wrapText="1"/>
    </xf>
    <xf numFmtId="0" fontId="38" fillId="0" borderId="9" xfId="0" applyFont="1" applyFill="1" applyBorder="1" applyAlignment="1" applyProtection="1">
      <alignment horizontal="center" wrapText="1"/>
    </xf>
    <xf numFmtId="0" fontId="38" fillId="0" borderId="83" xfId="0" applyFont="1" applyFill="1" applyBorder="1" applyAlignment="1" applyProtection="1">
      <alignment horizontal="center" wrapText="1"/>
    </xf>
    <xf numFmtId="0" fontId="41" fillId="0" borderId="10" xfId="0" applyFont="1" applyFill="1" applyBorder="1" applyAlignment="1" applyProtection="1">
      <alignment horizontal="center"/>
    </xf>
    <xf numFmtId="0" fontId="41" fillId="0" borderId="5" xfId="0" applyFont="1" applyFill="1" applyBorder="1" applyAlignment="1" applyProtection="1">
      <alignment horizontal="left" vertical="top" wrapText="1"/>
    </xf>
    <xf numFmtId="0" fontId="41" fillId="0" borderId="0" xfId="0" applyFont="1" applyFill="1" applyAlignment="1" applyProtection="1">
      <alignment horizontal="right" vertical="center" wrapText="1"/>
    </xf>
    <xf numFmtId="0" fontId="41" fillId="0" borderId="5" xfId="0" applyFont="1" applyFill="1" applyBorder="1" applyAlignment="1" applyProtection="1">
      <alignment horizontal="right" vertical="center" wrapText="1"/>
    </xf>
    <xf numFmtId="0" fontId="41" fillId="0" borderId="108" xfId="0" applyFont="1" applyFill="1" applyBorder="1" applyAlignment="1" applyProtection="1">
      <alignment horizontal="left" vertical="top" wrapText="1"/>
    </xf>
    <xf numFmtId="0" fontId="50" fillId="8" borderId="121" xfId="0" applyFont="1" applyFill="1" applyBorder="1" applyAlignment="1" applyProtection="1">
      <alignment horizontal="center" vertical="center"/>
    </xf>
    <xf numFmtId="0" fontId="50" fillId="8" borderId="113" xfId="0" applyFont="1" applyFill="1" applyBorder="1" applyAlignment="1" applyProtection="1">
      <alignment horizontal="center" vertical="center"/>
    </xf>
    <xf numFmtId="0" fontId="50" fillId="8" borderId="122" xfId="0" applyFont="1" applyFill="1" applyBorder="1" applyAlignment="1" applyProtection="1">
      <alignment horizontal="center" vertical="center"/>
    </xf>
    <xf numFmtId="0" fontId="36" fillId="0" borderId="0" xfId="0" applyFont="1" applyFill="1" applyBorder="1" applyAlignment="1" applyProtection="1">
      <alignment horizontal="center" vertical="center" wrapText="1"/>
    </xf>
    <xf numFmtId="0" fontId="36" fillId="0" borderId="0" xfId="0" applyFont="1" applyFill="1" applyAlignment="1" applyProtection="1">
      <alignment horizontal="left" vertical="center" wrapText="1"/>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21" xfId="2" applyNumberFormat="1" applyFont="1" applyFill="1" applyBorder="1" applyAlignment="1" applyProtection="1">
      <alignment horizontal="center" vertical="center"/>
    </xf>
    <xf numFmtId="38" fontId="49" fillId="0" borderId="122" xfId="2"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38" fontId="49" fillId="0" borderId="31" xfId="0" applyNumberFormat="1" applyFont="1" applyFill="1" applyBorder="1" applyAlignment="1" applyProtection="1">
      <alignment horizontal="center" vertical="center"/>
    </xf>
    <xf numFmtId="0" fontId="41" fillId="0" borderId="114" xfId="0" applyFont="1" applyFill="1" applyBorder="1" applyAlignment="1" applyProtection="1">
      <alignment vertical="center"/>
    </xf>
    <xf numFmtId="0" fontId="41" fillId="0" borderId="107" xfId="0" applyFont="1" applyFill="1" applyBorder="1" applyAlignment="1" applyProtection="1">
      <alignment vertical="center"/>
    </xf>
    <xf numFmtId="0" fontId="41" fillId="0" borderId="108" xfId="0" applyFont="1" applyFill="1" applyBorder="1" applyAlignment="1" applyProtection="1">
      <alignment vertical="center"/>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5" xfId="0" applyFont="1" applyFill="1" applyBorder="1" applyAlignment="1" applyProtection="1">
      <alignment vertical="center"/>
    </xf>
    <xf numFmtId="0" fontId="69" fillId="0" borderId="0" xfId="0" applyFont="1" applyFill="1" applyBorder="1" applyAlignment="1" applyProtection="1">
      <alignment horizontal="center" vertical="center"/>
    </xf>
    <xf numFmtId="0" fontId="60" fillId="0" borderId="0" xfId="0" quotePrefix="1" applyFont="1" applyFill="1" applyBorder="1" applyAlignment="1" applyProtection="1">
      <alignment horizontal="center" vertical="center"/>
    </xf>
    <xf numFmtId="3" fontId="37" fillId="0" borderId="0" xfId="0" applyNumberFormat="1" applyFont="1" applyFill="1" applyBorder="1" applyAlignment="1" applyProtection="1">
      <alignment horizontal="center" vertical="center"/>
    </xf>
    <xf numFmtId="4" fontId="37" fillId="0" borderId="0" xfId="0" applyNumberFormat="1" applyFont="1" applyFill="1" applyBorder="1" applyAlignment="1" applyProtection="1">
      <alignment horizontal="center" vertical="center"/>
    </xf>
    <xf numFmtId="37" fontId="37" fillId="0" borderId="81" xfId="0" applyNumberFormat="1" applyFont="1" applyFill="1" applyBorder="1" applyAlignment="1" applyProtection="1">
      <alignment horizontal="center" vertical="center"/>
    </xf>
    <xf numFmtId="0" fontId="37" fillId="0" borderId="70" xfId="0" applyFont="1" applyFill="1" applyBorder="1" applyAlignment="1" applyProtection="1">
      <alignment horizontal="center" vertical="center"/>
    </xf>
    <xf numFmtId="38" fontId="41" fillId="0" borderId="113" xfId="2" applyNumberFormat="1" applyFont="1" applyFill="1" applyBorder="1" applyAlignment="1" applyProtection="1">
      <alignment horizontal="center" vertical="center"/>
    </xf>
    <xf numFmtId="0" fontId="41" fillId="0" borderId="113" xfId="0" applyFont="1" applyFill="1" applyBorder="1" applyAlignment="1" applyProtection="1">
      <alignment horizontal="center" vertical="center"/>
    </xf>
    <xf numFmtId="166" fontId="41" fillId="0" borderId="71" xfId="0" applyNumberFormat="1" applyFont="1" applyFill="1" applyBorder="1" applyAlignment="1" applyProtection="1">
      <alignment horizontal="center" vertical="center"/>
    </xf>
    <xf numFmtId="166" fontId="41" fillId="0" borderId="68" xfId="0" applyNumberFormat="1" applyFont="1" applyFill="1" applyBorder="1" applyAlignment="1" applyProtection="1">
      <alignment horizontal="center" vertical="center"/>
    </xf>
    <xf numFmtId="37" fontId="37" fillId="0" borderId="71" xfId="0" applyNumberFormat="1" applyFont="1" applyFill="1" applyBorder="1" applyAlignment="1" applyProtection="1">
      <alignment horizontal="center" vertical="center"/>
    </xf>
    <xf numFmtId="0" fontId="37" fillId="0" borderId="68" xfId="0"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0" fontId="41" fillId="0" borderId="0" xfId="0" applyFont="1" applyFill="1" applyBorder="1" applyAlignment="1" applyProtection="1">
      <alignment horizontal="center" wrapText="1"/>
    </xf>
    <xf numFmtId="0" fontId="7" fillId="0" borderId="0" xfId="0" applyFont="1" applyFill="1" applyAlignment="1" applyProtection="1">
      <alignment horizontal="left"/>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38" fontId="49" fillId="0" borderId="121" xfId="2" applyNumberFormat="1" applyFont="1" applyFill="1" applyBorder="1" applyAlignment="1" applyProtection="1">
      <alignment horizontal="right" vertical="center"/>
    </xf>
    <xf numFmtId="38" fontId="49" fillId="0" borderId="122" xfId="2" applyNumberFormat="1" applyFont="1" applyFill="1" applyBorder="1" applyAlignment="1" applyProtection="1">
      <alignment horizontal="right" vertical="center"/>
    </xf>
    <xf numFmtId="38" fontId="49" fillId="0" borderId="121" xfId="0" applyNumberFormat="1" applyFont="1" applyFill="1" applyBorder="1" applyAlignment="1" applyProtection="1">
      <alignment horizontal="right" vertical="center"/>
    </xf>
    <xf numFmtId="38" fontId="49" fillId="0" borderId="122" xfId="0" applyNumberFormat="1" applyFont="1" applyFill="1" applyBorder="1" applyAlignment="1" applyProtection="1">
      <alignment horizontal="right" vertical="center"/>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41" fillId="0" borderId="9" xfId="0" applyFont="1" applyFill="1" applyBorder="1" applyAlignment="1" applyProtection="1">
      <alignment horizontal="left" vertical="center"/>
    </xf>
    <xf numFmtId="0" fontId="83" fillId="12" borderId="0" xfId="0" applyFont="1" applyFill="1" applyAlignment="1" applyProtection="1">
      <alignment horizontal="center" vertical="center"/>
    </xf>
    <xf numFmtId="0" fontId="28" fillId="8" borderId="121" xfId="0" applyFont="1" applyFill="1" applyBorder="1" applyAlignment="1" applyProtection="1">
      <alignment horizontal="center" vertical="center"/>
    </xf>
    <xf numFmtId="0" fontId="28" fillId="8" borderId="113" xfId="0" applyFont="1" applyFill="1" applyBorder="1" applyAlignment="1" applyProtection="1">
      <alignment horizontal="center" vertical="center"/>
    </xf>
    <xf numFmtId="0" fontId="28" fillId="8" borderId="122" xfId="0" applyFont="1" applyFill="1" applyBorder="1" applyAlignment="1" applyProtection="1">
      <alignment horizontal="center" vertical="center"/>
    </xf>
    <xf numFmtId="8" fontId="2" fillId="0" borderId="0" xfId="0" applyNumberFormat="1" applyFont="1" applyBorder="1" applyAlignment="1" applyProtection="1">
      <alignment horizontal="center"/>
    </xf>
    <xf numFmtId="8" fontId="2" fillId="0" borderId="16" xfId="0" applyNumberFormat="1" applyFont="1" applyBorder="1" applyAlignment="1" applyProtection="1">
      <alignment horizontal="center"/>
    </xf>
    <xf numFmtId="8" fontId="2" fillId="0" borderId="15" xfId="0" applyNumberFormat="1" applyFont="1" applyBorder="1" applyAlignment="1" applyProtection="1">
      <alignment horizontal="center"/>
    </xf>
    <xf numFmtId="0" fontId="7" fillId="0" borderId="9" xfId="0" applyFont="1" applyBorder="1" applyAlignment="1" applyProtection="1">
      <alignment horizontal="center" vertical="center" wrapText="1"/>
    </xf>
    <xf numFmtId="0" fontId="12" fillId="0" borderId="0" xfId="0" applyFont="1" applyAlignment="1" applyProtection="1">
      <alignment horizontal="center" vertical="center"/>
    </xf>
    <xf numFmtId="0" fontId="24" fillId="0" borderId="0" xfId="0" applyFont="1" applyAlignment="1" applyProtection="1">
      <alignment horizontal="center"/>
    </xf>
    <xf numFmtId="0" fontId="24" fillId="0" borderId="0" xfId="0" applyFont="1" applyFill="1" applyAlignment="1" applyProtection="1">
      <alignment horizontal="center"/>
    </xf>
    <xf numFmtId="0" fontId="24" fillId="0" borderId="0" xfId="0" applyFont="1" applyFill="1" applyAlignment="1" applyProtection="1">
      <alignment horizontal="center" vertical="top" wrapText="1"/>
    </xf>
    <xf numFmtId="8" fontId="2" fillId="0" borderId="107" xfId="0" applyNumberFormat="1" applyFont="1" applyBorder="1" applyAlignment="1" applyProtection="1">
      <alignment horizontal="center"/>
    </xf>
    <xf numFmtId="0" fontId="25"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49" fillId="0" borderId="0" xfId="0" applyFont="1" applyFill="1" applyAlignment="1" applyProtection="1">
      <alignment horizontal="left"/>
    </xf>
    <xf numFmtId="0" fontId="74" fillId="0" borderId="0" xfId="0" applyFont="1" applyFill="1" applyBorder="1" applyAlignment="1" applyProtection="1">
      <alignment horizontal="center" vertical="center"/>
    </xf>
    <xf numFmtId="0" fontId="74" fillId="0" borderId="5" xfId="0" applyFont="1" applyFill="1" applyBorder="1" applyAlignment="1" applyProtection="1">
      <alignment horizontal="center" vertical="center"/>
    </xf>
    <xf numFmtId="0" fontId="61" fillId="0" borderId="54"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55" xfId="0" applyFont="1" applyFill="1" applyBorder="1" applyAlignment="1" applyProtection="1">
      <alignment horizontal="center" vertical="center" wrapText="1"/>
    </xf>
    <xf numFmtId="0" fontId="61" fillId="0" borderId="39" xfId="0" applyFont="1" applyFill="1" applyBorder="1" applyAlignment="1" applyProtection="1">
      <alignment horizontal="center" vertical="center" wrapText="1"/>
    </xf>
    <xf numFmtId="0" fontId="61" fillId="0" borderId="0" xfId="0" applyFont="1" applyFill="1" applyBorder="1" applyAlignment="1" applyProtection="1">
      <alignment horizontal="center" vertical="center" wrapText="1"/>
    </xf>
    <xf numFmtId="0" fontId="61" fillId="0" borderId="42" xfId="0" applyFont="1" applyFill="1" applyBorder="1" applyAlignment="1" applyProtection="1">
      <alignment horizontal="center" vertical="center" wrapText="1"/>
    </xf>
    <xf numFmtId="38" fontId="41" fillId="0" borderId="121" xfId="0" applyNumberFormat="1" applyFont="1" applyFill="1" applyBorder="1" applyAlignment="1" applyProtection="1">
      <alignment horizontal="center" vertical="center"/>
    </xf>
    <xf numFmtId="38" fontId="41" fillId="0" borderId="122" xfId="0" applyNumberFormat="1" applyFont="1" applyFill="1" applyBorder="1" applyAlignment="1" applyProtection="1">
      <alignment horizontal="center" vertical="center"/>
    </xf>
    <xf numFmtId="168" fontId="41" fillId="0" borderId="65" xfId="0" applyNumberFormat="1" applyFont="1" applyFill="1" applyBorder="1" applyAlignment="1" applyProtection="1">
      <alignment horizontal="center" vertical="center"/>
    </xf>
    <xf numFmtId="168" fontId="41" fillId="0" borderId="66" xfId="0" applyNumberFormat="1" applyFont="1" applyFill="1" applyBorder="1" applyAlignment="1" applyProtection="1">
      <alignment horizontal="center" vertical="center"/>
    </xf>
    <xf numFmtId="168" fontId="41" fillId="0" borderId="67" xfId="0" applyNumberFormat="1" applyFont="1" applyFill="1" applyBorder="1" applyAlignment="1" applyProtection="1">
      <alignment horizontal="center" vertical="center"/>
    </xf>
    <xf numFmtId="38" fontId="49" fillId="0" borderId="1" xfId="0" applyNumberFormat="1" applyFont="1" applyFill="1" applyBorder="1" applyAlignment="1" applyProtection="1">
      <alignment horizontal="center" vertical="center"/>
    </xf>
    <xf numFmtId="38" fontId="49" fillId="0" borderId="123" xfId="0" applyNumberFormat="1" applyFont="1" applyFill="1" applyBorder="1" applyAlignment="1" applyProtection="1">
      <alignment horizontal="center" vertical="center"/>
    </xf>
    <xf numFmtId="38" fontId="49" fillId="0" borderId="72" xfId="0" applyNumberFormat="1" applyFont="1" applyFill="1" applyBorder="1" applyAlignment="1" applyProtection="1">
      <alignment horizontal="center" vertical="center"/>
    </xf>
    <xf numFmtId="38" fontId="49" fillId="0" borderId="124" xfId="0" applyNumberFormat="1" applyFont="1" applyFill="1" applyBorder="1" applyAlignment="1" applyProtection="1">
      <alignment horizontal="center" vertical="center"/>
    </xf>
    <xf numFmtId="38" fontId="41" fillId="0" borderId="113" xfId="0" applyNumberFormat="1" applyFont="1" applyFill="1" applyBorder="1" applyAlignment="1" applyProtection="1">
      <alignment horizontal="center" vertical="center"/>
    </xf>
    <xf numFmtId="0" fontId="37" fillId="0" borderId="76" xfId="0" applyFont="1" applyFill="1" applyBorder="1" applyAlignment="1" applyProtection="1">
      <alignment horizontal="center" vertical="center"/>
    </xf>
    <xf numFmtId="0" fontId="37" fillId="0" borderId="77" xfId="0" applyFont="1" applyFill="1" applyBorder="1" applyAlignment="1" applyProtection="1">
      <alignment horizontal="center" vertical="center"/>
    </xf>
    <xf numFmtId="38" fontId="37" fillId="0" borderId="75" xfId="0" applyNumberFormat="1" applyFont="1" applyFill="1" applyBorder="1" applyAlignment="1" applyProtection="1">
      <alignment horizontal="center" vertical="center"/>
    </xf>
    <xf numFmtId="38" fontId="37" fillId="0" borderId="41" xfId="0" applyNumberFormat="1" applyFont="1" applyFill="1" applyBorder="1" applyAlignment="1" applyProtection="1">
      <alignment horizontal="center" vertical="center"/>
    </xf>
    <xf numFmtId="38" fontId="81" fillId="0" borderId="123" xfId="0" applyNumberFormat="1" applyFont="1" applyFill="1" applyBorder="1" applyAlignment="1" applyProtection="1">
      <alignment horizontal="center" vertical="center"/>
    </xf>
    <xf numFmtId="38" fontId="81" fillId="0" borderId="72" xfId="0" applyNumberFormat="1" applyFont="1" applyFill="1" applyBorder="1" applyAlignment="1" applyProtection="1">
      <alignment horizontal="center" vertical="center"/>
    </xf>
    <xf numFmtId="38" fontId="81" fillId="0" borderId="124" xfId="0" applyNumberFormat="1" applyFont="1" applyFill="1" applyBorder="1" applyAlignment="1" applyProtection="1">
      <alignment horizontal="center" vertical="center"/>
    </xf>
    <xf numFmtId="3" fontId="41" fillId="0" borderId="121" xfId="1" applyNumberFormat="1" applyFont="1" applyFill="1" applyBorder="1" applyAlignment="1" applyProtection="1">
      <alignment horizontal="center" vertical="center"/>
    </xf>
    <xf numFmtId="3" fontId="41" fillId="0" borderId="113" xfId="1" applyNumberFormat="1" applyFont="1" applyFill="1" applyBorder="1" applyAlignment="1" applyProtection="1">
      <alignment horizontal="center" vertical="center"/>
    </xf>
    <xf numFmtId="3" fontId="41" fillId="0" borderId="122" xfId="1" applyNumberFormat="1" applyFont="1" applyFill="1" applyBorder="1" applyAlignment="1" applyProtection="1">
      <alignment horizontal="center" vertical="center"/>
    </xf>
    <xf numFmtId="10" fontId="41" fillId="0" borderId="113" xfId="0" applyNumberFormat="1" applyFont="1" applyFill="1" applyBorder="1" applyAlignment="1" applyProtection="1">
      <alignment horizontal="center" vertical="center"/>
    </xf>
    <xf numFmtId="10" fontId="49" fillId="0" borderId="121" xfId="0" applyNumberFormat="1" applyFont="1" applyFill="1" applyBorder="1" applyAlignment="1" applyProtection="1">
      <alignment horizontal="center" vertical="center"/>
    </xf>
    <xf numFmtId="10" fontId="49" fillId="0" borderId="122" xfId="0" applyNumberFormat="1" applyFont="1" applyFill="1" applyBorder="1" applyAlignment="1" applyProtection="1">
      <alignment horizontal="center" vertical="center"/>
    </xf>
    <xf numFmtId="38" fontId="41" fillId="0" borderId="114" xfId="0" applyNumberFormat="1" applyFont="1" applyFill="1" applyBorder="1" applyAlignment="1" applyProtection="1">
      <alignment horizontal="center" vertical="center"/>
    </xf>
    <xf numFmtId="38" fontId="41" fillId="0" borderId="108" xfId="0" applyNumberFormat="1" applyFont="1" applyFill="1" applyBorder="1" applyAlignment="1" applyProtection="1">
      <alignment horizontal="center" vertical="center"/>
    </xf>
    <xf numFmtId="38" fontId="41" fillId="0" borderId="62" xfId="0" applyNumberFormat="1" applyFont="1" applyFill="1" applyBorder="1" applyAlignment="1" applyProtection="1">
      <alignment horizontal="center" vertical="center"/>
    </xf>
    <xf numFmtId="38" fontId="41" fillId="0" borderId="63" xfId="0" applyNumberFormat="1" applyFont="1" applyFill="1" applyBorder="1" applyAlignment="1" applyProtection="1">
      <alignment horizontal="center" vertical="center"/>
    </xf>
    <xf numFmtId="38" fontId="41" fillId="0" borderId="60" xfId="0" applyNumberFormat="1" applyFont="1" applyFill="1" applyBorder="1" applyAlignment="1" applyProtection="1">
      <alignment horizontal="center" vertical="center"/>
    </xf>
    <xf numFmtId="38" fontId="41" fillId="0" borderId="61" xfId="0" applyNumberFormat="1" applyFont="1" applyFill="1" applyBorder="1" applyAlignment="1" applyProtection="1">
      <alignment horizontal="center" vertical="center"/>
    </xf>
    <xf numFmtId="4" fontId="41" fillId="0" borderId="113" xfId="1" applyNumberFormat="1" applyFont="1" applyFill="1" applyBorder="1" applyAlignment="1" applyProtection="1">
      <alignment horizontal="center" vertical="center"/>
    </xf>
    <xf numFmtId="4" fontId="41" fillId="0" borderId="113" xfId="1" applyNumberFormat="1" applyFont="1" applyFill="1" applyBorder="1" applyAlignment="1" applyProtection="1">
      <alignment vertical="center"/>
    </xf>
    <xf numFmtId="4" fontId="41" fillId="0" borderId="122" xfId="1" applyNumberFormat="1" applyFont="1" applyFill="1" applyBorder="1" applyAlignment="1" applyProtection="1">
      <alignment vertical="center"/>
    </xf>
    <xf numFmtId="0" fontId="49" fillId="0" borderId="54" xfId="0" applyFont="1" applyFill="1" applyBorder="1" applyAlignment="1" applyProtection="1">
      <alignment horizontal="center" vertical="center" wrapText="1"/>
    </xf>
    <xf numFmtId="0" fontId="49" fillId="0" borderId="55" xfId="0" applyFont="1" applyFill="1" applyBorder="1" applyAlignment="1" applyProtection="1">
      <alignment horizontal="center" vertical="center" wrapText="1"/>
    </xf>
    <xf numFmtId="0" fontId="49" fillId="0" borderId="40" xfId="0" applyFont="1" applyFill="1" applyBorder="1" applyAlignment="1" applyProtection="1">
      <alignment horizontal="center" vertical="center" wrapText="1"/>
    </xf>
    <xf numFmtId="0" fontId="49" fillId="0" borderId="56" xfId="0" applyFont="1" applyFill="1" applyBorder="1" applyAlignment="1" applyProtection="1">
      <alignment horizontal="center" vertical="center" wrapText="1"/>
    </xf>
    <xf numFmtId="164" fontId="41" fillId="0" borderId="52" xfId="1" applyNumberFormat="1" applyFont="1" applyFill="1" applyBorder="1" applyAlignment="1" applyProtection="1">
      <alignment horizontal="right" vertical="center"/>
    </xf>
    <xf numFmtId="164" fontId="41" fillId="0" borderId="53" xfId="1" applyNumberFormat="1" applyFont="1" applyFill="1" applyBorder="1" applyAlignment="1" applyProtection="1">
      <alignment horizontal="right" vertical="center"/>
    </xf>
    <xf numFmtId="164" fontId="49" fillId="0" borderId="48" xfId="1" applyNumberFormat="1" applyFont="1" applyFill="1" applyBorder="1" applyAlignment="1" applyProtection="1">
      <alignment horizontal="center" vertical="center"/>
    </xf>
    <xf numFmtId="164" fontId="49" fillId="0" borderId="31" xfId="1" applyNumberFormat="1" applyFont="1" applyFill="1" applyBorder="1" applyAlignment="1" applyProtection="1">
      <alignment horizontal="center" vertical="center"/>
    </xf>
    <xf numFmtId="164" fontId="41" fillId="0" borderId="0" xfId="1" applyNumberFormat="1" applyFont="1" applyFill="1" applyBorder="1" applyAlignment="1" applyProtection="1">
      <alignment horizontal="center" vertical="center"/>
    </xf>
    <xf numFmtId="164" fontId="49" fillId="0" borderId="54" xfId="1" applyNumberFormat="1" applyFont="1" applyFill="1" applyBorder="1" applyAlignment="1" applyProtection="1">
      <alignment horizontal="center" vertical="center" wrapText="1"/>
    </xf>
    <xf numFmtId="164" fontId="49" fillId="0" borderId="55" xfId="1" applyNumberFormat="1" applyFont="1" applyFill="1" applyBorder="1" applyAlignment="1" applyProtection="1">
      <alignment horizontal="center" vertical="center" wrapText="1"/>
    </xf>
    <xf numFmtId="164" fontId="49" fillId="0" borderId="40" xfId="1" applyNumberFormat="1" applyFont="1" applyFill="1" applyBorder="1" applyAlignment="1" applyProtection="1">
      <alignment horizontal="center" vertical="center" wrapText="1"/>
    </xf>
    <xf numFmtId="164" fontId="49" fillId="0" borderId="56" xfId="1" applyNumberFormat="1" applyFont="1" applyFill="1" applyBorder="1" applyAlignment="1" applyProtection="1">
      <alignment horizontal="center" vertical="center" wrapText="1"/>
    </xf>
    <xf numFmtId="0" fontId="49" fillId="0" borderId="48" xfId="0" applyFont="1" applyFill="1" applyBorder="1" applyAlignment="1" applyProtection="1">
      <alignment horizontal="center" vertical="center"/>
    </xf>
    <xf numFmtId="0" fontId="49" fillId="0" borderId="31" xfId="0" applyFont="1" applyFill="1" applyBorder="1" applyAlignment="1" applyProtection="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4" fontId="58" fillId="0" borderId="6" xfId="0" applyNumberFormat="1" applyFont="1" applyFill="1" applyBorder="1" applyAlignment="1" applyProtection="1">
      <alignment horizontal="left" vertical="center"/>
    </xf>
    <xf numFmtId="4" fontId="58" fillId="0" borderId="10" xfId="0" applyNumberFormat="1" applyFont="1" applyFill="1" applyBorder="1" applyAlignment="1" applyProtection="1">
      <alignment horizontal="left" vertical="center"/>
    </xf>
    <xf numFmtId="4" fontId="58" fillId="0" borderId="9" xfId="1" applyNumberFormat="1" applyFont="1" applyFill="1" applyBorder="1" applyAlignment="1" applyProtection="1">
      <alignment horizontal="right" vertical="center"/>
    </xf>
    <xf numFmtId="0" fontId="47" fillId="0" borderId="9" xfId="0" applyFont="1" applyFill="1" applyBorder="1" applyAlignment="1" applyProtection="1">
      <alignment horizontal="left" vertical="center"/>
    </xf>
    <xf numFmtId="0" fontId="49" fillId="0" borderId="114" xfId="0" applyFont="1" applyFill="1" applyBorder="1" applyAlignment="1" applyProtection="1">
      <alignment horizontal="center" vertical="center" wrapText="1"/>
    </xf>
    <xf numFmtId="0" fontId="49" fillId="0" borderId="6" xfId="0" applyFont="1" applyFill="1" applyBorder="1" applyAlignment="1" applyProtection="1">
      <alignment horizontal="center" vertical="center" wrapText="1"/>
    </xf>
    <xf numFmtId="4" fontId="58" fillId="0" borderId="107" xfId="1" applyNumberFormat="1" applyFont="1" applyFill="1" applyBorder="1" applyAlignment="1" applyProtection="1">
      <alignment horizontal="right" vertical="center"/>
    </xf>
    <xf numFmtId="171" fontId="47" fillId="0" borderId="107" xfId="0" applyNumberFormat="1" applyFont="1" applyFill="1" applyBorder="1" applyAlignment="1" applyProtection="1">
      <alignment horizontal="left" vertical="center"/>
    </xf>
    <xf numFmtId="0" fontId="47" fillId="0" borderId="107" xfId="0" applyFont="1" applyFill="1" applyBorder="1" applyAlignment="1" applyProtection="1">
      <alignment horizontal="left" vertical="center"/>
    </xf>
    <xf numFmtId="0" fontId="47" fillId="0" borderId="108" xfId="0" applyFont="1" applyFill="1" applyBorder="1" applyAlignment="1" applyProtection="1">
      <alignment horizontal="left" vertical="center"/>
    </xf>
    <xf numFmtId="0" fontId="101" fillId="0" borderId="94" xfId="0" applyFont="1" applyFill="1" applyBorder="1" applyAlignment="1" applyProtection="1">
      <alignment horizontal="center" vertical="center"/>
    </xf>
    <xf numFmtId="171" fontId="49" fillId="0" borderId="0" xfId="0" applyNumberFormat="1" applyFont="1" applyFill="1" applyBorder="1" applyAlignment="1" applyProtection="1">
      <alignment horizontal="center" vertical="center"/>
    </xf>
    <xf numFmtId="164" fontId="41" fillId="0" borderId="59" xfId="1" applyNumberFormat="1" applyFont="1" applyFill="1" applyBorder="1" applyAlignment="1" applyProtection="1">
      <alignment horizontal="right" vertical="center"/>
    </xf>
    <xf numFmtId="0" fontId="41" fillId="0" borderId="53" xfId="0" applyFont="1" applyBorder="1" applyAlignment="1" applyProtection="1"/>
    <xf numFmtId="0" fontId="50" fillId="8" borderId="4" xfId="0" applyFont="1" applyFill="1" applyBorder="1" applyAlignment="1" applyProtection="1">
      <alignment horizontal="center" vertical="center"/>
    </xf>
    <xf numFmtId="0" fontId="50" fillId="8" borderId="0" xfId="0" applyFont="1" applyFill="1" applyBorder="1" applyAlignment="1" applyProtection="1">
      <alignment horizontal="center" vertical="center"/>
    </xf>
    <xf numFmtId="0" fontId="82" fillId="14" borderId="0" xfId="0" applyFont="1" applyFill="1" applyAlignment="1" applyProtection="1">
      <alignment horizontal="center" vertical="center"/>
    </xf>
    <xf numFmtId="0" fontId="37" fillId="0" borderId="38"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33" xfId="1" applyNumberFormat="1" applyFont="1" applyFill="1" applyBorder="1" applyAlignment="1" applyProtection="1">
      <alignment horizontal="left" vertical="top" wrapText="1"/>
    </xf>
    <xf numFmtId="0" fontId="37" fillId="0" borderId="36" xfId="1" applyNumberFormat="1" applyFont="1" applyFill="1" applyBorder="1" applyAlignment="1" applyProtection="1">
      <alignment horizontal="left" vertical="top" wrapText="1"/>
    </xf>
    <xf numFmtId="0" fontId="37" fillId="0" borderId="16" xfId="1" applyNumberFormat="1" applyFont="1" applyFill="1" applyBorder="1" applyAlignment="1" applyProtection="1">
      <alignment horizontal="left" vertical="top" wrapText="1"/>
    </xf>
    <xf numFmtId="0" fontId="37" fillId="0" borderId="51" xfId="1" applyNumberFormat="1" applyFont="1" applyFill="1" applyBorder="1" applyAlignment="1" applyProtection="1">
      <alignment horizontal="left" vertical="top" wrapText="1"/>
    </xf>
    <xf numFmtId="0" fontId="37" fillId="0" borderId="81" xfId="1" applyNumberFormat="1" applyFont="1" applyFill="1" applyBorder="1" applyAlignment="1" applyProtection="1">
      <alignment horizontal="left" vertical="top" wrapText="1"/>
    </xf>
    <xf numFmtId="0" fontId="37" fillId="0" borderId="50" xfId="1" applyNumberFormat="1" applyFont="1" applyFill="1" applyBorder="1" applyAlignment="1" applyProtection="1">
      <alignment horizontal="left" vertical="top" wrapText="1"/>
    </xf>
    <xf numFmtId="0" fontId="37" fillId="0" borderId="70" xfId="1" applyNumberFormat="1" applyFont="1" applyFill="1" applyBorder="1" applyAlignment="1" applyProtection="1">
      <alignment horizontal="left" vertical="top" wrapText="1"/>
    </xf>
    <xf numFmtId="0" fontId="173" fillId="8" borderId="4"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40" fillId="0" borderId="0" xfId="0" applyFont="1" applyFill="1" applyAlignment="1" applyProtection="1">
      <alignment horizontal="center" vertical="center"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28" fillId="8" borderId="4" xfId="0" applyFont="1" applyFill="1" applyBorder="1" applyAlignment="1" applyProtection="1">
      <alignment horizontal="center" vertical="center"/>
    </xf>
    <xf numFmtId="0" fontId="28" fillId="8" borderId="0" xfId="0" applyFont="1" applyFill="1" applyBorder="1" applyAlignment="1" applyProtection="1">
      <alignment horizontal="center" vertical="center"/>
    </xf>
    <xf numFmtId="0" fontId="36" fillId="0" borderId="4" xfId="0" applyFont="1" applyFill="1" applyBorder="1" applyAlignment="1" applyProtection="1">
      <alignment horizontal="center" vertical="center" wrapText="1"/>
    </xf>
    <xf numFmtId="0" fontId="41" fillId="0" borderId="72" xfId="0" applyFont="1" applyFill="1" applyBorder="1" applyAlignment="1" applyProtection="1">
      <alignment horizontal="left"/>
    </xf>
    <xf numFmtId="0" fontId="7" fillId="0" borderId="0" xfId="0" applyFont="1" applyFill="1" applyAlignment="1" applyProtection="1">
      <alignment horizontal="left" vertical="center"/>
    </xf>
    <xf numFmtId="3" fontId="2" fillId="0" borderId="52" xfId="0" applyNumberFormat="1" applyFont="1" applyFill="1" applyBorder="1" applyAlignment="1" applyProtection="1">
      <alignment horizontal="right" vertical="center"/>
    </xf>
    <xf numFmtId="3" fontId="2" fillId="0" borderId="53" xfId="0" applyNumberFormat="1" applyFont="1" applyFill="1" applyBorder="1" applyAlignment="1" applyProtection="1">
      <alignment horizontal="right" vertical="center"/>
    </xf>
    <xf numFmtId="38" fontId="2" fillId="0" borderId="6" xfId="1" applyNumberFormat="1" applyFont="1" applyFill="1" applyBorder="1" applyAlignment="1" applyProtection="1">
      <alignment horizontal="right" vertical="center"/>
    </xf>
    <xf numFmtId="38" fontId="2" fillId="0" borderId="10" xfId="1" applyNumberFormat="1" applyFont="1" applyFill="1" applyBorder="1" applyAlignment="1" applyProtection="1">
      <alignment horizontal="right" vertical="center"/>
    </xf>
    <xf numFmtId="0" fontId="102" fillId="0" borderId="35" xfId="0" applyFont="1" applyFill="1" applyBorder="1" applyAlignment="1" applyProtection="1">
      <alignment horizontal="center" vertical="center" wrapText="1"/>
    </xf>
    <xf numFmtId="1" fontId="178" fillId="0" borderId="34"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35" xfId="0" applyNumberFormat="1" applyFont="1" applyFill="1" applyBorder="1" applyAlignment="1" applyProtection="1">
      <alignment horizontal="center"/>
    </xf>
    <xf numFmtId="38" fontId="2" fillId="0" borderId="52" xfId="1" applyNumberFormat="1" applyFont="1" applyFill="1" applyBorder="1" applyAlignment="1" applyProtection="1">
      <alignment horizontal="right" vertical="center"/>
    </xf>
    <xf numFmtId="38" fontId="2" fillId="0" borderId="53" xfId="1" applyNumberFormat="1" applyFont="1" applyFill="1" applyBorder="1" applyAlignment="1" applyProtection="1">
      <alignment horizontal="right" vertical="center"/>
    </xf>
    <xf numFmtId="0" fontId="102" fillId="0" borderId="0" xfId="0" applyFont="1" applyFill="1" applyAlignment="1" applyProtection="1">
      <alignment horizontal="center" vertical="center" wrapText="1"/>
    </xf>
    <xf numFmtId="0" fontId="2" fillId="0" borderId="15"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186" fillId="0" borderId="0" xfId="0" applyFont="1" applyFill="1" applyAlignment="1" applyProtection="1">
      <alignment horizontal="right"/>
    </xf>
    <xf numFmtId="0" fontId="88" fillId="0" borderId="0" xfId="0" applyFont="1" applyFill="1" applyAlignment="1" applyProtection="1">
      <alignment horizontal="center" wrapText="1"/>
    </xf>
    <xf numFmtId="0" fontId="74" fillId="0" borderId="0" xfId="0" applyFont="1" applyFill="1" applyAlignment="1" applyProtection="1">
      <alignment horizontal="left" vertical="center" wrapText="1"/>
    </xf>
    <xf numFmtId="0" fontId="38" fillId="0" borderId="0" xfId="0" applyFont="1" applyFill="1" applyAlignment="1" applyProtection="1">
      <alignment horizontal="center" vertical="center" wrapText="1"/>
    </xf>
    <xf numFmtId="0" fontId="38" fillId="0" borderId="9" xfId="0" applyFont="1" applyFill="1" applyBorder="1" applyAlignment="1" applyProtection="1">
      <alignment horizontal="center" vertical="center" wrapText="1"/>
    </xf>
    <xf numFmtId="0" fontId="38" fillId="0" borderId="4" xfId="0" applyFont="1" applyFill="1" applyBorder="1" applyAlignment="1" applyProtection="1">
      <alignment horizontal="left" vertical="center" wrapText="1"/>
    </xf>
    <xf numFmtId="0" fontId="32"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4"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88" fillId="0" borderId="0" xfId="0" applyFont="1" applyFill="1" applyAlignment="1" applyProtection="1">
      <alignment horizontal="center" vertical="center" wrapText="1"/>
    </xf>
    <xf numFmtId="0" fontId="32"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88" fillId="0" borderId="0" xfId="0" quotePrefix="1" applyNumberFormat="1" applyFont="1" applyFill="1" applyBorder="1" applyAlignment="1" applyProtection="1">
      <alignment horizontal="center" vertical="center" wrapText="1"/>
    </xf>
    <xf numFmtId="49" fontId="88" fillId="0" borderId="0" xfId="0" applyNumberFormat="1" applyFont="1" applyFill="1" applyBorder="1" applyAlignment="1" applyProtection="1">
      <alignment horizontal="center" vertical="center" wrapText="1"/>
    </xf>
    <xf numFmtId="0" fontId="28" fillId="8" borderId="123" xfId="0" applyFont="1" applyFill="1" applyBorder="1" applyAlignment="1" applyProtection="1">
      <alignment horizontal="center" vertical="center"/>
    </xf>
    <xf numFmtId="0" fontId="28" fillId="8" borderId="72" xfId="0" applyFont="1" applyFill="1" applyBorder="1" applyAlignment="1" applyProtection="1">
      <alignment horizontal="center" vertical="center"/>
    </xf>
    <xf numFmtId="0" fontId="28" fillId="8" borderId="124" xfId="0" applyFont="1" applyFill="1" applyBorder="1" applyAlignment="1" applyProtection="1">
      <alignment horizontal="center" vertical="center"/>
    </xf>
    <xf numFmtId="0" fontId="79" fillId="15" borderId="0" xfId="0" applyFont="1" applyFill="1" applyAlignment="1" applyProtection="1">
      <alignment horizontal="center" vertical="center"/>
    </xf>
    <xf numFmtId="0" fontId="9" fillId="0" borderId="9" xfId="0" applyFont="1" applyFill="1" applyBorder="1" applyAlignment="1" applyProtection="1">
      <alignment horizontal="center" wrapText="1"/>
    </xf>
    <xf numFmtId="0" fontId="12" fillId="0" borderId="115" xfId="0" applyFont="1" applyFill="1" applyBorder="1" applyAlignment="1" applyProtection="1">
      <alignment horizontal="center" wrapText="1"/>
    </xf>
    <xf numFmtId="0" fontId="12" fillId="0" borderId="7" xfId="0" applyFont="1" applyFill="1" applyBorder="1" applyAlignment="1" applyProtection="1">
      <alignment horizontal="center" wrapText="1"/>
    </xf>
    <xf numFmtId="0" fontId="12" fillId="0" borderId="8" xfId="0" applyFont="1" applyFill="1" applyBorder="1" applyAlignment="1" applyProtection="1">
      <alignment horizontal="center" wrapText="1"/>
    </xf>
    <xf numFmtId="0" fontId="12" fillId="0" borderId="74" xfId="0" applyFont="1" applyFill="1" applyBorder="1" applyAlignment="1" applyProtection="1">
      <alignment horizontal="center" wrapText="1"/>
    </xf>
    <xf numFmtId="0" fontId="28" fillId="9" borderId="123" xfId="0" applyFont="1" applyFill="1" applyBorder="1" applyAlignment="1" applyProtection="1">
      <alignment horizontal="center" vertical="center"/>
    </xf>
    <xf numFmtId="0" fontId="79"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123" xfId="0" applyFont="1" applyFill="1" applyBorder="1" applyAlignment="1" applyProtection="1">
      <alignment horizontal="left" vertical="top" wrapText="1"/>
    </xf>
    <xf numFmtId="0" fontId="3" fillId="13" borderId="72" xfId="0" applyFont="1" applyFill="1" applyBorder="1" applyAlignment="1" applyProtection="1">
      <alignment horizontal="left" vertical="top" wrapText="1"/>
    </xf>
    <xf numFmtId="0" fontId="3" fillId="13" borderId="124" xfId="0" applyFont="1" applyFill="1" applyBorder="1" applyAlignment="1" applyProtection="1">
      <alignment horizontal="left" vertical="top" wrapText="1"/>
    </xf>
    <xf numFmtId="0" fontId="9" fillId="13" borderId="123" xfId="0" applyFont="1" applyFill="1" applyBorder="1" applyAlignment="1" applyProtection="1">
      <alignment horizontal="center" vertical="center"/>
    </xf>
    <xf numFmtId="0" fontId="9" fillId="13" borderId="108" xfId="0" applyFont="1" applyFill="1" applyBorder="1" applyAlignment="1" applyProtection="1">
      <alignment horizontal="center" vertical="center"/>
    </xf>
    <xf numFmtId="0" fontId="3" fillId="0" borderId="5"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0" fillId="0" borderId="0" xfId="0" applyFont="1" applyFill="1" applyBorder="1" applyAlignment="1" applyProtection="1">
      <alignment horizontal="center" vertical="center"/>
    </xf>
    <xf numFmtId="0" fontId="9" fillId="13" borderId="124" xfId="0" applyFont="1" applyFill="1" applyBorder="1" applyAlignment="1" applyProtection="1">
      <alignment horizontal="center" vertical="center"/>
    </xf>
    <xf numFmtId="0" fontId="13" fillId="13" borderId="123" xfId="0" applyFont="1" applyFill="1" applyBorder="1" applyAlignment="1" applyProtection="1">
      <alignment horizontal="left"/>
    </xf>
    <xf numFmtId="0" fontId="13" fillId="13" borderId="124" xfId="0" applyFont="1" applyFill="1" applyBorder="1" applyAlignment="1" applyProtection="1">
      <alignment horizontal="left"/>
    </xf>
    <xf numFmtId="0" fontId="3" fillId="0" borderId="4" xfId="0" applyFont="1" applyBorder="1" applyAlignment="1" applyProtection="1">
      <alignment horizontal="center" vertical="center"/>
    </xf>
    <xf numFmtId="0" fontId="3" fillId="0" borderId="5" xfId="0" applyFont="1" applyBorder="1" applyAlignment="1" applyProtection="1">
      <alignment horizontal="center" vertical="center"/>
    </xf>
    <xf numFmtId="3" fontId="87" fillId="0" borderId="71" xfId="0" applyNumberFormat="1" applyFont="1" applyFill="1" applyBorder="1" applyAlignment="1" applyProtection="1">
      <alignment horizontal="center" vertical="center"/>
    </xf>
    <xf numFmtId="3" fontId="87" fillId="0" borderId="68" xfId="0" applyNumberFormat="1" applyFont="1" applyFill="1" applyBorder="1" applyAlignment="1" applyProtection="1">
      <alignment horizontal="center" vertical="center"/>
    </xf>
    <xf numFmtId="0" fontId="87" fillId="0" borderId="71" xfId="0" applyFont="1" applyFill="1" applyBorder="1" applyAlignment="1" applyProtection="1">
      <alignment horizontal="center" vertical="center" wrapText="1"/>
    </xf>
    <xf numFmtId="0" fontId="87" fillId="0" borderId="68" xfId="0" applyFont="1" applyFill="1" applyBorder="1" applyAlignment="1" applyProtection="1">
      <alignment horizontal="center" vertical="center" wrapText="1"/>
    </xf>
    <xf numFmtId="3" fontId="13" fillId="13" borderId="123" xfId="0" applyNumberFormat="1" applyFont="1" applyFill="1" applyBorder="1" applyAlignment="1" applyProtection="1">
      <alignment horizontal="center" vertical="center"/>
    </xf>
    <xf numFmtId="3" fontId="13" fillId="13" borderId="124" xfId="0" applyNumberFormat="1" applyFont="1" applyFill="1" applyBorder="1" applyAlignment="1" applyProtection="1">
      <alignment horizontal="center" vertical="center"/>
    </xf>
    <xf numFmtId="3" fontId="13" fillId="13" borderId="126" xfId="0" applyNumberFormat="1" applyFont="1" applyFill="1" applyBorder="1" applyAlignment="1" applyProtection="1">
      <alignment horizontal="center" vertical="center"/>
    </xf>
    <xf numFmtId="3" fontId="13" fillId="13" borderId="127"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114"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5" xfId="0" applyFont="1" applyBorder="1" applyAlignment="1" applyProtection="1">
      <alignment horizontal="left" vertical="center"/>
    </xf>
    <xf numFmtId="0" fontId="12" fillId="13" borderId="123" xfId="0" applyFont="1" applyFill="1" applyBorder="1" applyAlignment="1" applyProtection="1">
      <alignment horizontal="left"/>
    </xf>
    <xf numFmtId="0" fontId="12" fillId="13" borderId="72" xfId="0" applyFont="1" applyFill="1" applyBorder="1" applyAlignment="1" applyProtection="1">
      <alignment horizontal="left"/>
    </xf>
    <xf numFmtId="0" fontId="12" fillId="13" borderId="124" xfId="0" applyFont="1" applyFill="1" applyBorder="1" applyAlignment="1" applyProtection="1">
      <alignment horizontal="left"/>
    </xf>
    <xf numFmtId="0" fontId="9" fillId="13" borderId="6" xfId="0" applyFont="1" applyFill="1" applyBorder="1" applyAlignment="1" applyProtection="1">
      <alignment horizontal="center" vertical="center"/>
    </xf>
    <xf numFmtId="0" fontId="9" fillId="13" borderId="10" xfId="0" applyFont="1" applyFill="1" applyBorder="1" applyAlignment="1" applyProtection="1">
      <alignment horizontal="center" vertical="center"/>
    </xf>
    <xf numFmtId="0" fontId="13" fillId="13" borderId="6" xfId="0" applyFont="1" applyFill="1" applyBorder="1" applyAlignment="1" applyProtection="1">
      <alignment horizontal="left" vertical="center"/>
    </xf>
    <xf numFmtId="0" fontId="13" fillId="13" borderId="10" xfId="0" applyFont="1" applyFill="1" applyBorder="1" applyAlignment="1" applyProtection="1">
      <alignment horizontal="left" vertical="center"/>
    </xf>
    <xf numFmtId="0" fontId="13" fillId="13" borderId="114" xfId="0" applyFont="1" applyFill="1" applyBorder="1" applyAlignment="1" applyProtection="1">
      <alignment horizontal="left" vertical="center"/>
    </xf>
    <xf numFmtId="0" fontId="13" fillId="13" borderId="108" xfId="0" applyFont="1" applyFill="1" applyBorder="1" applyAlignment="1" applyProtection="1">
      <alignment horizontal="left" vertical="center"/>
    </xf>
    <xf numFmtId="175" fontId="13" fillId="13" borderId="24" xfId="0" applyNumberFormat="1" applyFont="1" applyFill="1" applyBorder="1" applyAlignment="1" applyProtection="1">
      <alignment horizontal="left" vertical="center"/>
    </xf>
    <xf numFmtId="175" fontId="13" fillId="13" borderId="25" xfId="0" applyNumberFormat="1" applyFont="1" applyFill="1" applyBorder="1" applyAlignment="1" applyProtection="1">
      <alignment horizontal="left" vertical="center"/>
    </xf>
    <xf numFmtId="0" fontId="13" fillId="13" borderId="26" xfId="0" applyFont="1" applyFill="1" applyBorder="1" applyAlignment="1" applyProtection="1">
      <alignment horizontal="left" vertical="center"/>
    </xf>
    <xf numFmtId="0" fontId="13" fillId="13" borderId="27" xfId="0" applyFont="1" applyFill="1" applyBorder="1" applyAlignment="1" applyProtection="1">
      <alignment horizontal="left" vertical="center"/>
    </xf>
    <xf numFmtId="0" fontId="150" fillId="0" borderId="0" xfId="0" applyFont="1" applyFill="1" applyAlignment="1" applyProtection="1">
      <alignment horizontal="center"/>
    </xf>
    <xf numFmtId="0" fontId="150" fillId="0" borderId="0" xfId="0" applyFont="1" applyFill="1" applyAlignment="1" applyProtection="1">
      <alignment horizontal="left"/>
    </xf>
    <xf numFmtId="0" fontId="3" fillId="0" borderId="0" xfId="0" applyFont="1" applyFill="1" applyAlignment="1" applyProtection="1">
      <alignment horizontal="center"/>
    </xf>
    <xf numFmtId="0" fontId="3" fillId="0" borderId="0" xfId="0" applyFont="1" applyBorder="1" applyAlignment="1" applyProtection="1">
      <alignment horizontal="left" vertical="top" wrapText="1"/>
    </xf>
    <xf numFmtId="0" fontId="13" fillId="13" borderId="123" xfId="0" applyFont="1" applyFill="1" applyBorder="1" applyAlignment="1" applyProtection="1">
      <alignment horizontal="center" vertical="top"/>
    </xf>
    <xf numFmtId="0" fontId="13" fillId="13" borderId="124" xfId="0" applyFont="1" applyFill="1" applyBorder="1" applyAlignment="1" applyProtection="1">
      <alignment horizontal="center" vertical="top"/>
    </xf>
    <xf numFmtId="0" fontId="3" fillId="0" borderId="36" xfId="0" applyFont="1" applyBorder="1" applyAlignment="1" applyProtection="1">
      <alignment horizontal="center" vertical="center"/>
    </xf>
    <xf numFmtId="0" fontId="3" fillId="0" borderId="16" xfId="0" applyFont="1" applyBorder="1" applyAlignment="1" applyProtection="1">
      <alignment horizontal="center" vertical="center"/>
    </xf>
    <xf numFmtId="0" fontId="3" fillId="0" borderId="51" xfId="0" applyFont="1" applyBorder="1" applyAlignment="1" applyProtection="1">
      <alignment horizontal="center" vertical="center"/>
    </xf>
    <xf numFmtId="0" fontId="94" fillId="0" borderId="34" xfId="0" applyFont="1" applyFill="1" applyBorder="1" applyAlignment="1" applyProtection="1">
      <alignment horizontal="center" vertical="center"/>
    </xf>
    <xf numFmtId="0" fontId="94"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wrapText="1"/>
    </xf>
    <xf numFmtId="3" fontId="40"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07" fillId="0" borderId="0" xfId="0" applyFont="1" applyFill="1" applyBorder="1" applyAlignment="1" applyProtection="1">
      <alignment horizontal="center" wrapText="1"/>
    </xf>
    <xf numFmtId="0" fontId="107" fillId="0" borderId="16" xfId="0" applyFont="1" applyFill="1" applyBorder="1" applyAlignment="1" applyProtection="1">
      <alignment horizontal="center" wrapText="1"/>
    </xf>
    <xf numFmtId="3" fontId="165" fillId="0" borderId="38" xfId="0" applyNumberFormat="1" applyFont="1" applyFill="1" applyBorder="1" applyAlignment="1" applyProtection="1">
      <alignment horizontal="center" vertical="center" wrapText="1"/>
    </xf>
    <xf numFmtId="3" fontId="165" fillId="0" borderId="33" xfId="0" applyNumberFormat="1" applyFont="1" applyFill="1" applyBorder="1" applyAlignment="1" applyProtection="1">
      <alignment horizontal="center" vertical="center" wrapText="1"/>
    </xf>
    <xf numFmtId="3" fontId="165" fillId="0" borderId="36" xfId="0" applyNumberFormat="1" applyFont="1" applyFill="1" applyBorder="1" applyAlignment="1" applyProtection="1">
      <alignment horizontal="center" vertical="center" wrapText="1"/>
    </xf>
    <xf numFmtId="3" fontId="165" fillId="0" borderId="51" xfId="0" applyNumberFormat="1" applyFont="1" applyFill="1" applyBorder="1" applyAlignment="1" applyProtection="1">
      <alignment horizontal="center" vertical="center" wrapText="1"/>
    </xf>
    <xf numFmtId="0" fontId="149" fillId="0" borderId="0" xfId="0" applyFont="1" applyFill="1" applyAlignment="1" applyProtection="1">
      <alignment horizontal="left" vertical="top" wrapText="1"/>
    </xf>
    <xf numFmtId="3" fontId="169" fillId="0" borderId="114" xfId="0" applyNumberFormat="1" applyFont="1" applyFill="1" applyBorder="1" applyAlignment="1" applyProtection="1">
      <alignment horizontal="center" vertical="center" wrapText="1"/>
    </xf>
    <xf numFmtId="3" fontId="169" fillId="0" borderId="108" xfId="0" applyNumberFormat="1" applyFont="1" applyFill="1" applyBorder="1" applyAlignment="1" applyProtection="1">
      <alignment horizontal="center" vertical="center" wrapText="1"/>
    </xf>
    <xf numFmtId="3" fontId="169" fillId="0" borderId="6" xfId="0" applyNumberFormat="1" applyFont="1" applyFill="1" applyBorder="1" applyAlignment="1" applyProtection="1">
      <alignment horizontal="center" vertical="center" wrapText="1"/>
    </xf>
    <xf numFmtId="3" fontId="169" fillId="0" borderId="10" xfId="0" applyNumberFormat="1" applyFont="1" applyFill="1" applyBorder="1" applyAlignment="1" applyProtection="1">
      <alignment horizontal="center" vertical="center" wrapText="1"/>
    </xf>
    <xf numFmtId="0" fontId="38" fillId="0" borderId="0" xfId="0" applyFont="1" applyFill="1" applyBorder="1" applyAlignment="1" applyProtection="1">
      <alignment horizontal="center" vertical="center" wrapText="1"/>
    </xf>
    <xf numFmtId="6" fontId="4" fillId="13" borderId="114" xfId="0" applyNumberFormat="1" applyFont="1" applyFill="1" applyBorder="1" applyAlignment="1" applyProtection="1">
      <alignment horizontal="center" vertical="center"/>
    </xf>
    <xf numFmtId="6" fontId="4" fillId="13" borderId="108" xfId="0" applyNumberFormat="1" applyFont="1" applyFill="1" applyBorder="1" applyAlignment="1" applyProtection="1">
      <alignment horizontal="center" vertical="center"/>
    </xf>
    <xf numFmtId="6" fontId="4" fillId="13" borderId="6" xfId="0" applyNumberFormat="1" applyFont="1" applyFill="1" applyBorder="1" applyAlignment="1" applyProtection="1">
      <alignment horizontal="center" vertical="center"/>
    </xf>
    <xf numFmtId="6" fontId="4" fillId="13" borderId="10" xfId="0" applyNumberFormat="1" applyFont="1" applyFill="1" applyBorder="1" applyAlignment="1" applyProtection="1">
      <alignment horizontal="center" vertical="center"/>
    </xf>
    <xf numFmtId="0" fontId="38" fillId="13" borderId="26" xfId="0" applyFont="1" applyFill="1" applyBorder="1" applyAlignment="1" applyProtection="1">
      <alignment horizontal="justify" vertical="top" wrapText="1"/>
    </xf>
    <xf numFmtId="0" fontId="38" fillId="13" borderId="17" xfId="0" applyFont="1" applyFill="1" applyBorder="1" applyAlignment="1" applyProtection="1">
      <alignment horizontal="justify" vertical="top" wrapText="1"/>
    </xf>
    <xf numFmtId="0" fontId="38" fillId="13" borderId="27" xfId="0" applyFont="1" applyFill="1" applyBorder="1" applyAlignment="1" applyProtection="1">
      <alignment horizontal="justify" vertical="top" wrapText="1"/>
    </xf>
    <xf numFmtId="0" fontId="111" fillId="0" borderId="0" xfId="0" applyFont="1" applyFill="1" applyAlignment="1" applyProtection="1">
      <alignment horizontal="center" vertical="center"/>
    </xf>
    <xf numFmtId="0" fontId="111" fillId="0" borderId="5" xfId="0" applyFont="1" applyFill="1" applyBorder="1" applyAlignment="1" applyProtection="1">
      <alignment horizontal="center" vertical="center"/>
    </xf>
    <xf numFmtId="0" fontId="7" fillId="5" borderId="123" xfId="0" applyFont="1" applyFill="1" applyBorder="1" applyAlignment="1" applyProtection="1">
      <alignment horizontal="center" vertical="center" wrapText="1"/>
    </xf>
    <xf numFmtId="0" fontId="7" fillId="5" borderId="124" xfId="0" applyFont="1" applyFill="1" applyBorder="1" applyAlignment="1" applyProtection="1">
      <alignment horizontal="center" vertical="center" wrapText="1"/>
    </xf>
    <xf numFmtId="0" fontId="21" fillId="0" borderId="0" xfId="0" applyFont="1" applyFill="1" applyAlignment="1" applyProtection="1">
      <alignment horizontal="left" vertical="center"/>
    </xf>
    <xf numFmtId="0" fontId="95" fillId="13" borderId="123" xfId="0" applyFont="1" applyFill="1" applyBorder="1" applyAlignment="1" applyProtection="1">
      <alignment horizontal="center" vertical="center"/>
    </xf>
    <xf numFmtId="0" fontId="95" fillId="13" borderId="124" xfId="0" applyFont="1" applyFill="1" applyBorder="1" applyAlignment="1" applyProtection="1">
      <alignment horizontal="center" vertical="center"/>
    </xf>
    <xf numFmtId="0" fontId="90" fillId="0" borderId="0" xfId="0" applyFont="1" applyFill="1" applyAlignment="1" applyProtection="1">
      <alignment horizontal="center" vertical="center" wrapText="1"/>
    </xf>
    <xf numFmtId="0" fontId="90" fillId="0" borderId="5" xfId="0" applyFont="1" applyFill="1" applyBorder="1" applyAlignment="1" applyProtection="1">
      <alignment horizontal="center" vertical="center" wrapText="1"/>
    </xf>
    <xf numFmtId="0" fontId="38" fillId="13" borderId="29" xfId="0" applyFont="1" applyFill="1" applyBorder="1" applyAlignment="1" applyProtection="1">
      <alignment horizontal="justify" vertical="top" wrapText="1"/>
    </xf>
    <xf numFmtId="0" fontId="38" fillId="13" borderId="50" xfId="0" applyFont="1" applyFill="1" applyBorder="1" applyAlignment="1" applyProtection="1">
      <alignment horizontal="justify" vertical="top" wrapText="1"/>
    </xf>
    <xf numFmtId="0" fontId="38" fillId="13" borderId="30" xfId="0" applyFont="1" applyFill="1" applyBorder="1" applyAlignment="1" applyProtection="1">
      <alignment horizontal="justify" vertical="top" wrapText="1"/>
    </xf>
    <xf numFmtId="0" fontId="192" fillId="20" borderId="0" xfId="0" applyFont="1" applyFill="1" applyAlignment="1" applyProtection="1">
      <alignment horizontal="center" vertical="center" wrapText="1"/>
    </xf>
    <xf numFmtId="0" fontId="3" fillId="0" borderId="0" xfId="0" applyFont="1" applyAlignment="1" applyProtection="1">
      <alignment horizontal="center" vertical="center"/>
    </xf>
    <xf numFmtId="37" fontId="7" fillId="0" borderId="123" xfId="0" applyNumberFormat="1" applyFont="1" applyFill="1" applyBorder="1" applyAlignment="1" applyProtection="1">
      <alignment horizontal="left" vertical="center" wrapText="1"/>
    </xf>
    <xf numFmtId="37" fontId="7" fillId="0" borderId="124" xfId="0" applyNumberFormat="1" applyFont="1" applyFill="1" applyBorder="1" applyAlignment="1" applyProtection="1">
      <alignment horizontal="left" vertical="center" wrapText="1"/>
    </xf>
    <xf numFmtId="0" fontId="38" fillId="13" borderId="24" xfId="0" applyFont="1" applyFill="1" applyBorder="1" applyAlignment="1" applyProtection="1">
      <alignment horizontal="justify" vertical="top" wrapText="1"/>
    </xf>
    <xf numFmtId="0" fontId="38" fillId="13" borderId="49" xfId="0" applyFont="1" applyFill="1" applyBorder="1" applyAlignment="1" applyProtection="1">
      <alignment horizontal="justify" vertical="top" wrapText="1"/>
    </xf>
    <xf numFmtId="0" fontId="38" fillId="13" borderId="25"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9" xfId="0" applyFont="1" applyBorder="1" applyAlignment="1" applyProtection="1">
      <alignment horizontal="right" wrapText="1"/>
    </xf>
    <xf numFmtId="0" fontId="194" fillId="0" borderId="38" xfId="0" applyNumberFormat="1" applyFont="1" applyFill="1" applyBorder="1" applyAlignment="1" applyProtection="1">
      <alignment horizontal="center" vertical="center" wrapText="1"/>
    </xf>
    <xf numFmtId="0" fontId="194" fillId="0" borderId="33" xfId="0" applyNumberFormat="1" applyFont="1" applyFill="1" applyBorder="1" applyAlignment="1" applyProtection="1">
      <alignment horizontal="center" vertical="center" wrapText="1"/>
    </xf>
    <xf numFmtId="0" fontId="194" fillId="0" borderId="36" xfId="0" applyNumberFormat="1" applyFont="1" applyFill="1" applyBorder="1" applyAlignment="1" applyProtection="1">
      <alignment horizontal="center" vertical="center" wrapText="1"/>
    </xf>
    <xf numFmtId="0" fontId="194" fillId="0" borderId="51" xfId="0" applyNumberFormat="1" applyFont="1" applyFill="1" applyBorder="1" applyAlignment="1" applyProtection="1">
      <alignment horizontal="center" vertical="center" wrapText="1"/>
    </xf>
    <xf numFmtId="0" fontId="3" fillId="13" borderId="74" xfId="0" applyFont="1" applyFill="1" applyBorder="1" applyAlignment="1" applyProtection="1">
      <alignment horizontal="left" vertical="top" wrapText="1"/>
    </xf>
    <xf numFmtId="0" fontId="90" fillId="0" borderId="0" xfId="0" applyFont="1" applyFill="1" applyAlignment="1" applyProtection="1">
      <alignment horizontal="left" vertical="top" wrapText="1"/>
    </xf>
    <xf numFmtId="0" fontId="80" fillId="0" borderId="38" xfId="0" applyFont="1" applyBorder="1" applyAlignment="1" applyProtection="1">
      <alignment horizontal="center" vertical="center"/>
    </xf>
    <xf numFmtId="0" fontId="80" fillId="0" borderId="33" xfId="0" applyFont="1" applyBorder="1" applyAlignment="1" applyProtection="1">
      <alignment horizontal="center" vertical="center"/>
    </xf>
    <xf numFmtId="0" fontId="13" fillId="0" borderId="38" xfId="0" applyFont="1" applyBorder="1" applyAlignment="1" applyProtection="1">
      <alignment horizontal="center" vertical="center"/>
    </xf>
    <xf numFmtId="0" fontId="13" fillId="0" borderId="15" xfId="0" applyFont="1" applyBorder="1" applyAlignment="1" applyProtection="1">
      <alignment horizontal="center" vertical="center"/>
    </xf>
    <xf numFmtId="0" fontId="13" fillId="0" borderId="33" xfId="0" applyFont="1" applyBorder="1" applyAlignment="1" applyProtection="1">
      <alignment horizontal="center" vertical="center"/>
    </xf>
    <xf numFmtId="0" fontId="80" fillId="0" borderId="36" xfId="0" applyFont="1" applyBorder="1" applyAlignment="1" applyProtection="1">
      <alignment horizontal="center" vertical="center"/>
    </xf>
    <xf numFmtId="0" fontId="80" fillId="0" borderId="51" xfId="0" applyFont="1" applyBorder="1" applyAlignment="1" applyProtection="1">
      <alignment horizontal="center" vertical="center"/>
    </xf>
    <xf numFmtId="4" fontId="3" fillId="0" borderId="26" xfId="0" applyNumberFormat="1" applyFont="1" applyFill="1" applyBorder="1" applyAlignment="1" applyProtection="1">
      <alignment horizontal="center" vertical="center" wrapText="1"/>
    </xf>
    <xf numFmtId="4" fontId="3" fillId="0" borderId="27" xfId="0" applyNumberFormat="1" applyFont="1" applyFill="1" applyBorder="1" applyAlignment="1" applyProtection="1">
      <alignment horizontal="center" vertical="center" wrapText="1"/>
    </xf>
    <xf numFmtId="4" fontId="3" fillId="0" borderId="24" xfId="0" applyNumberFormat="1" applyFont="1" applyFill="1" applyBorder="1" applyAlignment="1" applyProtection="1">
      <alignment horizontal="center" vertical="center" wrapText="1"/>
    </xf>
    <xf numFmtId="4" fontId="3" fillId="0" borderId="25" xfId="0" applyNumberFormat="1" applyFont="1" applyFill="1" applyBorder="1" applyAlignment="1" applyProtection="1">
      <alignment horizontal="center" vertical="center" wrapText="1"/>
    </xf>
    <xf numFmtId="174" fontId="72" fillId="0" borderId="29" xfId="0" applyNumberFormat="1" applyFont="1" applyFill="1" applyBorder="1" applyAlignment="1" applyProtection="1">
      <alignment horizontal="center" vertical="center"/>
    </xf>
    <xf numFmtId="174" fontId="72" fillId="0" borderId="30" xfId="0" applyNumberFormat="1" applyFont="1" applyFill="1" applyBorder="1" applyAlignment="1" applyProtection="1">
      <alignment horizontal="center" vertical="center"/>
    </xf>
    <xf numFmtId="3" fontId="3" fillId="0" borderId="123" xfId="0" applyNumberFormat="1" applyFont="1" applyFill="1" applyBorder="1" applyAlignment="1" applyProtection="1">
      <alignment horizontal="center" vertical="center"/>
    </xf>
    <xf numFmtId="3" fontId="3" fillId="0" borderId="124" xfId="0" applyNumberFormat="1"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3" fontId="3" fillId="13" borderId="23" xfId="0" applyNumberFormat="1" applyFont="1" applyFill="1" applyBorder="1" applyAlignment="1" applyProtection="1">
      <alignment horizontal="center" vertical="center"/>
    </xf>
    <xf numFmtId="3" fontId="3" fillId="13" borderId="80" xfId="0" applyNumberFormat="1" applyFont="1" applyFill="1" applyBorder="1" applyAlignment="1" applyProtection="1">
      <alignment horizontal="center" vertical="center"/>
    </xf>
    <xf numFmtId="0" fontId="38" fillId="0" borderId="81" xfId="0" applyFont="1" applyFill="1" applyBorder="1" applyAlignment="1" applyProtection="1">
      <alignment horizontal="left" vertical="center" wrapText="1"/>
    </xf>
    <xf numFmtId="0" fontId="38" fillId="0" borderId="30" xfId="0" applyFont="1" applyFill="1" applyBorder="1" applyAlignment="1" applyProtection="1">
      <alignment horizontal="left" vertical="center" wrapText="1"/>
    </xf>
    <xf numFmtId="0" fontId="3" fillId="0" borderId="84" xfId="0" applyFont="1" applyFill="1" applyBorder="1" applyAlignment="1" applyProtection="1">
      <alignment horizontal="left" vertical="top" wrapText="1"/>
    </xf>
    <xf numFmtId="0" fontId="3" fillId="0" borderId="25" xfId="0" applyFont="1" applyFill="1" applyBorder="1" applyAlignment="1" applyProtection="1">
      <alignment horizontal="left" vertical="top" wrapText="1"/>
    </xf>
    <xf numFmtId="0" fontId="12" fillId="0" borderId="78" xfId="0" applyFont="1" applyBorder="1" applyAlignment="1" applyProtection="1">
      <alignment horizontal="center" vertical="center" textRotation="90" wrapText="1"/>
    </xf>
    <xf numFmtId="0" fontId="12" fillId="0" borderId="103" xfId="0" applyFont="1" applyBorder="1" applyAlignment="1" applyProtection="1">
      <alignment horizontal="center" vertical="center" textRotation="90" wrapText="1"/>
    </xf>
    <xf numFmtId="0" fontId="12" fillId="0" borderId="79" xfId="0" applyFont="1" applyBorder="1" applyAlignment="1" applyProtection="1">
      <alignment horizontal="center" vertical="center" textRotation="90" wrapText="1"/>
    </xf>
    <xf numFmtId="0" fontId="15" fillId="0" borderId="0" xfId="0" applyFont="1" applyAlignment="1" applyProtection="1">
      <alignment horizontal="center"/>
    </xf>
    <xf numFmtId="3" fontId="2" fillId="13" borderId="22" xfId="0" applyNumberFormat="1" applyFont="1" applyFill="1" applyBorder="1" applyAlignment="1" applyProtection="1">
      <alignment horizontal="center" vertical="center"/>
    </xf>
    <xf numFmtId="3" fontId="2" fillId="13" borderId="15"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0" borderId="48" xfId="0" applyNumberFormat="1" applyFont="1" applyFill="1" applyBorder="1" applyAlignment="1" applyProtection="1">
      <alignment horizontal="center" vertical="center"/>
    </xf>
    <xf numFmtId="3" fontId="2" fillId="0" borderId="31"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5" fillId="20" borderId="0" xfId="0" applyFont="1" applyFill="1" applyAlignment="1" applyProtection="1">
      <alignment horizontal="left" vertical="center" wrapText="1"/>
    </xf>
    <xf numFmtId="38" fontId="2" fillId="0" borderId="123" xfId="0" applyNumberFormat="1" applyFont="1" applyFill="1" applyBorder="1" applyAlignment="1" applyProtection="1">
      <alignment horizontal="center" vertical="center"/>
    </xf>
    <xf numFmtId="38" fontId="2" fillId="0" borderId="124"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7" xfId="0" applyNumberFormat="1" applyFont="1" applyFill="1" applyBorder="1" applyAlignment="1" applyProtection="1">
      <alignment horizontal="center" vertical="center"/>
    </xf>
    <xf numFmtId="3" fontId="2" fillId="13" borderId="27" xfId="0" applyNumberFormat="1" applyFont="1" applyFill="1" applyBorder="1" applyAlignment="1" applyProtection="1">
      <alignment horizontal="center" vertical="center"/>
    </xf>
    <xf numFmtId="0" fontId="3" fillId="0" borderId="9" xfId="0" applyFont="1" applyFill="1" applyBorder="1" applyAlignment="1" applyProtection="1">
      <alignment horizontal="center" vertical="top"/>
    </xf>
    <xf numFmtId="0" fontId="87" fillId="0" borderId="0" xfId="0" applyFont="1" applyFill="1" applyAlignment="1" applyProtection="1">
      <alignment horizontal="left" vertical="center"/>
    </xf>
    <xf numFmtId="0" fontId="3" fillId="0" borderId="26" xfId="0" applyFont="1" applyFill="1" applyBorder="1" applyAlignment="1" applyProtection="1">
      <alignment horizontal="left"/>
    </xf>
    <xf numFmtId="0" fontId="3" fillId="0" borderId="17" xfId="0" applyFont="1" applyFill="1" applyBorder="1" applyAlignment="1" applyProtection="1">
      <alignment horizontal="left"/>
    </xf>
    <xf numFmtId="0" fontId="3" fillId="0" borderId="27" xfId="0" applyFont="1" applyFill="1" applyBorder="1" applyAlignment="1" applyProtection="1">
      <alignment horizontal="left"/>
    </xf>
    <xf numFmtId="3" fontId="12" fillId="0" borderId="12"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3" fontId="12" fillId="0" borderId="14"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0" xfId="0" applyFont="1" applyAlignment="1" applyProtection="1">
      <alignment horizontal="left" vertical="top" wrapText="1"/>
    </xf>
    <xf numFmtId="0" fontId="3" fillId="0" borderId="26" xfId="0" applyFont="1" applyFill="1" applyBorder="1" applyAlignment="1" applyProtection="1">
      <alignment horizontal="left" vertical="center"/>
    </xf>
    <xf numFmtId="0" fontId="3" fillId="0" borderId="17" xfId="0" applyFont="1" applyFill="1" applyBorder="1" applyAlignment="1" applyProtection="1">
      <alignment horizontal="left" vertical="center"/>
    </xf>
    <xf numFmtId="0" fontId="3" fillId="0" borderId="27" xfId="0" applyFont="1" applyFill="1" applyBorder="1" applyAlignment="1" applyProtection="1">
      <alignment horizontal="left" vertical="center"/>
    </xf>
    <xf numFmtId="0" fontId="3" fillId="0" borderId="12" xfId="0" applyFont="1" applyFill="1" applyBorder="1" applyAlignment="1" applyProtection="1">
      <alignment horizontal="left" vertical="center"/>
    </xf>
    <xf numFmtId="0" fontId="3" fillId="0" borderId="29" xfId="0" applyFont="1" applyFill="1" applyBorder="1" applyAlignment="1" applyProtection="1">
      <alignment horizontal="left"/>
    </xf>
    <xf numFmtId="0" fontId="3" fillId="0" borderId="50" xfId="0" applyFont="1" applyFill="1" applyBorder="1" applyAlignment="1" applyProtection="1">
      <alignment horizontal="left"/>
    </xf>
    <xf numFmtId="0" fontId="3" fillId="0" borderId="30" xfId="0" applyFont="1" applyFill="1" applyBorder="1" applyAlignment="1" applyProtection="1">
      <alignment horizontal="left"/>
    </xf>
    <xf numFmtId="0" fontId="13" fillId="0" borderId="0" xfId="0" applyFont="1" applyFill="1" applyBorder="1" applyAlignment="1" applyProtection="1">
      <alignment horizontal="left" wrapText="1"/>
    </xf>
    <xf numFmtId="49" fontId="86" fillId="0" borderId="0" xfId="0" applyNumberFormat="1" applyFont="1" applyAlignment="1" applyProtection="1">
      <alignment horizontal="left" vertical="center"/>
    </xf>
    <xf numFmtId="0" fontId="3" fillId="0" borderId="14" xfId="0" applyFont="1" applyFill="1" applyBorder="1" applyAlignment="1" applyProtection="1">
      <alignment horizontal="left" vertical="center" wrapText="1"/>
    </xf>
    <xf numFmtId="10" fontId="102" fillId="0" borderId="71" xfId="0" applyNumberFormat="1" applyFont="1" applyFill="1" applyBorder="1" applyAlignment="1" applyProtection="1">
      <alignment horizontal="center" vertical="center"/>
    </xf>
    <xf numFmtId="10" fontId="102" fillId="0" borderId="68" xfId="0" applyNumberFormat="1" applyFont="1" applyFill="1" applyBorder="1" applyAlignment="1" applyProtection="1">
      <alignment horizontal="center" vertical="center"/>
    </xf>
    <xf numFmtId="3" fontId="9" fillId="0" borderId="84" xfId="0" applyNumberFormat="1" applyFont="1" applyFill="1" applyBorder="1" applyAlignment="1" applyProtection="1">
      <alignment horizontal="center" vertical="center"/>
    </xf>
    <xf numFmtId="3" fontId="9" fillId="0" borderId="69"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0" fontId="3" fillId="0" borderId="9" xfId="0" applyFont="1" applyFill="1" applyBorder="1" applyAlignment="1" applyProtection="1">
      <alignment horizontal="left" vertical="center" wrapText="1"/>
    </xf>
    <xf numFmtId="3" fontId="2" fillId="0" borderId="24" xfId="0" applyNumberFormat="1" applyFont="1" applyFill="1" applyBorder="1" applyAlignment="1" applyProtection="1">
      <alignment horizontal="center" vertical="center"/>
    </xf>
    <xf numFmtId="3" fontId="2" fillId="0" borderId="25" xfId="0" applyNumberFormat="1" applyFont="1" applyFill="1" applyBorder="1" applyAlignment="1" applyProtection="1">
      <alignment horizontal="center" vertical="center"/>
    </xf>
    <xf numFmtId="174" fontId="65" fillId="0" borderId="29" xfId="0" applyNumberFormat="1" applyFont="1" applyFill="1" applyBorder="1" applyAlignment="1" applyProtection="1">
      <alignment horizontal="center" vertical="center"/>
    </xf>
    <xf numFmtId="174" fontId="65" fillId="0" borderId="30" xfId="0" applyNumberFormat="1" applyFont="1" applyFill="1" applyBorder="1" applyAlignment="1" applyProtection="1">
      <alignment horizontal="center" vertical="center"/>
    </xf>
    <xf numFmtId="174" fontId="65" fillId="0" borderId="123" xfId="0" applyNumberFormat="1" applyFont="1" applyFill="1" applyBorder="1" applyAlignment="1" applyProtection="1">
      <alignment horizontal="center" vertical="center"/>
    </xf>
    <xf numFmtId="174" fontId="65" fillId="0" borderId="72" xfId="0" applyNumberFormat="1" applyFont="1" applyFill="1" applyBorder="1" applyAlignment="1" applyProtection="1">
      <alignment horizontal="center" vertical="center"/>
    </xf>
    <xf numFmtId="174" fontId="65" fillId="0" borderId="124" xfId="0" applyNumberFormat="1" applyFont="1" applyFill="1" applyBorder="1" applyAlignment="1" applyProtection="1">
      <alignment horizontal="center" vertical="center"/>
    </xf>
    <xf numFmtId="0" fontId="3" fillId="0" borderId="0" xfId="0" applyFont="1" applyFill="1" applyAlignment="1" applyProtection="1">
      <alignment horizontal="justify" vertical="top" wrapText="1"/>
    </xf>
    <xf numFmtId="3" fontId="9" fillId="0" borderId="71" xfId="0" applyNumberFormat="1" applyFont="1" applyFill="1" applyBorder="1" applyAlignment="1" applyProtection="1">
      <alignment horizontal="center" vertical="center"/>
    </xf>
    <xf numFmtId="3" fontId="9" fillId="0" borderId="68" xfId="0" applyNumberFormat="1"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161" fillId="0" borderId="0" xfId="0" applyFont="1" applyFill="1" applyBorder="1" applyAlignment="1" applyProtection="1">
      <alignment horizontal="center" vertical="top" wrapText="1"/>
    </xf>
    <xf numFmtId="0" fontId="105" fillId="0" borderId="0" xfId="6" applyFont="1" applyAlignment="1" applyProtection="1">
      <alignment horizontal="left"/>
    </xf>
    <xf numFmtId="0" fontId="160" fillId="0" borderId="0" xfId="0" applyFont="1" applyFill="1" applyBorder="1" applyAlignment="1" applyProtection="1">
      <alignment horizontal="center" vertical="top" wrapText="1"/>
    </xf>
    <xf numFmtId="0" fontId="175" fillId="0" borderId="0" xfId="0" applyFont="1" applyBorder="1" applyAlignment="1" applyProtection="1">
      <alignment horizontal="center" vertical="center" wrapText="1"/>
    </xf>
    <xf numFmtId="0" fontId="3" fillId="0" borderId="4" xfId="0" applyFont="1" applyBorder="1" applyAlignment="1" applyProtection="1">
      <alignment horizontal="left" vertical="top" wrapText="1"/>
    </xf>
    <xf numFmtId="0" fontId="38" fillId="13" borderId="123" xfId="0" applyFont="1" applyFill="1" applyBorder="1" applyAlignment="1" applyProtection="1">
      <alignment horizontal="left" vertical="top" wrapText="1"/>
    </xf>
    <xf numFmtId="0" fontId="38" fillId="13" borderId="72" xfId="0" applyFont="1" applyFill="1" applyBorder="1" applyAlignment="1" applyProtection="1">
      <alignment horizontal="left" vertical="top" wrapText="1"/>
    </xf>
    <xf numFmtId="0" fontId="38" fillId="13" borderId="124" xfId="0" applyFont="1" applyFill="1" applyBorder="1" applyAlignment="1" applyProtection="1">
      <alignment horizontal="left" vertical="top" wrapText="1"/>
    </xf>
    <xf numFmtId="0" fontId="3" fillId="0" borderId="24" xfId="0" applyFont="1" applyFill="1" applyBorder="1" applyAlignment="1" applyProtection="1">
      <alignment horizontal="left"/>
    </xf>
    <xf numFmtId="0" fontId="3" fillId="0" borderId="49" xfId="0" applyFont="1" applyFill="1" applyBorder="1" applyAlignment="1" applyProtection="1">
      <alignment horizontal="left"/>
    </xf>
    <xf numFmtId="0" fontId="3" fillId="0" borderId="25" xfId="0" applyFont="1" applyFill="1" applyBorder="1" applyAlignment="1" applyProtection="1">
      <alignment horizontal="left"/>
    </xf>
    <xf numFmtId="3" fontId="2" fillId="13" borderId="24" xfId="0" applyNumberFormat="1" applyFont="1" applyFill="1" applyBorder="1" applyAlignment="1" applyProtection="1">
      <alignment horizontal="center" vertical="center"/>
    </xf>
    <xf numFmtId="3" fontId="2" fillId="13" borderId="49" xfId="0" applyNumberFormat="1" applyFont="1" applyFill="1" applyBorder="1" applyAlignment="1" applyProtection="1">
      <alignment horizontal="center" vertical="center"/>
    </xf>
    <xf numFmtId="3" fontId="2" fillId="13" borderId="25" xfId="0" applyNumberFormat="1" applyFont="1" applyFill="1" applyBorder="1" applyAlignment="1" applyProtection="1">
      <alignment horizontal="center" vertical="center"/>
    </xf>
    <xf numFmtId="0" fontId="110" fillId="0" borderId="4" xfId="0" applyFont="1" applyFill="1" applyBorder="1" applyAlignment="1" applyProtection="1">
      <alignment horizontal="center" vertical="center" wrapText="1"/>
    </xf>
    <xf numFmtId="38" fontId="2" fillId="0" borderId="72" xfId="0" applyNumberFormat="1" applyFont="1" applyFill="1" applyBorder="1" applyAlignment="1" applyProtection="1">
      <alignment horizontal="center" vertical="center"/>
    </xf>
    <xf numFmtId="0" fontId="45" fillId="0" borderId="116" xfId="0" applyFont="1" applyFill="1" applyBorder="1" applyAlignment="1" applyProtection="1">
      <alignment horizontal="left" vertical="top" wrapText="1"/>
    </xf>
    <xf numFmtId="0" fontId="45" fillId="0" borderId="107" xfId="0" applyFont="1" applyFill="1" applyBorder="1" applyAlignment="1" applyProtection="1">
      <alignment horizontal="left" vertical="top" wrapText="1"/>
    </xf>
    <xf numFmtId="0" fontId="45" fillId="0" borderId="108" xfId="0" applyFont="1" applyFill="1" applyBorder="1" applyAlignment="1" applyProtection="1">
      <alignment horizontal="left" vertical="top" wrapText="1"/>
    </xf>
    <xf numFmtId="0" fontId="45" fillId="0" borderId="34"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5" xfId="0" applyFont="1" applyFill="1" applyBorder="1" applyAlignment="1" applyProtection="1">
      <alignment horizontal="left" vertical="top" wrapText="1"/>
    </xf>
    <xf numFmtId="0" fontId="75" fillId="0" borderId="0" xfId="0" applyFont="1" applyFill="1" applyBorder="1" applyAlignment="1" applyProtection="1">
      <alignment horizontal="right" vertical="center" wrapText="1"/>
    </xf>
    <xf numFmtId="0" fontId="38" fillId="0" borderId="0" xfId="0" applyFont="1" applyFill="1" applyBorder="1" applyAlignment="1" applyProtection="1">
      <alignment horizontal="left" vertical="center" wrapText="1"/>
    </xf>
    <xf numFmtId="0" fontId="45" fillId="0" borderId="36" xfId="0" applyFont="1" applyFill="1" applyBorder="1" applyAlignment="1" applyProtection="1">
      <alignment horizontal="left" vertical="top" wrapText="1"/>
    </xf>
    <xf numFmtId="0" fontId="45" fillId="0" borderId="16"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38" fillId="0" borderId="0" xfId="0" applyFont="1" applyFill="1" applyAlignment="1" applyProtection="1">
      <alignment horizontal="center" wrapText="1"/>
    </xf>
    <xf numFmtId="0" fontId="3" fillId="0" borderId="71" xfId="0" applyFont="1" applyFill="1" applyBorder="1" applyAlignment="1" applyProtection="1">
      <alignment horizontal="center" vertical="center" wrapText="1"/>
    </xf>
    <xf numFmtId="0" fontId="3" fillId="0" borderId="17" xfId="0" applyFont="1" applyFill="1" applyBorder="1" applyAlignment="1" applyProtection="1">
      <alignment horizontal="center" vertical="center" wrapText="1"/>
    </xf>
    <xf numFmtId="0" fontId="3" fillId="0" borderId="68" xfId="0"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0" fontId="41" fillId="13" borderId="44" xfId="0" applyNumberFormat="1" applyFont="1" applyFill="1" applyBorder="1" applyAlignment="1" applyProtection="1">
      <alignment horizontal="center" vertical="center"/>
    </xf>
    <xf numFmtId="0" fontId="41" fillId="13" borderId="20" xfId="0" applyNumberFormat="1" applyFont="1" applyFill="1" applyBorder="1" applyAlignment="1" applyProtection="1">
      <alignment horizontal="center" vertical="center"/>
    </xf>
    <xf numFmtId="0" fontId="41" fillId="13" borderId="84" xfId="0" applyNumberFormat="1" applyFont="1" applyFill="1" applyBorder="1" applyAlignment="1" applyProtection="1">
      <alignment horizontal="center" vertical="center"/>
    </xf>
    <xf numFmtId="0" fontId="41" fillId="13" borderId="25" xfId="0" applyNumberFormat="1" applyFont="1" applyFill="1" applyBorder="1" applyAlignment="1" applyProtection="1">
      <alignment horizontal="center" vertical="center"/>
    </xf>
    <xf numFmtId="0" fontId="27" fillId="0" borderId="9"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9" xfId="0" applyFont="1" applyBorder="1" applyAlignment="1" applyProtection="1">
      <alignment horizontal="center" vertical="center"/>
    </xf>
    <xf numFmtId="0" fontId="38" fillId="0" borderId="24" xfId="0" applyFont="1" applyBorder="1" applyAlignment="1" applyProtection="1">
      <alignment horizontal="center" vertical="center" wrapText="1"/>
    </xf>
    <xf numFmtId="0" fontId="38" fillId="0" borderId="25" xfId="0" applyFont="1" applyBorder="1" applyAlignment="1" applyProtection="1">
      <alignment horizontal="center" vertical="center" wrapText="1"/>
    </xf>
    <xf numFmtId="0" fontId="94" fillId="0" borderId="0" xfId="0" applyFont="1" applyAlignment="1" applyProtection="1">
      <alignment horizontal="center" vertical="center" wrapText="1"/>
    </xf>
    <xf numFmtId="0" fontId="3" fillId="0" borderId="71" xfId="0" applyFont="1" applyFill="1" applyBorder="1" applyAlignment="1" applyProtection="1">
      <alignment horizontal="left" vertical="top" wrapText="1"/>
    </xf>
    <xf numFmtId="0" fontId="3" fillId="0" borderId="27" xfId="0" applyFont="1" applyFill="1" applyBorder="1" applyAlignment="1" applyProtection="1">
      <alignment horizontal="left" vertical="top" wrapText="1"/>
    </xf>
    <xf numFmtId="0" fontId="38" fillId="13" borderId="45" xfId="0" applyFont="1" applyFill="1" applyBorder="1" applyAlignment="1" applyProtection="1">
      <alignment horizontal="left" vertical="top" wrapText="1"/>
    </xf>
    <xf numFmtId="0" fontId="38" fillId="13" borderId="32" xfId="0" applyFont="1" applyFill="1" applyBorder="1" applyAlignment="1" applyProtection="1">
      <alignment horizontal="left" vertical="top" wrapText="1"/>
    </xf>
    <xf numFmtId="0" fontId="110" fillId="0" borderId="0" xfId="0" applyFont="1" applyFill="1" applyAlignment="1" applyProtection="1">
      <alignment horizontal="center" vertical="center" wrapText="1"/>
    </xf>
    <xf numFmtId="0" fontId="110" fillId="0" borderId="0" xfId="0" applyFont="1" applyFill="1" applyBorder="1" applyAlignment="1" applyProtection="1">
      <alignment horizontal="center" vertical="center" wrapText="1"/>
    </xf>
    <xf numFmtId="0" fontId="7" fillId="13" borderId="17" xfId="0" applyFont="1" applyFill="1" applyBorder="1" applyAlignment="1" applyProtection="1">
      <alignment horizontal="center" vertical="center" wrapText="1"/>
    </xf>
    <xf numFmtId="0" fontId="7" fillId="13" borderId="27" xfId="0" applyFont="1" applyFill="1" applyBorder="1" applyAlignment="1" applyProtection="1">
      <alignment horizontal="center" vertical="center" wrapText="1"/>
    </xf>
    <xf numFmtId="0" fontId="7" fillId="13" borderId="50" xfId="0" applyFont="1" applyFill="1" applyBorder="1" applyAlignment="1" applyProtection="1">
      <alignment horizontal="center" vertical="center" wrapText="1"/>
    </xf>
    <xf numFmtId="0" fontId="7" fillId="13" borderId="30" xfId="0" applyFont="1" applyFill="1" applyBorder="1" applyAlignment="1" applyProtection="1">
      <alignment horizontal="center" vertical="center" wrapText="1"/>
    </xf>
    <xf numFmtId="0" fontId="45" fillId="0" borderId="38" xfId="0" applyFont="1" applyFill="1" applyBorder="1" applyAlignment="1" applyProtection="1">
      <alignment horizontal="left" vertical="top" wrapText="1"/>
    </xf>
    <xf numFmtId="0" fontId="45" fillId="0" borderId="15" xfId="0" applyFont="1" applyFill="1" applyBorder="1" applyAlignment="1" applyProtection="1">
      <alignment horizontal="left" vertical="top" wrapText="1"/>
    </xf>
    <xf numFmtId="0" fontId="45" fillId="0" borderId="28" xfId="0" applyFont="1" applyFill="1" applyBorder="1" applyAlignment="1" applyProtection="1">
      <alignment horizontal="left" vertical="top" wrapText="1"/>
    </xf>
    <xf numFmtId="0" fontId="13" fillId="0" borderId="17" xfId="0" applyFont="1" applyFill="1" applyBorder="1" applyAlignment="1" applyProtection="1">
      <alignment horizontal="center" vertical="center" wrapText="1"/>
    </xf>
    <xf numFmtId="0" fontId="13" fillId="0" borderId="27" xfId="0" applyFont="1" applyFill="1" applyBorder="1" applyAlignment="1" applyProtection="1">
      <alignment horizontal="center" vertical="center" wrapText="1"/>
    </xf>
    <xf numFmtId="0" fontId="7" fillId="0" borderId="123" xfId="0" applyFont="1" applyFill="1" applyBorder="1" applyAlignment="1" applyProtection="1">
      <alignment horizontal="center" vertical="center"/>
    </xf>
    <xf numFmtId="0" fontId="7" fillId="0" borderId="124" xfId="0" applyFont="1" applyFill="1" applyBorder="1" applyAlignment="1" applyProtection="1">
      <alignment horizontal="center" vertical="center"/>
    </xf>
    <xf numFmtId="0" fontId="45" fillId="0" borderId="82"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0" xfId="0" applyFont="1" applyFill="1" applyBorder="1" applyAlignment="1" applyProtection="1">
      <alignment horizontal="left" vertical="top" wrapText="1"/>
    </xf>
    <xf numFmtId="0" fontId="7" fillId="13" borderId="71" xfId="0" applyFont="1" applyFill="1" applyBorder="1" applyAlignment="1" applyProtection="1">
      <alignment horizontal="center" vertical="top" wrapText="1"/>
    </xf>
    <xf numFmtId="0" fontId="7" fillId="13" borderId="27" xfId="0" applyFont="1" applyFill="1" applyBorder="1" applyAlignment="1" applyProtection="1">
      <alignment horizontal="center" vertical="top" wrapText="1"/>
    </xf>
    <xf numFmtId="0" fontId="38" fillId="13" borderId="26" xfId="0" applyFont="1" applyFill="1" applyBorder="1" applyAlignment="1" applyProtection="1">
      <alignment horizontal="left" vertical="top" wrapText="1"/>
    </xf>
    <xf numFmtId="0" fontId="38" fillId="13" borderId="17" xfId="0" applyFont="1" applyFill="1" applyBorder="1" applyAlignment="1" applyProtection="1">
      <alignment horizontal="left" vertical="top" wrapText="1"/>
    </xf>
    <xf numFmtId="0" fontId="38" fillId="13" borderId="68" xfId="0" applyFont="1" applyFill="1" applyBorder="1" applyAlignment="1" applyProtection="1">
      <alignment horizontal="left" vertical="top" wrapText="1"/>
    </xf>
    <xf numFmtId="0" fontId="80" fillId="0" borderId="107" xfId="0" applyFont="1" applyFill="1" applyBorder="1" applyAlignment="1" applyProtection="1">
      <alignment horizontal="center" vertical="center" wrapText="1"/>
    </xf>
    <xf numFmtId="0" fontId="80" fillId="0" borderId="9" xfId="0" applyFont="1" applyFill="1" applyBorder="1" applyAlignment="1" applyProtection="1">
      <alignment horizontal="center" vertical="center" wrapText="1"/>
    </xf>
    <xf numFmtId="0" fontId="9" fillId="0" borderId="107" xfId="0" quotePrefix="1" applyFont="1" applyFill="1" applyBorder="1" applyAlignment="1" applyProtection="1">
      <alignment horizontal="center" vertical="center"/>
    </xf>
    <xf numFmtId="0" fontId="3" fillId="0" borderId="9" xfId="0"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0" fontId="7" fillId="13" borderId="81" xfId="0" applyFont="1" applyFill="1" applyBorder="1" applyAlignment="1" applyProtection="1">
      <alignment horizontal="center" vertical="top" wrapText="1"/>
    </xf>
    <xf numFmtId="0" fontId="7" fillId="13" borderId="30" xfId="0" applyFont="1" applyFill="1" applyBorder="1" applyAlignment="1" applyProtection="1">
      <alignment horizontal="center" vertical="top" wrapText="1"/>
    </xf>
    <xf numFmtId="0" fontId="38" fillId="13" borderId="29" xfId="0" applyFont="1" applyFill="1" applyBorder="1" applyAlignment="1" applyProtection="1">
      <alignment horizontal="left" vertical="top" wrapText="1"/>
    </xf>
    <xf numFmtId="0" fontId="38" fillId="13" borderId="50" xfId="0" applyFont="1" applyFill="1" applyBorder="1" applyAlignment="1" applyProtection="1">
      <alignment horizontal="left" vertical="top" wrapText="1"/>
    </xf>
    <xf numFmtId="0" fontId="38" fillId="13" borderId="70" xfId="0" applyFont="1" applyFill="1" applyBorder="1" applyAlignment="1" applyProtection="1">
      <alignment horizontal="left" vertical="top" wrapText="1"/>
    </xf>
    <xf numFmtId="0" fontId="38" fillId="13" borderId="24" xfId="0" applyFont="1" applyFill="1" applyBorder="1" applyAlignment="1" applyProtection="1">
      <alignment horizontal="left" vertical="top" wrapText="1"/>
    </xf>
    <xf numFmtId="0" fontId="38" fillId="13" borderId="49" xfId="0" applyFont="1" applyFill="1" applyBorder="1" applyAlignment="1" applyProtection="1">
      <alignment horizontal="left" vertical="top" wrapText="1"/>
    </xf>
    <xf numFmtId="0" fontId="38" fillId="13" borderId="69" xfId="0" applyFont="1" applyFill="1" applyBorder="1" applyAlignment="1" applyProtection="1">
      <alignment horizontal="left" vertical="top" wrapText="1"/>
    </xf>
    <xf numFmtId="0" fontId="38" fillId="13" borderId="46" xfId="0" applyFont="1" applyFill="1" applyBorder="1" applyAlignment="1" applyProtection="1">
      <alignment horizontal="left" vertical="top" wrapText="1"/>
    </xf>
    <xf numFmtId="0" fontId="38" fillId="13" borderId="47" xfId="0" applyFont="1" applyFill="1" applyBorder="1" applyAlignment="1" applyProtection="1">
      <alignment horizontal="left" vertical="top" wrapText="1"/>
    </xf>
    <xf numFmtId="0" fontId="13" fillId="0" borderId="116" xfId="0" applyFont="1" applyFill="1" applyBorder="1" applyAlignment="1" applyProtection="1">
      <alignment horizontal="center" vertical="top" wrapText="1"/>
    </xf>
    <xf numFmtId="0" fontId="13" fillId="0" borderId="108" xfId="0" applyFont="1" applyFill="1" applyBorder="1" applyAlignment="1" applyProtection="1">
      <alignment horizontal="center" vertical="top" wrapText="1"/>
    </xf>
    <xf numFmtId="0" fontId="80" fillId="0" borderId="0" xfId="0" applyFont="1" applyFill="1" applyBorder="1" applyAlignment="1" applyProtection="1">
      <alignment horizontal="center" vertical="center" wrapText="1"/>
    </xf>
    <xf numFmtId="0" fontId="13" fillId="0" borderId="6"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0" xfId="0" applyFont="1" applyFill="1" applyBorder="1" applyAlignment="1" applyProtection="1">
      <alignment horizontal="center" vertical="center" wrapText="1"/>
    </xf>
    <xf numFmtId="0" fontId="3" fillId="0" borderId="5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0" xfId="0" applyFont="1" applyFill="1" applyBorder="1" applyAlignment="1" applyProtection="1">
      <alignment horizontal="center" vertical="center"/>
    </xf>
    <xf numFmtId="0" fontId="180"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wrapText="1"/>
    </xf>
    <xf numFmtId="0" fontId="13" fillId="0" borderId="5" xfId="0" applyFont="1" applyFill="1" applyBorder="1" applyAlignment="1" applyProtection="1">
      <alignment horizontal="center" vertical="center" wrapText="1"/>
    </xf>
    <xf numFmtId="0" fontId="13" fillId="0" borderId="71" xfId="0" applyFont="1" applyFill="1" applyBorder="1" applyAlignment="1" applyProtection="1">
      <alignment horizontal="center" vertical="top" wrapText="1"/>
    </xf>
    <xf numFmtId="0" fontId="13" fillId="0" borderId="27" xfId="0" applyFont="1" applyFill="1" applyBorder="1" applyAlignment="1" applyProtection="1">
      <alignment horizontal="center" vertical="top" wrapText="1"/>
    </xf>
    <xf numFmtId="0" fontId="163" fillId="0" borderId="0" xfId="0" applyFont="1" applyAlignment="1" applyProtection="1">
      <alignment horizontal="center" vertical="center" wrapText="1"/>
    </xf>
    <xf numFmtId="0" fontId="45" fillId="0" borderId="78" xfId="0" applyFont="1" applyBorder="1" applyAlignment="1" applyProtection="1">
      <alignment horizontal="center" wrapText="1"/>
    </xf>
    <xf numFmtId="0" fontId="45" fillId="0" borderId="101" xfId="0" applyFont="1" applyBorder="1" applyAlignment="1" applyProtection="1">
      <alignment horizontal="center" wrapText="1"/>
    </xf>
    <xf numFmtId="0" fontId="12" fillId="0" borderId="0" xfId="0" applyFont="1" applyAlignment="1" applyProtection="1">
      <alignment horizontal="center" vertical="center" wrapText="1"/>
    </xf>
    <xf numFmtId="0" fontId="45" fillId="0" borderId="81" xfId="0" applyFont="1" applyBorder="1" applyAlignment="1" applyProtection="1">
      <alignment horizontal="center" vertical="top"/>
    </xf>
    <xf numFmtId="0" fontId="45" fillId="0" borderId="70" xfId="0" applyFont="1" applyBorder="1" applyAlignment="1" applyProtection="1">
      <alignment horizontal="center" vertical="top"/>
    </xf>
    <xf numFmtId="0" fontId="3" fillId="0" borderId="72" xfId="0" applyFont="1" applyBorder="1" applyAlignment="1" applyProtection="1">
      <alignment horizontal="left" vertical="top" wrapText="1"/>
    </xf>
    <xf numFmtId="0" fontId="3" fillId="0" borderId="72" xfId="0" applyFont="1" applyBorder="1" applyAlignment="1" applyProtection="1">
      <alignment horizontal="left" vertical="top"/>
    </xf>
    <xf numFmtId="0" fontId="38" fillId="0" borderId="9" xfId="0" applyFont="1" applyFill="1" applyBorder="1" applyAlignment="1" applyProtection="1">
      <alignment horizontal="left" vertical="center" wrapText="1"/>
    </xf>
    <xf numFmtId="0" fontId="3" fillId="0" borderId="5"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07" fillId="0" borderId="0" xfId="0" applyFont="1" applyAlignment="1" applyProtection="1">
      <alignment horizontal="center" vertical="center" wrapText="1"/>
    </xf>
    <xf numFmtId="0" fontId="94" fillId="0" borderId="0" xfId="0" applyFont="1" applyBorder="1" applyAlignment="1" applyProtection="1">
      <alignment horizontal="center" vertical="center" wrapText="1"/>
    </xf>
    <xf numFmtId="0" fontId="41" fillId="13" borderId="81" xfId="0" applyNumberFormat="1" applyFont="1" applyFill="1" applyBorder="1" applyAlignment="1" applyProtection="1">
      <alignment horizontal="center" vertical="center"/>
    </xf>
    <xf numFmtId="0" fontId="41" fillId="13" borderId="30" xfId="0" applyNumberFormat="1" applyFont="1" applyFill="1" applyBorder="1" applyAlignment="1" applyProtection="1">
      <alignment horizontal="center" vertical="center"/>
    </xf>
    <xf numFmtId="0" fontId="12" fillId="0" borderId="9" xfId="0" applyFont="1" applyFill="1" applyBorder="1" applyAlignment="1" applyProtection="1">
      <alignment horizontal="center" vertical="center"/>
    </xf>
    <xf numFmtId="0" fontId="3" fillId="0" borderId="107" xfId="0" applyFont="1" applyFill="1" applyBorder="1" applyAlignment="1" applyProtection="1">
      <alignment horizontal="center"/>
    </xf>
    <xf numFmtId="0" fontId="12" fillId="0" borderId="0" xfId="0" applyFont="1" applyFill="1" applyAlignment="1" applyProtection="1">
      <alignment horizontal="left" vertical="center" wrapText="1"/>
    </xf>
    <xf numFmtId="0" fontId="13" fillId="0" borderId="9" xfId="0" applyFont="1" applyBorder="1" applyAlignment="1" applyProtection="1">
      <alignment horizontal="center" wrapText="1"/>
    </xf>
    <xf numFmtId="0" fontId="3" fillId="0" borderId="0" xfId="0" applyFont="1" applyFill="1" applyAlignment="1" applyProtection="1">
      <alignment horizontal="center" wrapText="1"/>
    </xf>
    <xf numFmtId="0" fontId="3" fillId="0" borderId="9" xfId="0" applyFont="1" applyFill="1" applyBorder="1" applyAlignment="1" applyProtection="1">
      <alignment horizontal="center" wrapText="1"/>
    </xf>
    <xf numFmtId="0" fontId="38" fillId="0" borderId="9" xfId="0" applyFont="1" applyBorder="1" applyAlignment="1" applyProtection="1">
      <alignment horizontal="center" vertical="center"/>
    </xf>
    <xf numFmtId="0" fontId="86" fillId="0" borderId="0" xfId="0" applyFont="1" applyFill="1" applyBorder="1" applyAlignment="1" applyProtection="1">
      <alignment horizontal="left" vertical="center"/>
    </xf>
    <xf numFmtId="38" fontId="37" fillId="0" borderId="0" xfId="0" applyNumberFormat="1" applyFont="1" applyFill="1" applyBorder="1" applyAlignment="1" applyProtection="1">
      <alignment horizontal="center" vertical="center"/>
    </xf>
    <xf numFmtId="38" fontId="40" fillId="0" borderId="0" xfId="0" applyNumberFormat="1" applyFont="1" applyFill="1" applyBorder="1" applyAlignment="1" applyProtection="1">
      <alignment horizontal="center" vertical="center"/>
    </xf>
    <xf numFmtId="0" fontId="197" fillId="0" borderId="74" xfId="0" applyFont="1" applyFill="1" applyBorder="1" applyAlignment="1" applyProtection="1">
      <alignment horizontal="center" vertical="center" wrapText="1"/>
    </xf>
    <xf numFmtId="0" fontId="41" fillId="13" borderId="47" xfId="0" applyNumberFormat="1" applyFont="1" applyFill="1" applyBorder="1" applyAlignment="1" applyProtection="1">
      <alignment horizontal="center" vertical="center"/>
    </xf>
    <xf numFmtId="0" fontId="41" fillId="13" borderId="19" xfId="0" applyNumberFormat="1" applyFont="1" applyFill="1" applyBorder="1" applyAlignment="1" applyProtection="1">
      <alignment horizontal="center" vertical="center"/>
    </xf>
    <xf numFmtId="0" fontId="107" fillId="20" borderId="4" xfId="0" applyFont="1" applyFill="1" applyBorder="1" applyAlignment="1" applyProtection="1">
      <alignment horizontal="center" vertical="center" wrapText="1"/>
    </xf>
    <xf numFmtId="0" fontId="107" fillId="20" borderId="0" xfId="0" applyFont="1" applyFill="1" applyBorder="1" applyAlignment="1" applyProtection="1">
      <alignment horizontal="center" vertical="center" wrapText="1"/>
    </xf>
    <xf numFmtId="0" fontId="45" fillId="0" borderId="0" xfId="0" applyFont="1" applyFill="1" applyBorder="1" applyAlignment="1" applyProtection="1">
      <alignment horizontal="left" vertical="center" wrapText="1"/>
    </xf>
    <xf numFmtId="0" fontId="36" fillId="0" borderId="0" xfId="0" applyFont="1" applyFill="1" applyBorder="1" applyAlignment="1" applyProtection="1">
      <alignment horizontal="left" vertical="top" wrapText="1"/>
    </xf>
    <xf numFmtId="0" fontId="113"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4"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4" fillId="0" borderId="0" xfId="13" applyFont="1" applyAlignment="1" applyProtection="1"/>
    <xf numFmtId="0" fontId="113" fillId="0" borderId="0" xfId="13" applyFont="1" applyAlignment="1" applyProtection="1"/>
    <xf numFmtId="181" fontId="113" fillId="0" borderId="0" xfId="13" applyNumberFormat="1" applyFont="1" applyFill="1" applyAlignment="1" applyProtection="1">
      <alignment horizontal="left"/>
    </xf>
    <xf numFmtId="0" fontId="113" fillId="0" borderId="0" xfId="13" applyFont="1" applyFill="1" applyAlignment="1" applyProtection="1">
      <alignment horizontal="left"/>
    </xf>
    <xf numFmtId="4" fontId="113" fillId="0" borderId="0" xfId="13" applyNumberFormat="1" applyFont="1" applyFill="1" applyAlignment="1" applyProtection="1">
      <alignment horizontal="left"/>
    </xf>
    <xf numFmtId="0" fontId="113" fillId="0" borderId="0" xfId="13" applyNumberFormat="1" applyFont="1" applyFill="1" applyAlignment="1" applyProtection="1">
      <alignment horizontal="left"/>
    </xf>
    <xf numFmtId="0" fontId="124" fillId="0" borderId="34" xfId="13" applyFont="1" applyBorder="1" applyAlignment="1" applyProtection="1">
      <alignment horizontal="right"/>
    </xf>
    <xf numFmtId="0" fontId="124" fillId="0" borderId="0" xfId="13" applyFont="1" applyAlignment="1" applyProtection="1">
      <alignment horizontal="right"/>
    </xf>
    <xf numFmtId="0" fontId="113"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64" xfId="13" applyFont="1" applyBorder="1" applyAlignment="1" applyProtection="1">
      <alignment horizontal="left"/>
    </xf>
    <xf numFmtId="9" fontId="8" fillId="0" borderId="0" xfId="10" applyFont="1" applyAlignment="1" applyProtection="1">
      <alignment horizontal="justify" vertical="top" wrapText="1"/>
    </xf>
    <xf numFmtId="9" fontId="134"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2"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28" fillId="10" borderId="34" xfId="13" applyFont="1" applyFill="1" applyBorder="1" applyAlignment="1" applyProtection="1">
      <alignment horizontal="left" vertical="top" wrapText="1"/>
    </xf>
    <xf numFmtId="0" fontId="128"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4" fillId="0" borderId="0" xfId="13" applyFont="1" applyAlignment="1" applyProtection="1">
      <alignment horizontal="left"/>
    </xf>
    <xf numFmtId="0" fontId="134" fillId="0" borderId="0" xfId="13" applyFont="1" applyAlignment="1" applyProtection="1"/>
    <xf numFmtId="0" fontId="136" fillId="0" borderId="0" xfId="13" applyFont="1" applyFill="1" applyAlignment="1" applyProtection="1">
      <alignment horizontal="justify" vertical="top" wrapText="1"/>
    </xf>
    <xf numFmtId="0" fontId="128" fillId="10" borderId="0" xfId="13" applyFont="1" applyFill="1" applyAlignment="1" applyProtection="1">
      <alignment horizontal="left" vertical="top" wrapText="1"/>
    </xf>
    <xf numFmtId="0" fontId="128" fillId="10" borderId="0" xfId="13" applyFont="1" applyFill="1" applyAlignment="1" applyProtection="1">
      <alignment horizontal="justify" vertical="top" wrapText="1"/>
    </xf>
    <xf numFmtId="0" fontId="134"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4" fillId="0" borderId="123" xfId="13" applyNumberFormat="1" applyFont="1" applyBorder="1" applyAlignment="1" applyProtection="1">
      <alignment horizontal="center" vertical="center"/>
    </xf>
    <xf numFmtId="165" fontId="24" fillId="0" borderId="124"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1" fillId="0" borderId="0" xfId="13" applyFont="1" applyAlignment="1" applyProtection="1">
      <alignment horizontal="center"/>
    </xf>
    <xf numFmtId="0" fontId="4" fillId="0" borderId="71" xfId="13" applyFont="1" applyBorder="1" applyAlignment="1" applyProtection="1">
      <alignment horizontal="center" vertical="center" wrapText="1"/>
    </xf>
    <xf numFmtId="0" fontId="4" fillId="0" borderId="17" xfId="13" applyFont="1" applyBorder="1" applyAlignment="1" applyProtection="1">
      <alignment horizontal="center" vertical="center"/>
    </xf>
    <xf numFmtId="0" fontId="4" fillId="0" borderId="68"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16"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1" fillId="0" borderId="74" xfId="13" applyFont="1" applyBorder="1" applyAlignment="1" applyProtection="1">
      <alignment horizontal="center" vertical="center" wrapText="1"/>
    </xf>
    <xf numFmtId="0" fontId="4" fillId="20" borderId="92" xfId="13" applyFont="1" applyFill="1" applyBorder="1" applyAlignment="1" applyProtection="1">
      <alignment horizontal="center" vertical="center"/>
    </xf>
    <xf numFmtId="0" fontId="4" fillId="20" borderId="93" xfId="13" applyFont="1" applyFill="1" applyBorder="1" applyAlignment="1" applyProtection="1">
      <alignment horizontal="center" vertical="center"/>
    </xf>
    <xf numFmtId="3" fontId="12" fillId="0" borderId="47" xfId="13" applyNumberFormat="1" applyFont="1" applyBorder="1" applyAlignment="1" applyProtection="1">
      <alignment horizontal="center" vertical="center"/>
    </xf>
    <xf numFmtId="37" fontId="12" fillId="0" borderId="47"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16" xfId="13" applyFont="1" applyBorder="1" applyAlignment="1" applyProtection="1">
      <alignment horizontal="center" wrapText="1"/>
    </xf>
    <xf numFmtId="0" fontId="158"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16" xfId="13" applyFont="1" applyFill="1" applyBorder="1" applyAlignment="1" applyProtection="1">
      <alignment horizontal="left"/>
    </xf>
    <xf numFmtId="167" fontId="2" fillId="10" borderId="17" xfId="13" applyNumberFormat="1" applyFont="1" applyFill="1" applyBorder="1" applyAlignment="1" applyProtection="1">
      <alignment horizontal="left"/>
    </xf>
    <xf numFmtId="0" fontId="2" fillId="10" borderId="17" xfId="13" applyFont="1" applyFill="1" applyBorder="1" applyAlignment="1" applyProtection="1">
      <alignment horizontal="left"/>
    </xf>
    <xf numFmtId="0" fontId="2" fillId="10" borderId="101" xfId="13" applyFont="1" applyFill="1" applyBorder="1" applyAlignment="1" applyProtection="1">
      <alignment horizontal="left" vertical="top" wrapText="1"/>
    </xf>
    <xf numFmtId="0" fontId="2" fillId="10" borderId="82" xfId="13" applyFont="1" applyFill="1" applyBorder="1" applyAlignment="1" applyProtection="1">
      <alignment horizontal="left" vertical="top" wrapText="1"/>
    </xf>
    <xf numFmtId="0" fontId="7" fillId="10" borderId="9" xfId="13" applyFont="1" applyFill="1" applyBorder="1" applyAlignment="1" applyProtection="1">
      <alignment horizontal="left"/>
    </xf>
    <xf numFmtId="0" fontId="2" fillId="10" borderId="9"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16" xfId="13" applyFont="1" applyFill="1" applyBorder="1" applyAlignment="1" applyProtection="1">
      <alignment horizontal="left" vertical="top" wrapText="1"/>
    </xf>
    <xf numFmtId="0" fontId="2" fillId="10" borderId="15" xfId="13" applyFont="1" applyFill="1" applyBorder="1" applyAlignment="1" applyProtection="1">
      <alignment horizontal="left" vertical="top" wrapText="1"/>
    </xf>
    <xf numFmtId="0" fontId="24"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3"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0"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5" xfId="13" applyBorder="1" applyAlignment="1" applyProtection="1">
      <alignment horizontal="left" vertical="top" wrapText="1"/>
    </xf>
    <xf numFmtId="3" fontId="2" fillId="0" borderId="9" xfId="13" applyNumberFormat="1" applyBorder="1" applyAlignment="1" applyProtection="1">
      <alignment horizontal="right"/>
    </xf>
    <xf numFmtId="3" fontId="2" fillId="0" borderId="107"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16" xfId="13" applyNumberFormat="1" applyFill="1" applyBorder="1" applyAlignment="1" applyProtection="1">
      <alignment horizontal="right"/>
    </xf>
    <xf numFmtId="3" fontId="2" fillId="10" borderId="17" xfId="13" applyNumberFormat="1" applyFill="1" applyBorder="1" applyAlignment="1" applyProtection="1">
      <alignment horizontal="right"/>
    </xf>
    <xf numFmtId="3" fontId="2" fillId="0" borderId="9" xfId="13" applyNumberFormat="1" applyFont="1" applyBorder="1" applyAlignment="1" applyProtection="1">
      <alignment horizontal="right"/>
    </xf>
    <xf numFmtId="3" fontId="2" fillId="10" borderId="9" xfId="13" applyNumberFormat="1" applyFill="1" applyBorder="1" applyAlignment="1" applyProtection="1">
      <alignment horizontal="right"/>
    </xf>
    <xf numFmtId="0" fontId="2" fillId="0" borderId="38" xfId="13" applyFont="1" applyBorder="1" applyAlignment="1" applyProtection="1">
      <alignment horizontal="left" vertical="top" wrapText="1"/>
    </xf>
    <xf numFmtId="0" fontId="2" fillId="0" borderId="15" xfId="13" applyFont="1" applyBorder="1" applyAlignment="1" applyProtection="1">
      <alignment horizontal="left" vertical="top" wrapText="1"/>
    </xf>
    <xf numFmtId="0" fontId="2" fillId="0" borderId="28" xfId="13" applyFont="1" applyBorder="1" applyAlignment="1" applyProtection="1">
      <alignment horizontal="left" vertical="top" wrapText="1"/>
    </xf>
    <xf numFmtId="0" fontId="2" fillId="0" borderId="36" xfId="13" applyFont="1" applyBorder="1" applyAlignment="1" applyProtection="1">
      <alignment horizontal="left" vertical="top" wrapText="1"/>
    </xf>
    <xf numFmtId="0" fontId="2" fillId="0" borderId="16" xfId="13" applyFont="1" applyBorder="1" applyAlignment="1" applyProtection="1">
      <alignment horizontal="left" vertical="top" wrapText="1"/>
    </xf>
    <xf numFmtId="0" fontId="2" fillId="0" borderId="80"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74" xfId="13" applyFont="1" applyBorder="1" applyAlignment="1" applyProtection="1">
      <alignment horizontal="center"/>
    </xf>
    <xf numFmtId="3" fontId="9" fillId="0" borderId="36" xfId="13" applyNumberFormat="1" applyFont="1" applyBorder="1" applyAlignment="1" applyProtection="1">
      <alignment horizontal="center"/>
    </xf>
    <xf numFmtId="3" fontId="9" fillId="0" borderId="16"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1" xfId="13" applyFont="1" applyBorder="1" applyAlignment="1" applyProtection="1">
      <alignment horizontal="left"/>
    </xf>
    <xf numFmtId="0" fontId="7" fillId="0" borderId="68" xfId="13" applyFont="1" applyBorder="1" applyAlignment="1" applyProtection="1">
      <alignment horizontal="left"/>
    </xf>
    <xf numFmtId="0" fontId="2" fillId="0" borderId="123" xfId="13" applyFont="1" applyBorder="1" applyAlignment="1" applyProtection="1">
      <alignment horizontal="center"/>
    </xf>
    <xf numFmtId="0" fontId="2" fillId="0" borderId="72" xfId="13" applyFont="1" applyBorder="1" applyAlignment="1" applyProtection="1">
      <alignment horizontal="center"/>
    </xf>
    <xf numFmtId="0" fontId="2" fillId="0" borderId="124" xfId="13" applyFont="1" applyBorder="1" applyAlignment="1" applyProtection="1">
      <alignment horizontal="center"/>
    </xf>
    <xf numFmtId="0" fontId="9" fillId="0" borderId="84" xfId="13" applyFont="1" applyBorder="1" applyAlignment="1" applyProtection="1">
      <alignment horizontal="center"/>
    </xf>
    <xf numFmtId="0" fontId="9" fillId="0" borderId="49" xfId="13" applyFont="1" applyBorder="1" applyAlignment="1" applyProtection="1">
      <alignment horizontal="center"/>
    </xf>
    <xf numFmtId="0" fontId="9" fillId="0" borderId="69" xfId="13" applyFont="1" applyBorder="1" applyAlignment="1" applyProtection="1">
      <alignment horizontal="center"/>
    </xf>
    <xf numFmtId="0" fontId="2" fillId="0" borderId="84" xfId="13" applyFont="1" applyBorder="1" applyAlignment="1" applyProtection="1">
      <alignment horizontal="center"/>
    </xf>
    <xf numFmtId="0" fontId="2" fillId="0" borderId="69" xfId="13" applyFont="1" applyBorder="1" applyAlignment="1" applyProtection="1">
      <alignment horizontal="center"/>
    </xf>
    <xf numFmtId="3" fontId="2" fillId="0" borderId="17" xfId="13" applyNumberFormat="1" applyBorder="1" applyAlignment="1" applyProtection="1">
      <alignment horizontal="right" wrapText="1"/>
    </xf>
    <xf numFmtId="3" fontId="2" fillId="0" borderId="17" xfId="13" applyNumberFormat="1" applyBorder="1" applyAlignment="1" applyProtection="1">
      <alignment horizontal="right"/>
    </xf>
    <xf numFmtId="0" fontId="2" fillId="0" borderId="71" xfId="13" applyFont="1" applyBorder="1" applyAlignment="1" applyProtection="1">
      <alignment horizontal="center"/>
    </xf>
    <xf numFmtId="0" fontId="2" fillId="0" borderId="68" xfId="13" applyBorder="1" applyAlignment="1" applyProtection="1">
      <alignment horizontal="center"/>
    </xf>
    <xf numFmtId="0" fontId="2" fillId="0" borderId="4" xfId="13" applyFont="1" applyBorder="1" applyAlignment="1" applyProtection="1">
      <alignment horizontal="center"/>
    </xf>
    <xf numFmtId="0" fontId="2" fillId="0" borderId="0" xfId="13" applyFont="1" applyBorder="1" applyAlignment="1" applyProtection="1">
      <alignment horizontal="center"/>
    </xf>
    <xf numFmtId="0" fontId="2" fillId="0" borderId="5" xfId="13" applyFont="1" applyBorder="1" applyAlignment="1" applyProtection="1">
      <alignment horizontal="left"/>
    </xf>
    <xf numFmtId="0" fontId="7" fillId="0" borderId="4" xfId="13" applyFont="1" applyBorder="1" applyAlignment="1" applyProtection="1">
      <alignment horizontal="center"/>
    </xf>
    <xf numFmtId="0" fontId="7" fillId="0" borderId="0" xfId="13" applyFont="1" applyBorder="1" applyAlignment="1" applyProtection="1">
      <alignment horizontal="center"/>
    </xf>
    <xf numFmtId="0" fontId="7" fillId="0" borderId="5" xfId="13" applyFont="1" applyBorder="1" applyAlignment="1" applyProtection="1">
      <alignment horizontal="center"/>
    </xf>
    <xf numFmtId="9" fontId="38" fillId="0" borderId="74" xfId="10" applyFont="1" applyBorder="1" applyAlignment="1" applyProtection="1">
      <alignment horizontal="center" vertical="center"/>
    </xf>
    <xf numFmtId="3" fontId="38" fillId="0" borderId="123" xfId="1" applyNumberFormat="1" applyFont="1" applyFill="1" applyBorder="1" applyAlignment="1" applyProtection="1">
      <alignment horizontal="center" vertical="center"/>
    </xf>
    <xf numFmtId="3" fontId="38" fillId="0" borderId="124" xfId="1" applyNumberFormat="1" applyFont="1" applyFill="1" applyBorder="1" applyAlignment="1" applyProtection="1">
      <alignment horizontal="center" vertical="center"/>
    </xf>
    <xf numFmtId="3" fontId="38" fillId="0" borderId="74" xfId="10" applyNumberFormat="1" applyFont="1" applyBorder="1" applyAlignment="1" applyProtection="1">
      <alignment horizontal="center" vertical="center"/>
    </xf>
    <xf numFmtId="9" fontId="38" fillId="0" borderId="123" xfId="10" applyFont="1" applyBorder="1" applyAlignment="1" applyProtection="1">
      <alignment horizontal="center" vertical="center"/>
    </xf>
    <xf numFmtId="9" fontId="38" fillId="0" borderId="124" xfId="10" applyFont="1" applyBorder="1" applyAlignment="1" applyProtection="1">
      <alignment horizontal="center" vertical="center"/>
    </xf>
    <xf numFmtId="0" fontId="38" fillId="0" borderId="0" xfId="0" applyFont="1" applyAlignment="1" applyProtection="1">
      <alignment horizontal="center" vertical="center" wrapText="1"/>
    </xf>
    <xf numFmtId="0" fontId="40" fillId="0" borderId="123" xfId="0" applyFont="1" applyFill="1" applyBorder="1" applyAlignment="1" applyProtection="1">
      <alignment horizontal="center" vertical="center"/>
    </xf>
    <xf numFmtId="0" fontId="40" fillId="0" borderId="72" xfId="0" applyFont="1" applyFill="1" applyBorder="1" applyAlignment="1" applyProtection="1">
      <alignment horizontal="center" vertical="center"/>
    </xf>
    <xf numFmtId="0" fontId="40" fillId="0" borderId="124" xfId="0" applyFont="1" applyFill="1" applyBorder="1" applyAlignment="1" applyProtection="1">
      <alignment horizontal="center" vertical="center"/>
    </xf>
    <xf numFmtId="0" fontId="38" fillId="0" borderId="38" xfId="0" applyFont="1" applyBorder="1" applyAlignment="1" applyProtection="1">
      <alignment horizontal="center" vertical="center"/>
    </xf>
    <xf numFmtId="0" fontId="38" fillId="0" borderId="15" xfId="0" applyFont="1" applyBorder="1" applyAlignment="1" applyProtection="1">
      <alignment horizontal="center" vertical="center"/>
    </xf>
    <xf numFmtId="0" fontId="38" fillId="0" borderId="33" xfId="0" applyFont="1" applyBorder="1" applyAlignment="1" applyProtection="1">
      <alignment horizontal="center" vertical="center"/>
    </xf>
    <xf numFmtId="0" fontId="41" fillId="0" borderId="0" xfId="0" applyFont="1" applyBorder="1" applyAlignment="1" applyProtection="1">
      <alignment horizontal="justify" vertical="top" wrapText="1"/>
    </xf>
    <xf numFmtId="3" fontId="189" fillId="21" borderId="0" xfId="0" applyNumberFormat="1" applyFont="1" applyFill="1" applyBorder="1" applyAlignment="1" applyProtection="1">
      <alignment horizontal="center" vertical="top"/>
    </xf>
    <xf numFmtId="0" fontId="37" fillId="0" borderId="0" xfId="0" applyFont="1" applyProtection="1"/>
    <xf numFmtId="0" fontId="69" fillId="0" borderId="0" xfId="0" applyFont="1" applyAlignment="1" applyProtection="1">
      <alignment horizontal="center"/>
    </xf>
    <xf numFmtId="0" fontId="38" fillId="26" borderId="0" xfId="0" applyFont="1" applyFill="1" applyBorder="1" applyAlignment="1" applyProtection="1">
      <alignment horizontal="center"/>
    </xf>
    <xf numFmtId="0" fontId="38" fillId="26" borderId="0" xfId="0" quotePrefix="1" applyFont="1" applyFill="1" applyBorder="1" applyAlignment="1" applyProtection="1">
      <alignment horizontal="center"/>
    </xf>
    <xf numFmtId="0" fontId="38" fillId="26" borderId="0" xfId="0" applyFont="1" applyFill="1" applyAlignment="1" applyProtection="1">
      <alignment horizontal="center"/>
    </xf>
    <xf numFmtId="0" fontId="177" fillId="0" borderId="0" xfId="13" applyFont="1" applyProtection="1"/>
    <xf numFmtId="0" fontId="184" fillId="0" borderId="0" xfId="13" applyFont="1" applyAlignment="1" applyProtection="1"/>
    <xf numFmtId="0" fontId="71" fillId="0" borderId="0" xfId="13" applyFont="1" applyAlignment="1" applyProtection="1"/>
    <xf numFmtId="0" fontId="185" fillId="0" borderId="0" xfId="13" applyFont="1" applyAlignment="1" applyProtection="1"/>
    <xf numFmtId="0" fontId="70" fillId="0" borderId="0" xfId="13" applyFont="1" applyProtection="1"/>
    <xf numFmtId="0" fontId="84" fillId="0" borderId="0" xfId="13" applyFont="1" applyProtection="1"/>
    <xf numFmtId="0" fontId="70" fillId="0" borderId="0" xfId="13" applyFont="1" applyAlignment="1" applyProtection="1">
      <alignment horizontal="left" vertical="center" wrapText="1"/>
    </xf>
    <xf numFmtId="0" fontId="70" fillId="0" borderId="0" xfId="13" applyFont="1" applyAlignment="1" applyProtection="1">
      <alignment horizontal="left"/>
    </xf>
    <xf numFmtId="0" fontId="70" fillId="0" borderId="0" xfId="13" applyFont="1" applyAlignment="1" applyProtection="1">
      <alignment horizontal="justify" vertical="center" wrapText="1"/>
    </xf>
    <xf numFmtId="0" fontId="70" fillId="0" borderId="0" xfId="13" applyFont="1" applyAlignment="1" applyProtection="1">
      <alignment vertical="top"/>
    </xf>
    <xf numFmtId="0" fontId="70" fillId="0" borderId="0" xfId="13" applyFont="1" applyAlignment="1" applyProtection="1">
      <alignment horizontal="justify" vertical="top" wrapText="1"/>
    </xf>
    <xf numFmtId="0" fontId="70" fillId="0" borderId="0" xfId="13" applyFont="1" applyAlignment="1" applyProtection="1">
      <alignment horizontal="left" vertical="top" wrapText="1"/>
    </xf>
    <xf numFmtId="0" fontId="70" fillId="0" borderId="0" xfId="13" applyFont="1" applyAlignment="1" applyProtection="1">
      <alignment horizontal="left"/>
    </xf>
    <xf numFmtId="0" fontId="70" fillId="0" borderId="9" xfId="13" applyFont="1" applyBorder="1" applyAlignment="1" applyProtection="1">
      <alignment horizontal="left"/>
    </xf>
    <xf numFmtId="0" fontId="70" fillId="0" borderId="0" xfId="13" applyFont="1" applyAlignment="1" applyProtection="1"/>
    <xf numFmtId="0" fontId="38" fillId="0" borderId="107" xfId="13" applyFont="1" applyBorder="1" applyAlignment="1" applyProtection="1">
      <alignment horizontal="center" vertical="top"/>
    </xf>
    <xf numFmtId="175" fontId="70" fillId="0" borderId="9" xfId="13" applyNumberFormat="1" applyFont="1" applyBorder="1" applyAlignment="1" applyProtection="1">
      <alignment horizontal="left"/>
    </xf>
    <xf numFmtId="0" fontId="38" fillId="0" borderId="0" xfId="13" applyFont="1" applyBorder="1" applyAlignment="1" applyProtection="1">
      <alignment horizontal="center" vertical="top"/>
    </xf>
    <xf numFmtId="0" fontId="38" fillId="0" borderId="0" xfId="13" applyFont="1" applyAlignment="1" applyProtection="1">
      <alignment horizontal="center"/>
    </xf>
    <xf numFmtId="3" fontId="7" fillId="5" borderId="12" xfId="0" applyNumberFormat="1" applyFont="1" applyFill="1" applyBorder="1" applyAlignment="1" applyProtection="1">
      <alignment horizontal="center" vertical="center"/>
    </xf>
    <xf numFmtId="3" fontId="7" fillId="5" borderId="88" xfId="0" applyNumberFormat="1" applyFont="1" applyFill="1" applyBorder="1" applyAlignment="1" applyProtection="1">
      <alignment horizontal="center" vertical="center"/>
    </xf>
    <xf numFmtId="3" fontId="7" fillId="5" borderId="14"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10" borderId="8" xfId="0" applyNumberFormat="1" applyFont="1" applyFill="1" applyBorder="1" applyAlignment="1" applyProtection="1">
      <alignment horizontal="center" vertical="center"/>
    </xf>
    <xf numFmtId="1" fontId="9" fillId="5" borderId="74" xfId="0" applyNumberFormat="1" applyFont="1" applyFill="1" applyBorder="1" applyAlignment="1" applyProtection="1">
      <alignment horizontal="center" vertical="center"/>
    </xf>
    <xf numFmtId="0" fontId="13" fillId="5" borderId="1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38" fontId="7" fillId="5" borderId="13" xfId="0" applyNumberFormat="1" applyFont="1" applyFill="1" applyBorder="1" applyAlignment="1" applyProtection="1">
      <alignment horizontal="center" vertical="top"/>
    </xf>
    <xf numFmtId="38" fontId="7" fillId="5" borderId="14" xfId="0" applyNumberFormat="1" applyFont="1" applyFill="1" applyBorder="1" applyAlignment="1" applyProtection="1">
      <alignment horizontal="center" vertical="top"/>
    </xf>
    <xf numFmtId="0" fontId="3" fillId="5" borderId="104" xfId="0" applyFont="1" applyFill="1" applyBorder="1" applyAlignment="1" applyProtection="1">
      <alignment horizontal="left" vertical="top" wrapText="1"/>
    </xf>
    <xf numFmtId="0" fontId="3" fillId="5" borderId="105" xfId="0" applyFont="1" applyFill="1" applyBorder="1" applyAlignment="1" applyProtection="1">
      <alignment horizontal="left" vertical="top" wrapText="1"/>
    </xf>
    <xf numFmtId="0" fontId="3" fillId="5" borderId="106" xfId="0" applyFont="1" applyFill="1" applyBorder="1" applyAlignment="1" applyProtection="1">
      <alignment horizontal="left" vertical="top" wrapText="1"/>
    </xf>
    <xf numFmtId="0" fontId="13" fillId="5" borderId="13" xfId="0" applyFont="1" applyFill="1" applyBorder="1" applyAlignment="1" applyProtection="1">
      <alignment horizontal="center" vertical="center"/>
    </xf>
    <xf numFmtId="0" fontId="41" fillId="5" borderId="46" xfId="0" applyNumberFormat="1" applyFont="1" applyFill="1" applyBorder="1" applyAlignment="1" applyProtection="1">
      <alignment horizontal="center" vertical="center"/>
    </xf>
    <xf numFmtId="0" fontId="41" fillId="5" borderId="47" xfId="0" applyNumberFormat="1" applyFont="1" applyFill="1" applyBorder="1" applyAlignment="1" applyProtection="1">
      <alignment horizontal="center" vertical="center"/>
    </xf>
    <xf numFmtId="0" fontId="41" fillId="5" borderId="43" xfId="0" applyNumberFormat="1" applyFont="1" applyFill="1" applyBorder="1" applyAlignment="1" applyProtection="1">
      <alignment horizontal="center" vertical="center"/>
    </xf>
    <xf numFmtId="0" fontId="41" fillId="5" borderId="44" xfId="0" applyNumberFormat="1" applyFont="1" applyFill="1" applyBorder="1" applyAlignment="1" applyProtection="1">
      <alignment horizontal="center" vertical="center"/>
    </xf>
    <xf numFmtId="168" fontId="37" fillId="10" borderId="74" xfId="0" applyNumberFormat="1" applyFont="1" applyFill="1" applyBorder="1" applyAlignment="1" applyProtection="1">
      <alignment vertical="center"/>
    </xf>
    <xf numFmtId="0" fontId="41" fillId="5" borderId="24" xfId="0" applyNumberFormat="1" applyFont="1" applyFill="1" applyBorder="1" applyAlignment="1" applyProtection="1">
      <alignment horizontal="center" vertical="center"/>
    </xf>
    <xf numFmtId="0" fontId="41" fillId="5" borderId="69" xfId="0" applyNumberFormat="1" applyFont="1" applyFill="1" applyBorder="1" applyAlignment="1" applyProtection="1">
      <alignment horizontal="center" vertical="center"/>
    </xf>
    <xf numFmtId="168" fontId="37" fillId="10" borderId="18" xfId="0" applyNumberFormat="1" applyFont="1" applyFill="1" applyBorder="1" applyAlignment="1" applyProtection="1">
      <alignment vertical="center"/>
    </xf>
    <xf numFmtId="0" fontId="41" fillId="5" borderId="29" xfId="0" applyNumberFormat="1" applyFont="1" applyFill="1" applyBorder="1" applyAlignment="1" applyProtection="1">
      <alignment horizontal="center" vertical="center"/>
    </xf>
    <xf numFmtId="0" fontId="41" fillId="5" borderId="70" xfId="0" applyNumberFormat="1" applyFont="1" applyFill="1" applyBorder="1" applyAlignment="1" applyProtection="1">
      <alignment horizontal="center" vertical="center"/>
    </xf>
    <xf numFmtId="168" fontId="37" fillId="10" borderId="14" xfId="0" applyNumberFormat="1" applyFont="1" applyFill="1" applyBorder="1" applyAlignment="1" applyProtection="1">
      <alignment vertical="center"/>
    </xf>
    <xf numFmtId="38" fontId="7" fillId="5" borderId="12" xfId="0" applyNumberFormat="1" applyFont="1" applyFill="1" applyBorder="1" applyAlignment="1" applyProtection="1">
      <alignment horizontal="center" vertical="top"/>
    </xf>
    <xf numFmtId="0" fontId="38" fillId="10" borderId="118" xfId="0" applyFont="1" applyFill="1" applyBorder="1" applyAlignment="1" applyProtection="1">
      <alignment horizontal="left" vertical="top" wrapText="1"/>
    </xf>
    <xf numFmtId="0" fontId="38" fillId="10" borderId="119" xfId="0" applyFont="1" applyFill="1" applyBorder="1" applyAlignment="1" applyProtection="1">
      <alignment horizontal="left" vertical="top" wrapText="1"/>
    </xf>
    <xf numFmtId="167" fontId="38" fillId="10" borderId="120" xfId="0" applyNumberFormat="1" applyFont="1" applyFill="1" applyBorder="1" applyAlignment="1" applyProtection="1">
      <alignment horizontal="left" vertical="top" wrapText="1"/>
    </xf>
    <xf numFmtId="0" fontId="38" fillId="10" borderId="87" xfId="0" applyFont="1" applyFill="1" applyBorder="1" applyAlignment="1" applyProtection="1">
      <alignment horizontal="left" vertical="top" wrapText="1"/>
    </xf>
    <xf numFmtId="0" fontId="38" fillId="10" borderId="79" xfId="0" applyFont="1" applyFill="1" applyBorder="1" applyAlignment="1" applyProtection="1">
      <alignment horizontal="left" vertical="top" wrapText="1"/>
    </xf>
    <xf numFmtId="167" fontId="38" fillId="10" borderId="86" xfId="0" applyNumberFormat="1" applyFont="1" applyFill="1" applyBorder="1" applyAlignment="1" applyProtection="1">
      <alignment horizontal="left" vertical="top" wrapText="1"/>
    </xf>
    <xf numFmtId="0" fontId="38" fillId="10" borderId="23" xfId="0" applyFont="1" applyFill="1" applyBorder="1" applyAlignment="1" applyProtection="1">
      <alignment horizontal="left" vertical="top" wrapText="1"/>
    </xf>
    <xf numFmtId="0" fontId="38" fillId="10" borderId="16" xfId="0" applyFont="1" applyFill="1" applyBorder="1" applyAlignment="1" applyProtection="1">
      <alignment horizontal="left" vertical="top" wrapText="1"/>
    </xf>
    <xf numFmtId="0" fontId="38" fillId="10" borderId="80" xfId="0" applyFont="1" applyFill="1" applyBorder="1" applyAlignment="1" applyProtection="1">
      <alignment horizontal="left" vertical="top" wrapText="1"/>
    </xf>
    <xf numFmtId="0" fontId="38" fillId="10" borderId="26" xfId="0" applyFont="1" applyFill="1" applyBorder="1" applyAlignment="1" applyProtection="1">
      <alignment horizontal="left" vertical="top" wrapText="1"/>
    </xf>
    <xf numFmtId="0" fontId="38" fillId="10" borderId="17" xfId="0" applyFont="1" applyFill="1" applyBorder="1" applyAlignment="1" applyProtection="1">
      <alignment horizontal="left" vertical="top" wrapText="1"/>
    </xf>
    <xf numFmtId="0" fontId="38" fillId="10" borderId="27" xfId="0" applyFont="1" applyFill="1" applyBorder="1" applyAlignment="1" applyProtection="1">
      <alignment horizontal="left" vertical="top" wrapText="1"/>
    </xf>
    <xf numFmtId="0" fontId="38" fillId="10" borderId="29" xfId="0" applyFont="1" applyFill="1" applyBorder="1" applyAlignment="1" applyProtection="1">
      <alignment horizontal="left" vertical="top" wrapText="1"/>
    </xf>
    <xf numFmtId="0" fontId="38" fillId="10" borderId="50" xfId="0" applyFont="1" applyFill="1" applyBorder="1" applyAlignment="1" applyProtection="1">
      <alignment horizontal="left" vertical="top" wrapText="1"/>
    </xf>
    <xf numFmtId="0" fontId="38" fillId="10" borderId="30" xfId="0" applyFont="1" applyFill="1" applyBorder="1" applyAlignment="1" applyProtection="1">
      <alignment horizontal="left" vertical="top" wrapText="1"/>
    </xf>
    <xf numFmtId="38" fontId="7" fillId="5" borderId="74" xfId="0" applyNumberFormat="1" applyFont="1" applyFill="1" applyBorder="1" applyAlignment="1" applyProtection="1">
      <alignment horizontal="center" vertical="center"/>
    </xf>
    <xf numFmtId="0" fontId="40" fillId="5" borderId="123" xfId="0" applyFont="1" applyFill="1" applyBorder="1" applyAlignment="1" applyProtection="1">
      <alignment horizontal="left" vertical="center"/>
    </xf>
    <xf numFmtId="0" fontId="40" fillId="5" borderId="72" xfId="0" applyFont="1" applyFill="1" applyBorder="1" applyAlignment="1" applyProtection="1">
      <alignment horizontal="left" vertical="center"/>
    </xf>
    <xf numFmtId="0" fontId="40" fillId="5" borderId="124" xfId="0" applyFont="1" applyFill="1" applyBorder="1" applyAlignment="1" applyProtection="1">
      <alignment horizontal="left" vertical="center"/>
    </xf>
    <xf numFmtId="38" fontId="7" fillId="5" borderId="12" xfId="0" applyNumberFormat="1" applyFont="1" applyFill="1" applyBorder="1" applyAlignment="1" applyProtection="1">
      <alignment horizontal="center" vertical="center"/>
    </xf>
    <xf numFmtId="38" fontId="7" fillId="5" borderId="14" xfId="0" applyNumberFormat="1" applyFont="1" applyFill="1" applyBorder="1" applyAlignment="1" applyProtection="1">
      <alignment horizontal="center" vertical="center"/>
    </xf>
    <xf numFmtId="0" fontId="7" fillId="10" borderId="74" xfId="0" applyFont="1" applyFill="1" applyBorder="1" applyAlignment="1" applyProtection="1">
      <alignment horizontal="center" vertical="center"/>
    </xf>
    <xf numFmtId="0" fontId="38" fillId="5" borderId="104" xfId="0" applyFont="1" applyFill="1" applyBorder="1" applyAlignment="1" applyProtection="1">
      <alignment horizontal="left" vertical="top" wrapText="1"/>
    </xf>
    <xf numFmtId="0" fontId="38" fillId="5" borderId="105" xfId="0" applyFont="1" applyFill="1" applyBorder="1" applyAlignment="1" applyProtection="1">
      <alignment horizontal="left" vertical="top" wrapText="1"/>
    </xf>
    <xf numFmtId="0" fontId="38" fillId="5" borderId="106" xfId="0" applyFont="1" applyFill="1" applyBorder="1" applyAlignment="1" applyProtection="1">
      <alignment horizontal="left" vertical="top" wrapText="1"/>
    </xf>
    <xf numFmtId="38" fontId="7" fillId="5" borderId="11" xfId="0" applyNumberFormat="1" applyFont="1" applyFill="1" applyBorder="1" applyAlignment="1" applyProtection="1">
      <alignment horizontal="center" vertical="center"/>
    </xf>
    <xf numFmtId="0" fontId="3" fillId="10" borderId="115" xfId="0" quotePrefix="1" applyFont="1" applyFill="1" applyBorder="1" applyAlignment="1" applyProtection="1">
      <alignment horizontal="center" vertical="center"/>
    </xf>
    <xf numFmtId="0" fontId="3" fillId="10" borderId="123" xfId="0" applyFont="1" applyFill="1" applyBorder="1" applyAlignment="1" applyProtection="1">
      <alignment horizontal="left" vertical="center" wrapText="1"/>
    </xf>
    <xf numFmtId="0" fontId="3" fillId="10" borderId="72" xfId="0" applyFont="1" applyFill="1" applyBorder="1" applyAlignment="1" applyProtection="1">
      <alignment horizontal="left" vertical="center" wrapText="1"/>
    </xf>
    <xf numFmtId="0" fontId="3" fillId="10" borderId="124" xfId="0" applyFont="1" applyFill="1" applyBorder="1" applyAlignment="1" applyProtection="1">
      <alignment horizontal="left" vertical="center" wrapText="1"/>
    </xf>
    <xf numFmtId="0" fontId="13" fillId="5" borderId="8" xfId="0" applyFont="1" applyFill="1" applyBorder="1" applyAlignment="1" applyProtection="1">
      <alignment horizontal="center" vertical="center"/>
    </xf>
    <xf numFmtId="0" fontId="38" fillId="10" borderId="74" xfId="0" applyFont="1" applyFill="1" applyBorder="1" applyAlignment="1" applyProtection="1">
      <alignment horizontal="left" vertical="center" wrapText="1"/>
    </xf>
    <xf numFmtId="0" fontId="13" fillId="5" borderId="18" xfId="0" applyFont="1" applyFill="1" applyBorder="1" applyAlignment="1" applyProtection="1">
      <alignment horizontal="center" vertical="center"/>
    </xf>
    <xf numFmtId="0" fontId="3" fillId="10" borderId="24" xfId="0" applyFont="1" applyFill="1" applyBorder="1" applyAlignment="1" applyProtection="1">
      <alignment horizontal="left" vertical="top" wrapText="1"/>
    </xf>
    <xf numFmtId="0" fontId="3" fillId="10" borderId="49" xfId="0" applyFont="1" applyFill="1" applyBorder="1" applyAlignment="1" applyProtection="1">
      <alignment horizontal="left" vertical="top" wrapText="1"/>
    </xf>
    <xf numFmtId="0" fontId="3" fillId="10" borderId="25" xfId="0" applyFont="1" applyFill="1" applyBorder="1" applyAlignment="1" applyProtection="1">
      <alignment horizontal="left" vertical="top" wrapText="1"/>
    </xf>
    <xf numFmtId="0" fontId="3" fillId="10" borderId="12" xfId="0" applyFont="1" applyFill="1" applyBorder="1" applyAlignment="1" applyProtection="1">
      <alignment horizontal="center" vertical="top"/>
    </xf>
    <xf numFmtId="4" fontId="3" fillId="10" borderId="12" xfId="0" applyNumberFormat="1" applyFont="1" applyFill="1" applyBorder="1" applyAlignment="1" applyProtection="1">
      <alignment horizontal="center" vertical="top"/>
    </xf>
    <xf numFmtId="0" fontId="3" fillId="10" borderId="26" xfId="0" applyFont="1" applyFill="1" applyBorder="1" applyAlignment="1" applyProtection="1">
      <alignment horizontal="left" vertical="top" wrapText="1"/>
    </xf>
    <xf numFmtId="0" fontId="3" fillId="10" borderId="17" xfId="0" applyFont="1" applyFill="1" applyBorder="1" applyAlignment="1" applyProtection="1">
      <alignment horizontal="left" vertical="top" wrapText="1"/>
    </xf>
    <xf numFmtId="0" fontId="3" fillId="10" borderId="27" xfId="0" applyFont="1" applyFill="1" applyBorder="1" applyAlignment="1" applyProtection="1">
      <alignment horizontal="left" vertical="top" wrapText="1"/>
    </xf>
    <xf numFmtId="0" fontId="3" fillId="10" borderId="13" xfId="0" applyFont="1" applyFill="1" applyBorder="1" applyAlignment="1" applyProtection="1">
      <alignment horizontal="center" vertical="top"/>
    </xf>
    <xf numFmtId="4" fontId="3" fillId="10" borderId="13" xfId="0" applyNumberFormat="1" applyFont="1" applyFill="1" applyBorder="1" applyAlignment="1" applyProtection="1">
      <alignment horizontal="center" vertical="top"/>
    </xf>
    <xf numFmtId="0" fontId="3" fillId="10" borderId="29" xfId="0" applyFont="1" applyFill="1" applyBorder="1" applyAlignment="1" applyProtection="1">
      <alignment horizontal="left" vertical="top" wrapText="1"/>
    </xf>
    <xf numFmtId="0" fontId="3" fillId="10" borderId="50" xfId="0" applyFont="1" applyFill="1" applyBorder="1" applyAlignment="1" applyProtection="1">
      <alignment horizontal="left" vertical="top" wrapText="1"/>
    </xf>
    <xf numFmtId="0" fontId="3" fillId="10" borderId="30" xfId="0" applyFont="1" applyFill="1" applyBorder="1" applyAlignment="1" applyProtection="1">
      <alignment horizontal="left" vertical="top" wrapText="1"/>
    </xf>
    <xf numFmtId="0" fontId="3" fillId="10" borderId="14" xfId="0" applyFont="1" applyFill="1" applyBorder="1" applyAlignment="1" applyProtection="1">
      <alignment horizontal="center" vertical="top"/>
    </xf>
    <xf numFmtId="4" fontId="3" fillId="10" borderId="14" xfId="0" applyNumberFormat="1" applyFont="1" applyFill="1" applyBorder="1" applyAlignment="1" applyProtection="1">
      <alignment horizontal="center" vertical="top"/>
    </xf>
    <xf numFmtId="0" fontId="38" fillId="10" borderId="123" xfId="0" applyFont="1" applyFill="1" applyBorder="1" applyAlignment="1" applyProtection="1">
      <alignment horizontal="left" vertical="center" wrapText="1"/>
    </xf>
    <xf numFmtId="0" fontId="38" fillId="10" borderId="72" xfId="0" applyFont="1" applyFill="1" applyBorder="1" applyAlignment="1" applyProtection="1">
      <alignment horizontal="left" vertical="center" wrapText="1"/>
    </xf>
    <xf numFmtId="0" fontId="38" fillId="10" borderId="124" xfId="0" applyFont="1" applyFill="1" applyBorder="1" applyAlignment="1" applyProtection="1">
      <alignment horizontal="left" vertical="center" wrapText="1"/>
    </xf>
    <xf numFmtId="0" fontId="13" fillId="5" borderId="74" xfId="0" applyFont="1" applyFill="1" applyBorder="1" applyAlignment="1" applyProtection="1">
      <alignment horizontal="center" vertical="center"/>
    </xf>
    <xf numFmtId="0" fontId="3" fillId="10" borderId="24" xfId="0" applyFont="1" applyFill="1" applyBorder="1" applyAlignment="1" applyProtection="1">
      <alignment horizontal="left" vertical="center" wrapText="1"/>
    </xf>
    <xf numFmtId="0" fontId="3" fillId="10" borderId="49" xfId="0" applyFont="1" applyFill="1" applyBorder="1" applyAlignment="1" applyProtection="1">
      <alignment horizontal="left" vertical="center" wrapText="1"/>
    </xf>
    <xf numFmtId="0" fontId="3" fillId="10" borderId="25" xfId="0" applyFont="1" applyFill="1" applyBorder="1" applyAlignment="1" applyProtection="1">
      <alignment horizontal="left" vertical="center" wrapText="1"/>
    </xf>
    <xf numFmtId="49" fontId="3" fillId="10" borderId="25" xfId="0" applyNumberFormat="1" applyFont="1" applyFill="1" applyBorder="1" applyAlignment="1" applyProtection="1">
      <alignment horizontal="center" vertical="center" wrapText="1"/>
    </xf>
    <xf numFmtId="0" fontId="3" fillId="10" borderId="25" xfId="0" applyFont="1" applyFill="1" applyBorder="1" applyAlignment="1" applyProtection="1">
      <alignment horizontal="center" vertical="center" wrapText="1"/>
    </xf>
    <xf numFmtId="4" fontId="3" fillId="10" borderId="46" xfId="0" applyNumberFormat="1" applyFont="1" applyFill="1" applyBorder="1" applyAlignment="1" applyProtection="1">
      <alignment horizontal="center" vertical="center" wrapText="1"/>
    </xf>
    <xf numFmtId="4" fontId="3" fillId="10" borderId="47" xfId="0" applyNumberFormat="1" applyFont="1" applyFill="1" applyBorder="1" applyAlignment="1" applyProtection="1">
      <alignment horizontal="center" vertical="center" wrapText="1"/>
    </xf>
    <xf numFmtId="4" fontId="3" fillId="10" borderId="19" xfId="0" applyNumberFormat="1" applyFont="1" applyFill="1" applyBorder="1" applyAlignment="1" applyProtection="1">
      <alignment horizontal="center" vertical="center" wrapText="1"/>
    </xf>
    <xf numFmtId="0" fontId="3" fillId="10" borderId="26" xfId="0" applyFont="1" applyFill="1" applyBorder="1" applyAlignment="1" applyProtection="1">
      <alignment horizontal="left" vertical="center" wrapText="1"/>
    </xf>
    <xf numFmtId="0" fontId="3" fillId="10" borderId="17" xfId="0" applyFont="1" applyFill="1" applyBorder="1" applyAlignment="1" applyProtection="1">
      <alignment horizontal="left" vertical="center" wrapText="1"/>
    </xf>
    <xf numFmtId="0" fontId="3" fillId="10" borderId="27" xfId="0" applyFont="1" applyFill="1" applyBorder="1" applyAlignment="1" applyProtection="1">
      <alignment horizontal="left" vertical="center" wrapText="1"/>
    </xf>
    <xf numFmtId="49" fontId="3" fillId="10" borderId="27" xfId="0" applyNumberFormat="1" applyFont="1" applyFill="1" applyBorder="1" applyAlignment="1" applyProtection="1">
      <alignment horizontal="center" vertical="center" wrapText="1"/>
    </xf>
    <xf numFmtId="0" fontId="3" fillId="10" borderId="27" xfId="0" applyFont="1" applyFill="1" applyBorder="1" applyAlignment="1" applyProtection="1">
      <alignment horizontal="center" vertical="center" wrapText="1"/>
    </xf>
    <xf numFmtId="4" fontId="3" fillId="10" borderId="45" xfId="0" applyNumberFormat="1" applyFont="1" applyFill="1" applyBorder="1" applyAlignment="1" applyProtection="1">
      <alignment horizontal="center" vertical="center" wrapText="1"/>
    </xf>
    <xf numFmtId="4" fontId="3" fillId="10" borderId="32" xfId="0" applyNumberFormat="1" applyFont="1" applyFill="1" applyBorder="1" applyAlignment="1" applyProtection="1">
      <alignment horizontal="center" vertical="center" wrapText="1"/>
    </xf>
    <xf numFmtId="4" fontId="3" fillId="10" borderId="21"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left" vertical="center" wrapText="1"/>
    </xf>
    <xf numFmtId="0" fontId="3" fillId="10" borderId="50"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49" fontId="3" fillId="10" borderId="30"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center" vertical="center" wrapText="1"/>
    </xf>
    <xf numFmtId="4" fontId="3" fillId="10" borderId="43" xfId="0" applyNumberFormat="1" applyFont="1" applyFill="1" applyBorder="1" applyAlignment="1" applyProtection="1">
      <alignment horizontal="center" vertical="center" wrapText="1"/>
    </xf>
    <xf numFmtId="4" fontId="3" fillId="10" borderId="44" xfId="0" applyNumberFormat="1" applyFont="1" applyFill="1" applyBorder="1" applyAlignment="1" applyProtection="1">
      <alignment horizontal="center" vertical="center" wrapText="1"/>
    </xf>
    <xf numFmtId="4" fontId="3" fillId="10" borderId="20" xfId="0" applyNumberFormat="1" applyFont="1" applyFill="1" applyBorder="1" applyAlignment="1" applyProtection="1">
      <alignment horizontal="center" vertical="center" wrapText="1"/>
    </xf>
    <xf numFmtId="3" fontId="3" fillId="10" borderId="12" xfId="0" applyNumberFormat="1" applyFont="1" applyFill="1" applyBorder="1" applyAlignment="1" applyProtection="1">
      <alignment horizontal="center" vertical="center" wrapText="1"/>
    </xf>
    <xf numFmtId="3" fontId="3" fillId="10" borderId="14" xfId="0" applyNumberFormat="1" applyFont="1" applyFill="1" applyBorder="1" applyAlignment="1" applyProtection="1">
      <alignment horizontal="center" vertical="center" wrapText="1"/>
    </xf>
    <xf numFmtId="0" fontId="13" fillId="5" borderId="125" xfId="0" applyFont="1" applyFill="1" applyBorder="1" applyAlignment="1" applyProtection="1">
      <alignment horizontal="center" vertical="center"/>
    </xf>
    <xf numFmtId="0" fontId="38" fillId="10" borderId="123" xfId="0" applyNumberFormat="1" applyFont="1" applyFill="1" applyBorder="1" applyAlignment="1" applyProtection="1">
      <alignment horizontal="left" vertical="center" wrapText="1"/>
    </xf>
    <xf numFmtId="0" fontId="38" fillId="10" borderId="72" xfId="0" applyNumberFormat="1" applyFont="1" applyFill="1" applyBorder="1" applyAlignment="1" applyProtection="1">
      <alignment horizontal="left" vertical="center" wrapText="1"/>
    </xf>
    <xf numFmtId="0" fontId="38" fillId="10" borderId="124" xfId="0" applyNumberFormat="1" applyFont="1" applyFill="1" applyBorder="1" applyAlignment="1" applyProtection="1">
      <alignment horizontal="left" vertical="center" wrapText="1"/>
    </xf>
    <xf numFmtId="0" fontId="13" fillId="5" borderId="46" xfId="0" applyFont="1" applyFill="1" applyBorder="1" applyAlignment="1" applyProtection="1">
      <alignment horizontal="center" vertical="center"/>
    </xf>
    <xf numFmtId="0" fontId="13" fillId="5" borderId="43" xfId="0" applyFont="1" applyFill="1" applyBorder="1" applyAlignment="1" applyProtection="1">
      <alignment horizontal="center" vertical="center"/>
    </xf>
    <xf numFmtId="176" fontId="38" fillId="10" borderId="74" xfId="0" applyNumberFormat="1" applyFont="1" applyFill="1" applyBorder="1" applyAlignment="1" applyProtection="1">
      <alignment horizontal="center" vertical="center"/>
    </xf>
    <xf numFmtId="176" fontId="38" fillId="10" borderId="43" xfId="0" applyNumberFormat="1" applyFont="1" applyFill="1" applyBorder="1" applyAlignment="1" applyProtection="1">
      <alignment horizontal="center" vertical="center"/>
    </xf>
    <xf numFmtId="0" fontId="12" fillId="5" borderId="123" xfId="0" applyFont="1" applyFill="1" applyBorder="1" applyAlignment="1" applyProtection="1">
      <alignment horizontal="left" vertical="center" wrapText="1"/>
    </xf>
    <xf numFmtId="0" fontId="12" fillId="5" borderId="72" xfId="0" applyFont="1" applyFill="1" applyBorder="1" applyAlignment="1" applyProtection="1">
      <alignment horizontal="left" vertical="center" wrapText="1"/>
    </xf>
    <xf numFmtId="0" fontId="12" fillId="5" borderId="124" xfId="0" applyFont="1" applyFill="1" applyBorder="1" applyAlignment="1" applyProtection="1">
      <alignment horizontal="left" vertical="center" wrapText="1"/>
    </xf>
    <xf numFmtId="0" fontId="3" fillId="5" borderId="24" xfId="0" applyFont="1" applyFill="1" applyBorder="1" applyAlignment="1" applyProtection="1">
      <alignment horizontal="left" vertical="center" wrapText="1"/>
    </xf>
    <xf numFmtId="0" fontId="3" fillId="5" borderId="49" xfId="0" applyFont="1" applyFill="1" applyBorder="1" applyAlignment="1" applyProtection="1">
      <alignment horizontal="left" vertical="center" wrapText="1"/>
    </xf>
    <xf numFmtId="0" fontId="3" fillId="5" borderId="25" xfId="0" applyFont="1" applyFill="1" applyBorder="1" applyAlignment="1" applyProtection="1">
      <alignment horizontal="left" vertical="center" wrapText="1"/>
    </xf>
    <xf numFmtId="0" fontId="3" fillId="5" borderId="29" xfId="0" applyFont="1" applyFill="1" applyBorder="1" applyAlignment="1" applyProtection="1">
      <alignment horizontal="left"/>
    </xf>
    <xf numFmtId="0" fontId="3" fillId="5" borderId="50" xfId="0" applyFont="1" applyFill="1" applyBorder="1" applyAlignment="1" applyProtection="1">
      <alignment horizontal="left"/>
    </xf>
    <xf numFmtId="0" fontId="3" fillId="5" borderId="30" xfId="0" applyFont="1" applyFill="1" applyBorder="1" applyAlignment="1" applyProtection="1">
      <alignment horizontal="left"/>
    </xf>
    <xf numFmtId="176" fontId="12" fillId="10" borderId="29" xfId="0" applyNumberFormat="1" applyFont="1" applyFill="1" applyBorder="1" applyAlignment="1" applyProtection="1">
      <alignment horizontal="center" vertical="top"/>
    </xf>
    <xf numFmtId="176" fontId="12" fillId="10" borderId="50" xfId="0" applyNumberFormat="1" applyFont="1" applyFill="1" applyBorder="1" applyAlignment="1" applyProtection="1">
      <alignment horizontal="center" vertical="top"/>
    </xf>
    <xf numFmtId="176" fontId="12" fillId="10" borderId="30" xfId="0" applyNumberFormat="1" applyFont="1" applyFill="1" applyBorder="1" applyAlignment="1" applyProtection="1">
      <alignment horizontal="center" vertical="top"/>
    </xf>
    <xf numFmtId="183" fontId="13" fillId="5" borderId="115" xfId="0" applyNumberFormat="1" applyFont="1" applyFill="1" applyBorder="1" applyAlignment="1" applyProtection="1">
      <alignment horizontal="left" vertical="center"/>
    </xf>
    <xf numFmtId="0" fontId="38" fillId="5" borderId="24" xfId="0" applyFont="1" applyFill="1" applyBorder="1" applyAlignment="1" applyProtection="1">
      <alignment horizontal="left" vertical="top" wrapText="1"/>
    </xf>
    <xf numFmtId="0" fontId="38" fillId="5" borderId="49" xfId="0" applyFont="1" applyFill="1" applyBorder="1" applyAlignment="1" applyProtection="1">
      <alignment horizontal="left" vertical="top" wrapText="1"/>
    </xf>
    <xf numFmtId="0" fontId="38" fillId="5" borderId="25" xfId="0" applyFont="1" applyFill="1" applyBorder="1" applyAlignment="1" applyProtection="1">
      <alignment horizontal="left" vertical="top" wrapText="1"/>
    </xf>
    <xf numFmtId="0" fontId="38" fillId="5" borderId="26" xfId="0" applyFont="1" applyFill="1" applyBorder="1" applyAlignment="1" applyProtection="1">
      <alignment horizontal="left" vertical="top" wrapText="1"/>
    </xf>
    <xf numFmtId="0" fontId="38" fillId="5" borderId="17" xfId="0" applyFont="1" applyFill="1" applyBorder="1" applyAlignment="1" applyProtection="1">
      <alignment horizontal="left" vertical="top" wrapText="1"/>
    </xf>
    <xf numFmtId="0" fontId="38" fillId="5" borderId="27" xfId="0" applyFont="1" applyFill="1" applyBorder="1" applyAlignment="1" applyProtection="1">
      <alignment horizontal="left" vertical="top" wrapText="1"/>
    </xf>
    <xf numFmtId="0" fontId="38" fillId="5" borderId="29" xfId="0" applyFont="1" applyFill="1" applyBorder="1" applyAlignment="1" applyProtection="1">
      <alignment horizontal="left" vertical="top" wrapText="1"/>
    </xf>
    <xf numFmtId="0" fontId="38" fillId="5" borderId="50" xfId="0" applyFont="1" applyFill="1" applyBorder="1" applyAlignment="1" applyProtection="1">
      <alignment horizontal="left" vertical="top" wrapText="1"/>
    </xf>
    <xf numFmtId="0" fontId="38" fillId="5" borderId="30" xfId="0" applyFont="1" applyFill="1" applyBorder="1" applyAlignment="1" applyProtection="1">
      <alignment horizontal="left" vertical="top" wrapText="1"/>
    </xf>
    <xf numFmtId="3" fontId="3" fillId="5" borderId="23" xfId="0" applyNumberFormat="1" applyFont="1" applyFill="1" applyBorder="1" applyAlignment="1" applyProtection="1">
      <alignment horizontal="center" vertical="center" wrapText="1"/>
    </xf>
    <xf numFmtId="3" fontId="3" fillId="5" borderId="80" xfId="0" applyNumberFormat="1" applyFont="1" applyFill="1" applyBorder="1" applyAlignment="1" applyProtection="1">
      <alignment horizontal="center" vertical="center" wrapText="1"/>
    </xf>
    <xf numFmtId="0" fontId="3" fillId="10" borderId="114" xfId="0" applyFont="1" applyFill="1" applyBorder="1" applyAlignment="1" applyProtection="1">
      <alignment horizontal="left" vertical="center"/>
    </xf>
    <xf numFmtId="0" fontId="3" fillId="10" borderId="107" xfId="0" applyFont="1" applyFill="1" applyBorder="1" applyAlignment="1" applyProtection="1">
      <alignment horizontal="left" vertical="center"/>
    </xf>
    <xf numFmtId="0" fontId="3" fillId="10" borderId="72" xfId="0" applyFont="1" applyFill="1" applyBorder="1" applyAlignment="1" applyProtection="1">
      <alignment horizontal="left" vertical="center"/>
    </xf>
    <xf numFmtId="0" fontId="3" fillId="10" borderId="10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3" fillId="10" borderId="50" xfId="0" applyFont="1" applyFill="1" applyBorder="1" applyAlignment="1" applyProtection="1">
      <alignment horizontal="left" vertical="center"/>
    </xf>
    <xf numFmtId="0" fontId="3" fillId="10" borderId="30" xfId="0" applyFont="1" applyFill="1" applyBorder="1" applyAlignment="1" applyProtection="1">
      <alignment horizontal="left" vertical="center"/>
    </xf>
    <xf numFmtId="167" fontId="3" fillId="10" borderId="14" xfId="0" applyNumberFormat="1" applyFont="1" applyFill="1" applyBorder="1" applyAlignment="1" applyProtection="1">
      <alignment horizontal="center" vertical="center"/>
    </xf>
    <xf numFmtId="0" fontId="13" fillId="5" borderId="74" xfId="0" applyFont="1" applyFill="1" applyBorder="1" applyAlignment="1" applyProtection="1">
      <alignment horizontal="center" vertical="top"/>
    </xf>
    <xf numFmtId="0" fontId="3" fillId="10" borderId="24" xfId="0" applyFont="1" applyFill="1" applyBorder="1" applyAlignment="1" applyProtection="1">
      <alignment horizontal="left" vertical="center"/>
    </xf>
    <xf numFmtId="0" fontId="3" fillId="10" borderId="49" xfId="0" applyFont="1" applyFill="1" applyBorder="1" applyAlignment="1" applyProtection="1">
      <alignment horizontal="left" vertical="center"/>
    </xf>
    <xf numFmtId="0" fontId="3" fillId="10" borderId="25" xfId="0"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9" fontId="9" fillId="10" borderId="74" xfId="0" applyNumberFormat="1" applyFont="1" applyFill="1" applyBorder="1" applyAlignment="1" applyProtection="1">
      <alignment horizontal="center" vertical="center"/>
    </xf>
    <xf numFmtId="10" fontId="3" fillId="10" borderId="12" xfId="0" applyNumberFormat="1" applyFont="1" applyFill="1" applyBorder="1" applyAlignment="1" applyProtection="1">
      <alignment horizontal="center" vertical="center"/>
    </xf>
    <xf numFmtId="0" fontId="3" fillId="10" borderId="14" xfId="0" applyFont="1" applyFill="1" applyBorder="1" applyAlignment="1" applyProtection="1">
      <alignment horizontal="center" vertical="center"/>
    </xf>
    <xf numFmtId="0" fontId="38" fillId="5" borderId="74" xfId="0" applyNumberFormat="1" applyFont="1" applyFill="1" applyBorder="1" applyAlignment="1" applyProtection="1">
      <alignment horizontal="center" vertical="center"/>
    </xf>
    <xf numFmtId="178" fontId="9" fillId="5" borderId="74" xfId="0" applyNumberFormat="1" applyFont="1" applyFill="1" applyBorder="1" applyAlignment="1" applyProtection="1">
      <alignment horizontal="center" vertical="center"/>
    </xf>
    <xf numFmtId="0" fontId="3" fillId="10" borderId="74" xfId="0" applyFont="1" applyFill="1" applyBorder="1" applyAlignment="1" applyProtection="1">
      <alignment horizontal="center" vertical="center"/>
    </xf>
    <xf numFmtId="0" fontId="13" fillId="5" borderId="7" xfId="0" applyFont="1" applyFill="1" applyBorder="1" applyAlignment="1" applyProtection="1">
      <alignment horizontal="center" vertical="top"/>
    </xf>
    <xf numFmtId="0" fontId="12" fillId="5" borderId="12" xfId="0" applyFont="1" applyFill="1" applyBorder="1" applyAlignment="1" applyProtection="1">
      <alignment horizontal="left" vertical="center"/>
    </xf>
    <xf numFmtId="0" fontId="3" fillId="5" borderId="24" xfId="0" applyFont="1" applyFill="1" applyBorder="1" applyAlignment="1" applyProtection="1">
      <alignment horizontal="left" vertical="center"/>
    </xf>
    <xf numFmtId="0" fontId="3" fillId="5" borderId="49" xfId="0" applyFont="1" applyFill="1" applyBorder="1" applyAlignment="1" applyProtection="1">
      <alignment horizontal="left" vertical="center"/>
    </xf>
    <xf numFmtId="0" fontId="3" fillId="5" borderId="25"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3" fillId="5" borderId="50" xfId="0" applyFont="1" applyFill="1" applyBorder="1" applyAlignment="1" applyProtection="1">
      <alignment horizontal="left" vertical="center"/>
    </xf>
    <xf numFmtId="0" fontId="3" fillId="5" borderId="30" xfId="0" applyFont="1" applyFill="1" applyBorder="1" applyAlignment="1" applyProtection="1">
      <alignment horizontal="left" vertical="center"/>
    </xf>
    <xf numFmtId="38" fontId="7" fillId="5" borderId="13"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11" xfId="0" applyFont="1" applyFill="1" applyBorder="1" applyAlignment="1" applyProtection="1">
      <alignment horizontal="center" vertical="center"/>
    </xf>
    <xf numFmtId="0" fontId="3" fillId="5" borderId="12"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3" fillId="10" borderId="123" xfId="0" applyFont="1" applyFill="1" applyBorder="1" applyAlignment="1" applyProtection="1">
      <alignment horizontal="left" vertical="center"/>
    </xf>
    <xf numFmtId="0" fontId="3" fillId="10" borderId="124" xfId="0" applyFont="1" applyFill="1" applyBorder="1" applyAlignment="1" applyProtection="1">
      <alignment horizontal="left" vertical="center"/>
    </xf>
    <xf numFmtId="0" fontId="13" fillId="5" borderId="14" xfId="0" applyFont="1" applyFill="1" applyBorder="1" applyAlignment="1" applyProtection="1">
      <alignment horizontal="center" vertical="top"/>
    </xf>
    <xf numFmtId="3" fontId="2" fillId="10" borderId="24" xfId="0" applyNumberFormat="1" applyFont="1" applyFill="1" applyBorder="1" applyAlignment="1" applyProtection="1">
      <alignment horizontal="center" vertical="center"/>
    </xf>
    <xf numFmtId="3" fontId="2" fillId="10" borderId="25" xfId="0" applyNumberFormat="1" applyFont="1" applyFill="1" applyBorder="1" applyAlignment="1" applyProtection="1">
      <alignment horizontal="center" vertical="center"/>
    </xf>
    <xf numFmtId="3" fontId="2" fillId="10" borderId="26" xfId="0" applyNumberFormat="1" applyFont="1" applyFill="1" applyBorder="1" applyAlignment="1" applyProtection="1">
      <alignment horizontal="center" vertical="center"/>
    </xf>
    <xf numFmtId="3" fontId="2" fillId="10" borderId="27" xfId="0" applyNumberFormat="1" applyFont="1" applyFill="1" applyBorder="1" applyAlignment="1" applyProtection="1">
      <alignment horizontal="center" vertical="center"/>
    </xf>
    <xf numFmtId="3" fontId="2" fillId="10" borderId="12" xfId="0" applyNumberFormat="1" applyFont="1" applyFill="1" applyBorder="1" applyAlignment="1" applyProtection="1">
      <alignment horizontal="center" vertical="center"/>
    </xf>
    <xf numFmtId="174" fontId="2" fillId="10" borderId="13" xfId="0" applyNumberFormat="1" applyFont="1" applyFill="1" applyBorder="1" applyAlignment="1" applyProtection="1">
      <alignment horizontal="center" vertical="center"/>
    </xf>
    <xf numFmtId="3" fontId="2" fillId="10" borderId="14"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38" fillId="10" borderId="123" xfId="0" applyFont="1" applyFill="1" applyBorder="1" applyAlignment="1" applyProtection="1">
      <alignment horizontal="left" vertical="top" wrapText="1"/>
    </xf>
    <xf numFmtId="0" fontId="38" fillId="10" borderId="72" xfId="0" applyFont="1" applyFill="1" applyBorder="1" applyAlignment="1" applyProtection="1">
      <alignment horizontal="left" vertical="top" wrapText="1"/>
    </xf>
    <xf numFmtId="0" fontId="38" fillId="10" borderId="124" xfId="0" applyFont="1" applyFill="1" applyBorder="1" applyAlignment="1" applyProtection="1">
      <alignment horizontal="left" vertical="top" wrapText="1"/>
    </xf>
    <xf numFmtId="176" fontId="3" fillId="10" borderId="74" xfId="0" applyNumberFormat="1" applyFont="1" applyFill="1" applyBorder="1" applyAlignment="1" applyProtection="1">
      <alignment horizontal="center" vertical="top" wrapText="1"/>
    </xf>
    <xf numFmtId="3" fontId="3" fillId="10" borderId="74" xfId="0" applyNumberFormat="1" applyFont="1" applyFill="1" applyBorder="1" applyAlignment="1" applyProtection="1">
      <alignment horizontal="center" vertical="center"/>
    </xf>
    <xf numFmtId="0" fontId="38" fillId="5" borderId="123" xfId="0" applyFont="1" applyFill="1" applyBorder="1" applyAlignment="1" applyProtection="1">
      <alignment horizontal="left" vertical="top" wrapText="1"/>
    </xf>
    <xf numFmtId="0" fontId="38" fillId="5" borderId="72" xfId="0" applyFont="1" applyFill="1" applyBorder="1" applyAlignment="1" applyProtection="1">
      <alignment horizontal="left" vertical="top" wrapText="1"/>
    </xf>
    <xf numFmtId="0" fontId="38" fillId="5" borderId="124" xfId="0" applyFont="1" applyFill="1" applyBorder="1" applyAlignment="1" applyProtection="1">
      <alignment horizontal="left" vertical="top" wrapText="1"/>
    </xf>
    <xf numFmtId="38" fontId="7" fillId="10" borderId="18" xfId="0" applyNumberFormat="1" applyFont="1" applyFill="1" applyBorder="1" applyAlignment="1" applyProtection="1">
      <alignment horizontal="center" vertical="center"/>
    </xf>
    <xf numFmtId="38" fontId="7" fillId="10" borderId="14" xfId="0" applyNumberFormat="1" applyFont="1" applyFill="1" applyBorder="1" applyAlignment="1" applyProtection="1">
      <alignment horizontal="center" vertical="center"/>
    </xf>
    <xf numFmtId="0" fontId="3" fillId="5" borderId="123" xfId="0" applyFont="1" applyFill="1" applyBorder="1" applyAlignment="1" applyProtection="1">
      <alignment horizontal="left" vertical="top" wrapText="1"/>
    </xf>
    <xf numFmtId="0" fontId="3" fillId="5" borderId="72" xfId="0" applyFont="1" applyFill="1" applyBorder="1" applyAlignment="1" applyProtection="1">
      <alignment horizontal="left" vertical="top" wrapText="1"/>
    </xf>
    <xf numFmtId="0" fontId="3" fillId="5" borderId="124" xfId="0" applyFont="1" applyFill="1" applyBorder="1" applyAlignment="1" applyProtection="1">
      <alignment horizontal="left" vertical="top" wrapText="1"/>
    </xf>
    <xf numFmtId="0" fontId="13" fillId="6" borderId="123" xfId="0" applyFont="1" applyFill="1" applyBorder="1" applyAlignment="1" applyProtection="1">
      <alignment horizontal="center" vertical="center"/>
    </xf>
    <xf numFmtId="0" fontId="13" fillId="6" borderId="72" xfId="0" applyFont="1" applyFill="1" applyBorder="1" applyAlignment="1" applyProtection="1">
      <alignment horizontal="center" vertical="center"/>
    </xf>
    <xf numFmtId="0" fontId="13" fillId="6" borderId="124" xfId="0" applyFont="1" applyFill="1" applyBorder="1" applyAlignment="1" applyProtection="1">
      <alignment horizontal="center" vertical="center"/>
    </xf>
    <xf numFmtId="0" fontId="13" fillId="5" borderId="24" xfId="0" applyFont="1" applyFill="1" applyBorder="1" applyAlignment="1" applyProtection="1">
      <alignment horizontal="left" vertical="center" wrapText="1"/>
    </xf>
    <xf numFmtId="0" fontId="13" fillId="5" borderId="49" xfId="0" applyFont="1" applyFill="1" applyBorder="1" applyAlignment="1" applyProtection="1">
      <alignment horizontal="left" vertical="center" wrapText="1"/>
    </xf>
    <xf numFmtId="0" fontId="13" fillId="5" borderId="25" xfId="0" applyFont="1" applyFill="1" applyBorder="1" applyAlignment="1" applyProtection="1">
      <alignment horizontal="left" vertical="center" wrapText="1"/>
    </xf>
    <xf numFmtId="0" fontId="13" fillId="5" borderId="26" xfId="0" applyFont="1" applyFill="1" applyBorder="1" applyAlignment="1" applyProtection="1">
      <alignment horizontal="left" vertical="center" wrapText="1"/>
    </xf>
    <xf numFmtId="0" fontId="13" fillId="5" borderId="17" xfId="0" applyFont="1" applyFill="1" applyBorder="1" applyAlignment="1" applyProtection="1">
      <alignment horizontal="left" vertical="center" wrapText="1"/>
    </xf>
    <xf numFmtId="0" fontId="13" fillId="5" borderId="27"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50"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123" xfId="0" applyFont="1" applyFill="1" applyBorder="1" applyAlignment="1" applyProtection="1">
      <alignment horizontal="left" vertical="center"/>
    </xf>
    <xf numFmtId="0" fontId="13" fillId="5" borderId="72" xfId="0" applyFont="1" applyFill="1" applyBorder="1" applyAlignment="1" applyProtection="1">
      <alignment horizontal="left" vertical="center"/>
    </xf>
    <xf numFmtId="0" fontId="13" fillId="5" borderId="124" xfId="0" applyFont="1" applyFill="1" applyBorder="1" applyAlignment="1" applyProtection="1">
      <alignment horizontal="left" vertical="center"/>
    </xf>
    <xf numFmtId="0" fontId="13" fillId="5" borderId="24" xfId="0" applyFont="1" applyFill="1" applyBorder="1" applyAlignment="1" applyProtection="1">
      <alignment horizontal="left" vertical="center"/>
    </xf>
    <xf numFmtId="0" fontId="13" fillId="5" borderId="49" xfId="0" applyFont="1" applyFill="1" applyBorder="1" applyAlignment="1" applyProtection="1">
      <alignment horizontal="left" vertical="center"/>
    </xf>
    <xf numFmtId="0" fontId="0" fillId="0" borderId="25" xfId="0" applyBorder="1" applyAlignment="1" applyProtection="1">
      <alignment horizontal="left" vertical="center"/>
    </xf>
    <xf numFmtId="0" fontId="13" fillId="5" borderId="26" xfId="0" applyFont="1" applyFill="1" applyBorder="1" applyAlignment="1" applyProtection="1">
      <alignment horizontal="left" vertical="center"/>
    </xf>
    <xf numFmtId="0" fontId="13" fillId="5" borderId="17" xfId="0" applyFont="1" applyFill="1" applyBorder="1" applyAlignment="1" applyProtection="1">
      <alignment horizontal="left" vertical="center"/>
    </xf>
    <xf numFmtId="0" fontId="0" fillId="0" borderId="27" xfId="0" applyBorder="1" applyAlignment="1" applyProtection="1">
      <alignment horizontal="left" vertical="center"/>
    </xf>
    <xf numFmtId="10" fontId="13" fillId="5" borderId="26" xfId="0" applyNumberFormat="1" applyFont="1" applyFill="1" applyBorder="1" applyAlignment="1" applyProtection="1">
      <alignment horizontal="left" vertical="center"/>
    </xf>
    <xf numFmtId="10" fontId="13" fillId="5" borderId="15" xfId="0" applyNumberFormat="1" applyFont="1" applyFill="1" applyBorder="1" applyAlignment="1" applyProtection="1">
      <alignment horizontal="left" vertical="center"/>
    </xf>
    <xf numFmtId="10" fontId="0" fillId="0" borderId="27" xfId="0" applyNumberFormat="1" applyBorder="1" applyAlignment="1" applyProtection="1">
      <alignment horizontal="left" vertical="center"/>
    </xf>
    <xf numFmtId="10" fontId="13" fillId="5" borderId="14" xfId="0" applyNumberFormat="1" applyFont="1" applyFill="1" applyBorder="1" applyAlignment="1" applyProtection="1">
      <alignment horizontal="left" vertical="center"/>
    </xf>
    <xf numFmtId="10" fontId="13" fillId="5" borderId="14" xfId="0" applyNumberFormat="1" applyFont="1" applyFill="1" applyBorder="1" applyAlignment="1" applyProtection="1">
      <alignment horizontal="center" vertical="center"/>
    </xf>
    <xf numFmtId="0" fontId="13" fillId="5" borderId="24" xfId="0" applyFont="1" applyFill="1" applyBorder="1" applyAlignment="1" applyProtection="1">
      <alignment horizontal="center" vertical="center"/>
    </xf>
    <xf numFmtId="0" fontId="13" fillId="5" borderId="12" xfId="0" applyFont="1" applyFill="1" applyBorder="1" applyAlignment="1" applyProtection="1">
      <alignment horizontal="left" vertical="center"/>
    </xf>
    <xf numFmtId="0" fontId="13" fillId="5" borderId="29" xfId="0" applyFont="1" applyFill="1" applyBorder="1" applyAlignment="1" applyProtection="1">
      <alignment horizontal="center" vertical="center"/>
    </xf>
    <xf numFmtId="0" fontId="13" fillId="5" borderId="14" xfId="0" applyFont="1" applyFill="1" applyBorder="1" applyAlignment="1" applyProtection="1">
      <alignment horizontal="left" vertical="center"/>
    </xf>
    <xf numFmtId="0" fontId="0" fillId="0" borderId="124" xfId="0" applyBorder="1" applyAlignment="1" applyProtection="1">
      <alignment horizontal="left" vertical="center"/>
    </xf>
    <xf numFmtId="0" fontId="13" fillId="5" borderId="13" xfId="0" applyFont="1" applyFill="1" applyBorder="1" applyAlignment="1" applyProtection="1">
      <alignment horizontal="center" vertical="top"/>
    </xf>
    <xf numFmtId="0" fontId="9" fillId="5" borderId="74" xfId="0" applyFont="1" applyFill="1" applyBorder="1" applyAlignment="1" applyProtection="1">
      <alignment horizontal="left" vertical="center"/>
    </xf>
    <xf numFmtId="0" fontId="3" fillId="5" borderId="74" xfId="0" applyFont="1" applyFill="1" applyBorder="1" applyAlignment="1" applyProtection="1">
      <alignment horizontal="left" vertical="center" wrapText="1"/>
    </xf>
    <xf numFmtId="166" fontId="13" fillId="5" borderId="13" xfId="0" applyNumberFormat="1" applyFont="1" applyFill="1" applyBorder="1" applyAlignment="1" applyProtection="1">
      <alignment horizontal="center" vertical="center"/>
    </xf>
    <xf numFmtId="0" fontId="13" fillId="5" borderId="123" xfId="0" applyFont="1" applyFill="1" applyBorder="1" applyAlignment="1" applyProtection="1">
      <alignment horizontal="center" vertical="top"/>
    </xf>
    <xf numFmtId="0" fontId="13" fillId="5" borderId="124" xfId="0" applyFont="1" applyFill="1" applyBorder="1" applyAlignment="1" applyProtection="1">
      <alignment horizontal="center" vertical="top"/>
    </xf>
    <xf numFmtId="0" fontId="3" fillId="5" borderId="123" xfId="0" applyFont="1" applyFill="1" applyBorder="1" applyAlignment="1" applyProtection="1">
      <alignment horizontal="left" vertical="center" wrapText="1"/>
    </xf>
    <xf numFmtId="0" fontId="3" fillId="5" borderId="72" xfId="0" applyFont="1" applyFill="1" applyBorder="1" applyAlignment="1" applyProtection="1">
      <alignment horizontal="left" vertical="center" wrapText="1"/>
    </xf>
    <xf numFmtId="0" fontId="3" fillId="5" borderId="124" xfId="0" applyFont="1" applyFill="1" applyBorder="1" applyAlignment="1" applyProtection="1">
      <alignment horizontal="left" vertical="center" wrapText="1"/>
    </xf>
    <xf numFmtId="176" fontId="7" fillId="10" borderId="123" xfId="0" applyNumberFormat="1" applyFont="1" applyFill="1" applyBorder="1" applyAlignment="1" applyProtection="1">
      <alignment horizontal="center"/>
    </xf>
    <xf numFmtId="176" fontId="7" fillId="10" borderId="124" xfId="0" applyNumberFormat="1" applyFont="1" applyFill="1" applyBorder="1" applyAlignment="1" applyProtection="1">
      <alignment horizontal="center"/>
    </xf>
    <xf numFmtId="0" fontId="13" fillId="5" borderId="114" xfId="0" applyFont="1" applyFill="1" applyBorder="1" applyAlignment="1" applyProtection="1">
      <alignment horizontal="left"/>
    </xf>
    <xf numFmtId="0" fontId="13" fillId="5" borderId="124" xfId="0" applyFont="1" applyFill="1" applyBorder="1" applyAlignment="1" applyProtection="1">
      <alignment horizontal="left"/>
    </xf>
    <xf numFmtId="0" fontId="13" fillId="5" borderId="25"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50"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96" xfId="0" applyFont="1" applyFill="1" applyBorder="1" applyAlignment="1" applyProtection="1">
      <alignment horizontal="left" vertical="center"/>
    </xf>
    <xf numFmtId="0" fontId="13" fillId="5" borderId="78" xfId="0" applyFont="1" applyFill="1" applyBorder="1" applyAlignment="1" applyProtection="1">
      <alignment horizontal="left" vertical="center"/>
    </xf>
    <xf numFmtId="0" fontId="38" fillId="10" borderId="116" xfId="0" applyFont="1" applyFill="1" applyBorder="1" applyAlignment="1" applyProtection="1">
      <alignment horizontal="left"/>
    </xf>
    <xf numFmtId="0" fontId="38" fillId="10" borderId="107" xfId="0" applyFont="1" applyFill="1" applyBorder="1" applyAlignment="1" applyProtection="1">
      <alignment horizontal="left"/>
    </xf>
    <xf numFmtId="0" fontId="38" fillId="10" borderId="108" xfId="0" applyFont="1" applyFill="1" applyBorder="1" applyAlignment="1" applyProtection="1">
      <alignment horizontal="left"/>
    </xf>
    <xf numFmtId="0" fontId="3" fillId="5" borderId="24" xfId="0" applyFont="1" applyFill="1" applyBorder="1" applyAlignment="1" applyProtection="1">
      <alignment horizontal="left" vertical="top" wrapText="1"/>
    </xf>
    <xf numFmtId="0" fontId="3" fillId="5" borderId="49" xfId="0" applyFont="1" applyFill="1" applyBorder="1" applyAlignment="1" applyProtection="1">
      <alignment horizontal="left" vertical="top" wrapText="1"/>
    </xf>
    <xf numFmtId="0" fontId="3" fillId="5" borderId="25"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50"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175" fontId="13" fillId="5" borderId="24" xfId="0" applyNumberFormat="1" applyFont="1" applyFill="1" applyBorder="1" applyAlignment="1" applyProtection="1">
      <alignment horizontal="left" vertical="center"/>
    </xf>
    <xf numFmtId="175" fontId="13" fillId="5" borderId="49" xfId="0" applyNumberFormat="1" applyFont="1" applyFill="1" applyBorder="1" applyAlignment="1" applyProtection="1">
      <alignment horizontal="left" vertical="center"/>
    </xf>
    <xf numFmtId="175" fontId="13" fillId="5" borderId="25" xfId="0" applyNumberFormat="1" applyFont="1" applyFill="1" applyBorder="1" applyAlignment="1" applyProtection="1">
      <alignment horizontal="left" vertical="center"/>
    </xf>
    <xf numFmtId="0" fontId="13" fillId="5" borderId="8" xfId="0" applyFont="1" applyFill="1" applyBorder="1" applyAlignment="1" applyProtection="1">
      <alignment horizontal="center" vertical="top"/>
    </xf>
    <xf numFmtId="3" fontId="3" fillId="5" borderId="74" xfId="1" applyNumberFormat="1" applyFont="1" applyFill="1" applyBorder="1" applyAlignment="1" applyProtection="1">
      <alignment horizontal="center" vertical="center"/>
    </xf>
    <xf numFmtId="0" fontId="3" fillId="10" borderId="123" xfId="0" applyFont="1" applyFill="1" applyBorder="1" applyAlignment="1" applyProtection="1">
      <alignment horizontal="left" vertical="top"/>
    </xf>
    <xf numFmtId="0" fontId="3" fillId="10" borderId="72" xfId="0" applyFont="1" applyFill="1" applyBorder="1" applyAlignment="1" applyProtection="1">
      <alignment horizontal="left" vertical="top"/>
    </xf>
    <xf numFmtId="0" fontId="3" fillId="10" borderId="124" xfId="0" applyFont="1" applyFill="1" applyBorder="1" applyAlignment="1" applyProtection="1">
      <alignment horizontal="left" vertical="top"/>
    </xf>
    <xf numFmtId="0" fontId="3" fillId="5" borderId="24" xfId="0" applyFont="1" applyFill="1" applyBorder="1" applyAlignment="1" applyProtection="1">
      <alignment vertical="top" wrapText="1"/>
    </xf>
    <xf numFmtId="0" fontId="0" fillId="0" borderId="49" xfId="0" applyBorder="1" applyAlignment="1" applyProtection="1">
      <alignment vertical="top" wrapText="1"/>
    </xf>
    <xf numFmtId="0" fontId="0" fillId="0" borderId="25" xfId="0" applyBorder="1" applyAlignment="1" applyProtection="1">
      <alignment vertical="top" wrapText="1"/>
    </xf>
    <xf numFmtId="0" fontId="0" fillId="0" borderId="50" xfId="0" applyBorder="1" applyAlignment="1" applyProtection="1">
      <alignment horizontal="left" vertical="top" wrapText="1"/>
    </xf>
    <xf numFmtId="0" fontId="0" fillId="0" borderId="30" xfId="0" applyBorder="1" applyAlignment="1" applyProtection="1">
      <alignment horizontal="left" vertical="top" wrapText="1"/>
    </xf>
    <xf numFmtId="0" fontId="12" fillId="5" borderId="123" xfId="0" applyFont="1" applyFill="1" applyBorder="1" applyAlignment="1" applyProtection="1">
      <alignment horizontal="left"/>
    </xf>
    <xf numFmtId="0" fontId="12" fillId="5" borderId="72" xfId="0" applyFont="1" applyFill="1" applyBorder="1" applyAlignment="1" applyProtection="1">
      <alignment horizontal="left"/>
    </xf>
    <xf numFmtId="0" fontId="12" fillId="5" borderId="124" xfId="0" applyFont="1" applyFill="1" applyBorder="1" applyAlignment="1" applyProtection="1">
      <alignment horizontal="left"/>
    </xf>
    <xf numFmtId="0" fontId="13" fillId="5" borderId="88" xfId="0" applyFont="1" applyFill="1" applyBorder="1" applyAlignment="1" applyProtection="1">
      <alignment horizontal="center" vertical="top"/>
    </xf>
    <xf numFmtId="0" fontId="13" fillId="5" borderId="123" xfId="0" applyFont="1" applyFill="1" applyBorder="1" applyAlignment="1" applyProtection="1">
      <alignment horizontal="center" vertical="center"/>
    </xf>
    <xf numFmtId="0" fontId="13" fillId="5" borderId="124" xfId="0" applyFont="1" applyFill="1" applyBorder="1" applyAlignment="1" applyProtection="1">
      <alignment horizontal="center" vertical="center"/>
    </xf>
    <xf numFmtId="176" fontId="13" fillId="5" borderId="123" xfId="0" applyNumberFormat="1" applyFont="1" applyFill="1" applyBorder="1" applyAlignment="1" applyProtection="1">
      <alignment horizontal="center" vertical="center"/>
    </xf>
    <xf numFmtId="176" fontId="13" fillId="5" borderId="124" xfId="0" applyNumberFormat="1" applyFont="1" applyFill="1" applyBorder="1" applyAlignment="1" applyProtection="1">
      <alignment horizontal="center" vertical="center"/>
    </xf>
    <xf numFmtId="3" fontId="13" fillId="5" borderId="123" xfId="0" applyNumberFormat="1" applyFont="1" applyFill="1" applyBorder="1" applyAlignment="1" applyProtection="1">
      <alignment horizontal="center" vertical="center"/>
    </xf>
    <xf numFmtId="3" fontId="13" fillId="5" borderId="124" xfId="0" applyNumberFormat="1" applyFont="1" applyFill="1" applyBorder="1" applyAlignment="1" applyProtection="1">
      <alignment horizontal="center" vertical="center"/>
    </xf>
    <xf numFmtId="3" fontId="13" fillId="5" borderId="125" xfId="0" applyNumberFormat="1" applyFont="1" applyFill="1" applyBorder="1" applyAlignment="1" applyProtection="1">
      <alignment horizontal="center" vertical="center"/>
    </xf>
    <xf numFmtId="3" fontId="13" fillId="5" borderId="126" xfId="0" applyNumberFormat="1" applyFont="1" applyFill="1" applyBorder="1" applyAlignment="1" applyProtection="1">
      <alignment horizontal="center" vertical="center"/>
    </xf>
    <xf numFmtId="3" fontId="13" fillId="5" borderId="13" xfId="0" applyNumberFormat="1" applyFont="1" applyFill="1" applyBorder="1" applyAlignment="1" applyProtection="1">
      <alignment horizontal="center" vertical="center"/>
    </xf>
    <xf numFmtId="0" fontId="9" fillId="5" borderId="12" xfId="0" applyFont="1" applyFill="1" applyBorder="1" applyAlignment="1" applyProtection="1">
      <alignment horizontal="center" vertical="center"/>
    </xf>
    <xf numFmtId="0" fontId="9" fillId="5" borderId="13" xfId="0" applyFont="1" applyFill="1" applyBorder="1" applyAlignment="1" applyProtection="1">
      <alignment horizontal="center" vertical="center"/>
    </xf>
    <xf numFmtId="0" fontId="9" fillId="5" borderId="14" xfId="0" applyFont="1" applyFill="1" applyBorder="1" applyAlignment="1" applyProtection="1">
      <alignment horizontal="center" vertical="center"/>
    </xf>
    <xf numFmtId="0" fontId="13" fillId="5" borderId="123" xfId="0" applyFont="1" applyFill="1" applyBorder="1" applyAlignment="1" applyProtection="1">
      <alignment horizontal="left"/>
    </xf>
    <xf numFmtId="0" fontId="13" fillId="5" borderId="72" xfId="0" applyFont="1" applyFill="1" applyBorder="1" applyAlignment="1" applyProtection="1">
      <alignment horizontal="left"/>
    </xf>
    <xf numFmtId="0" fontId="0" fillId="0" borderId="72" xfId="0" applyBorder="1" applyAlignment="1" applyProtection="1"/>
    <xf numFmtId="0" fontId="0" fillId="0" borderId="124" xfId="0" applyBorder="1" applyAlignment="1" applyProtection="1"/>
    <xf numFmtId="164" fontId="2" fillId="5" borderId="74" xfId="1" applyNumberFormat="1" applyFont="1" applyFill="1" applyBorder="1" applyAlignment="1" applyProtection="1">
      <alignment horizontal="right"/>
    </xf>
    <xf numFmtId="0" fontId="2" fillId="13" borderId="24" xfId="0" applyFont="1" applyFill="1" applyBorder="1" applyAlignment="1" applyProtection="1">
      <alignment horizontal="left" vertical="top" wrapText="1"/>
    </xf>
    <xf numFmtId="0" fontId="2" fillId="13" borderId="25" xfId="0" applyFont="1" applyFill="1" applyBorder="1" applyAlignment="1" applyProtection="1">
      <alignment horizontal="left" vertical="top" wrapText="1"/>
    </xf>
    <xf numFmtId="0" fontId="2" fillId="13" borderId="26" xfId="0" applyFont="1" applyFill="1" applyBorder="1" applyAlignment="1" applyProtection="1">
      <alignment horizontal="left" vertical="top" wrapText="1"/>
    </xf>
    <xf numFmtId="0" fontId="2" fillId="13" borderId="27" xfId="0" applyFont="1" applyFill="1" applyBorder="1" applyAlignment="1" applyProtection="1">
      <alignment horizontal="left" vertical="top" wrapText="1"/>
    </xf>
    <xf numFmtId="10" fontId="2" fillId="5" borderId="74" xfId="0" applyNumberFormat="1" applyFont="1" applyFill="1" applyBorder="1" applyAlignment="1" applyProtection="1">
      <alignment horizontal="left"/>
    </xf>
    <xf numFmtId="0" fontId="2" fillId="5" borderId="74" xfId="0" applyNumberFormat="1" applyFont="1" applyFill="1" applyBorder="1" applyAlignment="1" applyProtection="1">
      <alignment horizontal="right" vertical="center"/>
    </xf>
    <xf numFmtId="3" fontId="2" fillId="5" borderId="74" xfId="10" applyNumberFormat="1" applyFont="1" applyFill="1" applyBorder="1" applyAlignment="1" applyProtection="1">
      <alignment horizontal="right" vertical="center"/>
    </xf>
    <xf numFmtId="166" fontId="2" fillId="5" borderId="74" xfId="10" applyNumberFormat="1" applyFont="1" applyFill="1" applyBorder="1" applyAlignment="1" applyProtection="1">
      <alignment horizontal="right" vertical="center"/>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164" fontId="2" fillId="11" borderId="12" xfId="1" applyNumberFormat="1" applyFont="1" applyFill="1" applyBorder="1" applyProtection="1"/>
    <xf numFmtId="164" fontId="2" fillId="6" borderId="13" xfId="1" applyNumberFormat="1" applyFont="1" applyFill="1" applyBorder="1" applyProtection="1"/>
    <xf numFmtId="164" fontId="2" fillId="5" borderId="13" xfId="1" applyNumberFormat="1" applyFont="1" applyFill="1" applyBorder="1" applyProtection="1"/>
    <xf numFmtId="164" fontId="2" fillId="6" borderId="88" xfId="1" applyNumberFormat="1" applyFont="1" applyFill="1" applyBorder="1" applyProtection="1"/>
    <xf numFmtId="164" fontId="2" fillId="6" borderId="14" xfId="1" applyNumberFormat="1" applyFont="1" applyFill="1" applyBorder="1" applyProtection="1"/>
    <xf numFmtId="164" fontId="2" fillId="6" borderId="12" xfId="1" applyNumberFormat="1" applyFont="1" applyFill="1" applyBorder="1" applyProtection="1"/>
    <xf numFmtId="0" fontId="37" fillId="5" borderId="123" xfId="0" applyFont="1" applyFill="1" applyBorder="1" applyAlignment="1" applyProtection="1">
      <alignment horizontal="left" vertical="top" wrapText="1"/>
    </xf>
    <xf numFmtId="0" fontId="37" fillId="0" borderId="72" xfId="0" applyFont="1" applyBorder="1" applyAlignment="1" applyProtection="1">
      <alignment horizontal="left" vertical="top" wrapText="1"/>
    </xf>
    <xf numFmtId="0" fontId="37" fillId="0" borderId="124" xfId="0" applyFont="1" applyBorder="1" applyAlignment="1" applyProtection="1">
      <alignment horizontal="left" vertical="top" wrapText="1"/>
    </xf>
    <xf numFmtId="0" fontId="37" fillId="13" borderId="123" xfId="0" applyFont="1" applyFill="1" applyBorder="1" applyAlignment="1" applyProtection="1">
      <alignment horizontal="left" vertical="top" wrapText="1"/>
    </xf>
    <xf numFmtId="0" fontId="37" fillId="13" borderId="72" xfId="0" applyFont="1" applyFill="1" applyBorder="1" applyAlignment="1" applyProtection="1">
      <alignment horizontal="left" vertical="top" wrapText="1"/>
    </xf>
    <xf numFmtId="0" fontId="37" fillId="13" borderId="124" xfId="0" applyFont="1" applyFill="1" applyBorder="1" applyAlignment="1" applyProtection="1">
      <alignment horizontal="left" vertical="top" wrapText="1"/>
    </xf>
    <xf numFmtId="0" fontId="2" fillId="5" borderId="123" xfId="0" applyFont="1" applyFill="1" applyBorder="1" applyAlignment="1" applyProtection="1">
      <alignment horizontal="center" vertical="center"/>
    </xf>
    <xf numFmtId="0" fontId="0" fillId="5" borderId="74" xfId="0" applyFill="1" applyBorder="1" applyAlignment="1" applyProtection="1">
      <alignment horizontal="center"/>
    </xf>
    <xf numFmtId="0" fontId="12" fillId="5" borderId="12" xfId="10" applyNumberFormat="1" applyFont="1" applyFill="1" applyBorder="1" applyAlignment="1" applyProtection="1">
      <alignment horizontal="center" vertical="center"/>
    </xf>
    <xf numFmtId="1" fontId="12" fillId="5" borderId="12" xfId="1" applyNumberFormat="1" applyFont="1" applyFill="1" applyBorder="1" applyAlignment="1" applyProtection="1">
      <alignment horizontal="center" vertical="center"/>
    </xf>
    <xf numFmtId="173" fontId="12" fillId="5" borderId="12" xfId="1" applyNumberFormat="1" applyFont="1" applyFill="1" applyBorder="1" applyAlignment="1" applyProtection="1">
      <alignment horizontal="center" vertical="center"/>
    </xf>
    <xf numFmtId="3" fontId="12" fillId="5" borderId="12" xfId="1" applyNumberFormat="1" applyFont="1" applyFill="1" applyBorder="1" applyAlignment="1" applyProtection="1">
      <alignment horizontal="center" vertical="center"/>
    </xf>
    <xf numFmtId="3" fontId="12" fillId="11" borderId="12" xfId="1" applyNumberFormat="1" applyFont="1" applyFill="1" applyBorder="1" applyAlignment="1" applyProtection="1">
      <alignment horizontal="center" vertical="center"/>
    </xf>
    <xf numFmtId="3" fontId="37" fillId="5" borderId="12" xfId="1" applyNumberFormat="1" applyFont="1" applyFill="1" applyBorder="1" applyAlignment="1" applyProtection="1">
      <alignment horizontal="center" vertical="center"/>
    </xf>
    <xf numFmtId="0" fontId="37" fillId="5" borderId="12" xfId="0" applyFont="1" applyFill="1" applyBorder="1" applyAlignment="1" applyProtection="1">
      <alignment horizontal="center" vertical="center"/>
    </xf>
    <xf numFmtId="0" fontId="12" fillId="5" borderId="12" xfId="0" applyFont="1" applyFill="1" applyBorder="1" applyAlignment="1" applyProtection="1">
      <alignment horizontal="center" vertical="center"/>
    </xf>
    <xf numFmtId="3" fontId="12" fillId="13" borderId="46" xfId="0" applyNumberFormat="1" applyFont="1" applyFill="1" applyBorder="1" applyAlignment="1" applyProtection="1">
      <alignment horizontal="center" vertical="center"/>
    </xf>
    <xf numFmtId="10" fontId="12" fillId="13" borderId="47" xfId="0" applyNumberFormat="1" applyFont="1" applyFill="1" applyBorder="1" applyAlignment="1" applyProtection="1">
      <alignment horizontal="center" vertical="center"/>
    </xf>
    <xf numFmtId="3" fontId="12" fillId="13" borderId="47" xfId="0" applyNumberFormat="1" applyFont="1" applyFill="1" applyBorder="1" applyAlignment="1" applyProtection="1">
      <alignment horizontal="center" vertical="center"/>
    </xf>
    <xf numFmtId="10" fontId="12" fillId="13" borderId="19" xfId="0" applyNumberFormat="1" applyFont="1" applyFill="1" applyBorder="1" applyAlignment="1" applyProtection="1">
      <alignment horizontal="center" vertical="center"/>
    </xf>
    <xf numFmtId="0" fontId="12" fillId="5" borderId="13" xfId="10" applyNumberFormat="1" applyFont="1" applyFill="1" applyBorder="1" applyAlignment="1" applyProtection="1">
      <alignment horizontal="center" vertical="center"/>
    </xf>
    <xf numFmtId="1" fontId="12" fillId="5" borderId="13" xfId="1" applyNumberFormat="1" applyFont="1" applyFill="1" applyBorder="1" applyAlignment="1" applyProtection="1">
      <alignment horizontal="center" vertical="center"/>
    </xf>
    <xf numFmtId="173" fontId="12" fillId="5" borderId="13" xfId="1" applyNumberFormat="1" applyFont="1" applyFill="1" applyBorder="1" applyAlignment="1" applyProtection="1">
      <alignment horizontal="center" vertical="center"/>
    </xf>
    <xf numFmtId="3" fontId="12" fillId="5" borderId="13" xfId="1" applyNumberFormat="1" applyFont="1" applyFill="1" applyBorder="1" applyAlignment="1" applyProtection="1">
      <alignment horizontal="center" vertical="center"/>
    </xf>
    <xf numFmtId="3" fontId="12" fillId="11" borderId="13" xfId="1" applyNumberFormat="1" applyFont="1" applyFill="1" applyBorder="1" applyAlignment="1" applyProtection="1">
      <alignment horizontal="center" vertical="center"/>
    </xf>
    <xf numFmtId="3" fontId="37" fillId="5" borderId="13" xfId="1" applyNumberFormat="1" applyFont="1" applyFill="1" applyBorder="1" applyAlignment="1" applyProtection="1">
      <alignment horizontal="center" vertical="center"/>
    </xf>
    <xf numFmtId="0" fontId="37" fillId="5" borderId="13" xfId="0" applyFont="1" applyFill="1" applyBorder="1" applyAlignment="1" applyProtection="1">
      <alignment horizontal="center" vertical="center"/>
    </xf>
    <xf numFmtId="0" fontId="12" fillId="5" borderId="13" xfId="0" applyFont="1" applyFill="1" applyBorder="1" applyAlignment="1" applyProtection="1">
      <alignment horizontal="center" vertical="center"/>
    </xf>
    <xf numFmtId="3" fontId="12" fillId="13" borderId="45" xfId="0" applyNumberFormat="1" applyFont="1" applyFill="1" applyBorder="1" applyAlignment="1" applyProtection="1">
      <alignment horizontal="center" vertical="center"/>
    </xf>
    <xf numFmtId="10" fontId="12" fillId="13" borderId="32" xfId="0" applyNumberFormat="1" applyFont="1" applyFill="1" applyBorder="1" applyAlignment="1" applyProtection="1">
      <alignment horizontal="center" vertical="center"/>
    </xf>
    <xf numFmtId="3" fontId="12" fillId="13" borderId="32" xfId="0" applyNumberFormat="1" applyFont="1" applyFill="1" applyBorder="1" applyAlignment="1" applyProtection="1">
      <alignment horizontal="center" vertical="center"/>
    </xf>
    <xf numFmtId="10" fontId="12" fillId="13" borderId="21" xfId="0" applyNumberFormat="1" applyFont="1" applyFill="1" applyBorder="1" applyAlignment="1" applyProtection="1">
      <alignment horizontal="center" vertical="center"/>
    </xf>
    <xf numFmtId="0" fontId="12" fillId="5" borderId="14" xfId="10" applyNumberFormat="1" applyFont="1" applyFill="1" applyBorder="1" applyAlignment="1" applyProtection="1">
      <alignment horizontal="center" vertical="center"/>
    </xf>
    <xf numFmtId="1" fontId="12" fillId="5" borderId="14" xfId="1" applyNumberFormat="1" applyFont="1" applyFill="1" applyBorder="1" applyAlignment="1" applyProtection="1">
      <alignment horizontal="center" vertical="center"/>
    </xf>
    <xf numFmtId="173" fontId="12" fillId="5" borderId="14" xfId="1" applyNumberFormat="1" applyFont="1" applyFill="1" applyBorder="1" applyAlignment="1" applyProtection="1">
      <alignment horizontal="center" vertical="center"/>
    </xf>
    <xf numFmtId="3" fontId="12" fillId="5" borderId="14" xfId="1" applyNumberFormat="1" applyFont="1" applyFill="1" applyBorder="1" applyAlignment="1" applyProtection="1">
      <alignment horizontal="center" vertical="center"/>
    </xf>
    <xf numFmtId="3" fontId="12" fillId="11" borderId="14" xfId="1" applyNumberFormat="1" applyFont="1" applyFill="1" applyBorder="1" applyAlignment="1" applyProtection="1">
      <alignment horizontal="center" vertical="center"/>
    </xf>
    <xf numFmtId="3" fontId="37" fillId="5" borderId="14" xfId="1" applyNumberFormat="1" applyFont="1" applyFill="1" applyBorder="1" applyAlignment="1" applyProtection="1">
      <alignment horizontal="center" vertical="center"/>
    </xf>
    <xf numFmtId="0" fontId="37" fillId="5" borderId="14" xfId="0" applyFont="1" applyFill="1" applyBorder="1" applyAlignment="1" applyProtection="1">
      <alignment horizontal="center" vertical="center"/>
    </xf>
    <xf numFmtId="0" fontId="12" fillId="5" borderId="14" xfId="0" applyFont="1" applyFill="1" applyBorder="1" applyAlignment="1" applyProtection="1">
      <alignment horizontal="center" vertical="center"/>
    </xf>
    <xf numFmtId="3" fontId="12" fillId="13" borderId="43" xfId="0" applyNumberFormat="1" applyFont="1" applyFill="1" applyBorder="1" applyAlignment="1" applyProtection="1">
      <alignment horizontal="center" vertical="center"/>
    </xf>
    <xf numFmtId="10" fontId="12" fillId="13" borderId="44" xfId="0" applyNumberFormat="1" applyFont="1" applyFill="1" applyBorder="1" applyAlignment="1" applyProtection="1">
      <alignment horizontal="center" vertical="center"/>
    </xf>
    <xf numFmtId="3" fontId="12" fillId="13" borderId="44" xfId="0" applyNumberFormat="1" applyFont="1" applyFill="1" applyBorder="1" applyAlignment="1" applyProtection="1">
      <alignment horizontal="center" vertical="center"/>
    </xf>
    <xf numFmtId="10" fontId="12" fillId="13" borderId="20" xfId="0" applyNumberFormat="1" applyFont="1" applyFill="1" applyBorder="1" applyAlignment="1" applyProtection="1">
      <alignment horizontal="center" vertical="center"/>
    </xf>
    <xf numFmtId="0" fontId="38" fillId="0" borderId="0" xfId="0" applyFont="1" applyAlignment="1" applyProtection="1">
      <alignment horizontal="left" vertical="center" wrapText="1"/>
    </xf>
    <xf numFmtId="0" fontId="38" fillId="0" borderId="0" xfId="0" applyFont="1" applyAlignment="1" applyProtection="1">
      <alignment horizontal="left" vertical="center" wrapText="1"/>
    </xf>
    <xf numFmtId="0" fontId="2" fillId="13" borderId="49" xfId="0" applyFont="1" applyFill="1" applyBorder="1" applyAlignment="1" applyProtection="1">
      <alignment horizontal="left" vertical="top" wrapText="1"/>
    </xf>
    <xf numFmtId="0" fontId="2" fillId="13" borderId="17" xfId="0" applyFont="1" applyFill="1" applyBorder="1" applyAlignment="1" applyProtection="1">
      <alignment horizontal="left" vertical="top" wrapText="1"/>
    </xf>
    <xf numFmtId="0" fontId="2" fillId="13" borderId="50" xfId="0" applyFont="1" applyFill="1" applyBorder="1" applyAlignment="1" applyProtection="1">
      <alignment horizontal="left" vertical="top" wrapText="1"/>
    </xf>
    <xf numFmtId="38" fontId="2" fillId="5" borderId="12" xfId="1" applyNumberFormat="1" applyFont="1" applyFill="1" applyBorder="1" applyAlignment="1" applyProtection="1">
      <alignment horizontal="right" vertical="center"/>
    </xf>
    <xf numFmtId="38" fontId="2" fillId="5" borderId="14" xfId="1" applyNumberFormat="1" applyFont="1" applyFill="1" applyBorder="1" applyAlignment="1" applyProtection="1">
      <alignment horizontal="right" vertical="center"/>
    </xf>
    <xf numFmtId="164" fontId="12" fillId="11" borderId="123" xfId="0" applyNumberFormat="1" applyFont="1" applyFill="1" applyBorder="1" applyAlignment="1" applyProtection="1">
      <alignment horizontal="center"/>
    </xf>
    <xf numFmtId="164" fontId="12" fillId="11" borderId="124" xfId="0" applyNumberFormat="1" applyFont="1" applyFill="1" applyBorder="1" applyAlignment="1" applyProtection="1">
      <alignment horizontal="center"/>
    </xf>
    <xf numFmtId="3" fontId="12" fillId="5" borderId="12" xfId="0" applyNumberFormat="1" applyFont="1" applyFill="1" applyBorder="1" applyAlignment="1" applyProtection="1">
      <alignment vertical="center"/>
    </xf>
    <xf numFmtId="3" fontId="12" fillId="5" borderId="12" xfId="10" applyNumberFormat="1" applyFont="1" applyFill="1" applyBorder="1" applyAlignment="1" applyProtection="1">
      <alignment vertical="center"/>
    </xf>
    <xf numFmtId="0" fontId="12" fillId="5" borderId="123" xfId="0" applyFont="1" applyFill="1" applyBorder="1" applyAlignment="1" applyProtection="1">
      <alignment horizontal="left" vertical="center"/>
    </xf>
    <xf numFmtId="0" fontId="12" fillId="5" borderId="72" xfId="0" applyFont="1" applyFill="1" applyBorder="1" applyAlignment="1" applyProtection="1">
      <alignment horizontal="left" vertical="center"/>
    </xf>
    <xf numFmtId="0" fontId="12" fillId="5" borderId="124" xfId="0" applyFont="1" applyFill="1" applyBorder="1" applyAlignment="1" applyProtection="1">
      <alignment horizontal="left" vertical="center"/>
    </xf>
    <xf numFmtId="3" fontId="12" fillId="5" borderId="14" xfId="0" applyNumberFormat="1" applyFont="1" applyFill="1" applyBorder="1" applyAlignment="1" applyProtection="1">
      <alignment vertical="center"/>
    </xf>
    <xf numFmtId="3" fontId="12" fillId="5" borderId="14" xfId="10" applyNumberFormat="1" applyFont="1" applyFill="1" applyBorder="1" applyAlignment="1" applyProtection="1">
      <alignment vertical="center"/>
    </xf>
    <xf numFmtId="38" fontId="2" fillId="5" borderId="123" xfId="1" applyNumberFormat="1" applyFont="1" applyFill="1" applyBorder="1" applyAlignment="1" applyProtection="1">
      <alignment horizontal="right" vertical="center"/>
    </xf>
    <xf numFmtId="38" fontId="2" fillId="5" borderId="124" xfId="1" applyNumberFormat="1" applyFont="1" applyFill="1" applyBorder="1" applyAlignment="1" applyProtection="1">
      <alignment horizontal="right" vertical="center"/>
    </xf>
    <xf numFmtId="3" fontId="2" fillId="5" borderId="74" xfId="0" applyNumberFormat="1" applyFont="1" applyFill="1" applyBorder="1" applyAlignment="1" applyProtection="1">
      <alignment vertical="center"/>
    </xf>
    <xf numFmtId="38" fontId="3" fillId="5" borderId="123" xfId="0" applyNumberFormat="1" applyFont="1" applyFill="1" applyBorder="1" applyAlignment="1" applyProtection="1">
      <alignment horizontal="left" vertical="center" wrapText="1"/>
    </xf>
    <xf numFmtId="38" fontId="3" fillId="5" borderId="124" xfId="0" applyNumberFormat="1" applyFont="1" applyFill="1" applyBorder="1" applyAlignment="1" applyProtection="1">
      <alignment horizontal="left" vertical="center" wrapText="1"/>
    </xf>
    <xf numFmtId="3" fontId="2" fillId="5" borderId="37" xfId="0" applyNumberFormat="1" applyFont="1" applyFill="1" applyBorder="1" applyAlignment="1" applyProtection="1">
      <alignment vertical="center"/>
    </xf>
    <xf numFmtId="0" fontId="3" fillId="5" borderId="123" xfId="0" applyFont="1" applyFill="1" applyBorder="1" applyAlignment="1" applyProtection="1">
      <alignment horizontal="left" vertical="center"/>
    </xf>
    <xf numFmtId="0" fontId="3" fillId="5" borderId="72" xfId="0" applyFont="1" applyFill="1" applyBorder="1" applyAlignment="1" applyProtection="1">
      <alignment horizontal="left" vertical="center"/>
    </xf>
    <xf numFmtId="0" fontId="3" fillId="5" borderId="124" xfId="0" applyFont="1" applyFill="1" applyBorder="1" applyAlignment="1" applyProtection="1">
      <alignment horizontal="left" vertical="center"/>
    </xf>
    <xf numFmtId="38" fontId="2" fillId="5" borderId="57" xfId="1" applyNumberFormat="1" applyFont="1" applyFill="1" applyBorder="1" applyAlignment="1" applyProtection="1">
      <alignment horizontal="right" vertical="center"/>
    </xf>
    <xf numFmtId="38" fontId="2" fillId="5" borderId="58" xfId="1" applyNumberFormat="1" applyFont="1" applyFill="1" applyBorder="1" applyAlignment="1" applyProtection="1">
      <alignment horizontal="right" vertical="center"/>
    </xf>
    <xf numFmtId="3" fontId="2" fillId="5" borderId="114" xfId="0" applyNumberFormat="1" applyFont="1" applyFill="1" applyBorder="1" applyAlignment="1" applyProtection="1">
      <alignment horizontal="right" vertical="center"/>
    </xf>
    <xf numFmtId="3" fontId="2" fillId="5" borderId="108" xfId="0" applyNumberFormat="1" applyFont="1" applyFill="1" applyBorder="1" applyAlignment="1" applyProtection="1">
      <alignment horizontal="right" vertical="center"/>
    </xf>
    <xf numFmtId="3" fontId="2" fillId="5" borderId="123" xfId="0" applyNumberFormat="1" applyFont="1" applyFill="1" applyBorder="1" applyAlignment="1" applyProtection="1">
      <alignment horizontal="right" vertical="center"/>
    </xf>
    <xf numFmtId="3" fontId="2" fillId="5" borderId="124" xfId="0" applyNumberFormat="1" applyFont="1" applyFill="1" applyBorder="1" applyAlignment="1" applyProtection="1">
      <alignment horizontal="right" vertical="center"/>
    </xf>
    <xf numFmtId="3" fontId="2" fillId="11" borderId="11" xfId="1" applyNumberFormat="1" applyFont="1" applyFill="1" applyBorder="1" applyAlignment="1" applyProtection="1">
      <alignment horizontal="right" vertical="center"/>
    </xf>
    <xf numFmtId="38" fontId="2" fillId="5" borderId="123" xfId="1" applyNumberFormat="1" applyFont="1" applyFill="1" applyBorder="1" applyAlignment="1" applyProtection="1">
      <alignment vertical="center"/>
    </xf>
    <xf numFmtId="38" fontId="2" fillId="5" borderId="124" xfId="1" applyNumberFormat="1" applyFont="1" applyFill="1" applyBorder="1" applyAlignment="1" applyProtection="1">
      <alignment vertical="center"/>
    </xf>
    <xf numFmtId="0" fontId="37" fillId="5" borderId="74" xfId="0" applyFont="1" applyFill="1" applyBorder="1" applyAlignment="1" applyProtection="1">
      <alignment horizontal="left" vertical="top" wrapText="1"/>
    </xf>
    <xf numFmtId="0" fontId="37" fillId="4" borderId="74" xfId="0" applyFont="1" applyFill="1" applyBorder="1" applyAlignment="1" applyProtection="1">
      <alignment horizontal="left" vertical="top" wrapText="1"/>
    </xf>
    <xf numFmtId="0" fontId="2" fillId="5" borderId="123" xfId="0" applyFont="1" applyFill="1" applyBorder="1" applyAlignment="1" applyProtection="1">
      <alignment horizontal="left" wrapText="1"/>
    </xf>
    <xf numFmtId="0" fontId="2" fillId="5" borderId="72" xfId="0" applyFont="1" applyFill="1" applyBorder="1" applyAlignment="1" applyProtection="1">
      <alignment horizontal="left" wrapText="1"/>
    </xf>
    <xf numFmtId="0" fontId="2" fillId="5" borderId="124" xfId="0" applyFont="1" applyFill="1" applyBorder="1" applyAlignment="1" applyProtection="1">
      <alignment horizontal="left" wrapText="1"/>
    </xf>
    <xf numFmtId="175" fontId="2" fillId="5" borderId="123" xfId="0" applyNumberFormat="1" applyFont="1" applyFill="1" applyBorder="1" applyAlignment="1" applyProtection="1">
      <alignment horizontal="left"/>
    </xf>
    <xf numFmtId="175" fontId="2" fillId="5" borderId="124" xfId="0" applyNumberFormat="1" applyFont="1" applyFill="1" applyBorder="1" applyAlignment="1" applyProtection="1">
      <alignment horizontal="left"/>
    </xf>
    <xf numFmtId="0" fontId="2" fillId="5" borderId="123" xfId="0" applyFont="1" applyFill="1" applyBorder="1" applyAlignment="1" applyProtection="1">
      <alignment horizontal="left"/>
    </xf>
    <xf numFmtId="0" fontId="2" fillId="5" borderId="124" xfId="0" applyFont="1" applyFill="1" applyBorder="1" applyAlignment="1" applyProtection="1">
      <alignment horizontal="left"/>
    </xf>
    <xf numFmtId="0" fontId="0" fillId="5" borderId="24" xfId="0" applyFill="1" applyBorder="1" applyAlignment="1" applyProtection="1">
      <alignment horizontal="left"/>
    </xf>
    <xf numFmtId="0" fontId="0" fillId="5" borderId="25" xfId="0" applyFill="1" applyBorder="1" applyAlignment="1" applyProtection="1">
      <alignment horizontal="left"/>
    </xf>
    <xf numFmtId="0" fontId="7" fillId="5" borderId="12" xfId="0" applyNumberFormat="1" applyFont="1" applyFill="1" applyBorder="1" applyAlignment="1" applyProtection="1">
      <alignment horizontal="center" vertical="center"/>
    </xf>
    <xf numFmtId="0" fontId="0" fillId="5" borderId="12" xfId="0" applyFill="1" applyBorder="1" applyAlignment="1" applyProtection="1">
      <alignment horizontal="center"/>
    </xf>
    <xf numFmtId="0" fontId="0" fillId="5" borderId="26" xfId="0" applyFill="1" applyBorder="1" applyAlignment="1" applyProtection="1">
      <alignment horizontal="left"/>
    </xf>
    <xf numFmtId="0" fontId="0" fillId="5" borderId="27" xfId="0" applyFill="1" applyBorder="1" applyAlignment="1" applyProtection="1">
      <alignment horizontal="left"/>
    </xf>
    <xf numFmtId="0" fontId="7" fillId="5" borderId="13" xfId="0" applyNumberFormat="1" applyFont="1" applyFill="1" applyBorder="1" applyAlignment="1" applyProtection="1">
      <alignment horizontal="center" vertical="center"/>
    </xf>
    <xf numFmtId="0" fontId="0" fillId="5" borderId="13" xfId="0" applyFill="1" applyBorder="1" applyAlignment="1" applyProtection="1">
      <alignment horizontal="center"/>
    </xf>
    <xf numFmtId="0" fontId="2" fillId="5" borderId="13" xfId="0" applyFont="1" applyFill="1" applyBorder="1" applyAlignment="1" applyProtection="1">
      <alignment horizontal="center"/>
    </xf>
    <xf numFmtId="0" fontId="2" fillId="5" borderId="74" xfId="0" applyFont="1" applyFill="1" applyBorder="1" applyAlignment="1" applyProtection="1">
      <alignment horizontal="center"/>
    </xf>
    <xf numFmtId="0" fontId="7" fillId="5" borderId="14" xfId="0" applyNumberFormat="1" applyFont="1" applyFill="1" applyBorder="1" applyAlignment="1" applyProtection="1">
      <alignment horizontal="center" vertical="center"/>
    </xf>
    <xf numFmtId="0" fontId="0" fillId="5" borderId="14" xfId="0" applyFill="1" applyBorder="1" applyAlignment="1" applyProtection="1">
      <alignment horizontal="center"/>
    </xf>
    <xf numFmtId="0" fontId="2" fillId="5" borderId="14" xfId="0" applyFont="1" applyFill="1" applyBorder="1" applyAlignment="1" applyProtection="1">
      <alignment horizontal="center"/>
    </xf>
    <xf numFmtId="0" fontId="12" fillId="5" borderId="123" xfId="0" applyFont="1" applyFill="1" applyBorder="1" applyAlignment="1" applyProtection="1">
      <alignment horizontal="left" vertical="top" wrapText="1"/>
    </xf>
    <xf numFmtId="0" fontId="12" fillId="5" borderId="72" xfId="0" applyFont="1" applyFill="1" applyBorder="1" applyAlignment="1" applyProtection="1">
      <alignment horizontal="left" vertical="top" wrapText="1"/>
    </xf>
    <xf numFmtId="0" fontId="12" fillId="5" borderId="124" xfId="0" applyFont="1" applyFill="1" applyBorder="1" applyAlignment="1" applyProtection="1">
      <alignment horizontal="left" vertical="top" wrapText="1"/>
    </xf>
    <xf numFmtId="0" fontId="12" fillId="13" borderId="123" xfId="0" applyFont="1" applyFill="1" applyBorder="1" applyAlignment="1" applyProtection="1">
      <alignment horizontal="left" vertical="top" wrapText="1"/>
    </xf>
    <xf numFmtId="0" fontId="12" fillId="13" borderId="72" xfId="0" applyFont="1" applyFill="1" applyBorder="1" applyAlignment="1" applyProtection="1">
      <alignment horizontal="left" vertical="top" wrapText="1"/>
    </xf>
    <xf numFmtId="0" fontId="12" fillId="13" borderId="124" xfId="0" applyFont="1" applyFill="1" applyBorder="1" applyAlignment="1" applyProtection="1">
      <alignment horizontal="left" vertical="top" wrapText="1"/>
    </xf>
    <xf numFmtId="0" fontId="8" fillId="13" borderId="123" xfId="13" applyFont="1" applyFill="1" applyBorder="1" applyAlignment="1" applyProtection="1">
      <alignment horizontal="justify" vertical="top" wrapText="1"/>
    </xf>
    <xf numFmtId="0" fontId="8" fillId="13" borderId="72" xfId="13" applyFont="1" applyFill="1" applyBorder="1" applyAlignment="1" applyProtection="1">
      <alignment horizontal="justify" vertical="top" wrapText="1"/>
    </xf>
    <xf numFmtId="0" fontId="8" fillId="13" borderId="124" xfId="13" applyFont="1" applyFill="1" applyBorder="1" applyAlignment="1" applyProtection="1">
      <alignment horizontal="justify" vertical="top" wrapText="1"/>
    </xf>
    <xf numFmtId="0" fontId="38" fillId="0" borderId="0" xfId="13" applyFont="1" applyProtection="1"/>
    <xf numFmtId="0" fontId="38" fillId="5" borderId="12" xfId="1" applyNumberFormat="1" applyFont="1" applyFill="1" applyBorder="1" applyAlignment="1" applyProtection="1">
      <alignment horizontal="left" vertical="top" wrapText="1"/>
    </xf>
    <xf numFmtId="0" fontId="38" fillId="5" borderId="13" xfId="1" applyNumberFormat="1" applyFont="1" applyFill="1" applyBorder="1" applyAlignment="1" applyProtection="1">
      <alignment horizontal="left" vertical="top" wrapText="1"/>
    </xf>
    <xf numFmtId="0" fontId="38" fillId="5" borderId="14" xfId="1" applyNumberFormat="1" applyFont="1" applyFill="1" applyBorder="1" applyAlignment="1" applyProtection="1">
      <alignment horizontal="left" vertical="top" wrapText="1"/>
    </xf>
    <xf numFmtId="0" fontId="38" fillId="5" borderId="115" xfId="1" applyNumberFormat="1" applyFont="1" applyFill="1" applyBorder="1" applyAlignment="1" applyProtection="1">
      <alignment horizontal="left" vertical="top" wrapText="1"/>
    </xf>
    <xf numFmtId="0" fontId="38" fillId="5" borderId="7" xfId="1" applyNumberFormat="1" applyFont="1" applyFill="1" applyBorder="1" applyAlignment="1" applyProtection="1">
      <alignment horizontal="left" vertical="top" wrapText="1"/>
    </xf>
    <xf numFmtId="0" fontId="38" fillId="5" borderId="8" xfId="1" applyNumberFormat="1" applyFont="1" applyFill="1" applyBorder="1" applyAlignment="1" applyProtection="1">
      <alignment horizontal="left" vertical="top" wrapText="1"/>
    </xf>
    <xf numFmtId="164" fontId="38" fillId="0" borderId="5" xfId="1" applyNumberFormat="1" applyFont="1" applyFill="1" applyBorder="1" applyAlignment="1" applyProtection="1">
      <alignment horizontal="right" vertical="center"/>
    </xf>
    <xf numFmtId="164" fontId="41" fillId="5" borderId="24" xfId="1" applyNumberFormat="1" applyFont="1" applyFill="1" applyBorder="1" applyAlignment="1" applyProtection="1">
      <alignment horizontal="right" vertical="center"/>
    </xf>
    <xf numFmtId="164" fontId="41" fillId="5" borderId="25" xfId="1" applyNumberFormat="1" applyFont="1" applyFill="1" applyBorder="1" applyAlignment="1" applyProtection="1">
      <alignment horizontal="right" vertical="center"/>
    </xf>
    <xf numFmtId="4" fontId="41" fillId="13" borderId="32" xfId="0" applyNumberFormat="1" applyFont="1" applyFill="1" applyBorder="1" applyAlignment="1" applyProtection="1">
      <alignment horizontal="right" vertical="center"/>
    </xf>
    <xf numFmtId="0" fontId="12" fillId="13" borderId="71" xfId="0" applyFont="1" applyFill="1" applyBorder="1" applyAlignment="1" applyProtection="1">
      <alignment horizontal="left" vertical="top" wrapText="1"/>
    </xf>
    <xf numFmtId="0" fontId="12" fillId="13" borderId="68" xfId="0" applyFont="1" applyFill="1" applyBorder="1" applyAlignment="1" applyProtection="1">
      <alignment horizontal="left" vertical="top" wrapText="1"/>
    </xf>
    <xf numFmtId="164" fontId="41" fillId="5" borderId="26" xfId="1" applyNumberFormat="1" applyFont="1" applyFill="1" applyBorder="1" applyAlignment="1" applyProtection="1">
      <alignment horizontal="right" vertical="center"/>
    </xf>
    <xf numFmtId="164" fontId="41" fillId="5" borderId="27" xfId="1" applyNumberFormat="1" applyFont="1" applyFill="1" applyBorder="1" applyAlignment="1" applyProtection="1">
      <alignment horizontal="right" vertical="center"/>
    </xf>
    <xf numFmtId="0" fontId="37" fillId="5" borderId="9" xfId="0" applyFont="1" applyFill="1" applyBorder="1" applyAlignment="1" applyProtection="1">
      <alignment horizontal="left" vertical="center" wrapText="1"/>
    </xf>
    <xf numFmtId="0" fontId="37" fillId="5" borderId="10" xfId="0" applyFont="1" applyFill="1" applyBorder="1" applyAlignment="1" applyProtection="1">
      <alignment horizontal="left" vertical="center" wrapText="1"/>
    </xf>
    <xf numFmtId="4" fontId="49" fillId="13" borderId="32" xfId="0" applyNumberFormat="1" applyFont="1" applyFill="1" applyBorder="1" applyAlignment="1" applyProtection="1">
      <alignment horizontal="right" vertical="center"/>
    </xf>
    <xf numFmtId="164" fontId="41" fillId="5" borderId="98" xfId="1" applyNumberFormat="1" applyFont="1" applyFill="1" applyBorder="1" applyAlignment="1" applyProtection="1">
      <alignment horizontal="right" vertical="center"/>
    </xf>
    <xf numFmtId="164" fontId="41" fillId="5" borderId="99" xfId="1" applyNumberFormat="1" applyFont="1" applyFill="1" applyBorder="1" applyAlignment="1" applyProtection="1">
      <alignment horizontal="right" vertical="center"/>
    </xf>
    <xf numFmtId="0" fontId="12" fillId="13" borderId="81" xfId="0" applyFont="1" applyFill="1" applyBorder="1" applyAlignment="1" applyProtection="1">
      <alignment horizontal="left" vertical="top" wrapText="1"/>
    </xf>
    <xf numFmtId="0" fontId="12" fillId="13" borderId="70" xfId="0" applyFont="1" applyFill="1" applyBorder="1" applyAlignment="1" applyProtection="1">
      <alignment horizontal="left" vertical="top" wrapText="1"/>
    </xf>
    <xf numFmtId="4" fontId="41" fillId="13" borderId="47" xfId="0" applyNumberFormat="1" applyFont="1" applyFill="1" applyBorder="1" applyAlignment="1" applyProtection="1">
      <alignment horizontal="right" vertical="center"/>
    </xf>
    <xf numFmtId="0" fontId="12" fillId="13" borderId="84" xfId="0" applyFont="1" applyFill="1" applyBorder="1" applyAlignment="1" applyProtection="1">
      <alignment horizontal="left" vertical="top" wrapText="1"/>
    </xf>
    <xf numFmtId="0" fontId="12" fillId="13" borderId="69" xfId="0" applyFont="1" applyFill="1" applyBorder="1" applyAlignment="1" applyProtection="1">
      <alignment horizontal="left" vertical="top" wrapText="1"/>
    </xf>
    <xf numFmtId="164" fontId="41" fillId="5" borderId="114" xfId="1" applyNumberFormat="1" applyFont="1" applyFill="1" applyBorder="1" applyAlignment="1" applyProtection="1">
      <alignment horizontal="right" vertical="center"/>
    </xf>
    <xf numFmtId="164" fontId="41" fillId="5" borderId="108" xfId="1" applyNumberFormat="1" applyFont="1" applyFill="1" applyBorder="1" applyAlignment="1" applyProtection="1">
      <alignment horizontal="right" vertical="center"/>
    </xf>
    <xf numFmtId="0" fontId="12" fillId="0" borderId="9" xfId="0" applyFont="1" applyBorder="1" applyAlignment="1" applyProtection="1">
      <alignment wrapText="1"/>
    </xf>
    <xf numFmtId="0" fontId="12" fillId="0" borderId="10" xfId="0" applyFont="1" applyBorder="1" applyAlignment="1" applyProtection="1">
      <alignment wrapText="1"/>
    </xf>
    <xf numFmtId="164" fontId="41" fillId="5" borderId="121" xfId="1" applyNumberFormat="1" applyFont="1" applyFill="1" applyBorder="1" applyAlignment="1" applyProtection="1">
      <alignment horizontal="right" vertical="center"/>
    </xf>
    <xf numFmtId="164" fontId="41" fillId="5" borderId="122" xfId="1" applyNumberFormat="1" applyFont="1" applyFill="1" applyBorder="1" applyAlignment="1" applyProtection="1">
      <alignment horizontal="right" vertical="center"/>
    </xf>
    <xf numFmtId="0" fontId="12" fillId="13" borderId="38" xfId="0" applyFont="1" applyFill="1" applyBorder="1" applyAlignment="1" applyProtection="1">
      <alignment horizontal="left" vertical="top" wrapText="1"/>
    </xf>
    <xf numFmtId="0" fontId="12" fillId="13" borderId="33" xfId="0" applyFont="1" applyFill="1" applyBorder="1" applyAlignment="1" applyProtection="1">
      <alignment horizontal="left" vertical="top" wrapText="1"/>
    </xf>
    <xf numFmtId="0" fontId="12" fillId="13" borderId="34" xfId="0" applyFont="1" applyFill="1" applyBorder="1" applyAlignment="1" applyProtection="1">
      <alignment horizontal="left" vertical="top" wrapText="1"/>
    </xf>
    <xf numFmtId="0" fontId="12" fillId="13" borderId="35"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51" xfId="0" applyFont="1" applyFill="1" applyBorder="1" applyAlignment="1" applyProtection="1">
      <alignment horizontal="left" vertical="top" wrapText="1"/>
    </xf>
    <xf numFmtId="4" fontId="41" fillId="13" borderId="71" xfId="0" applyNumberFormat="1" applyFont="1" applyFill="1" applyBorder="1" applyAlignment="1" applyProtection="1">
      <alignment horizontal="right" vertical="center"/>
    </xf>
    <xf numFmtId="0" fontId="37" fillId="5" borderId="16" xfId="0" applyFont="1" applyFill="1" applyBorder="1" applyAlignment="1" applyProtection="1">
      <alignment horizontal="left" vertical="center" wrapText="1"/>
    </xf>
    <xf numFmtId="0" fontId="37" fillId="5" borderId="80" xfId="0" applyFont="1" applyFill="1" applyBorder="1" applyAlignment="1" applyProtection="1">
      <alignment horizontal="left" vertical="center" wrapText="1"/>
    </xf>
    <xf numFmtId="0" fontId="37" fillId="5" borderId="50" xfId="0" applyFont="1" applyFill="1" applyBorder="1" applyAlignment="1" applyProtection="1">
      <alignment horizontal="left" vertical="center" wrapText="1"/>
    </xf>
    <xf numFmtId="0" fontId="37" fillId="5" borderId="30" xfId="0" applyFont="1" applyFill="1" applyBorder="1" applyAlignment="1" applyProtection="1">
      <alignment horizontal="left" vertical="center" wrapText="1"/>
    </xf>
    <xf numFmtId="164" fontId="41" fillId="5" borderId="29" xfId="1" applyNumberFormat="1" applyFont="1" applyFill="1" applyBorder="1" applyAlignment="1" applyProtection="1">
      <alignment horizontal="right" vertical="center"/>
    </xf>
    <xf numFmtId="164" fontId="41" fillId="5" borderId="30" xfId="1" applyNumberFormat="1" applyFont="1" applyFill="1" applyBorder="1" applyAlignment="1" applyProtection="1">
      <alignment horizontal="right" vertical="center"/>
    </xf>
    <xf numFmtId="4" fontId="41" fillId="13" borderId="84" xfId="0" applyNumberFormat="1" applyFont="1" applyFill="1" applyBorder="1" applyAlignment="1" applyProtection="1">
      <alignment horizontal="right" vertical="center"/>
    </xf>
    <xf numFmtId="0" fontId="58" fillId="5" borderId="12" xfId="0" applyFont="1" applyFill="1" applyBorder="1" applyAlignment="1" applyProtection="1">
      <alignment horizontal="center" vertical="center"/>
    </xf>
    <xf numFmtId="0" fontId="58" fillId="5" borderId="14" xfId="0" applyFont="1" applyFill="1" applyBorder="1" applyAlignment="1" applyProtection="1">
      <alignment horizontal="center" vertical="center"/>
    </xf>
    <xf numFmtId="0" fontId="2" fillId="13" borderId="36" xfId="0" applyFont="1" applyFill="1" applyBorder="1" applyAlignment="1" applyProtection="1">
      <alignment vertical="top" wrapText="1"/>
    </xf>
    <xf numFmtId="0" fontId="2" fillId="13" borderId="51" xfId="0" applyFont="1" applyFill="1" applyBorder="1" applyAlignment="1" applyProtection="1">
      <alignment vertical="top" wrapText="1"/>
    </xf>
    <xf numFmtId="164" fontId="41" fillId="5" borderId="112" xfId="1" applyNumberFormat="1" applyFont="1" applyFill="1" applyBorder="1" applyAlignment="1" applyProtection="1">
      <alignment horizontal="right" vertical="center"/>
    </xf>
    <xf numFmtId="37" fontId="41" fillId="5" borderId="112" xfId="1" applyNumberFormat="1" applyFont="1" applyFill="1" applyBorder="1" applyAlignment="1" applyProtection="1">
      <alignment horizontal="center" vertical="center"/>
    </xf>
    <xf numFmtId="43" fontId="41" fillId="5" borderId="29" xfId="1" applyNumberFormat="1" applyFont="1" applyFill="1" applyBorder="1" applyAlignment="1" applyProtection="1">
      <alignment horizontal="right" vertical="center"/>
    </xf>
    <xf numFmtId="0" fontId="2" fillId="13" borderId="34" xfId="0" applyFont="1" applyFill="1" applyBorder="1" applyAlignment="1" applyProtection="1">
      <alignment vertical="top" wrapText="1"/>
    </xf>
    <xf numFmtId="0" fontId="2" fillId="13" borderId="35" xfId="0" applyFont="1" applyFill="1" applyBorder="1" applyAlignment="1" applyProtection="1">
      <alignment vertical="top" wrapText="1"/>
    </xf>
    <xf numFmtId="4" fontId="41" fillId="13" borderId="112" xfId="0" applyNumberFormat="1" applyFont="1" applyFill="1" applyBorder="1" applyAlignment="1" applyProtection="1">
      <alignment horizontal="right" vertical="center"/>
    </xf>
    <xf numFmtId="0" fontId="12" fillId="13" borderId="24" xfId="0" applyFont="1" applyFill="1" applyBorder="1" applyAlignment="1" applyProtection="1">
      <alignment horizontal="left" vertical="top" wrapText="1"/>
    </xf>
    <xf numFmtId="38" fontId="49" fillId="5" borderId="24" xfId="0" applyNumberFormat="1" applyFont="1" applyFill="1" applyBorder="1" applyAlignment="1" applyProtection="1">
      <alignment horizontal="center" vertical="center"/>
    </xf>
    <xf numFmtId="38" fontId="49" fillId="5" borderId="25" xfId="0" applyNumberFormat="1" applyFont="1" applyFill="1" applyBorder="1" applyAlignment="1" applyProtection="1">
      <alignment horizontal="center" vertical="center"/>
    </xf>
    <xf numFmtId="38" fontId="49" fillId="5" borderId="26" xfId="0" applyNumberFormat="1" applyFont="1" applyFill="1" applyBorder="1" applyAlignment="1" applyProtection="1">
      <alignment horizontal="center" vertical="center"/>
    </xf>
    <xf numFmtId="38" fontId="49" fillId="5" borderId="27" xfId="0" applyNumberFormat="1" applyFont="1" applyFill="1" applyBorder="1" applyAlignment="1" applyProtection="1">
      <alignment horizontal="center" vertical="center"/>
    </xf>
    <xf numFmtId="0" fontId="41" fillId="5" borderId="9" xfId="0" applyFont="1" applyFill="1" applyBorder="1" applyAlignment="1" applyProtection="1">
      <alignment horizontal="left" vertical="center" wrapText="1"/>
    </xf>
    <xf numFmtId="0" fontId="41" fillId="5" borderId="10" xfId="0" applyFont="1" applyFill="1" applyBorder="1" applyAlignment="1" applyProtection="1">
      <alignment horizontal="left" vertical="center" wrapText="1"/>
    </xf>
    <xf numFmtId="38" fontId="49" fillId="5" borderId="29" xfId="0" applyNumberFormat="1" applyFont="1" applyFill="1" applyBorder="1" applyAlignment="1" applyProtection="1">
      <alignment horizontal="center" vertical="center"/>
    </xf>
    <xf numFmtId="38" fontId="49" fillId="5" borderId="30" xfId="0" applyNumberFormat="1" applyFont="1" applyFill="1" applyBorder="1" applyAlignment="1" applyProtection="1">
      <alignment horizontal="center" vertical="center"/>
    </xf>
    <xf numFmtId="0" fontId="41" fillId="5" borderId="121" xfId="0" applyFont="1" applyFill="1" applyBorder="1" applyAlignment="1" applyProtection="1">
      <alignment horizontal="center" vertical="center"/>
    </xf>
    <xf numFmtId="0" fontId="41" fillId="5" borderId="122" xfId="0" applyFont="1" applyFill="1" applyBorder="1" applyAlignment="1" applyProtection="1">
      <alignment horizontal="center" vertical="center"/>
    </xf>
    <xf numFmtId="10" fontId="41" fillId="5" borderId="121" xfId="0" applyNumberFormat="1" applyFont="1" applyFill="1" applyBorder="1" applyAlignment="1" applyProtection="1">
      <alignment horizontal="center" vertical="center"/>
    </xf>
    <xf numFmtId="10" fontId="41" fillId="5" borderId="122" xfId="0" applyNumberFormat="1" applyFont="1" applyFill="1" applyBorder="1" applyAlignment="1" applyProtection="1">
      <alignment horizontal="center" vertical="center"/>
    </xf>
    <xf numFmtId="4" fontId="41" fillId="13" borderId="78" xfId="0" applyNumberFormat="1" applyFont="1" applyFill="1" applyBorder="1" applyAlignment="1" applyProtection="1">
      <alignment horizontal="right" vertical="center"/>
    </xf>
    <xf numFmtId="38" fontId="41" fillId="11" borderId="121" xfId="0" applyNumberFormat="1" applyFont="1" applyFill="1" applyBorder="1" applyAlignment="1" applyProtection="1">
      <alignment horizontal="center" vertical="center"/>
    </xf>
    <xf numFmtId="38" fontId="41" fillId="11" borderId="113" xfId="0" applyNumberFormat="1" applyFont="1" applyFill="1" applyBorder="1" applyAlignment="1" applyProtection="1">
      <alignment horizontal="center" vertical="center"/>
    </xf>
    <xf numFmtId="164" fontId="37" fillId="5" borderId="41" xfId="1" applyNumberFormat="1" applyFont="1" applyFill="1" applyBorder="1" applyAlignment="1" applyProtection="1">
      <alignment horizontal="center" vertical="center"/>
    </xf>
    <xf numFmtId="170" fontId="41" fillId="5" borderId="123" xfId="0" applyNumberFormat="1" applyFont="1" applyFill="1" applyBorder="1" applyAlignment="1" applyProtection="1">
      <alignment horizontal="center" vertical="center"/>
    </xf>
    <xf numFmtId="170" fontId="41" fillId="5" borderId="124" xfId="0" applyNumberFormat="1" applyFont="1" applyFill="1" applyBorder="1" applyAlignment="1" applyProtection="1">
      <alignment horizontal="center" vertical="center"/>
    </xf>
    <xf numFmtId="38" fontId="49" fillId="10" borderId="123" xfId="0" applyNumberFormat="1" applyFont="1" applyFill="1" applyBorder="1" applyAlignment="1" applyProtection="1">
      <alignment horizontal="center" vertical="center"/>
    </xf>
    <xf numFmtId="38" fontId="49" fillId="10" borderId="72" xfId="0" applyNumberFormat="1" applyFont="1" applyFill="1" applyBorder="1" applyAlignment="1" applyProtection="1">
      <alignment horizontal="center" vertical="center"/>
    </xf>
    <xf numFmtId="38" fontId="49" fillId="10" borderId="124" xfId="0" applyNumberFormat="1" applyFont="1" applyFill="1" applyBorder="1" applyAlignment="1" applyProtection="1">
      <alignment horizontal="center" vertical="center"/>
    </xf>
    <xf numFmtId="0" fontId="41" fillId="0" borderId="0" xfId="0" applyFont="1" applyAlignment="1" applyProtection="1"/>
    <xf numFmtId="0" fontId="37" fillId="13" borderId="74" xfId="0" applyFont="1" applyFill="1" applyBorder="1" applyAlignment="1" applyProtection="1">
      <alignment horizontal="left" vertical="top" wrapText="1"/>
    </xf>
    <xf numFmtId="0" fontId="41" fillId="5" borderId="12" xfId="0" applyFont="1" applyFill="1" applyBorder="1" applyAlignment="1" applyProtection="1">
      <alignment horizontal="center" vertical="center"/>
    </xf>
    <xf numFmtId="0" fontId="37" fillId="13" borderId="38" xfId="0" applyFont="1" applyFill="1" applyBorder="1" applyAlignment="1" applyProtection="1">
      <alignment horizontal="left" vertical="top" wrapText="1"/>
    </xf>
    <xf numFmtId="0" fontId="37" fillId="13" borderId="33" xfId="0" applyFont="1" applyFill="1" applyBorder="1" applyAlignment="1" applyProtection="1">
      <alignment horizontal="left" vertical="top" wrapText="1"/>
    </xf>
    <xf numFmtId="0" fontId="41" fillId="5" borderId="13" xfId="0" applyFont="1" applyFill="1" applyBorder="1" applyAlignment="1" applyProtection="1">
      <alignment horizontal="center" vertical="center"/>
    </xf>
    <xf numFmtId="0" fontId="37" fillId="13" borderId="34" xfId="0" applyFont="1" applyFill="1" applyBorder="1" applyAlignment="1" applyProtection="1">
      <alignment horizontal="left" vertical="top" wrapText="1"/>
    </xf>
    <xf numFmtId="0" fontId="37" fillId="13" borderId="35" xfId="0" applyFont="1" applyFill="1" applyBorder="1" applyAlignment="1" applyProtection="1">
      <alignment horizontal="left" vertical="top" wrapText="1"/>
    </xf>
    <xf numFmtId="3" fontId="41" fillId="10" borderId="121" xfId="0" applyNumberFormat="1" applyFont="1" applyFill="1" applyBorder="1" applyAlignment="1" applyProtection="1">
      <alignment horizontal="left" vertical="center"/>
    </xf>
    <xf numFmtId="3" fontId="41" fillId="10" borderId="122" xfId="0" applyNumberFormat="1" applyFont="1" applyFill="1" applyBorder="1" applyAlignment="1" applyProtection="1">
      <alignment horizontal="left" vertical="center"/>
    </xf>
    <xf numFmtId="0" fontId="37" fillId="13" borderId="36" xfId="0" applyFont="1" applyFill="1" applyBorder="1" applyAlignment="1" applyProtection="1">
      <alignment horizontal="left" vertical="top" wrapText="1"/>
    </xf>
    <xf numFmtId="0" fontId="37" fillId="13" borderId="51" xfId="0" applyFont="1" applyFill="1" applyBorder="1" applyAlignment="1" applyProtection="1">
      <alignment horizontal="left" vertical="top" wrapText="1"/>
    </xf>
    <xf numFmtId="0" fontId="37" fillId="10" borderId="121" xfId="0" applyFont="1" applyFill="1" applyBorder="1" applyAlignment="1" applyProtection="1">
      <alignment horizontal="left" vertical="center"/>
    </xf>
    <xf numFmtId="0" fontId="37" fillId="10" borderId="113" xfId="0" applyFont="1" applyFill="1" applyBorder="1" applyAlignment="1" applyProtection="1">
      <alignment horizontal="left" vertical="center"/>
    </xf>
    <xf numFmtId="0" fontId="37" fillId="10" borderId="122" xfId="0" applyFont="1" applyFill="1" applyBorder="1" applyAlignment="1" applyProtection="1">
      <alignment horizontal="left" vertical="center"/>
    </xf>
    <xf numFmtId="37" fontId="41" fillId="5" borderId="24" xfId="0" applyNumberFormat="1" applyFont="1" applyFill="1" applyBorder="1" applyAlignment="1" applyProtection="1">
      <alignment horizontal="left" vertical="center"/>
    </xf>
    <xf numFmtId="0" fontId="0" fillId="0" borderId="25" xfId="0" applyBorder="1" applyAlignment="1" applyProtection="1">
      <alignment horizontal="left"/>
    </xf>
    <xf numFmtId="0" fontId="41" fillId="5" borderId="14" xfId="0" applyFont="1" applyFill="1" applyBorder="1" applyAlignment="1" applyProtection="1">
      <alignment horizontal="center" vertical="center"/>
    </xf>
    <xf numFmtId="37" fontId="41" fillId="5" borderId="29" xfId="0" applyNumberFormat="1" applyFont="1" applyFill="1" applyBorder="1" applyAlignment="1" applyProtection="1">
      <alignment horizontal="left" vertical="center"/>
    </xf>
    <xf numFmtId="0" fontId="0" fillId="0" borderId="30" xfId="0" applyBorder="1" applyAlignment="1" applyProtection="1">
      <alignment horizontal="left"/>
    </xf>
    <xf numFmtId="0" fontId="41" fillId="5" borderId="112" xfId="0" applyFont="1" applyFill="1" applyBorder="1" applyAlignment="1" applyProtection="1">
      <alignment horizontal="center" vertical="center"/>
    </xf>
    <xf numFmtId="0" fontId="37" fillId="5" borderId="24" xfId="0" applyFont="1" applyFill="1" applyBorder="1" applyAlignment="1" applyProtection="1">
      <alignment horizontal="left" vertical="center"/>
    </xf>
    <xf numFmtId="0" fontId="37" fillId="5" borderId="49" xfId="0" applyFont="1" applyFill="1" applyBorder="1" applyAlignment="1" applyProtection="1">
      <alignment horizontal="left" vertical="center"/>
    </xf>
    <xf numFmtId="0" fontId="37" fillId="5" borderId="25" xfId="0" applyFont="1" applyFill="1" applyBorder="1" applyAlignment="1" applyProtection="1">
      <alignment horizontal="left" vertical="center"/>
    </xf>
    <xf numFmtId="0" fontId="37" fillId="10" borderId="29" xfId="0" applyFont="1" applyFill="1" applyBorder="1" applyAlignment="1" applyProtection="1">
      <alignment horizontal="left" vertical="center"/>
    </xf>
    <xf numFmtId="0" fontId="37" fillId="10" borderId="50" xfId="0" applyFont="1" applyFill="1" applyBorder="1" applyAlignment="1" applyProtection="1">
      <alignment horizontal="left" vertical="center"/>
    </xf>
    <xf numFmtId="0" fontId="37" fillId="10" borderId="30" xfId="0" applyFont="1" applyFill="1" applyBorder="1" applyAlignment="1" applyProtection="1">
      <alignment horizontal="left" vertical="center"/>
    </xf>
    <xf numFmtId="0" fontId="41" fillId="5" borderId="24" xfId="0" applyFont="1" applyFill="1" applyBorder="1" applyAlignment="1" applyProtection="1">
      <alignment horizontal="left" vertical="center" wrapText="1"/>
    </xf>
    <xf numFmtId="0" fontId="41" fillId="5" borderId="49" xfId="0" applyFont="1" applyFill="1" applyBorder="1" applyAlignment="1" applyProtection="1">
      <alignment horizontal="left" vertical="center" wrapText="1"/>
    </xf>
    <xf numFmtId="0" fontId="41" fillId="5" borderId="25" xfId="0" applyFont="1" applyFill="1" applyBorder="1" applyAlignment="1" applyProtection="1">
      <alignment horizontal="left" vertical="center" wrapText="1"/>
    </xf>
    <xf numFmtId="166" fontId="41" fillId="5" borderId="24" xfId="10" applyNumberFormat="1" applyFont="1" applyFill="1" applyBorder="1" applyAlignment="1" applyProtection="1">
      <alignment horizontal="center" vertical="center"/>
    </xf>
    <xf numFmtId="166" fontId="41" fillId="5" borderId="25" xfId="10" applyNumberFormat="1" applyFont="1" applyFill="1" applyBorder="1" applyAlignment="1" applyProtection="1">
      <alignment horizontal="center" vertical="center"/>
    </xf>
    <xf numFmtId="3" fontId="41" fillId="5" borderId="24" xfId="1" applyNumberFormat="1" applyFont="1" applyFill="1" applyBorder="1" applyAlignment="1" applyProtection="1">
      <alignment horizontal="center" vertical="center"/>
    </xf>
    <xf numFmtId="3" fontId="41" fillId="5" borderId="25" xfId="1" applyNumberFormat="1" applyFont="1" applyFill="1" applyBorder="1" applyAlignment="1" applyProtection="1">
      <alignment horizontal="center" vertical="center"/>
    </xf>
    <xf numFmtId="0" fontId="41" fillId="5" borderId="26" xfId="0" applyFont="1" applyFill="1" applyBorder="1" applyAlignment="1" applyProtection="1">
      <alignment horizontal="left" vertical="center" wrapText="1"/>
    </xf>
    <xf numFmtId="0" fontId="41" fillId="5" borderId="17" xfId="0" applyFont="1" applyFill="1" applyBorder="1" applyAlignment="1" applyProtection="1">
      <alignment horizontal="left" vertical="center" wrapText="1"/>
    </xf>
    <xf numFmtId="0" fontId="41" fillId="5" borderId="27" xfId="0" applyFont="1" applyFill="1" applyBorder="1" applyAlignment="1" applyProtection="1">
      <alignment horizontal="left" vertical="center" wrapText="1"/>
    </xf>
    <xf numFmtId="166" fontId="41" fillId="5" borderId="26" xfId="10" applyNumberFormat="1" applyFont="1" applyFill="1" applyBorder="1" applyAlignment="1" applyProtection="1">
      <alignment horizontal="center" vertical="center"/>
    </xf>
    <xf numFmtId="166" fontId="41" fillId="5" borderId="27" xfId="10" applyNumberFormat="1" applyFont="1" applyFill="1" applyBorder="1" applyAlignment="1" applyProtection="1">
      <alignment horizontal="center" vertical="center"/>
    </xf>
    <xf numFmtId="3" fontId="41" fillId="5" borderId="26" xfId="0" applyNumberFormat="1" applyFont="1" applyFill="1" applyBorder="1" applyAlignment="1" applyProtection="1">
      <alignment horizontal="center" vertical="center"/>
    </xf>
    <xf numFmtId="3" fontId="41" fillId="5" borderId="27" xfId="0" applyNumberFormat="1" applyFont="1" applyFill="1" applyBorder="1" applyAlignment="1" applyProtection="1">
      <alignment horizontal="center" vertical="center"/>
    </xf>
    <xf numFmtId="0" fontId="41" fillId="5" borderId="29" xfId="0" applyFont="1" applyFill="1" applyBorder="1" applyAlignment="1" applyProtection="1">
      <alignment horizontal="left" vertical="center" wrapText="1"/>
    </xf>
    <xf numFmtId="0" fontId="41" fillId="5" borderId="50" xfId="0" applyFont="1" applyFill="1" applyBorder="1" applyAlignment="1" applyProtection="1">
      <alignment horizontal="left" vertical="center" wrapText="1"/>
    </xf>
    <xf numFmtId="0" fontId="41" fillId="5" borderId="30" xfId="0" applyFont="1" applyFill="1" applyBorder="1" applyAlignment="1" applyProtection="1">
      <alignment horizontal="left" vertical="center" wrapText="1"/>
    </xf>
    <xf numFmtId="166" fontId="41" fillId="5" borderId="29" xfId="10" applyNumberFormat="1" applyFont="1" applyFill="1" applyBorder="1" applyAlignment="1" applyProtection="1">
      <alignment horizontal="center" vertical="center"/>
    </xf>
    <xf numFmtId="166" fontId="41" fillId="5" borderId="30" xfId="10" applyNumberFormat="1" applyFont="1" applyFill="1" applyBorder="1" applyAlignment="1" applyProtection="1">
      <alignment horizontal="center" vertical="center"/>
    </xf>
    <xf numFmtId="3" fontId="41" fillId="5" borderId="29" xfId="0" applyNumberFormat="1" applyFont="1" applyFill="1" applyBorder="1" applyAlignment="1" applyProtection="1">
      <alignment horizontal="center" vertical="center"/>
    </xf>
    <xf numFmtId="3" fontId="41" fillId="5" borderId="30" xfId="0" applyNumberFormat="1" applyFont="1" applyFill="1" applyBorder="1" applyAlignment="1" applyProtection="1">
      <alignment horizontal="center" vertical="center"/>
    </xf>
    <xf numFmtId="0" fontId="41" fillId="5" borderId="23" xfId="0" applyFont="1" applyFill="1" applyBorder="1" applyAlignment="1" applyProtection="1">
      <alignment horizontal="left" vertical="center" wrapText="1"/>
    </xf>
    <xf numFmtId="0" fontId="41" fillId="5" borderId="16" xfId="0" applyFont="1" applyFill="1" applyBorder="1" applyAlignment="1" applyProtection="1">
      <alignment horizontal="left" vertical="center" wrapText="1"/>
    </xf>
    <xf numFmtId="0" fontId="41" fillId="5" borderId="80" xfId="0" applyFont="1" applyFill="1" applyBorder="1" applyAlignment="1" applyProtection="1">
      <alignment horizontal="left" vertical="center" wrapText="1"/>
    </xf>
    <xf numFmtId="164" fontId="41" fillId="5" borderId="23" xfId="1" applyNumberFormat="1" applyFont="1" applyFill="1" applyBorder="1" applyAlignment="1" applyProtection="1">
      <alignment horizontal="right" vertical="center"/>
    </xf>
    <xf numFmtId="164" fontId="41" fillId="5" borderId="80" xfId="1" applyNumberFormat="1" applyFont="1" applyFill="1" applyBorder="1" applyAlignment="1" applyProtection="1">
      <alignment horizontal="right" vertical="center"/>
    </xf>
    <xf numFmtId="0" fontId="41" fillId="5" borderId="12" xfId="0" applyFont="1" applyFill="1" applyBorder="1" applyAlignment="1" applyProtection="1">
      <alignment horizontal="left" vertical="center"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38" fontId="49" fillId="11" borderId="121" xfId="2" applyNumberFormat="1" applyFont="1" applyFill="1" applyBorder="1" applyAlignment="1" applyProtection="1">
      <alignment horizontal="right" vertical="center"/>
    </xf>
    <xf numFmtId="38" fontId="49" fillId="11" borderId="122" xfId="2" applyNumberFormat="1" applyFont="1" applyFill="1" applyBorder="1" applyAlignment="1" applyProtection="1">
      <alignment horizontal="right" vertical="center"/>
    </xf>
    <xf numFmtId="0" fontId="41" fillId="0" borderId="9" xfId="0" applyFont="1" applyBorder="1" applyAlignment="1" applyProtection="1">
      <alignment horizontal="center" wrapText="1"/>
    </xf>
    <xf numFmtId="38" fontId="41" fillId="5" borderId="12" xfId="0" applyNumberFormat="1" applyFont="1" applyFill="1" applyBorder="1" applyAlignment="1" applyProtection="1">
      <alignment horizontal="right" vertical="center"/>
    </xf>
    <xf numFmtId="0" fontId="41" fillId="5" borderId="12" xfId="0" applyFont="1" applyFill="1" applyBorder="1" applyAlignment="1" applyProtection="1">
      <alignment vertical="center"/>
    </xf>
    <xf numFmtId="166" fontId="41" fillId="5" borderId="12" xfId="0" applyNumberFormat="1" applyFont="1" applyFill="1" applyBorder="1" applyAlignment="1" applyProtection="1">
      <alignment horizontal="center" vertical="center"/>
    </xf>
    <xf numFmtId="38" fontId="41" fillId="6" borderId="12" xfId="2" applyNumberFormat="1" applyFont="1" applyFill="1" applyBorder="1" applyAlignment="1" applyProtection="1">
      <alignment horizontal="center" vertical="center"/>
    </xf>
    <xf numFmtId="0" fontId="41" fillId="5" borderId="12" xfId="0" applyFont="1" applyFill="1" applyBorder="1" applyAlignment="1" applyProtection="1">
      <alignment horizontal="center" vertical="center"/>
    </xf>
    <xf numFmtId="38" fontId="41" fillId="5" borderId="13" xfId="0" applyNumberFormat="1" applyFont="1" applyFill="1" applyBorder="1" applyAlignment="1" applyProtection="1">
      <alignment horizontal="right" vertical="center"/>
    </xf>
    <xf numFmtId="0" fontId="41" fillId="5" borderId="13" xfId="0" applyFont="1" applyFill="1" applyBorder="1" applyAlignment="1" applyProtection="1">
      <alignment vertical="center"/>
    </xf>
    <xf numFmtId="166" fontId="41" fillId="5" borderId="13" xfId="0" applyNumberFormat="1" applyFont="1" applyFill="1" applyBorder="1" applyAlignment="1" applyProtection="1">
      <alignment horizontal="center" vertical="center"/>
    </xf>
    <xf numFmtId="38" fontId="41" fillId="6" borderId="13" xfId="2" applyNumberFormat="1" applyFont="1" applyFill="1" applyBorder="1" applyAlignment="1" applyProtection="1">
      <alignment horizontal="center" vertical="center"/>
    </xf>
    <xf numFmtId="0" fontId="41" fillId="5" borderId="13" xfId="0" applyFont="1" applyFill="1" applyBorder="1" applyAlignment="1" applyProtection="1">
      <alignment horizontal="center" vertical="center"/>
    </xf>
    <xf numFmtId="0" fontId="41" fillId="5" borderId="121" xfId="0" applyFont="1" applyFill="1" applyBorder="1" applyAlignment="1" applyProtection="1">
      <alignment horizontal="left" vertical="center" wrapText="1"/>
    </xf>
    <xf numFmtId="0" fontId="41" fillId="5" borderId="122" xfId="0" applyFont="1" applyFill="1" applyBorder="1" applyAlignment="1" applyProtection="1">
      <alignment horizontal="left" vertical="center" wrapText="1"/>
    </xf>
    <xf numFmtId="166" fontId="41" fillId="5" borderId="14" xfId="0" applyNumberFormat="1" applyFont="1" applyFill="1" applyBorder="1" applyAlignment="1" applyProtection="1">
      <alignment horizontal="center" vertical="center"/>
    </xf>
    <xf numFmtId="38" fontId="41" fillId="6" borderId="14" xfId="2" applyNumberFormat="1" applyFont="1" applyFill="1" applyBorder="1" applyAlignment="1" applyProtection="1">
      <alignment horizontal="center" vertical="center"/>
    </xf>
    <xf numFmtId="0" fontId="41" fillId="5" borderId="14" xfId="0" applyFont="1" applyFill="1" applyBorder="1" applyAlignment="1" applyProtection="1">
      <alignment horizontal="center" vertical="center"/>
    </xf>
    <xf numFmtId="3" fontId="41" fillId="5" borderId="14" xfId="0" applyNumberFormat="1" applyFont="1" applyFill="1" applyBorder="1" applyAlignment="1" applyProtection="1">
      <alignment horizontal="right" vertical="center"/>
    </xf>
    <xf numFmtId="3" fontId="41" fillId="5" borderId="14" xfId="0" applyNumberFormat="1" applyFont="1" applyFill="1" applyBorder="1" applyAlignment="1" applyProtection="1">
      <alignment vertical="center"/>
    </xf>
    <xf numFmtId="166" fontId="41" fillId="5" borderId="112" xfId="0" applyNumberFormat="1" applyFont="1" applyFill="1" applyBorder="1" applyAlignment="1" applyProtection="1">
      <alignment horizontal="center" vertical="center"/>
    </xf>
    <xf numFmtId="38" fontId="41" fillId="6" borderId="121" xfId="2" applyNumberFormat="1" applyFont="1" applyFill="1" applyBorder="1" applyAlignment="1" applyProtection="1">
      <alignment horizontal="center" vertical="center"/>
    </xf>
    <xf numFmtId="38" fontId="41" fillId="6" borderId="122" xfId="2" applyNumberFormat="1" applyFont="1" applyFill="1" applyBorder="1" applyAlignment="1" applyProtection="1">
      <alignment horizontal="center" vertical="center"/>
    </xf>
    <xf numFmtId="38" fontId="81" fillId="0" borderId="0" xfId="0" applyNumberFormat="1" applyFont="1" applyFill="1" applyBorder="1" applyAlignment="1" applyProtection="1">
      <alignment horizontal="center" vertical="center"/>
    </xf>
    <xf numFmtId="0" fontId="37" fillId="13" borderId="34" xfId="0" applyFont="1" applyFill="1" applyBorder="1" applyAlignment="1" applyProtection="1">
      <alignment horizontal="left" vertical="top" wrapText="1"/>
    </xf>
    <xf numFmtId="0" fontId="37" fillId="13" borderId="35" xfId="0" applyFont="1" applyFill="1" applyBorder="1" applyAlignment="1" applyProtection="1">
      <alignment horizontal="left" vertical="top" wrapText="1"/>
    </xf>
    <xf numFmtId="166" fontId="41" fillId="0" borderId="34" xfId="0" applyNumberFormat="1" applyFont="1" applyFill="1" applyBorder="1" applyAlignment="1" applyProtection="1">
      <alignment horizontal="center" vertical="center"/>
    </xf>
    <xf numFmtId="166" fontId="41" fillId="11" borderId="121" xfId="0" applyNumberFormat="1" applyFont="1" applyFill="1" applyBorder="1" applyAlignment="1" applyProtection="1">
      <alignment horizontal="center" vertical="center"/>
    </xf>
    <xf numFmtId="166" fontId="41" fillId="11" borderId="122" xfId="0" applyNumberFormat="1" applyFont="1" applyFill="1" applyBorder="1" applyAlignment="1" applyProtection="1">
      <alignment horizontal="center" vertical="center"/>
    </xf>
    <xf numFmtId="0" fontId="37" fillId="0" borderId="9" xfId="0" applyFont="1" applyFill="1" applyBorder="1" applyAlignment="1" applyProtection="1">
      <alignment horizontal="center" vertical="center"/>
    </xf>
    <xf numFmtId="38" fontId="81" fillId="0" borderId="9" xfId="0" applyNumberFormat="1" applyFont="1" applyFill="1" applyBorder="1" applyAlignment="1" applyProtection="1">
      <alignment horizontal="center" vertical="center"/>
    </xf>
    <xf numFmtId="38" fontId="41" fillId="5" borderId="18" xfId="0" applyNumberFormat="1" applyFont="1" applyFill="1" applyBorder="1" applyAlignment="1" applyProtection="1">
      <alignment horizontal="right" vertical="center"/>
    </xf>
    <xf numFmtId="0" fontId="41" fillId="5" borderId="18" xfId="0" applyFont="1" applyFill="1" applyBorder="1" applyAlignment="1" applyProtection="1">
      <alignment vertical="center"/>
    </xf>
    <xf numFmtId="38" fontId="41" fillId="5" borderId="14" xfId="0" applyNumberFormat="1" applyFont="1" applyFill="1" applyBorder="1" applyAlignment="1" applyProtection="1">
      <alignment horizontal="right" vertical="center"/>
    </xf>
    <xf numFmtId="0" fontId="37" fillId="5" borderId="112" xfId="0" applyFont="1" applyFill="1" applyBorder="1" applyAlignment="1" applyProtection="1">
      <alignment horizontal="left" vertical="top" wrapText="1"/>
    </xf>
    <xf numFmtId="0" fontId="37" fillId="4" borderId="112" xfId="0" applyFont="1" applyFill="1" applyBorder="1" applyAlignment="1" applyProtection="1">
      <alignment horizontal="left" vertical="top" wrapText="1"/>
    </xf>
    <xf numFmtId="0" fontId="41" fillId="5" borderId="121" xfId="0" applyFont="1" applyFill="1" applyBorder="1" applyAlignment="1" applyProtection="1">
      <alignment horizontal="left" vertical="center"/>
    </xf>
    <xf numFmtId="0" fontId="41" fillId="0" borderId="113" xfId="0" applyFont="1" applyBorder="1" applyAlignment="1" applyProtection="1"/>
    <xf numFmtId="0" fontId="41" fillId="0" borderId="122" xfId="0" applyFont="1" applyBorder="1" applyAlignment="1" applyProtection="1"/>
    <xf numFmtId="0" fontId="55" fillId="0" borderId="0" xfId="0" applyFont="1" applyFill="1" applyAlignment="1" applyProtection="1">
      <alignment horizontal="center" vertical="center"/>
    </xf>
    <xf numFmtId="167" fontId="41" fillId="5" borderId="121" xfId="0" applyNumberFormat="1" applyFont="1" applyFill="1" applyBorder="1" applyAlignment="1" applyProtection="1">
      <alignment horizontal="left" vertical="center"/>
    </xf>
    <xf numFmtId="167" fontId="41" fillId="5" borderId="113" xfId="0" applyNumberFormat="1" applyFont="1" applyFill="1" applyBorder="1" applyAlignment="1" applyProtection="1">
      <alignment horizontal="left" vertical="center"/>
    </xf>
    <xf numFmtId="167" fontId="41" fillId="5" borderId="122" xfId="0" applyNumberFormat="1" applyFont="1" applyFill="1" applyBorder="1" applyAlignment="1" applyProtection="1">
      <alignment horizontal="left" vertical="center"/>
    </xf>
    <xf numFmtId="0" fontId="41" fillId="5" borderId="112" xfId="0" applyFont="1" applyFill="1" applyBorder="1" applyAlignment="1" applyProtection="1">
      <alignment horizontal="left" vertical="center"/>
    </xf>
    <xf numFmtId="169" fontId="41" fillId="5" borderId="121" xfId="0" applyNumberFormat="1" applyFont="1" applyFill="1" applyBorder="1" applyAlignment="1" applyProtection="1">
      <alignment horizontal="center" vertical="center"/>
    </xf>
    <xf numFmtId="0" fontId="41" fillId="10" borderId="121" xfId="0" applyFont="1" applyFill="1" applyBorder="1" applyAlignment="1" applyProtection="1">
      <alignment horizontal="center" vertical="center"/>
    </xf>
    <xf numFmtId="0" fontId="41" fillId="10" borderId="122" xfId="0" applyFont="1" applyFill="1" applyBorder="1" applyAlignment="1" applyProtection="1">
      <alignment horizontal="center" vertical="center"/>
    </xf>
    <xf numFmtId="0" fontId="41" fillId="5" borderId="122" xfId="0" applyFont="1" applyFill="1" applyBorder="1" applyAlignment="1" applyProtection="1">
      <alignment horizontal="center"/>
    </xf>
    <xf numFmtId="0" fontId="41" fillId="5" borderId="121" xfId="0" applyNumberFormat="1" applyFont="1" applyFill="1" applyBorder="1" applyAlignment="1" applyProtection="1">
      <alignment horizontal="left" vertical="center"/>
    </xf>
    <xf numFmtId="0" fontId="41" fillId="5" borderId="113" xfId="0" applyNumberFormat="1" applyFont="1" applyFill="1" applyBorder="1" applyAlignment="1" applyProtection="1">
      <alignment horizontal="left" vertical="center"/>
    </xf>
    <xf numFmtId="0" fontId="41" fillId="5" borderId="122" xfId="0" applyNumberFormat="1" applyFont="1" applyFill="1" applyBorder="1" applyAlignment="1" applyProtection="1">
      <alignment horizontal="left" vertical="center"/>
    </xf>
    <xf numFmtId="0" fontId="64" fillId="0" borderId="0" xfId="6" applyFont="1" applyFill="1" applyAlignment="1" applyProtection="1">
      <alignment vertical="center"/>
    </xf>
    <xf numFmtId="0" fontId="105" fillId="0" borderId="0" xfId="6" applyFont="1" applyFill="1" applyBorder="1" applyAlignment="1" applyProtection="1">
      <alignment vertical="center"/>
    </xf>
    <xf numFmtId="169" fontId="41" fillId="5" borderId="121" xfId="0" applyNumberFormat="1" applyFont="1" applyFill="1" applyBorder="1" applyAlignment="1" applyProtection="1">
      <alignment horizontal="left" vertical="center"/>
    </xf>
    <xf numFmtId="0" fontId="41" fillId="0" borderId="122" xfId="0" applyFont="1" applyBorder="1" applyAlignment="1" applyProtection="1">
      <alignment horizontal="left"/>
    </xf>
    <xf numFmtId="167" fontId="41" fillId="0" borderId="113" xfId="0" applyNumberFormat="1" applyFont="1" applyFill="1" applyBorder="1" applyAlignment="1" applyProtection="1">
      <alignment vertical="center"/>
    </xf>
    <xf numFmtId="167" fontId="41" fillId="0" borderId="9" xfId="0" applyNumberFormat="1" applyFont="1" applyFill="1" applyBorder="1" applyAlignment="1" applyProtection="1">
      <alignment vertical="center"/>
    </xf>
    <xf numFmtId="0" fontId="41" fillId="5" borderId="113" xfId="0" applyFont="1" applyFill="1" applyBorder="1" applyAlignment="1" applyProtection="1">
      <alignment horizontal="left" vertical="center"/>
    </xf>
    <xf numFmtId="0" fontId="41" fillId="5" borderId="122" xfId="0" applyFont="1" applyFill="1" applyBorder="1" applyAlignment="1" applyProtection="1">
      <alignment horizontal="left" vertical="center"/>
    </xf>
    <xf numFmtId="0" fontId="41" fillId="0" borderId="115" xfId="0" applyFont="1" applyFill="1" applyBorder="1" applyAlignment="1" applyProtection="1">
      <alignment horizontal="center"/>
    </xf>
    <xf numFmtId="0" fontId="41" fillId="0" borderId="121" xfId="0" applyFont="1" applyFill="1" applyBorder="1" applyAlignment="1" applyProtection="1">
      <alignment horizontal="left" wrapText="1"/>
    </xf>
    <xf numFmtId="0" fontId="41" fillId="0" borderId="113" xfId="0" applyFont="1" applyFill="1" applyBorder="1" applyAlignment="1" applyProtection="1">
      <alignment horizontal="left" wrapText="1"/>
    </xf>
    <xf numFmtId="0" fontId="41" fillId="0" borderId="122" xfId="0" applyFont="1" applyFill="1" applyBorder="1" applyAlignment="1" applyProtection="1">
      <alignment horizontal="left" wrapText="1"/>
    </xf>
    <xf numFmtId="0" fontId="41" fillId="5" borderId="12" xfId="0" applyFont="1" applyFill="1" applyBorder="1" applyAlignment="1" applyProtection="1">
      <alignment horizontal="center" vertical="top"/>
    </xf>
    <xf numFmtId="0" fontId="41" fillId="5" borderId="13" xfId="0" applyFont="1" applyFill="1" applyBorder="1" applyAlignment="1" applyProtection="1">
      <alignment horizontal="center" vertical="top"/>
    </xf>
    <xf numFmtId="0" fontId="41" fillId="10" borderId="71" xfId="0" applyFont="1" applyFill="1" applyBorder="1" applyAlignment="1" applyProtection="1">
      <alignment horizontal="left" vertical="top" wrapText="1"/>
    </xf>
    <xf numFmtId="0" fontId="41" fillId="10" borderId="27" xfId="0" applyFont="1" applyFill="1" applyBorder="1" applyAlignment="1" applyProtection="1">
      <alignment horizontal="left" vertical="top" wrapText="1"/>
    </xf>
    <xf numFmtId="0" fontId="41" fillId="5" borderId="14" xfId="0" applyFont="1" applyFill="1" applyBorder="1" applyAlignment="1" applyProtection="1">
      <alignment horizontal="center" vertical="top"/>
    </xf>
    <xf numFmtId="0" fontId="41" fillId="5" borderId="19" xfId="0" applyFont="1" applyFill="1" applyBorder="1" applyAlignment="1" applyProtection="1">
      <alignment horizontal="center" vertical="top"/>
    </xf>
    <xf numFmtId="0" fontId="41" fillId="5" borderId="12" xfId="0" applyNumberFormat="1" applyFont="1" applyFill="1" applyBorder="1" applyAlignment="1" applyProtection="1">
      <alignment horizontal="center" vertical="top"/>
    </xf>
    <xf numFmtId="174" fontId="41" fillId="5" borderId="12" xfId="10" applyNumberFormat="1" applyFont="1" applyFill="1" applyBorder="1" applyAlignment="1" applyProtection="1">
      <alignment horizontal="center" vertical="top"/>
    </xf>
    <xf numFmtId="0" fontId="41" fillId="5" borderId="46" xfId="0" applyFont="1" applyFill="1" applyBorder="1" applyAlignment="1" applyProtection="1">
      <alignment horizontal="center" vertical="top"/>
    </xf>
    <xf numFmtId="0" fontId="38" fillId="5" borderId="84" xfId="0" applyFont="1" applyFill="1" applyBorder="1" applyAlignment="1" applyProtection="1">
      <alignment horizontal="left" vertical="top" wrapText="1"/>
    </xf>
    <xf numFmtId="0" fontId="41" fillId="5" borderId="21" xfId="0" applyFont="1" applyFill="1" applyBorder="1" applyAlignment="1" applyProtection="1">
      <alignment horizontal="center" vertical="top"/>
    </xf>
    <xf numFmtId="0" fontId="41" fillId="5" borderId="13" xfId="0" applyNumberFormat="1" applyFont="1" applyFill="1" applyBorder="1" applyAlignment="1" applyProtection="1">
      <alignment horizontal="center" vertical="top"/>
    </xf>
    <xf numFmtId="174" fontId="41" fillId="5" borderId="13" xfId="10" applyNumberFormat="1" applyFont="1" applyFill="1" applyBorder="1" applyAlignment="1" applyProtection="1">
      <alignment horizontal="center" vertical="top"/>
    </xf>
    <xf numFmtId="0" fontId="41" fillId="5" borderId="45" xfId="0" applyFont="1" applyFill="1" applyBorder="1" applyAlignment="1" applyProtection="1">
      <alignment horizontal="center" vertical="top"/>
    </xf>
    <xf numFmtId="0" fontId="38" fillId="5" borderId="71" xfId="0" applyFont="1" applyFill="1" applyBorder="1" applyAlignment="1" applyProtection="1">
      <alignment horizontal="left" vertical="top" wrapText="1"/>
    </xf>
    <xf numFmtId="0" fontId="41" fillId="5" borderId="20" xfId="0" applyFont="1" applyFill="1" applyBorder="1" applyAlignment="1" applyProtection="1">
      <alignment horizontal="center" vertical="top"/>
    </xf>
    <xf numFmtId="0" fontId="41" fillId="5" borderId="14" xfId="0" applyNumberFormat="1" applyFont="1" applyFill="1" applyBorder="1" applyAlignment="1" applyProtection="1">
      <alignment horizontal="center" vertical="top"/>
    </xf>
    <xf numFmtId="174" fontId="41" fillId="5" borderId="14" xfId="10" applyNumberFormat="1" applyFont="1" applyFill="1" applyBorder="1" applyAlignment="1" applyProtection="1">
      <alignment horizontal="center" vertical="top"/>
    </xf>
    <xf numFmtId="0" fontId="41" fillId="5" borderId="43" xfId="0" applyFont="1" applyFill="1" applyBorder="1" applyAlignment="1" applyProtection="1">
      <alignment horizontal="center" vertical="top"/>
    </xf>
    <xf numFmtId="0" fontId="38" fillId="5" borderId="81" xfId="0" applyFont="1" applyFill="1" applyBorder="1" applyAlignment="1" applyProtection="1">
      <alignment horizontal="left" vertical="top" wrapText="1"/>
    </xf>
    <xf numFmtId="0" fontId="37" fillId="5" borderId="121" xfId="0" applyFont="1" applyFill="1" applyBorder="1" applyAlignment="1" applyProtection="1">
      <alignment horizontal="left" vertical="top" wrapText="1"/>
    </xf>
    <xf numFmtId="0" fontId="37" fillId="5" borderId="113" xfId="0" applyFont="1" applyFill="1" applyBorder="1" applyAlignment="1" applyProtection="1">
      <alignment horizontal="left" vertical="top" wrapText="1"/>
    </xf>
    <xf numFmtId="0" fontId="37" fillId="5" borderId="122" xfId="0" applyFont="1" applyFill="1" applyBorder="1" applyAlignment="1" applyProtection="1">
      <alignment horizontal="left" vertical="top" wrapText="1"/>
    </xf>
    <xf numFmtId="0" fontId="37" fillId="4" borderId="121" xfId="0" applyFont="1" applyFill="1" applyBorder="1" applyAlignment="1" applyProtection="1">
      <alignment horizontal="left" vertical="top" wrapText="1"/>
    </xf>
    <xf numFmtId="0" fontId="37" fillId="4" borderId="113" xfId="0" applyFont="1" applyFill="1" applyBorder="1" applyAlignment="1" applyProtection="1">
      <alignment horizontal="left" vertical="top" wrapText="1"/>
    </xf>
    <xf numFmtId="0" fontId="37" fillId="4" borderId="122" xfId="0" applyFont="1" applyFill="1" applyBorder="1" applyAlignment="1" applyProtection="1">
      <alignment horizontal="left" vertical="top" wrapText="1"/>
    </xf>
    <xf numFmtId="0" fontId="56" fillId="0" borderId="0" xfId="0" applyFont="1" applyAlignment="1" applyProtection="1">
      <alignment vertical="center"/>
    </xf>
    <xf numFmtId="0" fontId="54" fillId="0" borderId="0" xfId="0" applyFont="1" applyProtection="1"/>
    <xf numFmtId="0" fontId="51" fillId="16" borderId="48" xfId="0" applyFont="1" applyFill="1" applyBorder="1" applyAlignment="1" applyProtection="1">
      <alignment horizontal="center" vertical="center"/>
    </xf>
    <xf numFmtId="0" fontId="51" fillId="16" borderId="31" xfId="0" applyFont="1" applyFill="1" applyBorder="1" applyAlignment="1" applyProtection="1">
      <alignment horizontal="center" vertical="center"/>
    </xf>
    <xf numFmtId="0" fontId="37" fillId="5" borderId="121" xfId="0" applyFont="1" applyFill="1" applyBorder="1" applyAlignment="1" applyProtection="1">
      <alignment horizontal="left" vertical="center"/>
    </xf>
    <xf numFmtId="0" fontId="37" fillId="5" borderId="113" xfId="0" applyFont="1" applyFill="1" applyBorder="1" applyAlignment="1" applyProtection="1">
      <alignment horizontal="left" vertical="center"/>
    </xf>
    <xf numFmtId="0" fontId="37" fillId="5" borderId="122" xfId="0" applyFont="1" applyFill="1" applyBorder="1" applyAlignment="1" applyProtection="1">
      <alignment horizontal="left" vertical="center"/>
    </xf>
    <xf numFmtId="0" fontId="49" fillId="0" borderId="0" xfId="0" quotePrefix="1" applyFont="1" applyAlignment="1" applyProtection="1">
      <alignment horizontal="center"/>
    </xf>
    <xf numFmtId="0" fontId="37" fillId="5" borderId="121" xfId="0" applyFont="1" applyFill="1" applyBorder="1" applyAlignment="1" applyProtection="1">
      <alignment horizontal="center" vertical="center"/>
    </xf>
    <xf numFmtId="0" fontId="37" fillId="5" borderId="122" xfId="0" applyFont="1" applyFill="1" applyBorder="1" applyAlignment="1" applyProtection="1">
      <alignment horizontal="center" vertical="center"/>
    </xf>
    <xf numFmtId="164" fontId="41" fillId="5" borderId="112" xfId="1" applyNumberFormat="1" applyFont="1" applyFill="1" applyBorder="1" applyAlignment="1" applyProtection="1">
      <alignment vertical="center"/>
    </xf>
    <xf numFmtId="0" fontId="12" fillId="5" borderId="121" xfId="0" applyFont="1" applyFill="1" applyBorder="1" applyAlignment="1" applyProtection="1">
      <alignment horizontal="left"/>
    </xf>
    <xf numFmtId="0" fontId="12" fillId="5" borderId="113" xfId="0" applyFont="1" applyFill="1" applyBorder="1" applyAlignment="1" applyProtection="1">
      <alignment horizontal="left"/>
    </xf>
    <xf numFmtId="0" fontId="12" fillId="5" borderId="122" xfId="0" applyFont="1" applyFill="1" applyBorder="1" applyAlignment="1" applyProtection="1">
      <alignment horizontal="left"/>
    </xf>
    <xf numFmtId="0" fontId="41" fillId="5" borderId="24"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25" xfId="0" applyFont="1" applyFill="1" applyBorder="1" applyAlignment="1" applyProtection="1">
      <alignment horizontal="left" vertical="center"/>
    </xf>
    <xf numFmtId="0" fontId="41" fillId="5" borderId="22" xfId="0" applyFont="1" applyFill="1" applyBorder="1" applyAlignment="1" applyProtection="1">
      <alignment horizontal="left" vertical="center"/>
    </xf>
    <xf numFmtId="0" fontId="41" fillId="5" borderId="1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0" xfId="0" applyFont="1" applyFill="1" applyBorder="1" applyAlignment="1" applyProtection="1">
      <alignment horizontal="left" vertical="center"/>
    </xf>
    <xf numFmtId="0" fontId="41" fillId="5" borderId="28" xfId="0" applyFont="1" applyFill="1" applyBorder="1" applyAlignment="1" applyProtection="1">
      <alignment horizontal="left" vertical="center"/>
    </xf>
    <xf numFmtId="0" fontId="41" fillId="5" borderId="13" xfId="0" applyFont="1" applyFill="1" applyBorder="1" applyAlignment="1" applyProtection="1">
      <alignment horizontal="left"/>
    </xf>
    <xf numFmtId="169" fontId="41" fillId="5" borderId="26" xfId="0" applyNumberFormat="1" applyFont="1" applyFill="1" applyBorder="1" applyAlignment="1" applyProtection="1">
      <alignment horizontal="left" vertical="center"/>
    </xf>
    <xf numFmtId="169" fontId="41" fillId="5" borderId="17" xfId="0" applyNumberFormat="1" applyFont="1" applyFill="1" applyBorder="1" applyAlignment="1" applyProtection="1">
      <alignment horizontal="left" vertical="center"/>
    </xf>
    <xf numFmtId="169" fontId="41" fillId="5" borderId="27" xfId="0" applyNumberFormat="1" applyFont="1" applyFill="1" applyBorder="1" applyAlignment="1" applyProtection="1">
      <alignment horizontal="left" vertical="center"/>
    </xf>
    <xf numFmtId="167" fontId="41" fillId="5" borderId="23" xfId="0" applyNumberFormat="1" applyFont="1" applyFill="1" applyBorder="1" applyAlignment="1" applyProtection="1">
      <alignment horizontal="left" vertical="center"/>
    </xf>
    <xf numFmtId="167" fontId="41" fillId="5" borderId="25" xfId="0" applyNumberFormat="1" applyFont="1" applyFill="1" applyBorder="1" applyAlignment="1" applyProtection="1">
      <alignment horizontal="left" vertical="center"/>
    </xf>
    <xf numFmtId="167" fontId="41" fillId="5" borderId="24" xfId="0" applyNumberFormat="1" applyFont="1" applyFill="1" applyBorder="1" applyAlignment="1" applyProtection="1">
      <alignment horizontal="left" vertical="center"/>
    </xf>
    <xf numFmtId="0" fontId="41" fillId="5" borderId="6" xfId="0" applyFont="1" applyFill="1" applyBorder="1" applyAlignment="1" applyProtection="1">
      <alignment horizontal="left" vertical="center"/>
    </xf>
    <xf numFmtId="0" fontId="41" fillId="5" borderId="9" xfId="0" applyFont="1" applyFill="1" applyBorder="1" applyAlignment="1" applyProtection="1">
      <alignment horizontal="left" vertical="center"/>
    </xf>
    <xf numFmtId="0" fontId="41" fillId="5" borderId="10" xfId="0" applyFont="1" applyFill="1" applyBorder="1" applyAlignment="1" applyProtection="1">
      <alignment horizontal="left" vertical="center"/>
    </xf>
    <xf numFmtId="167" fontId="41" fillId="5" borderId="29" xfId="0" applyNumberFormat="1" applyFont="1" applyFill="1" applyBorder="1" applyAlignment="1" applyProtection="1">
      <alignment horizontal="left" vertical="center"/>
    </xf>
    <xf numFmtId="167" fontId="41" fillId="5" borderId="30" xfId="0" applyNumberFormat="1" applyFont="1" applyFill="1" applyBorder="1" applyAlignment="1" applyProtection="1">
      <alignment horizontal="left" vertical="center"/>
    </xf>
    <xf numFmtId="0" fontId="41" fillId="5" borderId="24" xfId="0" applyNumberFormat="1" applyFont="1" applyFill="1" applyBorder="1" applyAlignment="1" applyProtection="1">
      <alignment horizontal="left" vertical="center"/>
    </xf>
    <xf numFmtId="0" fontId="41" fillId="5" borderId="49" xfId="0" applyNumberFormat="1" applyFont="1" applyFill="1" applyBorder="1" applyAlignment="1" applyProtection="1">
      <alignment horizontal="left" vertical="center"/>
    </xf>
    <xf numFmtId="0" fontId="41" fillId="5" borderId="25" xfId="0" applyNumberFormat="1" applyFont="1" applyFill="1" applyBorder="1" applyAlignment="1" applyProtection="1">
      <alignment horizontal="left" vertical="center"/>
    </xf>
    <xf numFmtId="0" fontId="41" fillId="5" borderId="26" xfId="0" applyFont="1" applyFill="1" applyBorder="1" applyAlignment="1" applyProtection="1">
      <alignment horizontal="left" vertical="center"/>
    </xf>
    <xf numFmtId="0" fontId="41" fillId="5" borderId="17" xfId="0" applyFont="1" applyFill="1" applyBorder="1" applyAlignment="1" applyProtection="1">
      <alignment horizontal="left" vertical="center"/>
    </xf>
    <xf numFmtId="0" fontId="41" fillId="5" borderId="2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182" fontId="41" fillId="5" borderId="26" xfId="0" applyNumberFormat="1" applyFont="1" applyFill="1" applyBorder="1" applyAlignment="1" applyProtection="1">
      <alignment horizontal="left" vertical="center"/>
    </xf>
    <xf numFmtId="182" fontId="41" fillId="5" borderId="27" xfId="0" applyNumberFormat="1" applyFont="1" applyFill="1" applyBorder="1" applyAlignment="1" applyProtection="1">
      <alignment horizontal="left" vertical="center"/>
    </xf>
    <xf numFmtId="178" fontId="41" fillId="5" borderId="24" xfId="0" applyNumberFormat="1" applyFont="1" applyFill="1" applyBorder="1" applyAlignment="1" applyProtection="1">
      <alignment horizontal="left" vertical="center"/>
    </xf>
    <xf numFmtId="178" fontId="41" fillId="5" borderId="80" xfId="0" applyNumberFormat="1" applyFont="1" applyFill="1" applyBorder="1" applyAlignment="1" applyProtection="1">
      <alignment horizontal="left" vertical="center"/>
    </xf>
    <xf numFmtId="0" fontId="41" fillId="5" borderId="16"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49" fontId="41" fillId="5" borderId="29" xfId="0" applyNumberFormat="1" applyFont="1" applyFill="1" applyBorder="1" applyAlignment="1" applyProtection="1">
      <alignment horizontal="left" vertical="center"/>
    </xf>
    <xf numFmtId="49" fontId="0" fillId="0" borderId="28" xfId="0" applyNumberFormat="1" applyBorder="1" applyAlignment="1" applyProtection="1"/>
    <xf numFmtId="0" fontId="41" fillId="6" borderId="29" xfId="0" applyNumberFormat="1" applyFont="1" applyFill="1" applyBorder="1" applyAlignment="1" applyProtection="1">
      <alignment horizontal="left" vertical="center"/>
    </xf>
    <xf numFmtId="0" fontId="41" fillId="6" borderId="30" xfId="0" applyNumberFormat="1" applyFont="1" applyFill="1" applyBorder="1" applyAlignment="1" applyProtection="1">
      <alignment horizontal="left" vertical="center"/>
    </xf>
    <xf numFmtId="164" fontId="41" fillId="5" borderId="112" xfId="1" applyNumberFormat="1" applyFont="1" applyFill="1" applyBorder="1" applyAlignment="1" applyProtection="1">
      <alignment horizontal="center" vertical="center"/>
    </xf>
    <xf numFmtId="164" fontId="41" fillId="5" borderId="13" xfId="1" applyNumberFormat="1" applyFont="1" applyFill="1" applyBorder="1" applyAlignment="1" applyProtection="1">
      <alignment horizontal="center" vertical="center"/>
    </xf>
    <xf numFmtId="0" fontId="41" fillId="5" borderId="8" xfId="0" applyFont="1" applyFill="1" applyBorder="1" applyAlignment="1" applyProtection="1">
      <alignment horizontal="left" vertical="center"/>
    </xf>
    <xf numFmtId="0" fontId="41" fillId="6" borderId="121" xfId="0" applyFont="1" applyFill="1" applyBorder="1" applyAlignment="1" applyProtection="1">
      <alignment horizontal="left" vertical="center"/>
    </xf>
    <xf numFmtId="0" fontId="41" fillId="6" borderId="10" xfId="0" applyFont="1" applyFill="1" applyBorder="1" applyAlignment="1" applyProtection="1">
      <alignment horizontal="left" vertical="center"/>
    </xf>
    <xf numFmtId="1" fontId="41" fillId="5" borderId="24" xfId="1" applyNumberFormat="1" applyFont="1" applyFill="1" applyBorder="1" applyAlignment="1" applyProtection="1">
      <alignment horizontal="center" vertical="center"/>
    </xf>
    <xf numFmtId="1" fontId="41" fillId="5" borderId="25" xfId="1" applyNumberFormat="1" applyFont="1" applyFill="1" applyBorder="1" applyAlignment="1" applyProtection="1">
      <alignment horizontal="center" vertical="center"/>
    </xf>
    <xf numFmtId="1" fontId="41" fillId="5" borderId="29" xfId="1" applyNumberFormat="1" applyFont="1" applyFill="1" applyBorder="1" applyAlignment="1" applyProtection="1">
      <alignment horizontal="center" vertical="center"/>
    </xf>
    <xf numFmtId="1" fontId="41" fillId="5" borderId="30" xfId="1" applyNumberFormat="1" applyFont="1" applyFill="1" applyBorder="1" applyAlignment="1" applyProtection="1">
      <alignment horizontal="center" vertical="center"/>
    </xf>
    <xf numFmtId="38" fontId="41" fillId="5" borderId="114" xfId="0" applyNumberFormat="1" applyFont="1" applyFill="1" applyBorder="1" applyAlignment="1" applyProtection="1">
      <alignment horizontal="left" vertical="center"/>
    </xf>
    <xf numFmtId="38" fontId="41" fillId="5" borderId="107" xfId="0" applyNumberFormat="1" applyFont="1" applyFill="1" applyBorder="1" applyAlignment="1" applyProtection="1">
      <alignment horizontal="left" vertical="center"/>
    </xf>
    <xf numFmtId="38" fontId="41" fillId="5" borderId="113" xfId="0" applyNumberFormat="1" applyFont="1" applyFill="1" applyBorder="1" applyAlignment="1" applyProtection="1">
      <alignment horizontal="left" vertical="center"/>
    </xf>
    <xf numFmtId="38" fontId="41" fillId="5" borderId="108" xfId="0" applyNumberFormat="1" applyFont="1" applyFill="1" applyBorder="1" applyAlignment="1" applyProtection="1">
      <alignment horizontal="left" vertical="center"/>
    </xf>
    <xf numFmtId="38" fontId="41" fillId="5" borderId="26" xfId="0" applyNumberFormat="1" applyFont="1" applyFill="1" applyBorder="1" applyAlignment="1" applyProtection="1">
      <alignment horizontal="left" vertical="center"/>
    </xf>
    <xf numFmtId="38" fontId="41" fillId="5" borderId="17" xfId="0" applyNumberFormat="1" applyFont="1" applyFill="1" applyBorder="1" applyAlignment="1" applyProtection="1">
      <alignment horizontal="left" vertical="center"/>
    </xf>
    <xf numFmtId="38" fontId="41" fillId="5" borderId="27" xfId="0" applyNumberFormat="1" applyFont="1" applyFill="1" applyBorder="1" applyAlignment="1" applyProtection="1">
      <alignment horizontal="left" vertical="center"/>
    </xf>
    <xf numFmtId="38" fontId="41" fillId="5" borderId="4" xfId="0" applyNumberFormat="1" applyFont="1" applyFill="1" applyBorder="1" applyAlignment="1" applyProtection="1">
      <alignment horizontal="left" vertical="center"/>
    </xf>
    <xf numFmtId="38" fontId="41" fillId="5" borderId="0" xfId="0" applyNumberFormat="1" applyFont="1" applyFill="1" applyBorder="1" applyAlignment="1" applyProtection="1">
      <alignment horizontal="left" vertical="center"/>
    </xf>
    <xf numFmtId="38" fontId="41" fillId="5" borderId="9" xfId="0" applyNumberFormat="1" applyFont="1" applyFill="1" applyBorder="1" applyAlignment="1" applyProtection="1">
      <alignment horizontal="left" vertical="center"/>
    </xf>
    <xf numFmtId="38" fontId="41" fillId="5" borderId="5" xfId="0" applyNumberFormat="1" applyFont="1" applyFill="1" applyBorder="1" applyAlignment="1" applyProtection="1">
      <alignment horizontal="left" vertical="center"/>
    </xf>
    <xf numFmtId="38" fontId="41" fillId="5" borderId="24" xfId="0" applyNumberFormat="1" applyFont="1" applyFill="1" applyBorder="1" applyAlignment="1" applyProtection="1">
      <alignment horizontal="left" vertical="center"/>
    </xf>
    <xf numFmtId="38" fontId="41" fillId="5" borderId="49" xfId="0" applyNumberFormat="1" applyFont="1" applyFill="1" applyBorder="1" applyAlignment="1" applyProtection="1">
      <alignment horizontal="left" vertical="center"/>
    </xf>
    <xf numFmtId="38" fontId="41" fillId="5" borderId="25" xfId="0" applyNumberFormat="1" applyFont="1" applyFill="1" applyBorder="1" applyAlignment="1" applyProtection="1">
      <alignment horizontal="left" vertical="center"/>
    </xf>
    <xf numFmtId="169" fontId="41" fillId="5" borderId="29" xfId="0" applyNumberFormat="1" applyFont="1" applyFill="1" applyBorder="1" applyAlignment="1" applyProtection="1">
      <alignment horizontal="left" vertical="center"/>
    </xf>
    <xf numFmtId="169" fontId="41" fillId="5" borderId="30" xfId="0" applyNumberFormat="1" applyFont="1" applyFill="1" applyBorder="1" applyAlignment="1" applyProtection="1">
      <alignment horizontal="left" vertical="center"/>
    </xf>
    <xf numFmtId="167" fontId="41" fillId="5" borderId="29" xfId="0" applyNumberFormat="1" applyFont="1" applyFill="1" applyBorder="1" applyAlignment="1" applyProtection="1">
      <alignment horizontal="center" vertical="center"/>
    </xf>
    <xf numFmtId="167" fontId="41" fillId="5" borderId="50" xfId="0" applyNumberFormat="1" applyFont="1" applyFill="1" applyBorder="1" applyAlignment="1" applyProtection="1">
      <alignment horizontal="center" vertical="center"/>
    </xf>
    <xf numFmtId="167" fontId="41" fillId="5" borderId="30" xfId="0" applyNumberFormat="1" applyFont="1" applyFill="1" applyBorder="1" applyAlignment="1" applyProtection="1">
      <alignment horizontal="center" vertical="center"/>
    </xf>
    <xf numFmtId="38" fontId="41" fillId="5" borderId="29" xfId="0" applyNumberFormat="1" applyFont="1" applyFill="1" applyBorder="1" applyAlignment="1" applyProtection="1">
      <alignment horizontal="left" vertical="center"/>
    </xf>
    <xf numFmtId="38" fontId="41" fillId="5" borderId="50" xfId="0" applyNumberFormat="1" applyFont="1" applyFill="1" applyBorder="1" applyAlignment="1" applyProtection="1">
      <alignment horizontal="left" vertical="center"/>
    </xf>
    <xf numFmtId="38" fontId="41" fillId="5" borderId="30" xfId="0" applyNumberFormat="1" applyFont="1" applyFill="1" applyBorder="1" applyAlignment="1" applyProtection="1">
      <alignment horizontal="left" vertical="center"/>
    </xf>
    <xf numFmtId="176" fontId="41" fillId="5" borderId="112" xfId="0" applyNumberFormat="1" applyFont="1" applyFill="1" applyBorder="1" applyAlignment="1" applyProtection="1">
      <alignment horizontal="center" vertical="center"/>
    </xf>
    <xf numFmtId="3" fontId="41" fillId="5" borderId="12" xfId="1" applyNumberFormat="1" applyFont="1" applyFill="1" applyBorder="1" applyAlignment="1" applyProtection="1">
      <alignment horizontal="center" vertical="center"/>
    </xf>
    <xf numFmtId="3" fontId="41" fillId="5" borderId="112" xfId="1" applyNumberFormat="1" applyFont="1" applyFill="1" applyBorder="1" applyAlignment="1" applyProtection="1">
      <alignment horizontal="center" vertical="center"/>
    </xf>
    <xf numFmtId="3" fontId="41" fillId="5" borderId="14" xfId="1" applyNumberFormat="1" applyFont="1" applyFill="1" applyBorder="1" applyAlignment="1" applyProtection="1">
      <alignment horizontal="center" vertical="center"/>
    </xf>
    <xf numFmtId="0" fontId="41" fillId="5" borderId="121" xfId="0" applyFont="1" applyFill="1" applyBorder="1" applyAlignment="1" applyProtection="1">
      <alignment horizontal="left"/>
    </xf>
    <xf numFmtId="0" fontId="41" fillId="5" borderId="122" xfId="0" applyFont="1" applyFill="1" applyBorder="1" applyAlignment="1" applyProtection="1">
      <alignment horizontal="left"/>
    </xf>
    <xf numFmtId="0" fontId="41" fillId="5" borderId="113" xfId="0" applyFont="1" applyFill="1" applyBorder="1" applyAlignment="1" applyProtection="1">
      <alignment horizontal="left"/>
    </xf>
    <xf numFmtId="175" fontId="41" fillId="5" borderId="24" xfId="0" applyNumberFormat="1" applyFont="1" applyFill="1" applyBorder="1" applyAlignment="1" applyProtection="1">
      <alignment horizontal="left" vertical="center"/>
    </xf>
    <xf numFmtId="175" fontId="41" fillId="5" borderId="25" xfId="0" applyNumberFormat="1" applyFont="1" applyFill="1" applyBorder="1" applyAlignment="1" applyProtection="1">
      <alignment horizontal="left" vertical="center"/>
    </xf>
    <xf numFmtId="0" fontId="41" fillId="5" borderId="26" xfId="0" applyNumberFormat="1" applyFont="1" applyFill="1" applyBorder="1" applyAlignment="1" applyProtection="1">
      <alignment horizontal="left" vertical="center"/>
    </xf>
    <xf numFmtId="0" fontId="41" fillId="5" borderId="27" xfId="0" applyNumberFormat="1" applyFont="1" applyFill="1" applyBorder="1" applyAlignment="1" applyProtection="1">
      <alignment horizontal="left" vertical="center"/>
    </xf>
    <xf numFmtId="0" fontId="41" fillId="0" borderId="17" xfId="0" applyFont="1" applyBorder="1" applyAlignment="1" applyProtection="1"/>
    <xf numFmtId="0" fontId="41" fillId="0" borderId="27" xfId="0" applyFont="1" applyBorder="1" applyAlignment="1" applyProtection="1"/>
    <xf numFmtId="0" fontId="41" fillId="5" borderId="13" xfId="0" applyFont="1" applyFill="1" applyBorder="1" applyAlignment="1" applyProtection="1">
      <alignment horizontal="left" vertical="center"/>
    </xf>
    <xf numFmtId="169" fontId="41" fillId="5" borderId="29" xfId="0" applyNumberFormat="1" applyFont="1" applyFill="1" applyBorder="1" applyAlignment="1" applyProtection="1">
      <alignment horizontal="center" vertical="center"/>
    </xf>
    <xf numFmtId="0" fontId="41" fillId="0" borderId="30" xfId="0" applyFont="1" applyBorder="1" applyAlignment="1" applyProtection="1"/>
    <xf numFmtId="3" fontId="41" fillId="5" borderId="26" xfId="0" applyNumberFormat="1" applyFont="1" applyFill="1" applyBorder="1" applyAlignment="1" applyProtection="1">
      <alignment horizontal="left" vertical="center"/>
    </xf>
    <xf numFmtId="3" fontId="41" fillId="5" borderId="27" xfId="0" applyNumberFormat="1" applyFont="1" applyFill="1" applyBorder="1" applyAlignment="1" applyProtection="1">
      <alignment horizontal="left" vertical="center"/>
    </xf>
    <xf numFmtId="0" fontId="41" fillId="5" borderId="4" xfId="0" applyFont="1" applyFill="1" applyBorder="1" applyAlignment="1" applyProtection="1">
      <alignment horizontal="left" vertical="center"/>
    </xf>
    <xf numFmtId="0" fontId="41" fillId="0" borderId="107" xfId="0" applyFont="1" applyBorder="1" applyAlignment="1" applyProtection="1"/>
    <xf numFmtId="0" fontId="41" fillId="0" borderId="49" xfId="0" applyFont="1" applyBorder="1" applyAlignment="1" applyProtection="1"/>
    <xf numFmtId="0" fontId="41" fillId="0" borderId="16" xfId="0" applyFont="1" applyBorder="1" applyAlignment="1" applyProtection="1"/>
    <xf numFmtId="0" fontId="41" fillId="0" borderId="80" xfId="0" applyFont="1" applyBorder="1" applyAlignment="1" applyProtection="1"/>
    <xf numFmtId="167" fontId="41" fillId="5" borderId="50" xfId="0" applyNumberFormat="1" applyFont="1" applyFill="1" applyBorder="1" applyAlignment="1" applyProtection="1">
      <alignment horizontal="left" vertical="center"/>
    </xf>
    <xf numFmtId="0" fontId="41" fillId="0" borderId="30" xfId="0" applyFont="1" applyBorder="1" applyAlignment="1" applyProtection="1">
      <alignment horizontal="left"/>
    </xf>
    <xf numFmtId="0" fontId="41" fillId="5" borderId="9" xfId="0" applyNumberFormat="1" applyFont="1" applyFill="1" applyBorder="1" applyAlignment="1" applyProtection="1">
      <alignment horizontal="left" vertical="center"/>
    </xf>
    <xf numFmtId="0" fontId="41" fillId="5" borderId="10" xfId="0" applyNumberFormat="1" applyFont="1" applyFill="1" applyBorder="1" applyAlignment="1" applyProtection="1">
      <alignment horizontal="left" vertical="center"/>
    </xf>
    <xf numFmtId="0" fontId="41" fillId="5" borderId="112" xfId="0" applyFont="1" applyFill="1" applyBorder="1" applyAlignment="1" applyProtection="1">
      <alignment horizontal="center"/>
    </xf>
    <xf numFmtId="3" fontId="41" fillId="5" borderId="112" xfId="0" applyNumberFormat="1" applyFont="1" applyFill="1" applyBorder="1" applyAlignment="1" applyProtection="1">
      <alignment horizontal="center"/>
    </xf>
    <xf numFmtId="0" fontId="37" fillId="5" borderId="46" xfId="0" applyFont="1" applyFill="1" applyBorder="1" applyAlignment="1" applyProtection="1">
      <alignment horizontal="left" vertical="center"/>
    </xf>
    <xf numFmtId="0" fontId="37" fillId="5" borderId="47" xfId="0" applyFont="1" applyFill="1" applyBorder="1" applyAlignment="1" applyProtection="1">
      <alignment horizontal="left" vertical="center"/>
    </xf>
    <xf numFmtId="0" fontId="37" fillId="5" borderId="84" xfId="0" applyFont="1" applyFill="1" applyBorder="1" applyAlignment="1" applyProtection="1">
      <alignment horizontal="left" vertical="center"/>
    </xf>
    <xf numFmtId="0" fontId="37" fillId="5" borderId="69" xfId="0" applyFont="1" applyFill="1" applyBorder="1" applyAlignment="1" applyProtection="1">
      <alignment horizontal="left" vertical="center"/>
    </xf>
    <xf numFmtId="0" fontId="37" fillId="5" borderId="19" xfId="0" applyFont="1" applyFill="1" applyBorder="1" applyAlignment="1" applyProtection="1">
      <alignment horizontal="center" vertical="center"/>
    </xf>
    <xf numFmtId="0" fontId="37" fillId="5" borderId="45" xfId="0" applyFont="1" applyFill="1" applyBorder="1" applyAlignment="1" applyProtection="1">
      <alignment horizontal="left" vertical="center"/>
    </xf>
    <xf numFmtId="0" fontId="37" fillId="5" borderId="32" xfId="0" applyFont="1" applyFill="1" applyBorder="1" applyAlignment="1" applyProtection="1">
      <alignment horizontal="left" vertical="center"/>
    </xf>
    <xf numFmtId="0" fontId="37" fillId="5" borderId="71" xfId="0" applyFont="1" applyFill="1" applyBorder="1" applyAlignment="1" applyProtection="1">
      <alignment horizontal="left" vertical="center"/>
    </xf>
    <xf numFmtId="0" fontId="37" fillId="5" borderId="17" xfId="0" applyFont="1" applyFill="1" applyBorder="1" applyAlignment="1" applyProtection="1">
      <alignment horizontal="left" vertical="center"/>
    </xf>
    <xf numFmtId="0" fontId="37" fillId="5" borderId="68" xfId="0" applyFont="1" applyFill="1" applyBorder="1" applyAlignment="1" applyProtection="1">
      <alignment horizontal="left" vertical="center"/>
    </xf>
    <xf numFmtId="0" fontId="37" fillId="5" borderId="21" xfId="0" applyFont="1" applyFill="1" applyBorder="1" applyAlignment="1" applyProtection="1">
      <alignment horizontal="center" vertical="center"/>
    </xf>
    <xf numFmtId="0" fontId="37" fillId="5" borderId="43" xfId="0" applyFont="1" applyFill="1" applyBorder="1" applyAlignment="1" applyProtection="1">
      <alignment horizontal="left" vertical="center"/>
    </xf>
    <xf numFmtId="0" fontId="37" fillId="5" borderId="44" xfId="0" applyFont="1" applyFill="1" applyBorder="1" applyAlignment="1" applyProtection="1">
      <alignment horizontal="left" vertical="center"/>
    </xf>
    <xf numFmtId="0" fontId="37" fillId="5" borderId="81" xfId="0" applyFont="1" applyFill="1" applyBorder="1" applyAlignment="1" applyProtection="1">
      <alignment horizontal="left" vertical="center"/>
    </xf>
    <xf numFmtId="0" fontId="37" fillId="5" borderId="50" xfId="0" applyFont="1" applyFill="1" applyBorder="1" applyAlignment="1" applyProtection="1">
      <alignment horizontal="left" vertical="center"/>
    </xf>
    <xf numFmtId="0" fontId="37" fillId="5" borderId="70" xfId="0" applyFont="1" applyFill="1" applyBorder="1" applyAlignment="1" applyProtection="1">
      <alignment horizontal="left" vertical="center"/>
    </xf>
    <xf numFmtId="0" fontId="37" fillId="5" borderId="20" xfId="0" applyFont="1" applyFill="1" applyBorder="1" applyAlignment="1" applyProtection="1">
      <alignment horizontal="center" vertical="center"/>
    </xf>
    <xf numFmtId="0" fontId="37" fillId="5" borderId="27" xfId="0" applyFont="1" applyFill="1" applyBorder="1" applyAlignment="1" applyProtection="1">
      <alignment horizontal="left" vertical="center"/>
    </xf>
    <xf numFmtId="0" fontId="37" fillId="5" borderId="30" xfId="0" applyFont="1" applyFill="1" applyBorder="1" applyAlignment="1" applyProtection="1">
      <alignment horizontal="left" vertical="center"/>
    </xf>
    <xf numFmtId="1" fontId="41" fillId="5" borderId="13" xfId="0" applyNumberFormat="1" applyFont="1" applyFill="1" applyBorder="1" applyAlignment="1" applyProtection="1">
      <alignment horizontal="center" vertical="center"/>
    </xf>
    <xf numFmtId="0" fontId="41" fillId="5" borderId="13" xfId="0" applyFont="1" applyFill="1" applyBorder="1" applyAlignment="1" applyProtection="1">
      <alignment horizontal="center"/>
    </xf>
    <xf numFmtId="175" fontId="41" fillId="5" borderId="6" xfId="0" applyNumberFormat="1" applyFont="1" applyFill="1" applyBorder="1" applyAlignment="1" applyProtection="1">
      <alignment horizontal="left" vertical="center"/>
    </xf>
    <xf numFmtId="175" fontId="41" fillId="5" borderId="122" xfId="0" applyNumberFormat="1" applyFont="1" applyFill="1" applyBorder="1" applyAlignment="1" applyProtection="1">
      <alignment horizontal="left" vertical="center"/>
    </xf>
    <xf numFmtId="0" fontId="41" fillId="5" borderId="12" xfId="0" applyFont="1" applyFill="1" applyBorder="1" applyAlignment="1" applyProtection="1">
      <alignment horizontal="center"/>
    </xf>
    <xf numFmtId="3" fontId="41" fillId="5" borderId="13" xfId="1" applyNumberFormat="1" applyFont="1" applyFill="1" applyBorder="1" applyAlignment="1" applyProtection="1">
      <alignment horizontal="center" vertical="center"/>
    </xf>
    <xf numFmtId="0" fontId="41" fillId="5" borderId="114" xfId="0" applyFont="1" applyFill="1" applyBorder="1" applyAlignment="1" applyProtection="1">
      <alignment horizontal="left" vertical="center"/>
    </xf>
    <xf numFmtId="0" fontId="41" fillId="5" borderId="107" xfId="0" applyFont="1" applyFill="1" applyBorder="1" applyAlignment="1" applyProtection="1">
      <alignment horizontal="left" vertical="center"/>
    </xf>
    <xf numFmtId="167" fontId="41" fillId="5" borderId="26" xfId="0" applyNumberFormat="1" applyFont="1" applyFill="1" applyBorder="1" applyAlignment="1" applyProtection="1">
      <alignment horizontal="left" vertical="center"/>
    </xf>
    <xf numFmtId="167" fontId="41" fillId="5" borderId="17" xfId="0" applyNumberFormat="1" applyFont="1" applyFill="1" applyBorder="1" applyAlignment="1" applyProtection="1">
      <alignment horizontal="left" vertical="center"/>
    </xf>
    <xf numFmtId="167" fontId="41" fillId="5" borderId="27" xfId="0" applyNumberFormat="1" applyFont="1" applyFill="1" applyBorder="1" applyAlignment="1" applyProtection="1">
      <alignment horizontal="left" vertical="center"/>
    </xf>
    <xf numFmtId="0" fontId="41" fillId="5" borderId="6" xfId="0" applyNumberFormat="1" applyFont="1" applyFill="1" applyBorder="1" applyAlignment="1" applyProtection="1">
      <alignment horizontal="left" vertical="center"/>
    </xf>
    <xf numFmtId="3" fontId="41" fillId="5" borderId="112" xfId="0" applyNumberFormat="1" applyFont="1" applyFill="1" applyBorder="1" applyAlignment="1" applyProtection="1">
      <alignment horizontal="center" vertical="center"/>
    </xf>
    <xf numFmtId="0" fontId="37" fillId="5" borderId="121" xfId="0" applyFont="1" applyFill="1" applyBorder="1" applyAlignment="1" applyProtection="1">
      <alignment horizontal="center"/>
    </xf>
    <xf numFmtId="0" fontId="37" fillId="5" borderId="122" xfId="0" applyFont="1" applyFill="1" applyBorder="1" applyAlignment="1" applyProtection="1">
      <alignment horizontal="center"/>
    </xf>
    <xf numFmtId="6" fontId="41" fillId="5" borderId="24" xfId="0" applyNumberFormat="1" applyFont="1" applyFill="1" applyBorder="1" applyAlignment="1" applyProtection="1">
      <alignment horizontal="center" vertical="center"/>
    </xf>
    <xf numFmtId="6" fontId="41" fillId="5" borderId="80" xfId="0" applyNumberFormat="1" applyFont="1" applyFill="1" applyBorder="1" applyAlignment="1" applyProtection="1">
      <alignment horizontal="center" vertical="center"/>
    </xf>
    <xf numFmtId="0" fontId="41" fillId="5" borderId="14" xfId="0" applyFont="1" applyFill="1" applyBorder="1" applyAlignment="1" applyProtection="1">
      <alignment horizontal="center"/>
    </xf>
    <xf numFmtId="6" fontId="41" fillId="5" borderId="29" xfId="0" applyNumberFormat="1" applyFont="1" applyFill="1" applyBorder="1" applyAlignment="1" applyProtection="1">
      <alignment horizontal="center" vertical="center"/>
    </xf>
    <xf numFmtId="6" fontId="41" fillId="5" borderId="30" xfId="0" applyNumberFormat="1" applyFont="1" applyFill="1" applyBorder="1" applyAlignment="1" applyProtection="1">
      <alignment horizontal="center" vertical="center"/>
    </xf>
    <xf numFmtId="175" fontId="41" fillId="5" borderId="26" xfId="0" applyNumberFormat="1" applyFont="1" applyFill="1" applyBorder="1" applyAlignment="1" applyProtection="1">
      <alignment horizontal="left" vertical="center"/>
    </xf>
    <xf numFmtId="175" fontId="41" fillId="5" borderId="27" xfId="0" applyNumberFormat="1" applyFont="1" applyFill="1" applyBorder="1" applyAlignment="1" applyProtection="1">
      <alignment horizontal="left" vertical="center"/>
    </xf>
    <xf numFmtId="175" fontId="41" fillId="5" borderId="29" xfId="0" applyNumberFormat="1" applyFont="1" applyFill="1" applyBorder="1" applyAlignment="1" applyProtection="1">
      <alignment horizontal="left" vertical="center"/>
    </xf>
    <xf numFmtId="175" fontId="41" fillId="5" borderId="30" xfId="0" applyNumberFormat="1" applyFont="1" applyFill="1" applyBorder="1" applyAlignment="1" applyProtection="1">
      <alignment horizontal="left" vertical="center"/>
    </xf>
    <xf numFmtId="0" fontId="75" fillId="0" borderId="0" xfId="0" quotePrefix="1" applyNumberFormat="1" applyFont="1" applyProtection="1"/>
    <xf numFmtId="0" fontId="110" fillId="0" borderId="0" xfId="0" applyNumberFormat="1" applyFont="1" applyProtection="1"/>
    <xf numFmtId="0" fontId="110" fillId="0" borderId="0" xfId="0" applyFont="1" applyProtection="1"/>
    <xf numFmtId="0" fontId="91" fillId="0" borderId="0" xfId="0" applyFont="1" applyProtection="1"/>
    <xf numFmtId="0" fontId="80" fillId="0" borderId="0" xfId="0" applyNumberFormat="1" applyFont="1" applyProtection="1"/>
    <xf numFmtId="0" fontId="80" fillId="0" borderId="0" xfId="0" applyFont="1" applyProtection="1"/>
    <xf numFmtId="0" fontId="99" fillId="0" borderId="0" xfId="0" applyFont="1" applyProtection="1"/>
    <xf numFmtId="0" fontId="91" fillId="0" borderId="0" xfId="0" applyNumberFormat="1" applyFont="1" applyProtection="1"/>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98" fillId="0" borderId="0" xfId="0" applyFont="1" applyFill="1" applyBorder="1" applyAlignment="1" applyProtection="1">
      <alignment vertical="top" wrapText="1"/>
    </xf>
    <xf numFmtId="0" fontId="82" fillId="0" borderId="0" xfId="0" applyFont="1" applyFill="1" applyBorder="1" applyAlignment="1" applyProtection="1">
      <alignment vertical="center"/>
    </xf>
    <xf numFmtId="0" fontId="82" fillId="0" borderId="0" xfId="0" applyFont="1" applyFill="1" applyBorder="1" applyAlignment="1" applyProtection="1">
      <alignment horizontal="center" vertical="center"/>
    </xf>
    <xf numFmtId="0" fontId="82" fillId="0" borderId="0" xfId="0" applyFont="1" applyFill="1" applyBorder="1" applyAlignment="1" applyProtection="1">
      <alignment vertical="center" wrapText="1"/>
    </xf>
    <xf numFmtId="0" fontId="98" fillId="0" borderId="0" xfId="0" applyFont="1" applyFill="1" applyBorder="1" applyAlignment="1" applyProtection="1">
      <alignment vertical="center"/>
    </xf>
    <xf numFmtId="0" fontId="82"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2" fillId="0" borderId="0" xfId="0" applyFont="1" applyFill="1" applyBorder="1" applyAlignment="1" applyProtection="1">
      <alignment horizontal="right" vertical="center"/>
    </xf>
    <xf numFmtId="0" fontId="88" fillId="0" borderId="0"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91" fillId="0" borderId="0" xfId="0" applyFont="1" applyFill="1" applyBorder="1" applyAlignment="1" applyProtection="1">
      <alignment vertical="center"/>
    </xf>
    <xf numFmtId="0" fontId="98" fillId="0" borderId="0" xfId="0" applyFont="1" applyFill="1" applyBorder="1" applyProtection="1"/>
    <xf numFmtId="0" fontId="98" fillId="0" borderId="0" xfId="0" applyFont="1" applyFill="1" applyBorder="1" applyAlignment="1" applyProtection="1">
      <alignment horizontal="left" vertical="center"/>
    </xf>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98" fillId="0" borderId="0" xfId="0" applyFont="1" applyFill="1" applyBorder="1" applyAlignment="1" applyProtection="1">
      <alignment horizontal="right" vertical="center"/>
    </xf>
    <xf numFmtId="0" fontId="210" fillId="0" borderId="0" xfId="0" applyFont="1" applyFill="1" applyBorder="1" applyAlignment="1" applyProtection="1">
      <alignment vertical="center"/>
    </xf>
    <xf numFmtId="0" fontId="82" fillId="0" borderId="0" xfId="0" quotePrefix="1" applyFont="1" applyFill="1" applyBorder="1" applyAlignment="1" applyProtection="1">
      <alignment horizontal="center"/>
    </xf>
    <xf numFmtId="0" fontId="98" fillId="0" borderId="0" xfId="0" applyFont="1" applyFill="1" applyBorder="1" applyAlignment="1" applyProtection="1">
      <alignment wrapText="1"/>
    </xf>
    <xf numFmtId="164" fontId="98" fillId="0" borderId="0" xfId="1" applyNumberFormat="1" applyFont="1" applyFill="1" applyBorder="1" applyAlignment="1" applyProtection="1">
      <alignment vertical="center"/>
    </xf>
    <xf numFmtId="0" fontId="98" fillId="0" borderId="0" xfId="0" applyNumberFormat="1" applyFont="1" applyFill="1" applyBorder="1" applyAlignment="1" applyProtection="1">
      <alignment vertical="center"/>
    </xf>
    <xf numFmtId="0" fontId="92" fillId="0" borderId="0" xfId="0" applyFont="1" applyFill="1" applyBorder="1" applyAlignment="1" applyProtection="1"/>
    <xf numFmtId="0" fontId="210" fillId="0" borderId="0" xfId="0" applyFont="1" applyFill="1" applyBorder="1" applyAlignment="1" applyProtection="1">
      <alignment vertical="center" wrapText="1"/>
    </xf>
    <xf numFmtId="0" fontId="98" fillId="0" borderId="0" xfId="0" applyFont="1" applyFill="1" applyBorder="1" applyAlignment="1" applyProtection="1">
      <alignment horizontal="left"/>
    </xf>
    <xf numFmtId="169" fontId="98" fillId="0" borderId="0" xfId="0" applyNumberFormat="1" applyFont="1" applyFill="1" applyBorder="1" applyAlignment="1" applyProtection="1">
      <alignment vertical="center"/>
    </xf>
    <xf numFmtId="167" fontId="98" fillId="0" borderId="0" xfId="0" applyNumberFormat="1" applyFont="1" applyFill="1" applyBorder="1" applyAlignment="1" applyProtection="1">
      <alignment vertical="center"/>
    </xf>
    <xf numFmtId="0" fontId="98" fillId="0" borderId="0" xfId="0" applyNumberFormat="1" applyFont="1" applyFill="1" applyBorder="1" applyAlignment="1" applyProtection="1">
      <alignment horizontal="center" vertical="center"/>
    </xf>
    <xf numFmtId="182" fontId="98" fillId="0" borderId="0" xfId="0" applyNumberFormat="1" applyFont="1" applyFill="1" applyBorder="1" applyAlignment="1" applyProtection="1">
      <alignment vertical="center"/>
    </xf>
    <xf numFmtId="178" fontId="98" fillId="0" borderId="0" xfId="0" applyNumberFormat="1" applyFont="1" applyFill="1" applyBorder="1" applyAlignment="1" applyProtection="1">
      <alignment vertical="center"/>
    </xf>
    <xf numFmtId="0" fontId="98" fillId="0" borderId="0" xfId="0" applyFont="1" applyFill="1" applyBorder="1" applyAlignment="1" applyProtection="1">
      <alignment horizontal="center"/>
    </xf>
    <xf numFmtId="0" fontId="98" fillId="0" borderId="0" xfId="0" applyNumberFormat="1" applyFont="1" applyFill="1" applyBorder="1" applyAlignment="1" applyProtection="1">
      <alignment horizontal="left" vertical="center"/>
    </xf>
    <xf numFmtId="49" fontId="98" fillId="0" borderId="0" xfId="0" applyNumberFormat="1" applyFont="1" applyFill="1" applyBorder="1" applyAlignment="1" applyProtection="1">
      <alignment vertical="center"/>
    </xf>
    <xf numFmtId="49" fontId="88" fillId="0" borderId="0" xfId="0" applyNumberFormat="1" applyFont="1" applyFill="1" applyBorder="1" applyAlignment="1" applyProtection="1"/>
    <xf numFmtId="0" fontId="98" fillId="0" borderId="0" xfId="0" quotePrefix="1" applyFont="1" applyFill="1" applyBorder="1" applyAlignment="1" applyProtection="1">
      <alignment horizontal="center" vertical="center"/>
    </xf>
    <xf numFmtId="164"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xf numFmtId="0" fontId="83" fillId="0" borderId="0" xfId="0" applyFont="1" applyFill="1" applyBorder="1" applyAlignment="1" applyProtection="1">
      <alignment vertical="top"/>
    </xf>
    <xf numFmtId="1" fontId="98" fillId="0" borderId="0" xfId="1" applyNumberFormat="1" applyFont="1" applyFill="1" applyBorder="1" applyAlignment="1" applyProtection="1">
      <alignment vertical="center"/>
    </xf>
    <xf numFmtId="0" fontId="215" fillId="0" borderId="0" xfId="6" applyFont="1" applyFill="1" applyBorder="1" applyAlignment="1" applyProtection="1">
      <alignment vertical="center"/>
    </xf>
    <xf numFmtId="0" fontId="109" fillId="0" borderId="0" xfId="6" applyFont="1" applyFill="1" applyBorder="1" applyAlignment="1" applyProtection="1">
      <alignment vertical="center"/>
    </xf>
    <xf numFmtId="38" fontId="98" fillId="0" borderId="0" xfId="0" applyNumberFormat="1" applyFont="1" applyFill="1" applyBorder="1" applyAlignment="1" applyProtection="1">
      <alignment vertical="center"/>
    </xf>
    <xf numFmtId="38" fontId="98" fillId="0" borderId="0" xfId="0" applyNumberFormat="1" applyFont="1" applyFill="1" applyBorder="1" applyAlignment="1" applyProtection="1">
      <alignment horizontal="left" vertical="center"/>
    </xf>
    <xf numFmtId="0" fontId="82"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98"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98" fillId="0" borderId="0" xfId="1" applyNumberFormat="1" applyFont="1" applyFill="1" applyBorder="1" applyAlignment="1" applyProtection="1">
      <alignment horizontal="left" vertical="center"/>
    </xf>
    <xf numFmtId="0" fontId="98" fillId="0" borderId="0" xfId="0" quotePrefix="1" applyFont="1" applyFill="1" applyBorder="1" applyAlignment="1" applyProtection="1">
      <alignment vertical="center"/>
    </xf>
    <xf numFmtId="176" fontId="98" fillId="0" borderId="0" xfId="0" applyNumberFormat="1" applyFont="1" applyFill="1" applyBorder="1" applyAlignment="1" applyProtection="1">
      <alignment horizontal="center" vertical="center"/>
    </xf>
    <xf numFmtId="164" fontId="91"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center" wrapText="1"/>
    </xf>
    <xf numFmtId="0" fontId="82" fillId="0" borderId="0" xfId="0" applyFont="1" applyFill="1" applyBorder="1" applyProtection="1"/>
    <xf numFmtId="3" fontId="98" fillId="0" borderId="0" xfId="1" applyNumberFormat="1" applyFont="1" applyFill="1" applyBorder="1" applyAlignment="1" applyProtection="1">
      <alignment horizontal="center" vertical="center"/>
    </xf>
    <xf numFmtId="0" fontId="82" fillId="0" borderId="0" xfId="0" applyFont="1" applyFill="1" applyBorder="1" applyAlignment="1" applyProtection="1"/>
    <xf numFmtId="0" fontId="82" fillId="0" borderId="0" xfId="0" applyFont="1" applyFill="1" applyBorder="1" applyAlignment="1" applyProtection="1">
      <alignment horizontal="left"/>
    </xf>
    <xf numFmtId="0" fontId="98" fillId="0" borderId="0" xfId="0" applyFont="1" applyFill="1" applyBorder="1" applyAlignment="1" applyProtection="1">
      <alignment horizontal="right"/>
    </xf>
    <xf numFmtId="165" fontId="98" fillId="0" borderId="0" xfId="1" applyNumberFormat="1" applyFont="1" applyFill="1" applyBorder="1" applyAlignment="1" applyProtection="1">
      <alignment horizontal="center" vertical="center"/>
    </xf>
    <xf numFmtId="9" fontId="98" fillId="0" borderId="0" xfId="0" applyNumberFormat="1" applyFont="1" applyFill="1" applyBorder="1" applyAlignment="1" applyProtection="1">
      <alignment horizontal="center" vertical="center"/>
    </xf>
    <xf numFmtId="166" fontId="82" fillId="0" borderId="0" xfId="1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xf>
    <xf numFmtId="175" fontId="98" fillId="0" borderId="0" xfId="0" applyNumberFormat="1" applyFont="1" applyFill="1" applyBorder="1" applyAlignment="1" applyProtection="1">
      <alignment vertical="center"/>
    </xf>
    <xf numFmtId="3" fontId="98" fillId="0" borderId="0" xfId="0" applyNumberFormat="1" applyFont="1" applyFill="1" applyBorder="1" applyAlignment="1" applyProtection="1">
      <alignment vertical="center"/>
    </xf>
    <xf numFmtId="0" fontId="98" fillId="0" borderId="0" xfId="0" applyFont="1" applyFill="1" applyBorder="1" applyAlignment="1" applyProtection="1">
      <alignment horizontal="left" wrapText="1"/>
    </xf>
    <xf numFmtId="3" fontId="98" fillId="0" borderId="0" xfId="0" applyNumberFormat="1" applyFont="1" applyFill="1" applyBorder="1" applyAlignment="1" applyProtection="1">
      <alignment horizontal="center"/>
    </xf>
    <xf numFmtId="0" fontId="82" fillId="0" borderId="0" xfId="0" applyFont="1" applyFill="1" applyBorder="1" applyAlignment="1" applyProtection="1">
      <alignment wrapText="1"/>
    </xf>
    <xf numFmtId="0" fontId="98" fillId="0" borderId="0" xfId="0" applyFont="1" applyFill="1" applyBorder="1" applyAlignment="1" applyProtection="1">
      <alignment vertical="top"/>
    </xf>
    <xf numFmtId="9" fontId="98" fillId="0" borderId="0" xfId="1" applyNumberFormat="1" applyFont="1" applyFill="1" applyBorder="1" applyAlignment="1" applyProtection="1">
      <alignment horizontal="center" vertical="center"/>
    </xf>
    <xf numFmtId="0" fontId="91" fillId="0" borderId="0" xfId="0" applyFont="1" applyFill="1" applyBorder="1" applyAlignment="1" applyProtection="1">
      <alignment horizontal="right" vertical="center"/>
    </xf>
    <xf numFmtId="167" fontId="98" fillId="0" borderId="0" xfId="0" applyNumberFormat="1" applyFont="1" applyFill="1" applyBorder="1" applyAlignment="1" applyProtection="1">
      <alignment horizontal="center" vertical="center"/>
    </xf>
    <xf numFmtId="3" fontId="98" fillId="0" borderId="0" xfId="0" applyNumberFormat="1" applyFont="1" applyFill="1" applyBorder="1" applyAlignment="1" applyProtection="1">
      <alignment horizontal="center" vertical="center"/>
    </xf>
    <xf numFmtId="0" fontId="98" fillId="0" borderId="0" xfId="0" quotePrefix="1" applyFont="1" applyFill="1" applyBorder="1" applyAlignment="1" applyProtection="1">
      <alignment horizontal="left" vertical="center"/>
    </xf>
    <xf numFmtId="10" fontId="82" fillId="0" borderId="0" xfId="10" applyNumberFormat="1" applyFont="1" applyFill="1" applyBorder="1" applyAlignment="1" applyProtection="1">
      <alignment horizontal="center" vertical="center"/>
    </xf>
    <xf numFmtId="0" fontId="210" fillId="0" borderId="0" xfId="0" applyFont="1" applyFill="1" applyBorder="1" applyAlignment="1" applyProtection="1"/>
    <xf numFmtId="0" fontId="83" fillId="0" borderId="0" xfId="0" applyFont="1" applyFill="1" applyBorder="1" applyAlignment="1" applyProtection="1">
      <alignment vertical="center"/>
    </xf>
    <xf numFmtId="6" fontId="98" fillId="0" borderId="0" xfId="0" applyNumberFormat="1" applyFont="1" applyFill="1" applyBorder="1" applyAlignment="1" applyProtection="1">
      <alignment vertical="center"/>
    </xf>
    <xf numFmtId="0" fontId="210" fillId="0" borderId="0" xfId="0" applyFont="1" applyFill="1" applyBorder="1" applyAlignment="1" applyProtection="1">
      <alignment vertical="top" wrapText="1"/>
    </xf>
    <xf numFmtId="0" fontId="82"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right"/>
    </xf>
    <xf numFmtId="0" fontId="219" fillId="0" borderId="0" xfId="6" applyFont="1" applyFill="1" applyBorder="1" applyAlignment="1" applyProtection="1">
      <alignment vertical="center"/>
    </xf>
    <xf numFmtId="0" fontId="82" fillId="0" borderId="0" xfId="0" quotePrefix="1" applyFont="1" applyFill="1" applyBorder="1" applyAlignment="1" applyProtection="1"/>
    <xf numFmtId="1" fontId="98" fillId="0" borderId="0"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right"/>
    </xf>
    <xf numFmtId="0" fontId="98" fillId="0" borderId="0" xfId="0" applyFont="1" applyFill="1" applyBorder="1" applyAlignment="1" applyProtection="1">
      <alignment vertical="center" wrapText="1"/>
    </xf>
    <xf numFmtId="0" fontId="82" fillId="0" borderId="0" xfId="0" quotePrefix="1" applyFont="1" applyFill="1" applyBorder="1" applyAlignment="1" applyProtection="1">
      <alignment vertical="top"/>
    </xf>
    <xf numFmtId="0" fontId="98" fillId="0" borderId="0" xfId="0" applyFont="1" applyFill="1" applyBorder="1" applyAlignment="1" applyProtection="1">
      <alignment horizontal="center" vertical="top"/>
    </xf>
    <xf numFmtId="0" fontId="91" fillId="0" borderId="0" xfId="0" applyFont="1" applyFill="1" applyBorder="1" applyAlignment="1" applyProtection="1">
      <alignment vertical="top" wrapText="1"/>
    </xf>
    <xf numFmtId="0" fontId="82" fillId="0" borderId="0" xfId="0" applyFont="1" applyFill="1" applyBorder="1" applyAlignment="1" applyProtection="1">
      <alignment vertical="top" wrapText="1"/>
    </xf>
    <xf numFmtId="0" fontId="91" fillId="0" borderId="0" xfId="0" applyFont="1" applyFill="1" applyBorder="1" applyAlignment="1" applyProtection="1">
      <alignment wrapText="1"/>
    </xf>
    <xf numFmtId="0" fontId="98" fillId="0" borderId="0" xfId="0" applyFont="1" applyFill="1" applyBorder="1" applyAlignment="1" applyProtection="1">
      <alignment horizontal="center" vertical="top" wrapText="1"/>
    </xf>
    <xf numFmtId="0" fontId="98" fillId="0" borderId="0" xfId="0" applyNumberFormat="1" applyFont="1" applyFill="1" applyBorder="1" applyAlignment="1" applyProtection="1">
      <alignment horizontal="center" vertical="top"/>
    </xf>
    <xf numFmtId="174" fontId="98" fillId="0" borderId="0" xfId="10" applyNumberFormat="1" applyFont="1" applyFill="1" applyBorder="1" applyAlignment="1" applyProtection="1">
      <alignment horizontal="center" vertical="top"/>
    </xf>
    <xf numFmtId="174" fontId="98" fillId="0" borderId="0" xfId="10" applyNumberFormat="1" applyFont="1" applyFill="1" applyBorder="1" applyAlignment="1" applyProtection="1">
      <alignment vertical="center"/>
    </xf>
    <xf numFmtId="0" fontId="210" fillId="0" borderId="0" xfId="0" applyFont="1" applyFill="1" applyBorder="1" applyAlignment="1" applyProtection="1">
      <alignment horizontal="right" vertical="center"/>
    </xf>
    <xf numFmtId="37" fontId="98" fillId="0" borderId="0" xfId="0" applyNumberFormat="1" applyFont="1" applyFill="1" applyBorder="1" applyAlignment="1" applyProtection="1">
      <alignment vertical="center"/>
    </xf>
    <xf numFmtId="0" fontId="88" fillId="0" borderId="0" xfId="0" applyFont="1" applyFill="1" applyBorder="1" applyAlignment="1" applyProtection="1"/>
    <xf numFmtId="166" fontId="98" fillId="0" borderId="0" xfId="10" applyNumberFormat="1" applyFont="1" applyFill="1" applyBorder="1" applyAlignment="1" applyProtection="1">
      <alignment vertical="center"/>
    </xf>
    <xf numFmtId="3" fontId="98" fillId="0" borderId="0" xfId="1" applyNumberFormat="1" applyFont="1" applyFill="1" applyBorder="1" applyAlignment="1" applyProtection="1">
      <alignment vertical="center"/>
    </xf>
    <xf numFmtId="38" fontId="82" fillId="0" borderId="0" xfId="2" applyNumberFormat="1" applyFont="1" applyFill="1" applyBorder="1" applyAlignment="1" applyProtection="1">
      <alignment vertical="center"/>
    </xf>
    <xf numFmtId="38" fontId="82" fillId="0" borderId="0" xfId="0" applyNumberFormat="1" applyFont="1" applyFill="1" applyBorder="1" applyAlignment="1" applyProtection="1">
      <alignment vertical="center"/>
    </xf>
    <xf numFmtId="0" fontId="210" fillId="0" borderId="0" xfId="0" applyFont="1" applyFill="1" applyBorder="1" applyProtection="1"/>
    <xf numFmtId="166" fontId="98" fillId="0" borderId="0" xfId="0" applyNumberFormat="1" applyFont="1" applyFill="1" applyBorder="1" applyAlignment="1" applyProtection="1">
      <alignment horizontal="center" vertical="center"/>
    </xf>
    <xf numFmtId="38" fontId="98" fillId="0" borderId="0" xfId="2" applyNumberFormat="1" applyFont="1" applyFill="1" applyBorder="1" applyAlignment="1" applyProtection="1">
      <alignment vertical="center"/>
    </xf>
    <xf numFmtId="10" fontId="98" fillId="0" borderId="0" xfId="0" applyNumberFormat="1" applyFont="1" applyFill="1" applyBorder="1" applyAlignment="1" applyProtection="1">
      <alignment horizontal="center" vertical="center"/>
    </xf>
    <xf numFmtId="0" fontId="210" fillId="0" borderId="0" xfId="0" applyFont="1" applyFill="1" applyBorder="1" applyAlignment="1" applyProtection="1">
      <alignment horizontal="center" vertical="center"/>
    </xf>
    <xf numFmtId="38" fontId="82" fillId="0" borderId="0" xfId="0" applyNumberFormat="1" applyFont="1" applyFill="1" applyBorder="1" applyAlignment="1" applyProtection="1">
      <alignment horizontal="center" vertical="center"/>
    </xf>
    <xf numFmtId="38" fontId="98" fillId="0" borderId="0" xfId="2"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98"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82"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4" fontId="98"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center" vertical="center"/>
    </xf>
    <xf numFmtId="4" fontId="82" fillId="0" borderId="0" xfId="0" applyNumberFormat="1" applyFont="1" applyFill="1" applyBorder="1" applyAlignment="1" applyProtection="1">
      <alignment horizontal="right" vertical="center"/>
    </xf>
    <xf numFmtId="0" fontId="221" fillId="0" borderId="0" xfId="0" applyFont="1" applyFill="1" applyBorder="1" applyAlignment="1" applyProtection="1">
      <alignment horizontal="right" vertical="center"/>
    </xf>
    <xf numFmtId="164" fontId="82" fillId="0" borderId="0" xfId="1"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2" fillId="0" borderId="0" xfId="0" applyNumberFormat="1" applyFont="1" applyFill="1" applyBorder="1" applyAlignment="1" applyProtection="1">
      <alignment vertical="center"/>
    </xf>
    <xf numFmtId="171" fontId="82" fillId="0" borderId="0" xfId="0" applyNumberFormat="1" applyFont="1" applyFill="1" applyBorder="1" applyAlignment="1" applyProtection="1">
      <alignment horizontal="center" vertical="center"/>
    </xf>
    <xf numFmtId="166" fontId="83"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wrapText="1"/>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1" fillId="0" borderId="0" xfId="0" applyFont="1" applyFill="1" applyBorder="1" applyAlignment="1" applyProtection="1">
      <alignment horizontal="center" vertical="top"/>
    </xf>
    <xf numFmtId="0" fontId="91" fillId="0" borderId="0" xfId="0" applyFont="1" applyFill="1" applyBorder="1" applyAlignment="1" applyProtection="1">
      <alignment horizontal="right"/>
    </xf>
    <xf numFmtId="4" fontId="82" fillId="0" borderId="0" xfId="0" applyNumberFormat="1" applyFont="1" applyFill="1" applyBorder="1" applyAlignment="1" applyProtection="1">
      <alignment horizontal="left"/>
    </xf>
    <xf numFmtId="10" fontId="98" fillId="0" borderId="0" xfId="0" applyNumberFormat="1" applyFont="1" applyFill="1" applyBorder="1" applyAlignment="1" applyProtection="1">
      <alignment horizontal="center"/>
    </xf>
    <xf numFmtId="0" fontId="98" fillId="0" borderId="0" xfId="0" applyFont="1" applyFill="1" applyBorder="1" applyAlignment="1" applyProtection="1">
      <alignment horizontal="left" vertical="top"/>
    </xf>
    <xf numFmtId="164" fontId="98" fillId="0" borderId="0" xfId="1" applyNumberFormat="1" applyFont="1" applyFill="1" applyBorder="1" applyAlignment="1" applyProtection="1">
      <alignment horizontal="center"/>
    </xf>
    <xf numFmtId="3" fontId="98"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0" fontId="218" fillId="0" borderId="0" xfId="0" applyFont="1" applyFill="1" applyBorder="1" applyAlignment="1" applyProtection="1">
      <alignment horizontal="center" vertical="center"/>
    </xf>
    <xf numFmtId="164" fontId="98"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99" fillId="0" borderId="0" xfId="1" applyNumberFormat="1" applyFont="1" applyFill="1" applyBorder="1" applyAlignment="1" applyProtection="1">
      <alignment horizontal="left" vertical="center"/>
    </xf>
    <xf numFmtId="3" fontId="98" fillId="0" borderId="0" xfId="0" applyNumberFormat="1" applyFont="1" applyFill="1" applyBorder="1" applyAlignment="1" applyProtection="1">
      <alignment horizontal="right" vertical="center"/>
    </xf>
    <xf numFmtId="0" fontId="88" fillId="0" borderId="0" xfId="0" applyFont="1" applyFill="1" applyBorder="1" applyAlignment="1" applyProtection="1">
      <alignment vertical="top" wrapText="1"/>
    </xf>
    <xf numFmtId="37" fontId="98"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vertical="center"/>
    </xf>
    <xf numFmtId="3" fontId="98" fillId="0" borderId="0" xfId="0" applyNumberFormat="1" applyFont="1" applyFill="1" applyBorder="1" applyProtection="1"/>
    <xf numFmtId="0" fontId="221" fillId="0" borderId="0" xfId="0" applyFont="1" applyFill="1" applyBorder="1" applyAlignment="1" applyProtection="1">
      <alignment horizontal="center" vertical="center"/>
    </xf>
    <xf numFmtId="6" fontId="98" fillId="0" borderId="0" xfId="0" applyNumberFormat="1" applyFont="1" applyFill="1" applyBorder="1" applyAlignment="1" applyProtection="1">
      <alignment horizontal="center" vertical="center"/>
    </xf>
    <xf numFmtId="164" fontId="82"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98" fillId="0" borderId="0" xfId="1" applyNumberFormat="1" applyFont="1" applyFill="1" applyBorder="1" applyAlignment="1" applyProtection="1">
      <alignment vertical="center"/>
    </xf>
    <xf numFmtId="38" fontId="82" fillId="0" borderId="0" xfId="0" applyNumberFormat="1" applyFont="1" applyFill="1" applyBorder="1" applyAlignment="1" applyProtection="1">
      <alignment horizontal="right" vertical="center"/>
    </xf>
    <xf numFmtId="164" fontId="98"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10" fontId="98" fillId="0" borderId="0" xfId="0" applyNumberFormat="1" applyFont="1" applyFill="1" applyBorder="1" applyAlignment="1" applyProtection="1">
      <alignment vertical="center"/>
    </xf>
    <xf numFmtId="10" fontId="82"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vertical="center"/>
    </xf>
    <xf numFmtId="0" fontId="224" fillId="0" borderId="0" xfId="0" applyFont="1" applyFill="1" applyBorder="1" applyAlignment="1" applyProtection="1">
      <alignment horizontal="left" vertical="center"/>
    </xf>
    <xf numFmtId="0" fontId="91"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4" fontId="210" fillId="0" borderId="0" xfId="1" applyNumberFormat="1" applyFont="1" applyFill="1" applyBorder="1" applyAlignment="1" applyProtection="1">
      <alignment horizontal="center" vertical="center"/>
    </xf>
    <xf numFmtId="168" fontId="98" fillId="0" borderId="0" xfId="0" applyNumberFormat="1" applyFont="1" applyFill="1" applyBorder="1" applyAlignment="1" applyProtection="1">
      <alignment vertical="center"/>
    </xf>
    <xf numFmtId="170" fontId="98" fillId="0" borderId="0" xfId="0" applyNumberFormat="1" applyFont="1" applyFill="1" applyBorder="1" applyAlignment="1" applyProtection="1">
      <alignment vertical="center"/>
    </xf>
    <xf numFmtId="38" fontId="98"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26" fillId="0" borderId="0" xfId="13" applyFont="1" applyFill="1" applyBorder="1" applyAlignment="1" applyProtection="1">
      <alignment vertical="center"/>
    </xf>
    <xf numFmtId="0" fontId="88" fillId="0" borderId="0" xfId="13" applyFont="1" applyFill="1" applyBorder="1" applyProtection="1"/>
    <xf numFmtId="0" fontId="227" fillId="0" borderId="0" xfId="13" applyFont="1" applyFill="1" applyBorder="1" applyAlignment="1" applyProtection="1">
      <alignment vertical="top" wrapText="1"/>
    </xf>
    <xf numFmtId="0" fontId="79" fillId="0" borderId="0" xfId="13" applyFont="1" applyFill="1" applyBorder="1" applyAlignment="1" applyProtection="1">
      <alignment vertical="top" wrapText="1"/>
    </xf>
    <xf numFmtId="0" fontId="228" fillId="0" borderId="0" xfId="13" applyFont="1" applyFill="1" applyBorder="1" applyAlignment="1" applyProtection="1">
      <alignment horizontal="center" vertical="center" wrapText="1"/>
    </xf>
    <xf numFmtId="0" fontId="88" fillId="0" borderId="0" xfId="13" applyFont="1" applyFill="1" applyBorder="1" applyAlignment="1" applyProtection="1">
      <alignment vertical="center"/>
    </xf>
    <xf numFmtId="0" fontId="99" fillId="0" borderId="0" xfId="13" applyFont="1" applyFill="1" applyBorder="1" applyAlignment="1" applyProtection="1">
      <alignment horizontal="center" vertical="center"/>
    </xf>
    <xf numFmtId="0" fontId="91" fillId="0" borderId="0" xfId="13" applyFont="1" applyFill="1" applyBorder="1" applyProtection="1"/>
    <xf numFmtId="0" fontId="7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91"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1" fillId="0" borderId="0" xfId="1" applyNumberFormat="1" applyFont="1" applyFill="1" applyBorder="1" applyAlignment="1" applyProtection="1">
      <alignment horizontal="right" vertical="center"/>
    </xf>
    <xf numFmtId="0" fontId="91" fillId="0" borderId="0" xfId="13" applyFont="1" applyFill="1" applyBorder="1" applyAlignment="1" applyProtection="1">
      <alignment horizontal="left" vertical="center"/>
    </xf>
    <xf numFmtId="6" fontId="91" fillId="0" borderId="0" xfId="13" applyNumberFormat="1" applyFont="1" applyFill="1" applyBorder="1" applyAlignment="1" applyProtection="1">
      <alignment horizontal="center" vertical="center"/>
    </xf>
    <xf numFmtId="164" fontId="91" fillId="0" borderId="0" xfId="1" applyNumberFormat="1" applyFont="1" applyFill="1" applyBorder="1" applyAlignment="1" applyProtection="1">
      <alignment vertical="center"/>
    </xf>
    <xf numFmtId="0" fontId="91" fillId="0" borderId="0" xfId="13" applyFont="1" applyFill="1" applyBorder="1" applyAlignment="1" applyProtection="1">
      <alignment horizontal="right" vertical="center" wrapText="1"/>
    </xf>
    <xf numFmtId="0" fontId="79" fillId="0" borderId="0" xfId="0" applyFont="1" applyFill="1" applyBorder="1" applyAlignment="1" applyProtection="1">
      <alignment vertical="center"/>
    </xf>
    <xf numFmtId="0" fontId="79" fillId="0" borderId="0" xfId="0" applyFont="1" applyFill="1" applyBorder="1" applyAlignment="1" applyProtection="1">
      <alignment horizontal="left" vertical="center"/>
    </xf>
    <xf numFmtId="0" fontId="229" fillId="0" borderId="0" xfId="0" applyFont="1" applyFill="1" applyBorder="1" applyProtection="1"/>
    <xf numFmtId="0" fontId="79" fillId="0" borderId="0" xfId="0" applyFont="1" applyFill="1" applyBorder="1" applyProtection="1"/>
    <xf numFmtId="0" fontId="88" fillId="0" borderId="0" xfId="0" applyFont="1" applyFill="1" applyBorder="1" applyAlignment="1" applyProtection="1">
      <alignment wrapText="1"/>
    </xf>
    <xf numFmtId="175" fontId="88" fillId="0" borderId="0" xfId="0" applyNumberFormat="1" applyFont="1" applyFill="1" applyBorder="1" applyAlignment="1" applyProtection="1"/>
    <xf numFmtId="0" fontId="88" fillId="0" borderId="0" xfId="0" applyFont="1" applyFill="1" applyBorder="1" applyAlignment="1" applyProtection="1">
      <alignment horizontal="center"/>
    </xf>
    <xf numFmtId="0" fontId="79" fillId="0" borderId="0" xfId="0" applyFont="1" applyFill="1" applyBorder="1" applyAlignment="1" applyProtection="1"/>
    <xf numFmtId="0" fontId="79" fillId="0" borderId="0" xfId="0" applyFont="1" applyFill="1" applyBorder="1" applyAlignment="1" applyProtection="1">
      <alignment horizontal="center"/>
    </xf>
    <xf numFmtId="0" fontId="79" fillId="0" borderId="0" xfId="0" applyNumberFormat="1" applyFont="1" applyFill="1" applyBorder="1" applyAlignment="1" applyProtection="1">
      <alignment horizontal="center" vertical="center"/>
    </xf>
    <xf numFmtId="0" fontId="88" fillId="0" borderId="0" xfId="0" applyFont="1" applyFill="1" applyBorder="1" applyAlignment="1" applyProtection="1">
      <alignment horizontal="center" vertical="center"/>
    </xf>
    <xf numFmtId="0" fontId="92" fillId="0" borderId="0" xfId="0" applyFont="1" applyFill="1" applyBorder="1" applyAlignment="1" applyProtection="1">
      <alignment horizontal="center"/>
    </xf>
    <xf numFmtId="0" fontId="92"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88" fillId="0" borderId="0" xfId="0" applyFont="1" applyFill="1" applyBorder="1" applyAlignment="1" applyProtection="1">
      <alignment vertical="center"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79" fillId="0" borderId="0" xfId="0" applyFont="1" applyFill="1" applyBorder="1" applyAlignment="1" applyProtection="1">
      <alignment horizontal="center" vertical="center"/>
    </xf>
    <xf numFmtId="0" fontId="79" fillId="0" borderId="0" xfId="0" applyFont="1" applyFill="1" applyBorder="1" applyAlignment="1" applyProtection="1">
      <alignment horizontal="left"/>
    </xf>
    <xf numFmtId="3" fontId="79" fillId="0" borderId="0" xfId="0" applyNumberFormat="1" applyFont="1" applyFill="1" applyBorder="1" applyAlignment="1" applyProtection="1">
      <alignment vertical="center"/>
    </xf>
    <xf numFmtId="3" fontId="79" fillId="0" borderId="0" xfId="0" applyNumberFormat="1" applyFont="1" applyFill="1" applyBorder="1" applyAlignment="1" applyProtection="1">
      <alignment horizontal="center" vertical="center"/>
    </xf>
    <xf numFmtId="0" fontId="79" fillId="0" borderId="0" xfId="0" applyFont="1" applyFill="1" applyBorder="1" applyAlignment="1" applyProtection="1">
      <alignment vertical="center" wrapText="1"/>
    </xf>
    <xf numFmtId="0" fontId="79"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224" fillId="0" borderId="0" xfId="0" applyFont="1" applyFill="1" applyBorder="1" applyAlignment="1" applyProtection="1">
      <alignment horizontal="center" vertical="center"/>
    </xf>
    <xf numFmtId="0"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17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3" fontId="88" fillId="0" borderId="0" xfId="0" applyNumberFormat="1" applyFont="1" applyFill="1" applyBorder="1" applyAlignment="1" applyProtection="1">
      <alignment horizontal="center"/>
    </xf>
    <xf numFmtId="0" fontId="201" fillId="0" borderId="0" xfId="0" applyFont="1" applyFill="1" applyBorder="1" applyAlignment="1" applyProtection="1">
      <alignment horizontal="right" vertical="center"/>
    </xf>
    <xf numFmtId="164" fontId="92"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3" fontId="79" fillId="0" borderId="0" xfId="0" applyNumberFormat="1" applyFont="1" applyFill="1" applyBorder="1" applyAlignment="1" applyProtection="1">
      <alignment horizontal="center"/>
    </xf>
    <xf numFmtId="0" fontId="79" fillId="0" borderId="0" xfId="0" applyFont="1" applyFill="1" applyBorder="1" applyAlignment="1" applyProtection="1">
      <alignment horizontal="right" vertical="center"/>
    </xf>
    <xf numFmtId="0" fontId="99" fillId="0" borderId="0" xfId="0" applyFont="1" applyFill="1" applyBorder="1" applyAlignment="1" applyProtection="1">
      <alignment vertical="center" wrapText="1"/>
    </xf>
    <xf numFmtId="0" fontId="91" fillId="0" borderId="0" xfId="0" applyFont="1" applyFill="1" applyBorder="1" applyAlignment="1" applyProtection="1">
      <alignment horizontal="left" vertical="center" wrapText="1"/>
    </xf>
    <xf numFmtId="0" fontId="79" fillId="0" borderId="0" xfId="0" applyNumberFormat="1" applyFont="1" applyFill="1" applyBorder="1" applyAlignment="1" applyProtection="1">
      <alignment horizontal="center" vertical="center" wrapText="1"/>
    </xf>
    <xf numFmtId="0" fontId="231" fillId="0" borderId="0" xfId="0" applyFont="1" applyFill="1" applyBorder="1" applyAlignment="1" applyProtection="1">
      <alignment horizontal="right"/>
    </xf>
    <xf numFmtId="38" fontId="88"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88"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89" fillId="0" borderId="0" xfId="0" applyFont="1" applyFill="1" applyBorder="1" applyAlignment="1" applyProtection="1">
      <alignment horizontal="left" vertical="center"/>
    </xf>
    <xf numFmtId="0" fontId="233" fillId="0" borderId="0" xfId="0" applyFont="1" applyFill="1" applyBorder="1" applyAlignment="1" applyProtection="1">
      <alignment horizontal="left" vertical="center"/>
    </xf>
    <xf numFmtId="0" fontId="88" fillId="0" borderId="0" xfId="0" applyFont="1" applyFill="1" applyBorder="1" applyAlignment="1" applyProtection="1">
      <alignment horizontal="left"/>
    </xf>
    <xf numFmtId="38" fontId="88" fillId="0" borderId="0" xfId="0" applyNumberFormat="1" applyFont="1" applyFill="1" applyBorder="1" applyProtection="1"/>
    <xf numFmtId="0" fontId="91" fillId="0" borderId="0" xfId="0" applyFont="1" applyFill="1" applyBorder="1" applyProtection="1"/>
    <xf numFmtId="38" fontId="88" fillId="0" borderId="0" xfId="0" applyNumberFormat="1" applyFont="1" applyFill="1" applyBorder="1" applyAlignment="1" applyProtection="1">
      <alignment vertical="center"/>
    </xf>
    <xf numFmtId="38" fontId="88" fillId="0" borderId="0" xfId="1" applyNumberFormat="1" applyFont="1" applyFill="1" applyBorder="1" applyAlignment="1" applyProtection="1">
      <alignment vertical="center"/>
    </xf>
    <xf numFmtId="0" fontId="201" fillId="0" borderId="0" xfId="0" applyFont="1" applyFill="1" applyBorder="1" applyProtection="1"/>
    <xf numFmtId="164" fontId="92" fillId="0" borderId="0" xfId="0" applyNumberFormat="1" applyFont="1" applyFill="1" applyBorder="1" applyAlignment="1" applyProtection="1"/>
    <xf numFmtId="0" fontId="92" fillId="0" borderId="0" xfId="0" applyFont="1" applyFill="1" applyBorder="1" applyAlignment="1" applyProtection="1">
      <alignment horizontal="left"/>
    </xf>
    <xf numFmtId="10" fontId="92" fillId="0" borderId="0" xfId="0" applyNumberFormat="1" applyFont="1" applyFill="1" applyBorder="1" applyProtection="1"/>
    <xf numFmtId="0" fontId="92" fillId="0" borderId="0" xfId="0" applyFont="1" applyFill="1" applyBorder="1" applyAlignment="1" applyProtection="1">
      <alignment horizontal="left" indent="2"/>
    </xf>
    <xf numFmtId="9" fontId="92" fillId="0" borderId="0" xfId="10" applyFont="1" applyFill="1" applyBorder="1" applyProtection="1"/>
    <xf numFmtId="0" fontId="183" fillId="0" borderId="0" xfId="0" applyFont="1" applyFill="1" applyBorder="1" applyProtection="1"/>
    <xf numFmtId="0" fontId="201" fillId="0" borderId="0" xfId="1" applyNumberFormat="1" applyFont="1" applyFill="1" applyBorder="1" applyAlignment="1" applyProtection="1">
      <alignment horizontal="center"/>
    </xf>
    <xf numFmtId="0" fontId="231" fillId="0" borderId="0" xfId="1" applyNumberFormat="1" applyFont="1" applyFill="1" applyBorder="1" applyAlignment="1" applyProtection="1">
      <alignment horizontal="center"/>
    </xf>
    <xf numFmtId="3" fontId="92" fillId="0" borderId="0" xfId="0" applyNumberFormat="1" applyFont="1" applyFill="1" applyBorder="1" applyAlignment="1" applyProtection="1">
      <alignment vertical="center"/>
    </xf>
    <xf numFmtId="3" fontId="88"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vertical="center"/>
    </xf>
    <xf numFmtId="44" fontId="92" fillId="0" borderId="0" xfId="0" applyNumberFormat="1" applyFont="1" applyFill="1" applyBorder="1" applyProtection="1"/>
    <xf numFmtId="3" fontId="92" fillId="0" borderId="0" xfId="10" applyNumberFormat="1" applyFont="1" applyFill="1" applyBorder="1" applyAlignment="1" applyProtection="1">
      <alignment vertical="center"/>
    </xf>
    <xf numFmtId="44" fontId="88" fillId="0" borderId="0" xfId="0" applyNumberFormat="1" applyFont="1" applyFill="1" applyBorder="1" applyProtection="1"/>
    <xf numFmtId="0" fontId="181" fillId="0" borderId="0" xfId="0" applyFont="1" applyFill="1" applyBorder="1" applyAlignment="1" applyProtection="1"/>
    <xf numFmtId="0" fontId="232" fillId="0" borderId="0" xfId="0" applyFont="1" applyFill="1" applyBorder="1" applyAlignment="1" applyProtection="1">
      <alignment horizontal="right" vertical="center"/>
    </xf>
    <xf numFmtId="38" fontId="89" fillId="0" borderId="0" xfId="0" applyNumberFormat="1" applyFont="1" applyFill="1" applyBorder="1" applyAlignment="1" applyProtection="1">
      <alignment vertical="center" wrapText="1"/>
    </xf>
    <xf numFmtId="38" fontId="88" fillId="0" borderId="0" xfId="0" applyNumberFormat="1" applyFont="1" applyFill="1" applyBorder="1" applyAlignment="1" applyProtection="1">
      <alignment horizontal="center" vertical="center"/>
    </xf>
    <xf numFmtId="3" fontId="88" fillId="0" borderId="0" xfId="1" applyNumberFormat="1" applyFont="1" applyFill="1" applyBorder="1" applyAlignment="1" applyProtection="1">
      <alignment vertical="center"/>
    </xf>
    <xf numFmtId="4" fontId="92" fillId="0" borderId="0" xfId="1"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89"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88" fillId="0" borderId="0" xfId="1" applyNumberFormat="1" applyFont="1" applyFill="1" applyBorder="1" applyAlignment="1" applyProtection="1">
      <alignment horizontal="right" vertical="center"/>
    </xf>
    <xf numFmtId="3" fontId="92" fillId="0" borderId="0" xfId="1" applyNumberFormat="1" applyFont="1" applyFill="1" applyBorder="1" applyAlignment="1" applyProtection="1">
      <alignment horizontal="right" vertical="center"/>
    </xf>
    <xf numFmtId="1" fontId="235"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99" fillId="0" borderId="0" xfId="0" applyFont="1" applyFill="1" applyBorder="1" applyAlignment="1" applyProtection="1"/>
    <xf numFmtId="3" fontId="89"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88" fillId="0" borderId="0" xfId="0" applyNumberFormat="1" applyFont="1" applyFill="1" applyBorder="1" applyAlignment="1" applyProtection="1">
      <alignment horizontal="left"/>
    </xf>
    <xf numFmtId="164" fontId="88" fillId="0" borderId="0" xfId="1" applyNumberFormat="1" applyFont="1" applyFill="1" applyBorder="1" applyAlignment="1" applyProtection="1">
      <alignment horizontal="right"/>
    </xf>
    <xf numFmtId="10" fontId="88" fillId="0" borderId="0" xfId="0" applyNumberFormat="1" applyFont="1" applyFill="1" applyBorder="1" applyAlignment="1" applyProtection="1">
      <alignment horizontal="center"/>
    </xf>
    <xf numFmtId="3" fontId="79" fillId="0" borderId="0" xfId="0" applyNumberFormat="1" applyFont="1" applyFill="1" applyBorder="1" applyAlignment="1" applyProtection="1">
      <alignment horizontal="right"/>
    </xf>
    <xf numFmtId="0" fontId="88" fillId="0" borderId="0" xfId="0" applyFont="1" applyFill="1" applyBorder="1" applyAlignment="1" applyProtection="1">
      <alignment horizontal="right"/>
    </xf>
    <xf numFmtId="0" fontId="88" fillId="0" borderId="0" xfId="0" applyNumberFormat="1" applyFont="1" applyFill="1" applyBorder="1" applyAlignment="1" applyProtection="1">
      <alignment horizontal="right" vertical="center"/>
    </xf>
    <xf numFmtId="0" fontId="88" fillId="0" borderId="0" xfId="0" quotePrefix="1" applyFont="1" applyFill="1" applyBorder="1" applyAlignment="1" applyProtection="1">
      <alignment horizontal="lef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64" fontId="88" fillId="0" borderId="0" xfId="1" applyNumberFormat="1" applyFont="1" applyFill="1" applyBorder="1" applyProtection="1"/>
    <xf numFmtId="43" fontId="88" fillId="0" borderId="0" xfId="1" applyNumberFormat="1" applyFont="1" applyFill="1" applyBorder="1" applyProtection="1"/>
    <xf numFmtId="39" fontId="88" fillId="0" borderId="0" xfId="1" applyNumberFormat="1" applyFont="1" applyFill="1" applyBorder="1" applyAlignment="1" applyProtection="1">
      <alignment horizontal="right"/>
    </xf>
    <xf numFmtId="164" fontId="79" fillId="0" borderId="0" xfId="1" applyNumberFormat="1" applyFont="1" applyFill="1" applyBorder="1" applyProtection="1"/>
    <xf numFmtId="0" fontId="111"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26" fillId="0" borderId="0" xfId="0" applyFont="1" applyFill="1" applyBorder="1" applyProtection="1"/>
    <xf numFmtId="0" fontId="224" fillId="0" borderId="0" xfId="0" applyFont="1" applyFill="1" applyBorder="1" applyAlignment="1" applyProtection="1">
      <alignment vertical="center" wrapText="1"/>
    </xf>
    <xf numFmtId="0" fontId="228" fillId="0" borderId="0" xfId="0" applyFont="1" applyFill="1" applyBorder="1" applyAlignment="1" applyProtection="1">
      <alignment vertical="center"/>
    </xf>
    <xf numFmtId="0" fontId="229" fillId="0" borderId="0" xfId="0" applyFont="1" applyFill="1" applyBorder="1" applyAlignment="1" applyProtection="1">
      <alignment horizontal="left" vertical="top"/>
    </xf>
    <xf numFmtId="0" fontId="79" fillId="0" borderId="0" xfId="0" applyFont="1" applyFill="1" applyBorder="1" applyAlignment="1" applyProtection="1">
      <alignment horizontal="left" vertical="top"/>
    </xf>
    <xf numFmtId="0" fontId="79" fillId="0" borderId="0" xfId="0" applyFont="1" applyFill="1" applyBorder="1" applyAlignment="1" applyProtection="1">
      <alignment vertical="top"/>
    </xf>
    <xf numFmtId="0" fontId="181" fillId="0" borderId="0" xfId="0" applyFont="1" applyFill="1" applyBorder="1" applyAlignment="1" applyProtection="1">
      <alignment vertical="top"/>
    </xf>
    <xf numFmtId="0" fontId="181" fillId="0" borderId="0" xfId="0" applyFont="1" applyFill="1" applyBorder="1" applyAlignment="1" applyProtection="1">
      <alignment vertical="center"/>
    </xf>
    <xf numFmtId="0" fontId="89" fillId="0" borderId="0" xfId="0" applyFont="1" applyFill="1" applyBorder="1" applyAlignment="1" applyProtection="1">
      <alignment horizontal="center" vertical="center"/>
    </xf>
    <xf numFmtId="0" fontId="181" fillId="0" borderId="0" xfId="0" applyFont="1" applyFill="1" applyBorder="1" applyAlignment="1" applyProtection="1">
      <alignment horizontal="right" vertical="top" wrapText="1"/>
    </xf>
    <xf numFmtId="0" fontId="89" fillId="0" borderId="0" xfId="0" applyFont="1" applyFill="1" applyBorder="1" applyAlignment="1" applyProtection="1">
      <alignment vertical="top" wrapText="1"/>
    </xf>
    <xf numFmtId="0" fontId="233" fillId="0" borderId="0" xfId="0" applyFont="1" applyFill="1" applyBorder="1" applyAlignment="1" applyProtection="1">
      <alignment vertical="top"/>
    </xf>
    <xf numFmtId="0" fontId="233" fillId="0" borderId="0" xfId="0" applyFont="1" applyFill="1" applyBorder="1" applyAlignment="1" applyProtection="1">
      <alignment vertical="top" wrapText="1"/>
    </xf>
    <xf numFmtId="0" fontId="89" fillId="0" borderId="0" xfId="0" applyFont="1" applyFill="1" applyBorder="1" applyAlignment="1" applyProtection="1">
      <alignment horizontal="left" vertical="top" wrapText="1"/>
    </xf>
    <xf numFmtId="0" fontId="201" fillId="0" borderId="0" xfId="0" applyNumberFormat="1" applyFont="1" applyFill="1" applyBorder="1" applyAlignment="1" applyProtection="1">
      <alignment vertical="center" wrapText="1"/>
    </xf>
    <xf numFmtId="0" fontId="224" fillId="0" borderId="0" xfId="0" applyFont="1" applyFill="1" applyBorder="1" applyAlignment="1" applyProtection="1">
      <alignment vertical="top" wrapText="1"/>
    </xf>
    <xf numFmtId="0" fontId="181" fillId="0" borderId="0" xfId="0" applyFont="1" applyFill="1" applyBorder="1" applyAlignment="1" applyProtection="1">
      <alignment horizontal="center" vertical="center"/>
    </xf>
    <xf numFmtId="0" fontId="91" fillId="0" borderId="0" xfId="0" applyFont="1" applyFill="1" applyBorder="1" applyAlignment="1" applyProtection="1">
      <alignment horizontal="justify"/>
    </xf>
    <xf numFmtId="0" fontId="89" fillId="0" borderId="0" xfId="0" applyFont="1" applyFill="1" applyBorder="1" applyAlignment="1" applyProtection="1">
      <alignment wrapText="1"/>
    </xf>
    <xf numFmtId="0" fontId="99" fillId="0" borderId="0" xfId="0" applyFont="1" applyFill="1" applyBorder="1" applyAlignment="1" applyProtection="1">
      <alignment vertical="top" wrapText="1"/>
    </xf>
    <xf numFmtId="0" fontId="91" fillId="0" borderId="0" xfId="0" applyFont="1" applyFill="1" applyBorder="1" applyAlignment="1" applyProtection="1">
      <alignment horizontal="justify" vertical="center"/>
    </xf>
    <xf numFmtId="37" fontId="89"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right" vertical="center" wrapText="1"/>
    </xf>
    <xf numFmtId="3" fontId="91" fillId="0" borderId="0" xfId="0" applyNumberFormat="1" applyFont="1" applyFill="1" applyBorder="1" applyAlignment="1" applyProtection="1">
      <alignment horizontal="center" vertical="center"/>
    </xf>
    <xf numFmtId="0" fontId="79" fillId="0" borderId="0" xfId="0" applyNumberFormat="1" applyFont="1" applyFill="1" applyBorder="1" applyAlignment="1" applyProtection="1">
      <alignment vertical="center" wrapText="1"/>
    </xf>
    <xf numFmtId="3" fontId="226" fillId="0" borderId="0" xfId="0" applyNumberFormat="1" applyFont="1" applyFill="1" applyBorder="1" applyAlignment="1" applyProtection="1">
      <alignment vertical="center" wrapText="1"/>
    </xf>
    <xf numFmtId="0" fontId="238" fillId="0" borderId="0" xfId="0" applyFont="1" applyFill="1" applyBorder="1" applyAlignment="1" applyProtection="1">
      <alignment horizontal="right" vertical="top"/>
    </xf>
    <xf numFmtId="0" fontId="88" fillId="0" borderId="0" xfId="0" applyFont="1" applyFill="1" applyBorder="1" applyAlignment="1" applyProtection="1">
      <alignment vertical="top"/>
    </xf>
    <xf numFmtId="3" fontId="233" fillId="0" borderId="0" xfId="0" applyNumberFormat="1" applyFont="1" applyFill="1" applyBorder="1" applyAlignment="1" applyProtection="1">
      <alignment horizontal="center" vertical="top"/>
    </xf>
    <xf numFmtId="0" fontId="182" fillId="0" borderId="0" xfId="0" applyFont="1" applyFill="1" applyBorder="1" applyAlignment="1" applyProtection="1">
      <alignment horizontal="justify" vertical="top" wrapText="1"/>
    </xf>
    <xf numFmtId="0" fontId="233"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4" fillId="0" borderId="0" xfId="0" applyFont="1" applyFill="1" applyBorder="1" applyAlignment="1" applyProtection="1">
      <alignment vertical="top"/>
    </xf>
    <xf numFmtId="0" fontId="239" fillId="0" borderId="0" xfId="0" applyFont="1" applyFill="1" applyBorder="1" applyAlignment="1" applyProtection="1">
      <alignment vertical="top"/>
    </xf>
    <xf numFmtId="0" fontId="89" fillId="0" borderId="0" xfId="0" applyFont="1" applyFill="1" applyBorder="1" applyAlignment="1" applyProtection="1">
      <alignment horizontal="center" wrapText="1"/>
    </xf>
    <xf numFmtId="0" fontId="89" fillId="0" borderId="0" xfId="0" applyFont="1" applyFill="1" applyBorder="1" applyAlignment="1" applyProtection="1">
      <alignment vertical="top"/>
    </xf>
    <xf numFmtId="6" fontId="226" fillId="0" borderId="0" xfId="0" applyNumberFormat="1" applyFont="1" applyFill="1" applyBorder="1" applyAlignment="1" applyProtection="1">
      <alignment vertical="center"/>
    </xf>
    <xf numFmtId="0" fontId="88" fillId="0" borderId="0" xfId="0" applyFont="1" applyFill="1" applyBorder="1" applyAlignment="1" applyProtection="1">
      <alignment horizontal="center" vertical="center" wrapText="1"/>
    </xf>
    <xf numFmtId="3" fontId="88"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wrapText="1"/>
    </xf>
    <xf numFmtId="3" fontId="228" fillId="0" borderId="0" xfId="0" applyNumberFormat="1" applyFont="1" applyFill="1" applyBorder="1" applyAlignment="1" applyProtection="1">
      <alignment vertical="center" wrapText="1"/>
    </xf>
    <xf numFmtId="164" fontId="88"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center" vertical="center" wrapText="1"/>
    </xf>
    <xf numFmtId="0" fontId="181" fillId="0" borderId="0" xfId="0" applyFont="1" applyFill="1" applyBorder="1" applyAlignment="1" applyProtection="1">
      <alignment horizontal="left" vertical="center"/>
    </xf>
    <xf numFmtId="3" fontId="83" fillId="0" borderId="0" xfId="0" applyNumberFormat="1" applyFont="1" applyFill="1" applyBorder="1" applyAlignment="1" applyProtection="1">
      <alignment horizontal="center" vertical="center"/>
    </xf>
    <xf numFmtId="3" fontId="83" fillId="0" borderId="0" xfId="0" applyNumberFormat="1" applyFont="1" applyFill="1" applyBorder="1" applyAlignment="1" applyProtection="1">
      <alignment vertical="center"/>
    </xf>
    <xf numFmtId="164" fontId="83" fillId="0" borderId="0" xfId="1" applyNumberFormat="1" applyFont="1" applyFill="1" applyBorder="1" applyAlignment="1" applyProtection="1">
      <alignment horizontal="right" vertical="center"/>
    </xf>
    <xf numFmtId="0" fontId="181" fillId="0" borderId="0" xfId="0" applyFont="1" applyFill="1" applyBorder="1" applyAlignment="1" applyProtection="1">
      <alignment horizontal="right" vertical="top"/>
    </xf>
    <xf numFmtId="0" fontId="240" fillId="0" borderId="0" xfId="0" applyFont="1" applyFill="1" applyBorder="1" applyAlignment="1" applyProtection="1">
      <alignment vertical="top"/>
    </xf>
    <xf numFmtId="0" fontId="181"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89" fillId="0" borderId="0" xfId="0" applyFont="1" applyFill="1" applyBorder="1" applyAlignment="1" applyProtection="1">
      <alignment horizontal="right" vertical="center"/>
    </xf>
    <xf numFmtId="0" fontId="181" fillId="0" borderId="0" xfId="0" applyFont="1" applyFill="1" applyBorder="1" applyAlignment="1" applyProtection="1">
      <alignment vertical="center" wrapText="1"/>
    </xf>
    <xf numFmtId="10" fontId="181" fillId="0" borderId="0" xfId="0" applyNumberFormat="1" applyFont="1" applyFill="1" applyBorder="1" applyAlignment="1" applyProtection="1">
      <alignment vertical="center"/>
    </xf>
    <xf numFmtId="10" fontId="88" fillId="0" borderId="0" xfId="0" applyNumberFormat="1" applyFont="1" applyFill="1" applyBorder="1" applyAlignment="1" applyProtection="1">
      <alignment vertical="center"/>
    </xf>
    <xf numFmtId="10" fontId="181" fillId="0" borderId="0" xfId="0" applyNumberFormat="1" applyFont="1" applyFill="1" applyBorder="1" applyAlignment="1" applyProtection="1">
      <alignment horizontal="left" vertical="center"/>
    </xf>
    <xf numFmtId="10" fontId="89" fillId="0" borderId="0" xfId="0" applyNumberFormat="1" applyFont="1" applyFill="1" applyBorder="1" applyAlignment="1" applyProtection="1">
      <alignment horizontal="right" vertical="center"/>
    </xf>
    <xf numFmtId="10" fontId="181" fillId="0" borderId="0" xfId="0" applyNumberFormat="1" applyFont="1" applyFill="1" applyBorder="1" applyAlignment="1" applyProtection="1">
      <alignment horizontal="center" vertical="center"/>
    </xf>
    <xf numFmtId="0" fontId="88"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0" fontId="89" fillId="0" borderId="0" xfId="0" applyFont="1" applyFill="1" applyBorder="1" applyAlignment="1" applyProtection="1">
      <alignment horizontal="center"/>
    </xf>
    <xf numFmtId="0" fontId="89" fillId="0" borderId="0" xfId="0" applyFont="1" applyFill="1" applyBorder="1" applyAlignment="1" applyProtection="1">
      <alignment horizontal="right" vertical="top"/>
    </xf>
    <xf numFmtId="0" fontId="181" fillId="0" borderId="0" xfId="0" applyFont="1" applyFill="1" applyBorder="1" applyAlignment="1" applyProtection="1">
      <alignment horizontal="center" vertical="top"/>
    </xf>
    <xf numFmtId="0" fontId="79" fillId="0" borderId="0" xfId="0" applyFont="1" applyFill="1" applyBorder="1" applyAlignment="1" applyProtection="1">
      <alignment horizontal="right" vertical="top"/>
    </xf>
    <xf numFmtId="0" fontId="88" fillId="0" borderId="0" xfId="0" applyFont="1" applyFill="1" applyBorder="1" applyAlignment="1" applyProtection="1">
      <alignment horizontal="left" vertical="center"/>
    </xf>
    <xf numFmtId="0" fontId="89" fillId="0" borderId="0" xfId="0" applyFont="1" applyFill="1" applyBorder="1" applyAlignment="1" applyProtection="1">
      <alignment horizontal="center" vertical="top"/>
    </xf>
    <xf numFmtId="166" fontId="181" fillId="0" borderId="0" xfId="0" applyNumberFormat="1" applyFont="1" applyFill="1" applyBorder="1" applyAlignment="1" applyProtection="1">
      <alignment horizontal="center" vertical="center"/>
    </xf>
    <xf numFmtId="0" fontId="181" fillId="0" borderId="0" xfId="0" applyFont="1" applyFill="1" applyBorder="1" applyProtection="1"/>
    <xf numFmtId="0" fontId="88" fillId="0" borderId="0" xfId="0" applyFont="1" applyFill="1" applyBorder="1" applyAlignment="1" applyProtection="1">
      <alignment horizontal="left" vertical="center" wrapText="1"/>
    </xf>
    <xf numFmtId="176" fontId="79" fillId="0" borderId="0" xfId="0" applyNumberFormat="1" applyFont="1" applyFill="1" applyBorder="1" applyAlignment="1" applyProtection="1"/>
    <xf numFmtId="0" fontId="89" fillId="0" borderId="0" xfId="0" applyFont="1" applyFill="1" applyBorder="1" applyAlignment="1" applyProtection="1">
      <alignment horizontal="left" vertical="top"/>
    </xf>
    <xf numFmtId="0" fontId="89" fillId="0" borderId="0" xfId="0" applyFont="1" applyFill="1" applyBorder="1" applyAlignment="1" applyProtection="1">
      <alignment horizontal="right"/>
    </xf>
    <xf numFmtId="0" fontId="88" fillId="0" borderId="0" xfId="0" applyFont="1" applyFill="1" applyBorder="1" applyAlignment="1" applyProtection="1">
      <alignment horizontal="left" vertical="top" wrapText="1"/>
    </xf>
    <xf numFmtId="0" fontId="89" fillId="0" borderId="0" xfId="0" applyFont="1" applyFill="1" applyBorder="1" applyAlignment="1" applyProtection="1"/>
    <xf numFmtId="0" fontId="91" fillId="0" borderId="0" xfId="0" applyFont="1" applyFill="1" applyBorder="1" applyAlignment="1" applyProtection="1"/>
    <xf numFmtId="0" fontId="91" fillId="0" borderId="0" xfId="0" applyFont="1" applyFill="1" applyBorder="1" applyAlignment="1" applyProtection="1">
      <alignment horizontal="center" vertical="center"/>
    </xf>
    <xf numFmtId="3" fontId="89" fillId="0" borderId="0" xfId="0" applyNumberFormat="1" applyFont="1" applyFill="1" applyBorder="1" applyAlignment="1" applyProtection="1">
      <alignment horizontal="center"/>
    </xf>
    <xf numFmtId="0" fontId="79" fillId="0" borderId="0" xfId="0" applyFont="1" applyFill="1" applyBorder="1" applyAlignment="1" applyProtection="1">
      <alignment horizontal="left" vertical="top" wrapText="1"/>
    </xf>
    <xf numFmtId="0" fontId="181" fillId="0" borderId="0" xfId="0" applyFont="1" applyFill="1" applyBorder="1" applyAlignment="1" applyProtection="1">
      <alignment horizontal="left" vertical="top" wrapText="1"/>
    </xf>
    <xf numFmtId="0" fontId="89"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3" fontId="89" fillId="0" borderId="0" xfId="1" applyNumberFormat="1" applyFont="1" applyFill="1" applyBorder="1" applyAlignment="1" applyProtection="1">
      <alignment horizontal="center" vertical="center"/>
    </xf>
    <xf numFmtId="1" fontId="181" fillId="0" borderId="0" xfId="0" applyNumberFormat="1" applyFont="1" applyFill="1" applyBorder="1" applyAlignment="1" applyProtection="1">
      <alignment horizontal="center" vertical="center"/>
    </xf>
    <xf numFmtId="9" fontId="181" fillId="0" borderId="0" xfId="0" applyNumberFormat="1" applyFont="1" applyFill="1" applyBorder="1" applyAlignment="1" applyProtection="1">
      <alignment horizontal="center" vertical="center"/>
    </xf>
    <xf numFmtId="0" fontId="89" fillId="0" borderId="0" xfId="0" applyFont="1" applyFill="1" applyBorder="1" applyAlignment="1" applyProtection="1">
      <alignment horizontal="left"/>
    </xf>
    <xf numFmtId="0" fontId="181" fillId="0" borderId="0" xfId="0" applyFont="1" applyFill="1" applyBorder="1" applyAlignment="1" applyProtection="1">
      <alignment vertical="top" wrapText="1"/>
    </xf>
    <xf numFmtId="176" fontId="181" fillId="0" borderId="0" xfId="0" applyNumberFormat="1" applyFont="1" applyFill="1" applyBorder="1" applyAlignment="1" applyProtection="1">
      <alignment vertical="center"/>
    </xf>
    <xf numFmtId="3" fontId="181"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center" vertical="center" wrapText="1"/>
    </xf>
    <xf numFmtId="3" fontId="181" fillId="0" borderId="0" xfId="0" applyNumberFormat="1" applyFont="1" applyFill="1" applyBorder="1" applyAlignment="1" applyProtection="1">
      <alignment horizontal="center" vertical="center"/>
    </xf>
    <xf numFmtId="37" fontId="79" fillId="0" borderId="0" xfId="0" applyNumberFormat="1" applyFont="1" applyFill="1" applyBorder="1" applyAlignment="1" applyProtection="1">
      <alignment vertical="center" wrapText="1"/>
    </xf>
    <xf numFmtId="1" fontId="89" fillId="0" borderId="0" xfId="0" applyNumberFormat="1" applyFont="1" applyFill="1" applyBorder="1" applyAlignment="1" applyProtection="1">
      <alignment horizontal="left" vertical="center"/>
    </xf>
    <xf numFmtId="0" fontId="227" fillId="0" borderId="0" xfId="0" applyFont="1" applyFill="1" applyBorder="1" applyAlignment="1" applyProtection="1">
      <alignment vertical="center"/>
    </xf>
    <xf numFmtId="0" fontId="79" fillId="0" borderId="0" xfId="0" applyFont="1" applyFill="1" applyBorder="1" applyAlignment="1" applyProtection="1">
      <alignment horizontal="center" wrapText="1"/>
    </xf>
    <xf numFmtId="0" fontId="226" fillId="0" borderId="0" xfId="0" applyFont="1" applyFill="1" applyBorder="1" applyAlignment="1" applyProtection="1">
      <alignment horizontal="center" vertical="center"/>
    </xf>
    <xf numFmtId="38" fontId="79" fillId="0" borderId="0" xfId="0" applyNumberFormat="1" applyFont="1" applyFill="1" applyBorder="1" applyAlignment="1" applyProtection="1">
      <alignment horizontal="center" vertical="center"/>
    </xf>
    <xf numFmtId="0" fontId="242" fillId="0" borderId="0" xfId="0" applyFont="1" applyFill="1" applyBorder="1" applyProtection="1"/>
    <xf numFmtId="0" fontId="232" fillId="0" borderId="0" xfId="0" quotePrefix="1" applyFont="1" applyFill="1" applyBorder="1" applyAlignment="1" applyProtection="1">
      <alignment vertical="center"/>
    </xf>
    <xf numFmtId="0" fontId="232" fillId="0" borderId="0" xfId="0" applyFont="1" applyFill="1" applyBorder="1" applyAlignment="1" applyProtection="1">
      <alignment vertical="center"/>
    </xf>
    <xf numFmtId="0" fontId="244" fillId="0" borderId="0" xfId="0" applyFont="1" applyFill="1" applyBorder="1" applyAlignment="1" applyProtection="1">
      <alignment horizontal="center" vertical="center"/>
    </xf>
    <xf numFmtId="0" fontId="245" fillId="0" borderId="0" xfId="0" applyFont="1" applyFill="1" applyBorder="1" applyAlignment="1" applyProtection="1">
      <alignment vertical="center"/>
    </xf>
    <xf numFmtId="0" fontId="245" fillId="0" borderId="0" xfId="0" applyFont="1" applyFill="1" applyBorder="1" applyAlignment="1" applyProtection="1">
      <alignment vertical="center" wrapText="1"/>
    </xf>
    <xf numFmtId="0" fontId="79" fillId="0" borderId="0" xfId="0" applyFont="1" applyFill="1" applyBorder="1" applyAlignment="1" applyProtection="1">
      <alignment horizontal="center" vertical="top" wrapText="1"/>
    </xf>
    <xf numFmtId="0" fontId="181" fillId="0" borderId="0" xfId="0" applyFont="1" applyFill="1" applyBorder="1" applyAlignment="1" applyProtection="1">
      <alignment horizontal="center" vertical="top" wrapText="1"/>
    </xf>
    <xf numFmtId="0" fontId="226" fillId="0" borderId="0" xfId="0" applyFont="1" applyFill="1" applyBorder="1" applyAlignment="1" applyProtection="1">
      <alignment vertical="center"/>
    </xf>
    <xf numFmtId="0" fontId="79" fillId="0" borderId="0" xfId="0" applyFont="1" applyFill="1" applyBorder="1" applyAlignment="1" applyProtection="1">
      <alignment vertical="top" wrapText="1"/>
    </xf>
    <xf numFmtId="0" fontId="99" fillId="0" borderId="0" xfId="0" applyFont="1" applyFill="1" applyBorder="1" applyAlignment="1" applyProtection="1">
      <alignment horizontal="center" vertical="top" wrapText="1"/>
    </xf>
    <xf numFmtId="0" fontId="183"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6" fillId="0" borderId="0" xfId="0" quotePrefix="1" applyFont="1" applyFill="1" applyBorder="1" applyAlignment="1" applyProtection="1">
      <alignment textRotation="90" wrapText="1"/>
    </xf>
    <xf numFmtId="0" fontId="91" fillId="0" borderId="0" xfId="0" applyFont="1" applyFill="1" applyBorder="1" applyAlignment="1" applyProtection="1">
      <alignment horizontal="left" vertical="top" wrapText="1"/>
    </xf>
    <xf numFmtId="0" fontId="91" fillId="0" borderId="0" xfId="0" applyFont="1" applyFill="1" applyBorder="1" applyAlignment="1" applyProtection="1">
      <alignment vertical="top"/>
    </xf>
    <xf numFmtId="38" fontId="181" fillId="0" borderId="0" xfId="0" applyNumberFormat="1" applyFont="1" applyFill="1" applyBorder="1" applyAlignment="1" applyProtection="1">
      <alignment horizontal="center" vertical="center" wrapText="1"/>
    </xf>
    <xf numFmtId="0" fontId="181" fillId="0" borderId="0" xfId="0" applyFont="1" applyFill="1" applyBorder="1" applyAlignment="1" applyProtection="1">
      <alignment horizontal="center" vertical="center" wrapText="1"/>
    </xf>
    <xf numFmtId="0" fontId="242" fillId="0" borderId="0" xfId="0" applyFont="1" applyFill="1" applyBorder="1" applyAlignment="1" applyProtection="1">
      <alignment vertical="center"/>
    </xf>
    <xf numFmtId="0" fontId="182" fillId="0" borderId="0" xfId="0" applyFont="1" applyFill="1" applyBorder="1" applyAlignment="1" applyProtection="1">
      <alignment vertical="center"/>
    </xf>
    <xf numFmtId="0" fontId="232" fillId="0" borderId="0" xfId="0" quotePrefix="1" applyFont="1" applyFill="1" applyBorder="1" applyAlignment="1" applyProtection="1"/>
    <xf numFmtId="0" fontId="232" fillId="0" borderId="0" xfId="0" applyFont="1" applyFill="1" applyBorder="1" applyAlignment="1" applyProtection="1"/>
    <xf numFmtId="38" fontId="181"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1" fillId="0" borderId="0" xfId="0" applyNumberFormat="1" applyFont="1" applyFill="1" applyBorder="1" applyAlignment="1" applyProtection="1"/>
    <xf numFmtId="0" fontId="247" fillId="0" borderId="0" xfId="0" applyFont="1" applyFill="1" applyBorder="1" applyAlignment="1" applyProtection="1">
      <alignment horizontal="center" vertical="center"/>
    </xf>
    <xf numFmtId="0" fontId="89" fillId="0" borderId="0" xfId="0" quotePrefix="1" applyFont="1" applyFill="1" applyBorder="1" applyAlignment="1" applyProtection="1">
      <alignment horizontal="right" vertical="top"/>
    </xf>
    <xf numFmtId="38" fontId="92"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1" fillId="0" borderId="0" xfId="0" quotePrefix="1" applyFont="1" applyFill="1" applyBorder="1" applyAlignment="1" applyProtection="1">
      <alignment horizontal="right" vertical="center"/>
    </xf>
    <xf numFmtId="9" fontId="181" fillId="0" borderId="0" xfId="10" applyFont="1" applyFill="1" applyBorder="1" applyAlignment="1" applyProtection="1">
      <alignment horizontal="center" vertical="top" wrapText="1"/>
    </xf>
    <xf numFmtId="0" fontId="242"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 fontId="89"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horizontal="center"/>
    </xf>
    <xf numFmtId="0" fontId="88" fillId="0" borderId="0" xfId="0" applyFont="1" applyFill="1" applyBorder="1" applyAlignment="1" applyProtection="1">
      <alignment horizontal="center" vertical="top" wrapText="1"/>
    </xf>
    <xf numFmtId="0" fontId="249" fillId="0" borderId="0" xfId="0" applyFont="1" applyFill="1" applyBorder="1" applyProtection="1"/>
    <xf numFmtId="0" fontId="89" fillId="0" borderId="0" xfId="0" quotePrefix="1" applyFont="1" applyFill="1" applyBorder="1" applyAlignment="1" applyProtection="1">
      <alignment horizontal="right" vertical="center"/>
    </xf>
    <xf numFmtId="38" fontId="79" fillId="0" borderId="0" xfId="0" applyNumberFormat="1" applyFont="1" applyFill="1" applyBorder="1" applyAlignment="1" applyProtection="1">
      <alignment horizontal="center" vertical="top"/>
    </xf>
    <xf numFmtId="0" fontId="230" fillId="0" borderId="0" xfId="0" applyFont="1" applyFill="1" applyBorder="1" applyAlignment="1" applyProtection="1">
      <alignment horizontal="left" vertical="top"/>
    </xf>
    <xf numFmtId="0" fontId="99" fillId="0" borderId="0" xfId="0" applyFont="1" applyFill="1" applyBorder="1" applyProtection="1"/>
    <xf numFmtId="0" fontId="212" fillId="0" borderId="0" xfId="0" applyFont="1" applyFill="1" applyBorder="1" applyProtection="1"/>
    <xf numFmtId="0" fontId="233" fillId="0" borderId="0" xfId="0" applyFont="1" applyFill="1" applyBorder="1" applyAlignment="1" applyProtection="1">
      <alignment horizontal="center" vertical="center"/>
    </xf>
    <xf numFmtId="0" fontId="227" fillId="0" borderId="0" xfId="0" applyFont="1" applyFill="1" applyBorder="1" applyAlignment="1" applyProtection="1">
      <alignment vertical="center" wrapText="1"/>
    </xf>
    <xf numFmtId="0" fontId="252" fillId="0" borderId="0" xfId="0" applyFont="1" applyFill="1" applyBorder="1" applyAlignment="1" applyProtection="1">
      <alignment horizontal="center" vertical="center" wrapText="1"/>
    </xf>
    <xf numFmtId="0" fontId="89" fillId="0" borderId="0" xfId="0" quotePrefix="1" applyFont="1" applyFill="1" applyBorder="1" applyAlignment="1" applyProtection="1">
      <alignment horizontal="center" vertical="top"/>
    </xf>
    <xf numFmtId="38" fontId="83"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0" fontId="182"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2" fillId="0" borderId="0" xfId="0" applyFont="1" applyFill="1" applyBorder="1" applyAlignment="1" applyProtection="1">
      <alignment vertical="top"/>
    </xf>
    <xf numFmtId="0" fontId="181" fillId="0" borderId="0" xfId="0" quotePrefix="1" applyFont="1" applyFill="1" applyBorder="1" applyAlignment="1" applyProtection="1">
      <alignment horizontal="center" vertical="top"/>
    </xf>
    <xf numFmtId="0" fontId="88" fillId="0" borderId="0" xfId="0" applyFont="1" applyFill="1" applyBorder="1" applyAlignment="1" applyProtection="1">
      <alignment horizontal="center" vertical="top"/>
    </xf>
    <xf numFmtId="167" fontId="91" fillId="0" borderId="0" xfId="0" applyNumberFormat="1" applyFont="1" applyFill="1" applyBorder="1" applyAlignment="1" applyProtection="1">
      <alignment vertical="top" wrapText="1"/>
    </xf>
    <xf numFmtId="0" fontId="201" fillId="0" borderId="0" xfId="0" applyFont="1" applyFill="1" applyBorder="1" applyAlignment="1" applyProtection="1">
      <alignment vertical="top"/>
    </xf>
    <xf numFmtId="0" fontId="182" fillId="0" borderId="0" xfId="0" applyFont="1" applyFill="1" applyBorder="1" applyAlignment="1" applyProtection="1">
      <alignment vertical="top"/>
    </xf>
    <xf numFmtId="0" fontId="79" fillId="0" borderId="0" xfId="0" applyFont="1" applyFill="1" applyBorder="1" applyAlignment="1" applyProtection="1">
      <alignment horizontal="center" vertical="top"/>
    </xf>
    <xf numFmtId="0" fontId="183" fillId="0" borderId="0" xfId="0" applyFont="1" applyFill="1" applyBorder="1" applyAlignment="1" applyProtection="1">
      <alignment horizontal="center" vertical="top"/>
    </xf>
    <xf numFmtId="0" fontId="257" fillId="0" borderId="0" xfId="0" applyFont="1" applyFill="1" applyBorder="1" applyProtection="1"/>
    <xf numFmtId="0" fontId="258" fillId="0" borderId="0" xfId="0" applyFont="1" applyFill="1" applyBorder="1" applyProtection="1"/>
    <xf numFmtId="0" fontId="232" fillId="0" borderId="0" xfId="0" applyFont="1" applyFill="1" applyBorder="1" applyAlignment="1" applyProtection="1">
      <alignment horizontal="center" vertical="center"/>
    </xf>
    <xf numFmtId="0" fontId="92" fillId="0" borderId="0" xfId="0" applyFont="1" applyFill="1" applyBorder="1" applyAlignment="1" applyProtection="1">
      <alignment vertical="center" wrapText="1"/>
    </xf>
    <xf numFmtId="0" fontId="233" fillId="0" borderId="0" xfId="0" applyFont="1" applyFill="1" applyBorder="1" applyAlignment="1" applyProtection="1"/>
    <xf numFmtId="0" fontId="92" fillId="0" borderId="0" xfId="0" applyFont="1" applyFill="1" applyBorder="1" applyAlignment="1" applyProtection="1">
      <alignment horizontal="left" vertical="center"/>
    </xf>
    <xf numFmtId="0" fontId="249" fillId="0" borderId="0" xfId="0" applyFont="1" applyFill="1" applyBorder="1" applyAlignment="1" applyProtection="1">
      <alignment vertical="center"/>
    </xf>
    <xf numFmtId="0" fontId="181" fillId="0" borderId="0" xfId="0" applyFont="1" applyFill="1" applyBorder="1" applyAlignment="1" applyProtection="1">
      <alignment horizontal="left"/>
    </xf>
    <xf numFmtId="0" fontId="259" fillId="0" borderId="0" xfId="0" applyFont="1" applyFill="1" applyBorder="1" applyAlignment="1" applyProtection="1">
      <alignment vertical="center" wrapText="1"/>
    </xf>
    <xf numFmtId="0" fontId="89" fillId="0" borderId="0" xfId="0" quotePrefix="1" applyFont="1" applyFill="1" applyBorder="1" applyAlignment="1" applyProtection="1">
      <alignment horizontal="left" vertical="center"/>
    </xf>
    <xf numFmtId="0" fontId="89" fillId="0" borderId="0" xfId="0" quotePrefix="1" applyFont="1" applyFill="1" applyBorder="1" applyAlignment="1" applyProtection="1">
      <alignment horizontal="center" vertical="center"/>
    </xf>
    <xf numFmtId="0" fontId="89" fillId="0" borderId="0" xfId="0" applyNumberFormat="1" applyFont="1" applyFill="1" applyBorder="1" applyAlignment="1" applyProtection="1">
      <alignment horizontal="justify" vertical="center"/>
    </xf>
    <xf numFmtId="0" fontId="181" fillId="0" borderId="0" xfId="0" quotePrefix="1" applyFont="1" applyFill="1" applyBorder="1" applyAlignment="1" applyProtection="1">
      <alignment horizontal="left" vertical="center"/>
    </xf>
    <xf numFmtId="0" fontId="181" fillId="0" borderId="0" xfId="0" quotePrefix="1" applyFont="1" applyFill="1" applyBorder="1" applyAlignment="1" applyProtection="1">
      <alignment horizontal="center" vertical="center"/>
    </xf>
    <xf numFmtId="4" fontId="89" fillId="0" borderId="0" xfId="0" applyNumberFormat="1" applyFont="1" applyFill="1" applyBorder="1" applyAlignment="1" applyProtection="1">
      <alignment vertical="top"/>
    </xf>
    <xf numFmtId="0" fontId="89" fillId="0" borderId="0" xfId="0" applyFont="1" applyFill="1" applyBorder="1" applyAlignment="1" applyProtection="1">
      <alignment horizontal="justify" vertical="top" wrapText="1"/>
    </xf>
    <xf numFmtId="0" fontId="249" fillId="0" borderId="0" xfId="0" applyFont="1" applyFill="1" applyBorder="1" applyAlignment="1" applyProtection="1">
      <alignment vertical="top"/>
    </xf>
    <xf numFmtId="0" fontId="181" fillId="0" borderId="0" xfId="0" quotePrefix="1" applyFont="1" applyFill="1" applyBorder="1" applyAlignment="1" applyProtection="1">
      <alignment horizontal="left" vertical="top"/>
    </xf>
    <xf numFmtId="0" fontId="89" fillId="0" borderId="0" xfId="0" applyFont="1" applyFill="1" applyBorder="1" applyAlignment="1" applyProtection="1">
      <alignment horizontal="left" wrapText="1"/>
    </xf>
    <xf numFmtId="0" fontId="109" fillId="0" borderId="0" xfId="0" applyFont="1" applyFill="1" applyBorder="1" applyProtection="1"/>
    <xf numFmtId="0" fontId="260" fillId="0" borderId="0" xfId="0" applyFont="1" applyFill="1" applyBorder="1" applyAlignment="1" applyProtection="1">
      <alignment vertical="center"/>
    </xf>
    <xf numFmtId="49" fontId="89" fillId="0" borderId="0" xfId="0" applyNumberFormat="1" applyFont="1" applyFill="1" applyBorder="1" applyAlignment="1" applyProtection="1">
      <alignment horizontal="center" vertical="center" wrapText="1"/>
    </xf>
    <xf numFmtId="4" fontId="89" fillId="0" borderId="0" xfId="0" applyNumberFormat="1" applyFont="1" applyFill="1" applyBorder="1" applyAlignment="1" applyProtection="1">
      <alignment horizontal="center" vertical="center" wrapText="1"/>
    </xf>
    <xf numFmtId="4" fontId="89" fillId="0" borderId="0" xfId="0" applyNumberFormat="1" applyFont="1" applyFill="1" applyBorder="1" applyAlignment="1" applyProtection="1">
      <alignment vertical="center" wrapText="1"/>
    </xf>
    <xf numFmtId="0" fontId="99" fillId="0" borderId="0" xfId="0" applyFont="1" applyFill="1" applyBorder="1" applyAlignment="1" applyProtection="1">
      <alignment horizontal="left" vertical="center"/>
    </xf>
    <xf numFmtId="0" fontId="181" fillId="0" borderId="0" xfId="0" applyFont="1" applyFill="1" applyBorder="1" applyAlignment="1" applyProtection="1">
      <alignment wrapText="1"/>
    </xf>
    <xf numFmtId="3" fontId="92" fillId="0" borderId="0" xfId="0" applyNumberFormat="1" applyFont="1" applyFill="1" applyBorder="1" applyAlignment="1" applyProtection="1">
      <alignment horizontal="center" vertical="center" wrapText="1"/>
    </xf>
    <xf numFmtId="3" fontId="92" fillId="0" borderId="0" xfId="0" applyNumberFormat="1" applyFont="1" applyFill="1" applyBorder="1" applyAlignment="1" applyProtection="1">
      <alignment vertical="center" wrapText="1"/>
    </xf>
    <xf numFmtId="3" fontId="89" fillId="0" borderId="0" xfId="0" applyNumberFormat="1" applyFont="1" applyFill="1" applyBorder="1" applyAlignment="1" applyProtection="1">
      <alignment horizontal="left" vertical="center"/>
    </xf>
    <xf numFmtId="3" fontId="89" fillId="0" borderId="0" xfId="0" applyNumberFormat="1" applyFont="1" applyFill="1" applyBorder="1" applyAlignment="1" applyProtection="1">
      <alignment horizontal="center" vertical="center" wrapText="1"/>
    </xf>
    <xf numFmtId="0" fontId="181" fillId="0" borderId="0" xfId="0" applyFont="1" applyFill="1" applyBorder="1" applyAlignment="1" applyProtection="1">
      <alignment horizontal="right"/>
    </xf>
    <xf numFmtId="0" fontId="92" fillId="0" borderId="0" xfId="0" quotePrefix="1" applyFont="1" applyFill="1" applyBorder="1" applyAlignment="1" applyProtection="1">
      <alignment horizontal="right"/>
    </xf>
    <xf numFmtId="0" fontId="181" fillId="0" borderId="0" xfId="0" applyFont="1" applyFill="1" applyBorder="1" applyAlignment="1" applyProtection="1">
      <alignment horizontal="center"/>
    </xf>
    <xf numFmtId="0" fontId="182" fillId="0" borderId="0" xfId="0" applyFont="1" applyFill="1" applyBorder="1" applyAlignment="1" applyProtection="1">
      <alignment horizontal="right" vertical="center"/>
    </xf>
    <xf numFmtId="49" fontId="89" fillId="0" borderId="0" xfId="0" applyNumberFormat="1" applyFont="1" applyFill="1" applyBorder="1" applyAlignment="1" applyProtection="1">
      <alignment horizontal="left"/>
    </xf>
    <xf numFmtId="0" fontId="91" fillId="0" borderId="0" xfId="0" applyNumberFormat="1" applyFont="1" applyFill="1" applyBorder="1" applyAlignment="1" applyProtection="1">
      <alignment vertical="center" wrapText="1"/>
    </xf>
    <xf numFmtId="0" fontId="242" fillId="0" borderId="0" xfId="0" applyFont="1" applyFill="1" applyBorder="1" applyAlignment="1" applyProtection="1">
      <alignment horizontal="center" vertical="center"/>
    </xf>
    <xf numFmtId="176" fontId="91"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89" fillId="0" borderId="0" xfId="0" applyNumberFormat="1" applyFont="1" applyFill="1" applyBorder="1" applyAlignment="1" applyProtection="1">
      <alignment vertical="center"/>
    </xf>
    <xf numFmtId="176" fontId="92" fillId="0" borderId="0" xfId="0" applyNumberFormat="1" applyFont="1" applyFill="1" applyBorder="1" applyAlignment="1" applyProtection="1">
      <alignment vertical="top"/>
    </xf>
    <xf numFmtId="183" fontId="181" fillId="0" borderId="0" xfId="0" applyNumberFormat="1" applyFont="1" applyFill="1" applyBorder="1" applyAlignment="1" applyProtection="1">
      <alignment horizontal="left" vertical="center"/>
    </xf>
    <xf numFmtId="176" fontId="89" fillId="0" borderId="0" xfId="0" applyNumberFormat="1" applyFont="1" applyFill="1" applyBorder="1" applyAlignment="1" applyProtection="1">
      <alignment vertical="top"/>
    </xf>
    <xf numFmtId="0" fontId="92" fillId="0" borderId="0" xfId="0" applyFont="1" applyFill="1" applyBorder="1" applyAlignment="1" applyProtection="1">
      <alignment vertical="center" textRotation="90" wrapText="1"/>
    </xf>
    <xf numFmtId="3" fontId="89" fillId="0" borderId="0" xfId="0" applyNumberFormat="1" applyFont="1" applyFill="1" applyBorder="1" applyAlignment="1" applyProtection="1">
      <alignment vertical="center" wrapText="1"/>
    </xf>
    <xf numFmtId="3" fontId="89" fillId="0" borderId="0" xfId="0" applyNumberFormat="1" applyFont="1" applyFill="1" applyBorder="1" applyAlignment="1" applyProtection="1">
      <alignment vertical="center"/>
    </xf>
    <xf numFmtId="174" fontId="89" fillId="0" borderId="0" xfId="0" applyNumberFormat="1" applyFont="1" applyFill="1" applyBorder="1" applyAlignment="1" applyProtection="1">
      <alignment vertical="center"/>
    </xf>
    <xf numFmtId="167" fontId="89"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right" vertical="top"/>
    </xf>
    <xf numFmtId="0" fontId="233" fillId="0" borderId="0" xfId="0" applyFont="1" applyFill="1" applyBorder="1" applyAlignment="1" applyProtection="1">
      <alignment horizontal="right" vertical="center"/>
    </xf>
    <xf numFmtId="49" fontId="89"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right" vertical="top"/>
    </xf>
    <xf numFmtId="0" fontId="259"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1" fillId="0" borderId="0" xfId="0" applyFont="1" applyFill="1" applyBorder="1" applyAlignment="1" applyProtection="1">
      <alignment vertical="center" wrapText="1"/>
    </xf>
    <xf numFmtId="9" fontId="201" fillId="0" borderId="0" xfId="0" applyNumberFormat="1" applyFont="1" applyFill="1" applyBorder="1" applyAlignment="1" applyProtection="1">
      <alignment horizontal="center" vertical="center"/>
    </xf>
    <xf numFmtId="10" fontId="89"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0" fontId="224" fillId="0" borderId="0" xfId="0" applyFont="1" applyFill="1" applyBorder="1" applyAlignment="1" applyProtection="1">
      <alignment vertical="top"/>
    </xf>
    <xf numFmtId="0" fontId="91"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1" fillId="0" borderId="0" xfId="0" applyNumberFormat="1" applyFont="1" applyFill="1" applyBorder="1" applyAlignment="1" applyProtection="1">
      <alignment horizontal="center"/>
    </xf>
    <xf numFmtId="10" fontId="181" fillId="0" borderId="0" xfId="0" applyNumberFormat="1" applyFont="1" applyFill="1" applyBorder="1" applyAlignment="1" applyProtection="1">
      <alignment horizontal="center"/>
    </xf>
    <xf numFmtId="0" fontId="233" fillId="0" borderId="0" xfId="0" applyFont="1" applyFill="1" applyBorder="1" applyProtection="1"/>
    <xf numFmtId="0" fontId="181" fillId="0" borderId="0" xfId="0" applyFont="1" applyFill="1" applyBorder="1" applyAlignment="1" applyProtection="1">
      <alignment horizontal="left" vertical="top"/>
    </xf>
    <xf numFmtId="0" fontId="262" fillId="0" borderId="0" xfId="0" applyFont="1" applyFill="1" applyBorder="1" applyAlignment="1" applyProtection="1">
      <alignment vertical="center" wrapText="1"/>
    </xf>
    <xf numFmtId="0" fontId="232" fillId="0" borderId="0" xfId="0" quotePrefix="1" applyFont="1" applyFill="1" applyBorder="1" applyAlignment="1" applyProtection="1">
      <alignment horizontal="left" vertical="center"/>
    </xf>
    <xf numFmtId="0" fontId="109" fillId="0" borderId="0" xfId="6" applyFont="1" applyFill="1" applyBorder="1" applyAlignment="1" applyProtection="1"/>
    <xf numFmtId="0" fontId="236"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224" fillId="0" borderId="0" xfId="0" applyFont="1" applyFill="1" applyBorder="1" applyAlignment="1" applyProtection="1">
      <alignment vertical="center"/>
    </xf>
    <xf numFmtId="0" fontId="244" fillId="0" borderId="0" xfId="0" applyFont="1" applyFill="1" applyBorder="1" applyProtection="1"/>
    <xf numFmtId="174" fontId="88" fillId="0" borderId="0" xfId="0" applyNumberFormat="1" applyFont="1" applyFill="1" applyBorder="1" applyAlignment="1" applyProtection="1">
      <alignment horizontal="center" vertical="center"/>
    </xf>
    <xf numFmtId="174" fontId="88"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xf>
    <xf numFmtId="176" fontId="89" fillId="0" borderId="0" xfId="0" applyNumberFormat="1" applyFont="1" applyFill="1" applyBorder="1" applyAlignment="1" applyProtection="1">
      <alignment horizontal="center" vertical="top" wrapText="1"/>
    </xf>
    <xf numFmtId="165" fontId="89"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6" fillId="0" borderId="0" xfId="0" applyFont="1" applyFill="1" applyBorder="1" applyProtection="1"/>
    <xf numFmtId="0" fontId="231" fillId="0" borderId="0" xfId="0" applyFont="1" applyFill="1" applyBorder="1" applyAlignment="1" applyProtection="1">
      <alignment vertical="center"/>
    </xf>
    <xf numFmtId="38" fontId="231" fillId="0" borderId="0" xfId="0" applyNumberFormat="1" applyFont="1" applyFill="1" applyBorder="1" applyAlignment="1" applyProtection="1">
      <alignment horizontal="center" vertical="center"/>
    </xf>
    <xf numFmtId="38" fontId="227"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4" zoomScaleNormal="100" workbookViewId="0">
      <selection activeCell="A4" sqref="A1:XFD1048576"/>
    </sheetView>
  </sheetViews>
  <sheetFormatPr defaultColWidth="9.140625" defaultRowHeight="12.75"/>
  <cols>
    <col min="1" max="1" width="144.85546875" style="12" customWidth="1"/>
    <col min="2" max="16384" width="9.140625" style="12"/>
  </cols>
  <sheetData>
    <row r="1" spans="1:6" ht="15" customHeight="1">
      <c r="A1" s="736" t="s">
        <v>0</v>
      </c>
    </row>
    <row r="2" spans="1:6" ht="15" customHeight="1">
      <c r="A2" s="737" t="str">
        <f>'Part I-Project Information'!F34</f>
        <v>Mill at Stone Valley</v>
      </c>
    </row>
    <row r="3" spans="1:6" ht="15" customHeight="1">
      <c r="A3" s="737" t="str">
        <f>CONCATENATE('Part I-Project Information'!F38,", ", 'Part I-Project Information'!J39," County")</f>
        <v>Ball Ground, Cherokee County</v>
      </c>
    </row>
    <row r="4" spans="1:6" ht="12" customHeight="1"/>
    <row r="5" spans="1:6" ht="111" customHeight="1">
      <c r="A5" s="2280" t="s">
        <v>4737</v>
      </c>
      <c r="B5" s="1561" t="s">
        <v>1</v>
      </c>
      <c r="C5" s="1561"/>
      <c r="D5" s="1561"/>
      <c r="E5" s="1561"/>
      <c r="F5" s="1561"/>
    </row>
    <row r="6" spans="1:6" ht="6.6" customHeight="1">
      <c r="A6" s="2280"/>
      <c r="B6" s="1561"/>
      <c r="C6" s="1561"/>
      <c r="D6" s="1561"/>
      <c r="E6" s="1561"/>
      <c r="F6" s="1561"/>
    </row>
    <row r="7" spans="1:6" ht="93" customHeight="1">
      <c r="A7" s="2280"/>
      <c r="B7" s="1561"/>
      <c r="C7" s="1561"/>
      <c r="D7" s="1561"/>
      <c r="E7" s="1561"/>
      <c r="F7" s="1561"/>
    </row>
    <row r="8" spans="1:6" ht="6.6" customHeight="1">
      <c r="A8" s="2280"/>
    </row>
    <row r="9" spans="1:6" ht="93" customHeight="1">
      <c r="A9" s="2280"/>
    </row>
    <row r="10" spans="1:6" ht="6.6" customHeight="1">
      <c r="A10" s="2280"/>
    </row>
    <row r="11" spans="1:6" ht="93" customHeight="1">
      <c r="A11" s="2280"/>
    </row>
    <row r="12" spans="1:6" ht="6.6" customHeight="1">
      <c r="A12" s="2280"/>
    </row>
    <row r="13" spans="1:6" ht="93" customHeight="1">
      <c r="A13" s="2280"/>
    </row>
    <row r="14" spans="1:6" ht="6.6" customHeight="1">
      <c r="A14" s="2280"/>
    </row>
    <row r="15" spans="1:6" ht="93" customHeight="1">
      <c r="A15" s="2280"/>
    </row>
    <row r="16" spans="1:6" ht="6.6" customHeight="1">
      <c r="A16" s="2280"/>
    </row>
    <row r="17" spans="1:1" ht="93" customHeight="1">
      <c r="A17" s="2280"/>
    </row>
    <row r="18" spans="1:1" ht="6.6" customHeight="1">
      <c r="A18" s="2280"/>
    </row>
    <row r="19" spans="1:1" ht="93" customHeight="1">
      <c r="A19" s="2280"/>
    </row>
    <row r="20" spans="1:1" ht="6.6" customHeight="1">
      <c r="A20" s="2280"/>
    </row>
    <row r="21" spans="1:1" ht="93" customHeight="1">
      <c r="A21" s="2280"/>
    </row>
    <row r="22" spans="1:1" ht="6.6" customHeight="1">
      <c r="A22" s="2280"/>
    </row>
    <row r="23" spans="1:1" ht="93" customHeight="1">
      <c r="A23" s="2280"/>
    </row>
  </sheetData>
  <sheetProtection algorithmName="SHA-512" hashValue="Q2YUNgK9O8RgoNwZuXPN2FocL3x1cxvo1m+0Blxv9L3hjmsRgfT10rMnKs5Ej9iUyV5GGA+cW7JlUwb6aa9g1Q==" saltValue="dV/Paf7toue/XRwJ/DRoQw==" spinCount="100000" sheet="1" objects="1" scenarios="1" formatRows="0"/>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activeCell="A4" sqref="A1:XFD1048576"/>
    </sheetView>
  </sheetViews>
  <sheetFormatPr defaultColWidth="9.140625" defaultRowHeight="12.75"/>
  <cols>
    <col min="1" max="1" width="2.7109375" style="5" customWidth="1"/>
    <col min="2" max="2" width="10" style="5" customWidth="1"/>
    <col min="3" max="3" width="7.5703125" style="5" customWidth="1"/>
    <col min="4" max="4" width="6.42578125" style="5" customWidth="1"/>
    <col min="5" max="5" width="6.7109375" style="5" customWidth="1"/>
    <col min="6" max="6" width="8.140625" style="5" customWidth="1"/>
    <col min="7" max="8" width="9.7109375" style="5" customWidth="1"/>
    <col min="9" max="9" width="11.7109375" style="5" customWidth="1"/>
    <col min="10" max="10" width="10.140625" style="5" customWidth="1"/>
    <col min="11" max="11" width="9.7109375" style="5" customWidth="1"/>
    <col min="12" max="13" width="11" style="5" customWidth="1"/>
    <col min="14" max="14" width="13" style="5" customWidth="1"/>
    <col min="15" max="15" width="15.42578125" style="5" customWidth="1"/>
    <col min="16" max="16" width="12.42578125" style="48" customWidth="1"/>
    <col min="17" max="17" width="9.85546875" style="48" customWidth="1"/>
    <col min="18" max="20" width="7.7109375" style="48" customWidth="1"/>
    <col min="21" max="21" width="59.28515625" style="48" customWidth="1"/>
    <col min="22" max="22" width="47.7109375" style="48" customWidth="1"/>
    <col min="23" max="76" width="9.140625" style="102" customWidth="1"/>
    <col min="77" max="82" width="12.5703125" style="102" customWidth="1"/>
    <col min="83" max="153" width="9.140625" style="102" customWidth="1"/>
    <col min="154" max="172" width="9.140625" style="344" customWidth="1"/>
    <col min="173" max="177" width="11.28515625" style="344" customWidth="1"/>
    <col min="178" max="192" width="9.140625" style="344" customWidth="1"/>
    <col min="193" max="193" width="10.140625" style="344" customWidth="1"/>
    <col min="194" max="197" width="10" style="344" customWidth="1"/>
    <col min="198" max="201" width="9.140625" style="344" customWidth="1"/>
    <col min="202" max="202" width="9.140625" style="353" customWidth="1"/>
    <col min="203" max="206" width="9.140625" style="344" customWidth="1"/>
    <col min="207" max="217" width="9.140625" style="353" customWidth="1"/>
    <col min="218" max="227" width="11.5703125" style="353" customWidth="1"/>
    <col min="228" max="238" width="9.140625" style="353" customWidth="1"/>
    <col min="239" max="244" width="9.140625" style="344" customWidth="1"/>
    <col min="245" max="245" width="9.140625" style="357" customWidth="1"/>
    <col min="246" max="260" width="9.140625" style="344" customWidth="1"/>
    <col min="261" max="262" width="9.140625" style="357" customWidth="1"/>
    <col min="263" max="269" width="10.28515625" style="344" customWidth="1"/>
    <col min="270" max="272" width="9.140625" style="344"/>
    <col min="273" max="273" width="10.42578125" style="344" customWidth="1"/>
    <col min="274" max="277" width="10.140625" style="344" customWidth="1"/>
    <col min="278" max="279" width="9.140625" style="102"/>
    <col min="280" max="296" width="9.140625" style="344"/>
    <col min="297" max="16384" width="9.140625" style="48"/>
  </cols>
  <sheetData>
    <row r="1" spans="1:296" s="55" customFormat="1" ht="13.9" customHeight="1">
      <c r="A1" s="1821" t="str">
        <f>CONCATENATE("PART SIX - PROJECTED REVENUES &amp; EXPENSES","  -  ",'Part I-Project Information'!$O$6," ",'Part I-Project Information'!$F$34,", ",'Part I-Project Information'!F38,", ",'Part I-Project Information'!J39," County")</f>
        <v>PART SIX - PROJECTED REVENUES &amp; EXPENSES  -  2018-008 Mill at Stone Valley, Ball Ground, Cherokee County</v>
      </c>
      <c r="B1" s="1822"/>
      <c r="C1" s="1822"/>
      <c r="D1" s="1822"/>
      <c r="E1" s="1822"/>
      <c r="F1" s="1822"/>
      <c r="G1" s="1822"/>
      <c r="H1" s="1822"/>
      <c r="I1" s="1822"/>
      <c r="J1" s="1822"/>
      <c r="K1" s="1822"/>
      <c r="L1" s="1822"/>
      <c r="M1" s="1822"/>
      <c r="N1" s="1822"/>
      <c r="O1" s="1822"/>
      <c r="P1" s="1823"/>
      <c r="U1" s="1824" t="str">
        <f>A1</f>
        <v>PART SIX - PROJECTED REVENUES &amp; EXPENSES  -  2018-008 Mill at Stone Valley, Ball Ground, Cherokee County</v>
      </c>
      <c r="V1" s="1824"/>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58"/>
      <c r="BU1" s="58"/>
      <c r="BV1" s="58"/>
      <c r="BW1" s="58"/>
      <c r="BX1" s="58"/>
      <c r="BY1" s="58"/>
      <c r="BZ1" s="58"/>
      <c r="CA1" s="58"/>
      <c r="CB1" s="58"/>
      <c r="CC1" s="58"/>
      <c r="CD1" s="58"/>
      <c r="CE1" s="58"/>
      <c r="CF1" s="58"/>
      <c r="CG1" s="58"/>
      <c r="CH1" s="58"/>
      <c r="CI1" s="58"/>
      <c r="CJ1" s="58"/>
      <c r="CK1" s="58"/>
      <c r="CL1" s="58"/>
      <c r="CM1" s="58"/>
      <c r="CN1" s="58"/>
      <c r="CO1" s="58"/>
      <c r="CP1" s="58"/>
      <c r="CQ1" s="58"/>
      <c r="CR1" s="58"/>
      <c r="CS1" s="58"/>
      <c r="CT1" s="58"/>
      <c r="CU1" s="58"/>
      <c r="CV1" s="58"/>
      <c r="CW1" s="58"/>
      <c r="CX1" s="58"/>
      <c r="CY1" s="58"/>
      <c r="CZ1" s="58"/>
      <c r="DA1" s="58"/>
      <c r="DB1" s="58"/>
      <c r="DC1" s="58"/>
      <c r="DD1" s="58"/>
      <c r="DE1" s="58"/>
      <c r="DF1" s="58"/>
      <c r="DG1" s="58"/>
      <c r="DH1" s="58"/>
      <c r="DI1" s="58"/>
      <c r="DJ1" s="58"/>
      <c r="DK1" s="58"/>
      <c r="DL1" s="58"/>
      <c r="DM1" s="58"/>
      <c r="DN1" s="58"/>
      <c r="DO1" s="58"/>
      <c r="DP1" s="58"/>
      <c r="DQ1" s="58"/>
      <c r="DR1" s="58"/>
      <c r="DS1" s="58"/>
      <c r="DT1" s="58"/>
      <c r="DU1" s="58"/>
      <c r="DV1" s="58"/>
      <c r="DW1" s="58"/>
      <c r="DX1" s="58"/>
      <c r="DY1" s="58"/>
      <c r="DZ1" s="58"/>
      <c r="EA1" s="58"/>
      <c r="EB1" s="58"/>
      <c r="EC1" s="58"/>
      <c r="ED1" s="58"/>
      <c r="EE1" s="58"/>
      <c r="EF1" s="58"/>
      <c r="EG1" s="58"/>
      <c r="EH1" s="58"/>
      <c r="EI1" s="58"/>
      <c r="EJ1" s="58"/>
      <c r="EK1" s="58"/>
      <c r="EL1" s="58"/>
      <c r="EM1" s="58"/>
      <c r="EN1" s="58"/>
      <c r="EO1" s="58"/>
      <c r="EP1" s="58"/>
      <c r="EQ1" s="58"/>
      <c r="ER1" s="58"/>
      <c r="ES1" s="58"/>
      <c r="ET1" s="58"/>
      <c r="EU1" s="45"/>
      <c r="EV1" s="45"/>
      <c r="EW1" s="45"/>
      <c r="EX1" s="347"/>
      <c r="EY1" s="347"/>
      <c r="EZ1" s="347"/>
      <c r="FA1" s="347"/>
      <c r="FB1" s="347"/>
      <c r="FC1" s="347"/>
      <c r="FD1" s="347"/>
      <c r="FE1" s="347"/>
      <c r="FF1" s="347"/>
      <c r="FG1" s="347"/>
      <c r="FH1" s="347"/>
      <c r="FI1" s="347"/>
      <c r="FJ1" s="347"/>
      <c r="FK1" s="347"/>
      <c r="FL1" s="347"/>
      <c r="FM1" s="347"/>
      <c r="FN1" s="347"/>
      <c r="FO1" s="347"/>
      <c r="FP1" s="347"/>
      <c r="FQ1" s="347"/>
      <c r="FR1" s="347"/>
      <c r="FS1" s="347"/>
      <c r="FT1" s="347"/>
      <c r="FU1" s="347"/>
      <c r="FV1" s="347"/>
      <c r="FW1" s="347"/>
      <c r="FX1" s="347"/>
      <c r="FY1" s="347"/>
      <c r="FZ1" s="347"/>
      <c r="GA1" s="347"/>
      <c r="GB1" s="347"/>
      <c r="GC1" s="347"/>
      <c r="GD1" s="347"/>
      <c r="GE1" s="347"/>
      <c r="GF1" s="347"/>
      <c r="GG1" s="347"/>
      <c r="GH1" s="347"/>
      <c r="GI1" s="347"/>
      <c r="GJ1" s="347"/>
      <c r="GK1" s="347"/>
      <c r="GL1" s="347"/>
      <c r="GM1" s="347"/>
      <c r="GN1" s="347"/>
      <c r="GO1" s="347"/>
      <c r="GP1" s="347"/>
      <c r="GQ1" s="347"/>
      <c r="GR1" s="347"/>
      <c r="GS1" s="347"/>
      <c r="GT1" s="347"/>
      <c r="GU1" s="347"/>
      <c r="GV1" s="347"/>
      <c r="GW1" s="347"/>
      <c r="GX1" s="347"/>
      <c r="GY1" s="347"/>
      <c r="GZ1" s="347"/>
      <c r="HA1" s="347"/>
      <c r="HB1" s="347"/>
      <c r="HC1" s="347"/>
      <c r="HD1" s="347"/>
      <c r="HE1" s="347"/>
      <c r="HF1" s="347"/>
      <c r="HG1" s="347"/>
      <c r="HH1" s="347"/>
      <c r="HI1" s="347"/>
      <c r="HJ1" s="347"/>
      <c r="HK1" s="347"/>
      <c r="HL1" s="347"/>
      <c r="HM1" s="346"/>
      <c r="HN1" s="346"/>
      <c r="HO1" s="347"/>
      <c r="HP1" s="347"/>
      <c r="HQ1" s="347"/>
      <c r="HR1" s="346"/>
      <c r="HS1" s="346"/>
      <c r="HT1" s="346"/>
      <c r="HU1" s="346"/>
      <c r="HV1" s="348"/>
      <c r="HW1" s="346"/>
      <c r="HX1" s="346"/>
      <c r="HY1" s="346"/>
      <c r="HZ1" s="346"/>
      <c r="IA1" s="348"/>
      <c r="IB1" s="346"/>
      <c r="IC1" s="346"/>
      <c r="ID1" s="346"/>
      <c r="IE1" s="346"/>
      <c r="IF1" s="346"/>
      <c r="IG1" s="346"/>
      <c r="IH1" s="346"/>
      <c r="II1" s="346"/>
      <c r="IJ1" s="346"/>
      <c r="IK1" s="346"/>
      <c r="IL1" s="346"/>
      <c r="IM1" s="346"/>
      <c r="IN1" s="346"/>
      <c r="IO1" s="346"/>
      <c r="IP1" s="346"/>
      <c r="IQ1" s="346"/>
      <c r="IR1" s="346"/>
      <c r="IS1" s="346"/>
      <c r="IT1" s="346"/>
      <c r="IU1" s="346"/>
      <c r="IV1" s="346"/>
      <c r="IW1" s="346"/>
      <c r="IX1" s="346"/>
      <c r="IY1" s="346"/>
      <c r="IZ1" s="346"/>
      <c r="JA1" s="346"/>
      <c r="JB1" s="346"/>
      <c r="JC1" s="346"/>
      <c r="JD1" s="346"/>
      <c r="JE1" s="346"/>
      <c r="JF1" s="346"/>
      <c r="JG1" s="346"/>
      <c r="JH1" s="346"/>
      <c r="JI1" s="346"/>
      <c r="JJ1" s="346"/>
      <c r="JK1" s="346"/>
      <c r="JL1" s="346"/>
      <c r="JM1" s="346"/>
      <c r="JN1" s="346"/>
      <c r="JO1" s="346"/>
      <c r="JP1" s="346"/>
      <c r="JQ1" s="346"/>
      <c r="JR1" s="58"/>
      <c r="JS1" s="58"/>
      <c r="JT1" s="346"/>
      <c r="JU1" s="346"/>
      <c r="JV1" s="346"/>
      <c r="JW1" s="346"/>
      <c r="JX1" s="346"/>
      <c r="JY1" s="346"/>
      <c r="JZ1" s="346"/>
      <c r="KA1" s="346"/>
      <c r="KB1" s="346"/>
      <c r="KC1" s="346"/>
      <c r="KD1" s="346"/>
      <c r="KE1" s="346"/>
      <c r="KF1" s="346"/>
      <c r="KG1" s="346"/>
      <c r="KH1" s="346"/>
      <c r="KI1" s="346"/>
      <c r="KJ1" s="346"/>
    </row>
    <row r="2" spans="1:296" ht="6" customHeight="1">
      <c r="A2" s="102"/>
      <c r="B2" s="102"/>
      <c r="C2" s="102"/>
      <c r="D2" s="102"/>
      <c r="E2" s="102"/>
      <c r="F2" s="102"/>
      <c r="G2" s="102"/>
      <c r="H2" s="102"/>
      <c r="I2" s="102"/>
      <c r="J2" s="102"/>
      <c r="K2" s="102"/>
      <c r="L2" s="102"/>
      <c r="M2" s="102"/>
      <c r="N2" s="102"/>
      <c r="O2" s="102"/>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c r="CA2" s="54"/>
      <c r="CB2" s="54"/>
      <c r="CC2" s="54"/>
      <c r="CD2" s="54"/>
      <c r="CE2" s="54"/>
      <c r="CF2" s="54"/>
      <c r="CG2" s="54"/>
      <c r="CH2" s="54"/>
      <c r="CI2" s="54"/>
      <c r="CJ2" s="54"/>
      <c r="CK2" s="54"/>
      <c r="CL2" s="54"/>
      <c r="CM2" s="54"/>
      <c r="CN2" s="54"/>
      <c r="CO2" s="54"/>
      <c r="CP2" s="54"/>
      <c r="CQ2" s="54"/>
      <c r="CR2" s="54"/>
      <c r="CS2" s="54"/>
      <c r="CT2" s="54"/>
      <c r="CU2" s="54"/>
      <c r="CV2" s="54"/>
      <c r="CW2" s="54"/>
      <c r="CX2" s="54"/>
      <c r="CY2" s="54"/>
      <c r="CZ2" s="54"/>
      <c r="DA2" s="54"/>
      <c r="DB2" s="54"/>
      <c r="DC2" s="54"/>
      <c r="DD2" s="54"/>
      <c r="DE2" s="54"/>
      <c r="DF2" s="54"/>
      <c r="DG2" s="54"/>
      <c r="DH2" s="54"/>
      <c r="DI2" s="54"/>
      <c r="DJ2" s="54"/>
      <c r="DK2" s="54"/>
      <c r="DL2" s="54"/>
      <c r="DM2" s="54"/>
      <c r="DN2" s="54"/>
      <c r="DO2" s="54"/>
      <c r="DP2" s="54"/>
      <c r="DQ2" s="54"/>
      <c r="DR2" s="54"/>
      <c r="DS2" s="54"/>
      <c r="DT2" s="54"/>
      <c r="DU2" s="54"/>
      <c r="DV2" s="54"/>
      <c r="DW2" s="54"/>
      <c r="DX2" s="54"/>
      <c r="DY2" s="54"/>
      <c r="DZ2" s="54"/>
      <c r="EA2" s="54"/>
      <c r="EB2" s="54"/>
      <c r="EC2" s="54"/>
      <c r="ED2" s="54"/>
      <c r="EE2" s="54"/>
      <c r="EF2" s="54"/>
      <c r="EG2" s="54"/>
      <c r="EH2" s="54"/>
      <c r="EI2" s="54"/>
      <c r="EJ2" s="54"/>
      <c r="EK2" s="54"/>
      <c r="EL2" s="54"/>
      <c r="EM2" s="54"/>
      <c r="EN2" s="54"/>
      <c r="EO2" s="54"/>
      <c r="EP2" s="54"/>
      <c r="EQ2" s="54"/>
      <c r="ER2" s="54"/>
      <c r="ES2" s="54"/>
      <c r="ET2" s="54"/>
      <c r="EU2" s="54"/>
      <c r="EV2" s="54"/>
      <c r="EW2" s="1545"/>
      <c r="EX2" s="350"/>
      <c r="EY2" s="350"/>
      <c r="EZ2" s="350"/>
      <c r="FA2" s="350"/>
      <c r="FB2" s="350"/>
      <c r="FC2" s="350"/>
      <c r="FD2" s="350"/>
      <c r="FE2" s="350"/>
      <c r="FF2" s="350"/>
      <c r="FG2" s="350"/>
      <c r="FH2" s="350"/>
      <c r="FI2" s="350"/>
      <c r="FJ2" s="350"/>
      <c r="FK2" s="350"/>
      <c r="FL2" s="350"/>
      <c r="FM2" s="350"/>
      <c r="FN2" s="350"/>
      <c r="FO2" s="350"/>
      <c r="FP2" s="350"/>
      <c r="FQ2" s="350"/>
      <c r="FR2" s="350"/>
      <c r="FS2" s="350"/>
      <c r="FT2" s="350"/>
      <c r="FU2" s="350"/>
      <c r="FV2" s="350"/>
      <c r="FW2" s="350"/>
      <c r="FX2" s="350"/>
      <c r="FY2" s="350"/>
      <c r="FZ2" s="350"/>
      <c r="GA2" s="350"/>
      <c r="GB2" s="350"/>
      <c r="GC2" s="350"/>
      <c r="GD2" s="350"/>
      <c r="GE2" s="350"/>
      <c r="GF2" s="350"/>
      <c r="GG2" s="350"/>
      <c r="GH2" s="350"/>
      <c r="GI2" s="350"/>
      <c r="GJ2" s="350"/>
      <c r="GK2" s="350"/>
      <c r="GL2" s="350"/>
      <c r="GM2" s="350"/>
      <c r="GN2" s="350"/>
      <c r="GO2" s="350"/>
      <c r="GP2" s="350"/>
      <c r="GQ2" s="350"/>
      <c r="GR2" s="350"/>
      <c r="GS2" s="350"/>
      <c r="GT2" s="350"/>
      <c r="GU2" s="350"/>
      <c r="GV2" s="350"/>
      <c r="GW2" s="350"/>
      <c r="GX2" s="350"/>
      <c r="GY2" s="350"/>
      <c r="GZ2" s="350"/>
      <c r="HA2" s="350"/>
      <c r="HB2" s="350"/>
      <c r="HC2" s="350"/>
      <c r="HD2" s="350"/>
      <c r="HE2" s="350"/>
      <c r="HF2" s="350"/>
      <c r="HG2" s="350"/>
      <c r="HH2" s="350"/>
      <c r="HI2" s="350"/>
      <c r="HJ2" s="350"/>
      <c r="HK2" s="350"/>
      <c r="HL2" s="350"/>
      <c r="HM2" s="350"/>
      <c r="HN2" s="350"/>
      <c r="HO2" s="350"/>
      <c r="HP2" s="350"/>
      <c r="HQ2" s="350"/>
      <c r="HR2" s="350"/>
      <c r="HS2" s="350"/>
      <c r="HT2" s="349"/>
      <c r="HU2" s="349"/>
      <c r="HV2" s="349"/>
      <c r="HW2" s="349"/>
      <c r="HX2" s="349"/>
      <c r="HY2" s="349"/>
      <c r="HZ2" s="349"/>
      <c r="IA2" s="349"/>
      <c r="IB2" s="349"/>
      <c r="IC2" s="349"/>
      <c r="ID2" s="344"/>
      <c r="II2" s="349"/>
      <c r="IJ2" s="349"/>
      <c r="IK2" s="349"/>
      <c r="IL2" s="349"/>
      <c r="IM2" s="349"/>
      <c r="IN2" s="349"/>
      <c r="IO2" s="349"/>
      <c r="IP2" s="349"/>
      <c r="IQ2" s="349"/>
      <c r="IR2" s="349"/>
      <c r="IS2" s="349"/>
      <c r="IT2" s="349"/>
      <c r="IU2" s="349"/>
      <c r="IV2" s="349"/>
      <c r="IW2" s="349"/>
      <c r="IX2" s="349"/>
      <c r="IY2" s="349"/>
      <c r="IZ2" s="349"/>
      <c r="JA2" s="349"/>
      <c r="JB2" s="349"/>
    </row>
    <row r="3" spans="1:296" s="55" customFormat="1" ht="12.6" customHeight="1">
      <c r="A3" s="4" t="s">
        <v>9</v>
      </c>
      <c r="B3" s="4" t="s">
        <v>852</v>
      </c>
      <c r="C3" s="58"/>
      <c r="D3" s="802" t="s">
        <v>853</v>
      </c>
      <c r="F3" s="58"/>
      <c r="G3" s="80"/>
      <c r="H3" s="80"/>
      <c r="I3" s="80"/>
      <c r="J3" s="80"/>
      <c r="K3" s="80"/>
      <c r="L3" s="80"/>
      <c r="S3" s="198"/>
      <c r="T3" s="198"/>
      <c r="U3" s="4" t="str">
        <f>B3</f>
        <v>RENT SCHEDULE</v>
      </c>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c r="EP3" s="71"/>
      <c r="EQ3" s="71"/>
      <c r="ER3" s="71"/>
      <c r="ES3" s="71"/>
      <c r="ET3" s="71"/>
      <c r="EU3" s="71"/>
      <c r="EV3" s="71"/>
      <c r="EW3" s="485"/>
      <c r="EX3" s="352"/>
      <c r="EY3" s="352"/>
      <c r="EZ3" s="352"/>
      <c r="FA3" s="352"/>
      <c r="FB3" s="350" t="s">
        <v>854</v>
      </c>
      <c r="FC3" s="350" t="s">
        <v>855</v>
      </c>
      <c r="FD3" s="350" t="s">
        <v>856</v>
      </c>
      <c r="FE3" s="350" t="s">
        <v>857</v>
      </c>
      <c r="FF3" s="350" t="s">
        <v>858</v>
      </c>
      <c r="FG3" s="350" t="s">
        <v>854</v>
      </c>
      <c r="FH3" s="350" t="s">
        <v>855</v>
      </c>
      <c r="FI3" s="350" t="s">
        <v>856</v>
      </c>
      <c r="FJ3" s="350" t="s">
        <v>857</v>
      </c>
      <c r="FK3" s="350" t="s">
        <v>858</v>
      </c>
      <c r="FL3" s="352"/>
      <c r="FM3" s="352"/>
      <c r="FN3" s="352"/>
      <c r="FO3" s="352"/>
      <c r="FP3" s="352"/>
      <c r="FQ3" s="352"/>
      <c r="FR3" s="352"/>
      <c r="FS3" s="352"/>
      <c r="FT3" s="352"/>
      <c r="FU3" s="352"/>
      <c r="FV3" s="350" t="s">
        <v>854</v>
      </c>
      <c r="FW3" s="350" t="s">
        <v>855</v>
      </c>
      <c r="FX3" s="350" t="s">
        <v>856</v>
      </c>
      <c r="FY3" s="350" t="s">
        <v>857</v>
      </c>
      <c r="FZ3" s="350" t="s">
        <v>858</v>
      </c>
      <c r="GA3" s="350" t="s">
        <v>854</v>
      </c>
      <c r="GB3" s="350" t="s">
        <v>855</v>
      </c>
      <c r="GC3" s="350" t="s">
        <v>856</v>
      </c>
      <c r="GD3" s="350" t="s">
        <v>857</v>
      </c>
      <c r="GE3" s="350" t="s">
        <v>858</v>
      </c>
      <c r="GF3" s="350" t="s">
        <v>854</v>
      </c>
      <c r="GG3" s="350" t="s">
        <v>855</v>
      </c>
      <c r="GH3" s="350" t="s">
        <v>856</v>
      </c>
      <c r="GI3" s="350" t="s">
        <v>857</v>
      </c>
      <c r="GJ3" s="350" t="s">
        <v>858</v>
      </c>
      <c r="GK3" s="350" t="s">
        <v>854</v>
      </c>
      <c r="GL3" s="350" t="s">
        <v>855</v>
      </c>
      <c r="GM3" s="350" t="s">
        <v>856</v>
      </c>
      <c r="GN3" s="350" t="s">
        <v>857</v>
      </c>
      <c r="GO3" s="350" t="s">
        <v>858</v>
      </c>
      <c r="GP3" s="350" t="s">
        <v>854</v>
      </c>
      <c r="GQ3" s="350" t="s">
        <v>855</v>
      </c>
      <c r="GR3" s="350" t="s">
        <v>856</v>
      </c>
      <c r="GS3" s="350" t="s">
        <v>857</v>
      </c>
      <c r="GT3" s="350" t="s">
        <v>858</v>
      </c>
      <c r="GU3" s="350" t="s">
        <v>854</v>
      </c>
      <c r="GV3" s="350" t="s">
        <v>855</v>
      </c>
      <c r="GW3" s="350" t="s">
        <v>856</v>
      </c>
      <c r="GX3" s="350" t="s">
        <v>857</v>
      </c>
      <c r="GY3" s="350" t="s">
        <v>858</v>
      </c>
      <c r="GZ3" s="350" t="s">
        <v>854</v>
      </c>
      <c r="HA3" s="350" t="s">
        <v>855</v>
      </c>
      <c r="HB3" s="350" t="s">
        <v>856</v>
      </c>
      <c r="HC3" s="350" t="s">
        <v>857</v>
      </c>
      <c r="HD3" s="350" t="s">
        <v>858</v>
      </c>
      <c r="HE3" s="350" t="s">
        <v>854</v>
      </c>
      <c r="HF3" s="350" t="s">
        <v>855</v>
      </c>
      <c r="HG3" s="350" t="s">
        <v>856</v>
      </c>
      <c r="HH3" s="350" t="s">
        <v>857</v>
      </c>
      <c r="HI3" s="350" t="s">
        <v>858</v>
      </c>
      <c r="HJ3" s="350" t="s">
        <v>854</v>
      </c>
      <c r="HK3" s="350" t="s">
        <v>855</v>
      </c>
      <c r="HL3" s="350" t="s">
        <v>856</v>
      </c>
      <c r="HM3" s="350" t="s">
        <v>857</v>
      </c>
      <c r="HN3" s="350" t="s">
        <v>858</v>
      </c>
      <c r="HO3" s="350" t="s">
        <v>854</v>
      </c>
      <c r="HP3" s="350" t="s">
        <v>855</v>
      </c>
      <c r="HQ3" s="350" t="s">
        <v>856</v>
      </c>
      <c r="HR3" s="350" t="s">
        <v>857</v>
      </c>
      <c r="HS3" s="350" t="s">
        <v>858</v>
      </c>
      <c r="HT3" s="350" t="s">
        <v>854</v>
      </c>
      <c r="HU3" s="350" t="s">
        <v>855</v>
      </c>
      <c r="HV3" s="350" t="s">
        <v>856</v>
      </c>
      <c r="HW3" s="350" t="s">
        <v>857</v>
      </c>
      <c r="HX3" s="350" t="s">
        <v>858</v>
      </c>
      <c r="HY3" s="350" t="s">
        <v>854</v>
      </c>
      <c r="HZ3" s="350" t="s">
        <v>855</v>
      </c>
      <c r="IA3" s="350" t="s">
        <v>856</v>
      </c>
      <c r="IB3" s="350" t="s">
        <v>857</v>
      </c>
      <c r="IC3" s="350" t="s">
        <v>858</v>
      </c>
      <c r="ID3" s="346"/>
      <c r="IE3" s="346"/>
      <c r="IF3" s="346"/>
      <c r="IG3" s="346"/>
      <c r="IH3" s="346"/>
      <c r="II3" s="351"/>
      <c r="IJ3" s="351"/>
      <c r="IK3" s="351"/>
      <c r="IL3" s="351"/>
      <c r="IM3" s="351"/>
      <c r="IN3" s="351"/>
      <c r="IO3" s="351"/>
      <c r="IP3" s="351"/>
      <c r="IQ3" s="351"/>
      <c r="IR3" s="351"/>
      <c r="IS3" s="351"/>
      <c r="IT3" s="351"/>
      <c r="IU3" s="351"/>
      <c r="IV3" s="351"/>
      <c r="IW3" s="351"/>
      <c r="IX3" s="351"/>
      <c r="IY3" s="351"/>
      <c r="IZ3" s="351"/>
      <c r="JA3" s="351"/>
      <c r="JB3" s="351"/>
      <c r="JC3" s="1802" t="s">
        <v>859</v>
      </c>
      <c r="JD3" s="1802" t="s">
        <v>860</v>
      </c>
      <c r="JE3" s="1802" t="s">
        <v>861</v>
      </c>
      <c r="JF3" s="1802" t="s">
        <v>862</v>
      </c>
      <c r="JG3" s="1802" t="s">
        <v>863</v>
      </c>
      <c r="JH3" s="346"/>
      <c r="JI3" s="346"/>
      <c r="JJ3" s="346"/>
      <c r="JK3" s="346"/>
      <c r="JL3" s="346"/>
      <c r="JM3" s="346"/>
      <c r="JN3" s="346"/>
      <c r="JO3" s="346"/>
      <c r="JP3" s="346"/>
      <c r="JQ3" s="346"/>
      <c r="JR3" s="58"/>
      <c r="JS3" s="58"/>
      <c r="JT3" s="346"/>
      <c r="JU3" s="346"/>
      <c r="JV3" s="346"/>
      <c r="JW3" s="346"/>
      <c r="JX3" s="346"/>
      <c r="JY3" s="346"/>
      <c r="JZ3" s="346"/>
      <c r="KA3" s="346"/>
      <c r="KB3" s="346"/>
      <c r="KC3" s="346"/>
      <c r="KD3" s="346"/>
      <c r="KE3" s="346"/>
      <c r="KF3" s="346"/>
      <c r="KG3" s="346"/>
      <c r="KH3" s="346"/>
      <c r="KI3" s="346"/>
      <c r="KJ3" s="346"/>
    </row>
    <row r="4" spans="1:296" s="55" customFormat="1" ht="3" customHeight="1">
      <c r="B4" s="4"/>
      <c r="C4" s="58"/>
      <c r="D4" s="4"/>
      <c r="E4" s="58"/>
      <c r="F4" s="58"/>
      <c r="G4" s="58"/>
      <c r="I4" s="58"/>
      <c r="J4" s="58"/>
      <c r="K4" s="58"/>
      <c r="L4" s="58"/>
      <c r="M4" s="58"/>
      <c r="P4" s="1811" t="s">
        <v>864</v>
      </c>
      <c r="Q4" s="1522"/>
      <c r="R4" s="312"/>
      <c r="S4" s="312"/>
      <c r="T4" s="312"/>
      <c r="U4" s="312"/>
      <c r="V4" s="313"/>
      <c r="W4" s="1818" t="s">
        <v>865</v>
      </c>
      <c r="X4" s="1818" t="s">
        <v>866</v>
      </c>
      <c r="Y4" s="1818" t="s">
        <v>867</v>
      </c>
      <c r="Z4" s="1818" t="s">
        <v>868</v>
      </c>
      <c r="AA4" s="1818" t="s">
        <v>869</v>
      </c>
      <c r="AB4" s="1818" t="s">
        <v>870</v>
      </c>
      <c r="AC4" s="1818" t="s">
        <v>871</v>
      </c>
      <c r="AD4" s="1818" t="s">
        <v>872</v>
      </c>
      <c r="AE4" s="1818" t="s">
        <v>873</v>
      </c>
      <c r="AF4" s="1818" t="s">
        <v>874</v>
      </c>
      <c r="AG4" s="1818" t="s">
        <v>875</v>
      </c>
      <c r="AH4" s="1818" t="s">
        <v>876</v>
      </c>
      <c r="AI4" s="1818" t="s">
        <v>877</v>
      </c>
      <c r="AJ4" s="1818" t="s">
        <v>878</v>
      </c>
      <c r="AK4" s="1818" t="s">
        <v>879</v>
      </c>
      <c r="AL4" s="1818" t="s">
        <v>880</v>
      </c>
      <c r="AM4" s="1818" t="s">
        <v>881</v>
      </c>
      <c r="AN4" s="1818" t="s">
        <v>882</v>
      </c>
      <c r="AO4" s="1818" t="s">
        <v>883</v>
      </c>
      <c r="AP4" s="1818" t="s">
        <v>884</v>
      </c>
      <c r="AQ4" s="1818" t="s">
        <v>885</v>
      </c>
      <c r="AR4" s="1818" t="s">
        <v>886</v>
      </c>
      <c r="AS4" s="1818" t="s">
        <v>887</v>
      </c>
      <c r="AT4" s="1818" t="s">
        <v>888</v>
      </c>
      <c r="AU4" s="1818" t="s">
        <v>889</v>
      </c>
      <c r="AV4" s="1818" t="s">
        <v>890</v>
      </c>
      <c r="AW4" s="1818" t="s">
        <v>891</v>
      </c>
      <c r="AX4" s="1818" t="s">
        <v>892</v>
      </c>
      <c r="AY4" s="1818" t="s">
        <v>893</v>
      </c>
      <c r="AZ4" s="1818" t="s">
        <v>894</v>
      </c>
      <c r="BA4" s="1818" t="s">
        <v>895</v>
      </c>
      <c r="BB4" s="1818" t="s">
        <v>896</v>
      </c>
      <c r="BC4" s="1818" t="s">
        <v>897</v>
      </c>
      <c r="BD4" s="1818" t="s">
        <v>898</v>
      </c>
      <c r="BE4" s="1818" t="s">
        <v>899</v>
      </c>
      <c r="BF4" s="1818" t="s">
        <v>900</v>
      </c>
      <c r="BG4" s="1818" t="s">
        <v>901</v>
      </c>
      <c r="BH4" s="1818" t="s">
        <v>902</v>
      </c>
      <c r="BI4" s="1818" t="s">
        <v>903</v>
      </c>
      <c r="BJ4" s="1818" t="s">
        <v>904</v>
      </c>
      <c r="BK4" s="1818" t="s">
        <v>905</v>
      </c>
      <c r="BL4" s="1818" t="s">
        <v>906</v>
      </c>
      <c r="BM4" s="1818" t="s">
        <v>907</v>
      </c>
      <c r="BN4" s="1818" t="s">
        <v>908</v>
      </c>
      <c r="BO4" s="1818" t="s">
        <v>909</v>
      </c>
      <c r="BP4" s="1818" t="s">
        <v>910</v>
      </c>
      <c r="BQ4" s="1818" t="s">
        <v>911</v>
      </c>
      <c r="BR4" s="1818" t="s">
        <v>912</v>
      </c>
      <c r="BS4" s="1818" t="s">
        <v>913</v>
      </c>
      <c r="BT4" s="1818" t="s">
        <v>914</v>
      </c>
      <c r="BU4" s="1818" t="s">
        <v>915</v>
      </c>
      <c r="BV4" s="1818" t="s">
        <v>916</v>
      </c>
      <c r="BW4" s="1818" t="s">
        <v>917</v>
      </c>
      <c r="BX4" s="1818" t="s">
        <v>918</v>
      </c>
      <c r="BY4" s="1818" t="s">
        <v>919</v>
      </c>
      <c r="BZ4" s="1818" t="s">
        <v>920</v>
      </c>
      <c r="CA4" s="1818" t="s">
        <v>921</v>
      </c>
      <c r="CB4" s="1818" t="s">
        <v>922</v>
      </c>
      <c r="CC4" s="1818" t="s">
        <v>923</v>
      </c>
      <c r="CD4" s="1818" t="s">
        <v>924</v>
      </c>
      <c r="CE4" s="1815" t="s">
        <v>925</v>
      </c>
      <c r="CF4" s="1815" t="s">
        <v>926</v>
      </c>
      <c r="CG4" s="1815" t="s">
        <v>927</v>
      </c>
      <c r="CH4" s="1815" t="s">
        <v>928</v>
      </c>
      <c r="CI4" s="1815" t="s">
        <v>929</v>
      </c>
      <c r="CJ4" s="1815" t="s">
        <v>930</v>
      </c>
      <c r="CK4" s="1815" t="s">
        <v>931</v>
      </c>
      <c r="CL4" s="1815" t="s">
        <v>932</v>
      </c>
      <c r="CM4" s="1815" t="s">
        <v>933</v>
      </c>
      <c r="CN4" s="1815" t="s">
        <v>934</v>
      </c>
      <c r="CO4" s="1815" t="s">
        <v>935</v>
      </c>
      <c r="CP4" s="1815" t="s">
        <v>936</v>
      </c>
      <c r="CQ4" s="1815" t="s">
        <v>937</v>
      </c>
      <c r="CR4" s="1815" t="s">
        <v>938</v>
      </c>
      <c r="CS4" s="1815" t="s">
        <v>939</v>
      </c>
      <c r="CT4" s="1815" t="s">
        <v>940</v>
      </c>
      <c r="CU4" s="1815" t="s">
        <v>941</v>
      </c>
      <c r="CV4" s="1815" t="s">
        <v>942</v>
      </c>
      <c r="CW4" s="1815" t="s">
        <v>943</v>
      </c>
      <c r="CX4" s="1815" t="s">
        <v>944</v>
      </c>
      <c r="CY4" s="1815" t="s">
        <v>945</v>
      </c>
      <c r="CZ4" s="1815" t="s">
        <v>946</v>
      </c>
      <c r="DA4" s="1815" t="s">
        <v>947</v>
      </c>
      <c r="DB4" s="1815" t="s">
        <v>948</v>
      </c>
      <c r="DC4" s="1815" t="s">
        <v>949</v>
      </c>
      <c r="DD4" s="1815" t="s">
        <v>950</v>
      </c>
      <c r="DE4" s="1815" t="s">
        <v>951</v>
      </c>
      <c r="DF4" s="1815" t="s">
        <v>952</v>
      </c>
      <c r="DG4" s="1815" t="s">
        <v>953</v>
      </c>
      <c r="DH4" s="1815" t="s">
        <v>954</v>
      </c>
      <c r="DI4" s="1815" t="s">
        <v>955</v>
      </c>
      <c r="DJ4" s="1815" t="s">
        <v>956</v>
      </c>
      <c r="DK4" s="1815" t="s">
        <v>957</v>
      </c>
      <c r="DL4" s="1815" t="s">
        <v>958</v>
      </c>
      <c r="DM4" s="1815" t="s">
        <v>959</v>
      </c>
      <c r="DN4" s="1815" t="s">
        <v>960</v>
      </c>
      <c r="DO4" s="1815" t="s">
        <v>961</v>
      </c>
      <c r="DP4" s="1815" t="s">
        <v>962</v>
      </c>
      <c r="DQ4" s="1815" t="s">
        <v>963</v>
      </c>
      <c r="DR4" s="1815" t="s">
        <v>964</v>
      </c>
      <c r="DS4" s="1815" t="s">
        <v>965</v>
      </c>
      <c r="DT4" s="1815" t="s">
        <v>966</v>
      </c>
      <c r="DU4" s="1815" t="s">
        <v>967</v>
      </c>
      <c r="DV4" s="1815" t="s">
        <v>968</v>
      </c>
      <c r="DW4" s="1815" t="s">
        <v>969</v>
      </c>
      <c r="DX4" s="1815" t="s">
        <v>970</v>
      </c>
      <c r="DY4" s="1815" t="s">
        <v>971</v>
      </c>
      <c r="DZ4" s="1815" t="s">
        <v>972</v>
      </c>
      <c r="EA4" s="1815" t="s">
        <v>973</v>
      </c>
      <c r="EB4" s="1815" t="s">
        <v>974</v>
      </c>
      <c r="EC4" s="1815" t="s">
        <v>975</v>
      </c>
      <c r="ED4" s="1815" t="s">
        <v>976</v>
      </c>
      <c r="EE4" s="1815" t="s">
        <v>977</v>
      </c>
      <c r="EF4" s="1815" t="s">
        <v>978</v>
      </c>
      <c r="EG4" s="1815" t="s">
        <v>979</v>
      </c>
      <c r="EH4" s="1815" t="s">
        <v>980</v>
      </c>
      <c r="EI4" s="1815" t="s">
        <v>981</v>
      </c>
      <c r="EJ4" s="1815" t="s">
        <v>982</v>
      </c>
      <c r="EK4" s="1815" t="s">
        <v>983</v>
      </c>
      <c r="EL4" s="1815" t="s">
        <v>984</v>
      </c>
      <c r="EM4" s="1815" t="s">
        <v>985</v>
      </c>
      <c r="EN4" s="1815" t="s">
        <v>986</v>
      </c>
      <c r="EO4" s="1815" t="s">
        <v>987</v>
      </c>
      <c r="EP4" s="1815" t="s">
        <v>988</v>
      </c>
      <c r="EQ4" s="1815" t="s">
        <v>989</v>
      </c>
      <c r="ER4" s="1815" t="s">
        <v>990</v>
      </c>
      <c r="ES4" s="1815" t="s">
        <v>991</v>
      </c>
      <c r="ET4" s="1815" t="s">
        <v>992</v>
      </c>
      <c r="EU4" s="1815" t="s">
        <v>993</v>
      </c>
      <c r="EV4" s="1815" t="s">
        <v>994</v>
      </c>
      <c r="EW4" s="45"/>
      <c r="EX4" s="347"/>
      <c r="EY4" s="347"/>
      <c r="EZ4" s="347"/>
      <c r="FA4" s="347"/>
      <c r="FB4" s="347"/>
      <c r="FC4" s="347"/>
      <c r="FD4" s="347"/>
      <c r="FE4" s="347"/>
      <c r="FF4" s="347"/>
      <c r="FG4" s="347"/>
      <c r="FH4" s="347"/>
      <c r="FI4" s="347"/>
      <c r="FJ4" s="347"/>
      <c r="FK4" s="347"/>
      <c r="FL4" s="347"/>
      <c r="FM4" s="347"/>
      <c r="FN4" s="347"/>
      <c r="FO4" s="347"/>
      <c r="FP4" s="347"/>
      <c r="FQ4" s="347"/>
      <c r="FR4" s="347"/>
      <c r="FS4" s="347"/>
      <c r="FT4" s="347"/>
      <c r="FU4" s="347"/>
      <c r="FV4" s="347"/>
      <c r="FW4" s="347"/>
      <c r="FX4" s="347"/>
      <c r="FY4" s="347"/>
      <c r="FZ4" s="347"/>
      <c r="GA4" s="347"/>
      <c r="GB4" s="347"/>
      <c r="GC4" s="347"/>
      <c r="GD4" s="347"/>
      <c r="GE4" s="347"/>
      <c r="GF4" s="347"/>
      <c r="GG4" s="347"/>
      <c r="GH4" s="347"/>
      <c r="GI4" s="347"/>
      <c r="GJ4" s="347"/>
      <c r="GK4" s="347"/>
      <c r="GL4" s="347"/>
      <c r="GM4" s="347"/>
      <c r="GN4" s="347"/>
      <c r="GO4" s="347"/>
      <c r="GP4" s="347"/>
      <c r="GQ4" s="347"/>
      <c r="GR4" s="347"/>
      <c r="GS4" s="347"/>
      <c r="GT4" s="347"/>
      <c r="GU4" s="347"/>
      <c r="GV4" s="347"/>
      <c r="GW4" s="347"/>
      <c r="GX4" s="347"/>
      <c r="GY4" s="347"/>
      <c r="GZ4" s="347"/>
      <c r="HA4" s="347"/>
      <c r="HB4" s="347"/>
      <c r="HC4" s="347"/>
      <c r="HD4" s="347"/>
      <c r="HE4" s="347"/>
      <c r="HF4" s="347"/>
      <c r="HG4" s="347"/>
      <c r="HH4" s="347"/>
      <c r="HI4" s="347"/>
      <c r="HJ4" s="347"/>
      <c r="HK4" s="347"/>
      <c r="HL4" s="347"/>
      <c r="HM4" s="347"/>
      <c r="HN4" s="347"/>
      <c r="HO4" s="347"/>
      <c r="HP4" s="347"/>
      <c r="HQ4" s="347"/>
      <c r="HR4" s="347"/>
      <c r="HS4" s="347"/>
      <c r="HT4" s="346"/>
      <c r="HU4" s="346"/>
      <c r="HV4" s="346"/>
      <c r="HW4" s="346"/>
      <c r="HX4" s="346"/>
      <c r="HY4" s="346"/>
      <c r="HZ4" s="346"/>
      <c r="IA4" s="346"/>
      <c r="IB4" s="346"/>
      <c r="IC4" s="346"/>
      <c r="ID4" s="1802" t="s">
        <v>995</v>
      </c>
      <c r="IE4" s="1802" t="s">
        <v>996</v>
      </c>
      <c r="IF4" s="1802" t="s">
        <v>997</v>
      </c>
      <c r="IG4" s="1802" t="s">
        <v>998</v>
      </c>
      <c r="IH4" s="1802" t="s">
        <v>999</v>
      </c>
      <c r="II4" s="1802" t="s">
        <v>1000</v>
      </c>
      <c r="IJ4" s="1802" t="s">
        <v>1001</v>
      </c>
      <c r="IK4" s="1802" t="s">
        <v>1002</v>
      </c>
      <c r="IL4" s="1802" t="s">
        <v>1003</v>
      </c>
      <c r="IM4" s="1802" t="s">
        <v>1004</v>
      </c>
      <c r="IN4" s="1802" t="s">
        <v>1005</v>
      </c>
      <c r="IO4" s="1802" t="s">
        <v>1006</v>
      </c>
      <c r="IP4" s="1802" t="s">
        <v>1007</v>
      </c>
      <c r="IQ4" s="1802" t="s">
        <v>1008</v>
      </c>
      <c r="IR4" s="1802" t="s">
        <v>1009</v>
      </c>
      <c r="IS4" s="1802" t="s">
        <v>1010</v>
      </c>
      <c r="IT4" s="1802" t="s">
        <v>1011</v>
      </c>
      <c r="IU4" s="1802" t="s">
        <v>1012</v>
      </c>
      <c r="IV4" s="1802" t="s">
        <v>1013</v>
      </c>
      <c r="IW4" s="1802" t="s">
        <v>1014</v>
      </c>
      <c r="IX4" s="1802" t="s">
        <v>1015</v>
      </c>
      <c r="IY4" s="1802" t="s">
        <v>1016</v>
      </c>
      <c r="IZ4" s="1802" t="s">
        <v>1017</v>
      </c>
      <c r="JA4" s="1802" t="s">
        <v>1018</v>
      </c>
      <c r="JB4" s="1802" t="s">
        <v>1019</v>
      </c>
      <c r="JC4" s="1802"/>
      <c r="JD4" s="1802"/>
      <c r="JE4" s="1802"/>
      <c r="JF4" s="1802"/>
      <c r="JG4" s="1802"/>
      <c r="JH4" s="346"/>
      <c r="JI4" s="346"/>
      <c r="JJ4" s="346"/>
      <c r="JK4" s="346"/>
      <c r="JL4" s="346"/>
      <c r="JM4" s="346"/>
      <c r="JN4" s="346"/>
      <c r="JO4" s="346"/>
      <c r="JP4" s="346"/>
      <c r="JQ4" s="346"/>
      <c r="JR4" s="58"/>
      <c r="JS4" s="58"/>
      <c r="JT4" s="346"/>
      <c r="JU4" s="346"/>
      <c r="JV4" s="346"/>
      <c r="JW4" s="346"/>
      <c r="JX4" s="346"/>
      <c r="JY4" s="346"/>
      <c r="JZ4" s="346"/>
      <c r="KA4" s="346"/>
      <c r="KB4" s="346"/>
      <c r="KC4" s="346"/>
      <c r="KD4" s="346"/>
      <c r="KE4" s="346"/>
      <c r="KF4" s="346"/>
      <c r="KG4" s="346"/>
      <c r="KH4" s="346"/>
      <c r="KI4" s="346"/>
      <c r="KJ4" s="346"/>
    </row>
    <row r="5" spans="1:296" s="55" customFormat="1" ht="13.15" customHeight="1">
      <c r="A5" s="1817" t="str">
        <f>IF(A48&gt;0,"Finish Row!","")</f>
        <v/>
      </c>
      <c r="B5" s="4" t="s">
        <v>1020</v>
      </c>
      <c r="D5" s="58"/>
      <c r="E5" s="4"/>
      <c r="F5" s="58"/>
      <c r="G5" s="2614"/>
      <c r="H5" s="914"/>
      <c r="I5" s="1524" t="s">
        <v>827</v>
      </c>
      <c r="J5" s="1524" t="s">
        <v>125</v>
      </c>
      <c r="K5" s="1819" t="s">
        <v>6</v>
      </c>
      <c r="L5" s="1820"/>
      <c r="M5" s="1526" t="s">
        <v>1021</v>
      </c>
      <c r="O5" s="1523" t="s">
        <v>1022</v>
      </c>
      <c r="P5" s="1811"/>
      <c r="Q5" s="1522"/>
      <c r="R5" s="58"/>
      <c r="S5" s="58"/>
      <c r="T5" s="58"/>
      <c r="W5" s="1818"/>
      <c r="X5" s="1818"/>
      <c r="Y5" s="1818"/>
      <c r="Z5" s="1818"/>
      <c r="AA5" s="1818"/>
      <c r="AB5" s="1818"/>
      <c r="AC5" s="1818"/>
      <c r="AD5" s="1818"/>
      <c r="AE5" s="1818"/>
      <c r="AF5" s="1818"/>
      <c r="AG5" s="1818"/>
      <c r="AH5" s="1818"/>
      <c r="AI5" s="1818"/>
      <c r="AJ5" s="1818"/>
      <c r="AK5" s="1818"/>
      <c r="AL5" s="1818"/>
      <c r="AM5" s="1818"/>
      <c r="AN5" s="1818"/>
      <c r="AO5" s="1818"/>
      <c r="AP5" s="1818"/>
      <c r="AQ5" s="1818"/>
      <c r="AR5" s="1818"/>
      <c r="AS5" s="1818"/>
      <c r="AT5" s="1818"/>
      <c r="AU5" s="1818"/>
      <c r="AV5" s="1818"/>
      <c r="AW5" s="1818"/>
      <c r="AX5" s="1818"/>
      <c r="AY5" s="1818"/>
      <c r="AZ5" s="1818"/>
      <c r="BA5" s="1818"/>
      <c r="BB5" s="1818"/>
      <c r="BC5" s="1818"/>
      <c r="BD5" s="1818"/>
      <c r="BE5" s="1818"/>
      <c r="BF5" s="1818"/>
      <c r="BG5" s="1818"/>
      <c r="BH5" s="1818"/>
      <c r="BI5" s="1818"/>
      <c r="BJ5" s="1818"/>
      <c r="BK5" s="1818"/>
      <c r="BL5" s="1818"/>
      <c r="BM5" s="1818"/>
      <c r="BN5" s="1818"/>
      <c r="BO5" s="1818"/>
      <c r="BP5" s="1818"/>
      <c r="BQ5" s="1818"/>
      <c r="BR5" s="1818"/>
      <c r="BS5" s="1818"/>
      <c r="BT5" s="1818"/>
      <c r="BU5" s="1818"/>
      <c r="BV5" s="1818"/>
      <c r="BW5" s="1818"/>
      <c r="BX5" s="1818"/>
      <c r="BY5" s="1818"/>
      <c r="BZ5" s="1818"/>
      <c r="CA5" s="1818"/>
      <c r="CB5" s="1818"/>
      <c r="CC5" s="1818"/>
      <c r="CD5" s="1818"/>
      <c r="CE5" s="1815"/>
      <c r="CF5" s="1815"/>
      <c r="CG5" s="1815"/>
      <c r="CH5" s="1815"/>
      <c r="CI5" s="1815"/>
      <c r="CJ5" s="1815"/>
      <c r="CK5" s="1815"/>
      <c r="CL5" s="1815"/>
      <c r="CM5" s="1815"/>
      <c r="CN5" s="1815"/>
      <c r="CO5" s="1815"/>
      <c r="CP5" s="1815"/>
      <c r="CQ5" s="1815"/>
      <c r="CR5" s="1815"/>
      <c r="CS5" s="1815"/>
      <c r="CT5" s="1815"/>
      <c r="CU5" s="1815"/>
      <c r="CV5" s="1815"/>
      <c r="CW5" s="1815"/>
      <c r="CX5" s="1815"/>
      <c r="CY5" s="1815"/>
      <c r="CZ5" s="1815"/>
      <c r="DA5" s="1815"/>
      <c r="DB5" s="1815"/>
      <c r="DC5" s="1815"/>
      <c r="DD5" s="1815"/>
      <c r="DE5" s="1815"/>
      <c r="DF5" s="1815"/>
      <c r="DG5" s="1815"/>
      <c r="DH5" s="1815"/>
      <c r="DI5" s="1815"/>
      <c r="DJ5" s="1815"/>
      <c r="DK5" s="1815"/>
      <c r="DL5" s="1815"/>
      <c r="DM5" s="1815"/>
      <c r="DN5" s="1815"/>
      <c r="DO5" s="1815"/>
      <c r="DP5" s="1815"/>
      <c r="DQ5" s="1815"/>
      <c r="DR5" s="1815"/>
      <c r="DS5" s="1815"/>
      <c r="DT5" s="1815"/>
      <c r="DU5" s="1815"/>
      <c r="DV5" s="1815"/>
      <c r="DW5" s="1815"/>
      <c r="DX5" s="1815"/>
      <c r="DY5" s="1815"/>
      <c r="DZ5" s="1815"/>
      <c r="EA5" s="1815"/>
      <c r="EB5" s="1815"/>
      <c r="EC5" s="1815"/>
      <c r="ED5" s="1815"/>
      <c r="EE5" s="1815"/>
      <c r="EF5" s="1815"/>
      <c r="EG5" s="1815"/>
      <c r="EH5" s="1815"/>
      <c r="EI5" s="1815"/>
      <c r="EJ5" s="1815"/>
      <c r="EK5" s="1815"/>
      <c r="EL5" s="1815"/>
      <c r="EM5" s="1815"/>
      <c r="EN5" s="1815"/>
      <c r="EO5" s="1815"/>
      <c r="EP5" s="1815"/>
      <c r="EQ5" s="1815"/>
      <c r="ER5" s="1815"/>
      <c r="ES5" s="1815"/>
      <c r="ET5" s="1815"/>
      <c r="EU5" s="1815"/>
      <c r="EV5" s="1815"/>
      <c r="EW5" s="45"/>
      <c r="EX5" s="347"/>
      <c r="EY5" s="347"/>
      <c r="EZ5" s="347"/>
      <c r="FA5" s="347"/>
      <c r="FB5" s="347"/>
      <c r="FC5" s="347"/>
      <c r="FD5" s="347"/>
      <c r="FE5" s="347"/>
      <c r="FF5" s="347"/>
      <c r="FG5" s="347"/>
      <c r="FH5" s="347"/>
      <c r="FI5" s="347"/>
      <c r="FJ5" s="347"/>
      <c r="FK5" s="347"/>
      <c r="FL5" s="347"/>
      <c r="FM5" s="347"/>
      <c r="FN5" s="347"/>
      <c r="FO5" s="347"/>
      <c r="FP5" s="347"/>
      <c r="FQ5" s="347"/>
      <c r="FR5" s="347"/>
      <c r="FS5" s="347"/>
      <c r="FT5" s="347"/>
      <c r="FU5" s="347"/>
      <c r="FV5" s="347"/>
      <c r="FW5" s="347"/>
      <c r="FX5" s="347"/>
      <c r="FY5" s="347"/>
      <c r="FZ5" s="347"/>
      <c r="GA5" s="347"/>
      <c r="GB5" s="347"/>
      <c r="GC5" s="347"/>
      <c r="GD5" s="347"/>
      <c r="GE5" s="347"/>
      <c r="GF5" s="347"/>
      <c r="GG5" s="347"/>
      <c r="GH5" s="347"/>
      <c r="GI5" s="347"/>
      <c r="GJ5" s="347"/>
      <c r="GK5" s="347"/>
      <c r="GL5" s="347"/>
      <c r="GM5" s="347"/>
      <c r="GN5" s="347"/>
      <c r="GO5" s="347"/>
      <c r="GP5" s="347"/>
      <c r="GQ5" s="347"/>
      <c r="GR5" s="347"/>
      <c r="GS5" s="347"/>
      <c r="GT5" s="347"/>
      <c r="GU5" s="347"/>
      <c r="GV5" s="347"/>
      <c r="GW5" s="347"/>
      <c r="GX5" s="347"/>
      <c r="GY5" s="347"/>
      <c r="GZ5" s="347"/>
      <c r="HA5" s="347"/>
      <c r="HB5" s="347"/>
      <c r="HC5" s="347"/>
      <c r="HD5" s="347"/>
      <c r="HE5" s="347"/>
      <c r="HF5" s="347"/>
      <c r="HG5" s="347"/>
      <c r="HH5" s="347"/>
      <c r="HI5" s="347"/>
      <c r="HJ5" s="347"/>
      <c r="HK5" s="347"/>
      <c r="HL5" s="347"/>
      <c r="HM5" s="347"/>
      <c r="HN5" s="347"/>
      <c r="HO5" s="347"/>
      <c r="HP5" s="347"/>
      <c r="HQ5" s="347"/>
      <c r="HR5" s="347"/>
      <c r="HS5" s="347"/>
      <c r="HT5" s="346"/>
      <c r="HU5" s="346"/>
      <c r="HV5" s="346"/>
      <c r="HW5" s="346"/>
      <c r="HX5" s="346"/>
      <c r="HY5" s="346"/>
      <c r="HZ5" s="346"/>
      <c r="IA5" s="346"/>
      <c r="IB5" s="346"/>
      <c r="IC5" s="346"/>
      <c r="ID5" s="1802"/>
      <c r="IE5" s="1802"/>
      <c r="IF5" s="1802"/>
      <c r="IG5" s="1802"/>
      <c r="IH5" s="1802"/>
      <c r="II5" s="1802"/>
      <c r="IJ5" s="1802"/>
      <c r="IK5" s="1802"/>
      <c r="IL5" s="1802"/>
      <c r="IM5" s="1802"/>
      <c r="IN5" s="1802"/>
      <c r="IO5" s="1802"/>
      <c r="IP5" s="1802"/>
      <c r="IQ5" s="1802"/>
      <c r="IR5" s="1802"/>
      <c r="IS5" s="1802"/>
      <c r="IT5" s="1802"/>
      <c r="IU5" s="1802"/>
      <c r="IV5" s="1802"/>
      <c r="IW5" s="1802"/>
      <c r="IX5" s="1802"/>
      <c r="IY5" s="1802"/>
      <c r="IZ5" s="1802"/>
      <c r="JA5" s="1802"/>
      <c r="JB5" s="1802"/>
      <c r="JC5" s="1802"/>
      <c r="JD5" s="1802"/>
      <c r="JE5" s="1802"/>
      <c r="JF5" s="1802"/>
      <c r="JG5" s="1802"/>
      <c r="JH5" s="1816" t="s">
        <v>1023</v>
      </c>
      <c r="JI5" s="1816" t="s">
        <v>1024</v>
      </c>
      <c r="JJ5" s="1816" t="s">
        <v>1025</v>
      </c>
      <c r="JK5" s="1816" t="s">
        <v>1026</v>
      </c>
      <c r="JL5" s="1816" t="s">
        <v>1027</v>
      </c>
      <c r="JM5" s="1802" t="s">
        <v>1028</v>
      </c>
      <c r="JN5" s="1802" t="s">
        <v>1029</v>
      </c>
      <c r="JO5" s="1802" t="s">
        <v>1030</v>
      </c>
      <c r="JP5" s="1802" t="s">
        <v>1031</v>
      </c>
      <c r="JQ5" s="1802" t="s">
        <v>1032</v>
      </c>
      <c r="JR5" s="58"/>
      <c r="JS5" s="58"/>
      <c r="JT5" s="346"/>
      <c r="JU5" s="346"/>
      <c r="JV5" s="346"/>
      <c r="JW5" s="346"/>
      <c r="JX5" s="346"/>
      <c r="JY5" s="346"/>
      <c r="JZ5" s="346"/>
      <c r="KA5" s="346"/>
      <c r="KB5" s="346"/>
      <c r="KC5" s="346"/>
      <c r="KD5" s="346"/>
      <c r="KE5" s="346"/>
      <c r="KF5" s="346"/>
      <c r="KG5" s="346"/>
      <c r="KH5" s="346"/>
      <c r="KI5" s="346"/>
      <c r="KJ5" s="346"/>
    </row>
    <row r="6" spans="1:296" s="55" customFormat="1" ht="13.15" customHeight="1">
      <c r="A6" s="1817"/>
      <c r="B6" s="14" t="s">
        <v>1033</v>
      </c>
      <c r="D6" s="58"/>
      <c r="E6" s="4"/>
      <c r="F6" s="2615"/>
      <c r="G6" s="1524" t="s">
        <v>1034</v>
      </c>
      <c r="H6" s="1811" t="s">
        <v>1035</v>
      </c>
      <c r="I6" s="1524" t="s">
        <v>1036</v>
      </c>
      <c r="J6" s="1524" t="s">
        <v>1037</v>
      </c>
      <c r="K6" s="1820"/>
      <c r="L6" s="1820"/>
      <c r="M6" s="1812" t="str">
        <f>'Part I-Project Information'!$O$40</f>
        <v>Atlanta-Sandy Springs-Marietta</v>
      </c>
      <c r="N6" s="1812"/>
      <c r="O6" s="748">
        <f>VLOOKUP('Part I-Project Information'!$O$40,'DCA Underwriting Assumptions'!$C$155:$D$265,2)</f>
        <v>69700</v>
      </c>
      <c r="P6" s="1811"/>
      <c r="Q6" s="1522"/>
      <c r="R6" s="58"/>
      <c r="S6" s="1813" t="s">
        <v>1038</v>
      </c>
      <c r="T6" s="1813"/>
      <c r="W6" s="1818"/>
      <c r="X6" s="1818"/>
      <c r="Y6" s="1818"/>
      <c r="Z6" s="1818"/>
      <c r="AA6" s="1818"/>
      <c r="AB6" s="1818"/>
      <c r="AC6" s="1818"/>
      <c r="AD6" s="1818"/>
      <c r="AE6" s="1818"/>
      <c r="AF6" s="1818"/>
      <c r="AG6" s="1818"/>
      <c r="AH6" s="1818"/>
      <c r="AI6" s="1818"/>
      <c r="AJ6" s="1818"/>
      <c r="AK6" s="1818"/>
      <c r="AL6" s="1818"/>
      <c r="AM6" s="1818"/>
      <c r="AN6" s="1818"/>
      <c r="AO6" s="1818"/>
      <c r="AP6" s="1818"/>
      <c r="AQ6" s="1818"/>
      <c r="AR6" s="1818"/>
      <c r="AS6" s="1818"/>
      <c r="AT6" s="1818"/>
      <c r="AU6" s="1818"/>
      <c r="AV6" s="1818"/>
      <c r="AW6" s="1818"/>
      <c r="AX6" s="1818"/>
      <c r="AY6" s="1818"/>
      <c r="AZ6" s="1818"/>
      <c r="BA6" s="1818"/>
      <c r="BB6" s="1818"/>
      <c r="BC6" s="1818"/>
      <c r="BD6" s="1818"/>
      <c r="BE6" s="1818"/>
      <c r="BF6" s="1818"/>
      <c r="BG6" s="1818"/>
      <c r="BH6" s="1818"/>
      <c r="BI6" s="1818"/>
      <c r="BJ6" s="1818"/>
      <c r="BK6" s="1818"/>
      <c r="BL6" s="1818"/>
      <c r="BM6" s="1818"/>
      <c r="BN6" s="1818"/>
      <c r="BO6" s="1818"/>
      <c r="BP6" s="1818"/>
      <c r="BQ6" s="1818"/>
      <c r="BR6" s="1818"/>
      <c r="BS6" s="1818"/>
      <c r="BT6" s="1818"/>
      <c r="BU6" s="1818"/>
      <c r="BV6" s="1818"/>
      <c r="BW6" s="1818"/>
      <c r="BX6" s="1818"/>
      <c r="BY6" s="1818"/>
      <c r="BZ6" s="1818"/>
      <c r="CA6" s="1818"/>
      <c r="CB6" s="1818"/>
      <c r="CC6" s="1818"/>
      <c r="CD6" s="1818"/>
      <c r="CE6" s="1815"/>
      <c r="CF6" s="1815"/>
      <c r="CG6" s="1815"/>
      <c r="CH6" s="1815"/>
      <c r="CI6" s="1815"/>
      <c r="CJ6" s="1815"/>
      <c r="CK6" s="1815"/>
      <c r="CL6" s="1815"/>
      <c r="CM6" s="1815"/>
      <c r="CN6" s="1815"/>
      <c r="CO6" s="1815"/>
      <c r="CP6" s="1815"/>
      <c r="CQ6" s="1815"/>
      <c r="CR6" s="1815"/>
      <c r="CS6" s="1815"/>
      <c r="CT6" s="1815"/>
      <c r="CU6" s="1815"/>
      <c r="CV6" s="1815"/>
      <c r="CW6" s="1815"/>
      <c r="CX6" s="1815"/>
      <c r="CY6" s="1815"/>
      <c r="CZ6" s="1815"/>
      <c r="DA6" s="1815"/>
      <c r="DB6" s="1815"/>
      <c r="DC6" s="1815"/>
      <c r="DD6" s="1815"/>
      <c r="DE6" s="1815"/>
      <c r="DF6" s="1815"/>
      <c r="DG6" s="1815"/>
      <c r="DH6" s="1815"/>
      <c r="DI6" s="1815"/>
      <c r="DJ6" s="1815"/>
      <c r="DK6" s="1815"/>
      <c r="DL6" s="1815"/>
      <c r="DM6" s="1815"/>
      <c r="DN6" s="1815"/>
      <c r="DO6" s="1815"/>
      <c r="DP6" s="1815"/>
      <c r="DQ6" s="1815"/>
      <c r="DR6" s="1815"/>
      <c r="DS6" s="1815"/>
      <c r="DT6" s="1815"/>
      <c r="DU6" s="1815"/>
      <c r="DV6" s="1815"/>
      <c r="DW6" s="1815"/>
      <c r="DX6" s="1815"/>
      <c r="DY6" s="1815"/>
      <c r="DZ6" s="1815"/>
      <c r="EA6" s="1815"/>
      <c r="EB6" s="1815"/>
      <c r="EC6" s="1815"/>
      <c r="ED6" s="1815"/>
      <c r="EE6" s="1815"/>
      <c r="EF6" s="1815"/>
      <c r="EG6" s="1815"/>
      <c r="EH6" s="1815"/>
      <c r="EI6" s="1815"/>
      <c r="EJ6" s="1815"/>
      <c r="EK6" s="1815"/>
      <c r="EL6" s="1815"/>
      <c r="EM6" s="1815"/>
      <c r="EN6" s="1815"/>
      <c r="EO6" s="1815"/>
      <c r="EP6" s="1815"/>
      <c r="EQ6" s="1815"/>
      <c r="ER6" s="1815"/>
      <c r="ES6" s="1815"/>
      <c r="ET6" s="1815"/>
      <c r="EU6" s="1815"/>
      <c r="EV6" s="1815"/>
      <c r="EW6" s="45"/>
      <c r="EX6" s="347"/>
      <c r="EY6" s="347"/>
      <c r="EZ6" s="347"/>
      <c r="FA6" s="347"/>
      <c r="FB6" s="347"/>
      <c r="FC6" s="347"/>
      <c r="FD6" s="347"/>
      <c r="FE6" s="347"/>
      <c r="FF6" s="347"/>
      <c r="FG6" s="347"/>
      <c r="FH6" s="347"/>
      <c r="FI6" s="347"/>
      <c r="FJ6" s="347"/>
      <c r="FK6" s="347"/>
      <c r="FL6" s="347"/>
      <c r="FM6" s="347"/>
      <c r="FN6" s="347"/>
      <c r="FO6" s="347"/>
      <c r="FP6" s="347"/>
      <c r="FQ6" s="347"/>
      <c r="FR6" s="347"/>
      <c r="FS6" s="347"/>
      <c r="FT6" s="347"/>
      <c r="FU6" s="347"/>
      <c r="FV6" s="347"/>
      <c r="FW6" s="347"/>
      <c r="FX6" s="347"/>
      <c r="FY6" s="347"/>
      <c r="FZ6" s="347"/>
      <c r="GA6" s="347"/>
      <c r="GB6" s="347"/>
      <c r="GC6" s="347"/>
      <c r="GD6" s="347"/>
      <c r="GE6" s="347"/>
      <c r="GF6" s="347"/>
      <c r="GG6" s="347"/>
      <c r="GH6" s="347"/>
      <c r="GI6" s="347"/>
      <c r="GJ6" s="347"/>
      <c r="GK6" s="347"/>
      <c r="GL6" s="347"/>
      <c r="GM6" s="347"/>
      <c r="GN6" s="347"/>
      <c r="GO6" s="347"/>
      <c r="GP6" s="347"/>
      <c r="GQ6" s="347"/>
      <c r="GR6" s="347"/>
      <c r="GS6" s="347"/>
      <c r="GT6" s="347"/>
      <c r="GU6" s="347"/>
      <c r="GV6" s="347"/>
      <c r="GW6" s="347"/>
      <c r="GX6" s="347"/>
      <c r="GY6" s="347"/>
      <c r="GZ6" s="347"/>
      <c r="HA6" s="347"/>
      <c r="HB6" s="347"/>
      <c r="HC6" s="347"/>
      <c r="HD6" s="347"/>
      <c r="HE6" s="347"/>
      <c r="HF6" s="347"/>
      <c r="HG6" s="347"/>
      <c r="HH6" s="347"/>
      <c r="HI6" s="347"/>
      <c r="HJ6" s="347"/>
      <c r="HK6" s="347"/>
      <c r="HL6" s="347"/>
      <c r="HM6" s="347"/>
      <c r="HN6" s="347"/>
      <c r="HO6" s="347"/>
      <c r="HP6" s="347"/>
      <c r="HQ6" s="347"/>
      <c r="HR6" s="347"/>
      <c r="HS6" s="347"/>
      <c r="HT6" s="346"/>
      <c r="HU6" s="346"/>
      <c r="HV6" s="346"/>
      <c r="HW6" s="346"/>
      <c r="HX6" s="346"/>
      <c r="HY6" s="346"/>
      <c r="HZ6" s="346"/>
      <c r="IA6" s="346"/>
      <c r="IB6" s="346"/>
      <c r="IC6" s="346"/>
      <c r="ID6" s="1802"/>
      <c r="IE6" s="1802"/>
      <c r="IF6" s="1802"/>
      <c r="IG6" s="1802"/>
      <c r="IH6" s="1802"/>
      <c r="II6" s="1802"/>
      <c r="IJ6" s="1802"/>
      <c r="IK6" s="1802"/>
      <c r="IL6" s="1802"/>
      <c r="IM6" s="1802"/>
      <c r="IN6" s="1802"/>
      <c r="IO6" s="1802"/>
      <c r="IP6" s="1802"/>
      <c r="IQ6" s="1802"/>
      <c r="IR6" s="1802"/>
      <c r="IS6" s="1802"/>
      <c r="IT6" s="1802"/>
      <c r="IU6" s="1802"/>
      <c r="IV6" s="1802"/>
      <c r="IW6" s="1802"/>
      <c r="IX6" s="1802"/>
      <c r="IY6" s="1802"/>
      <c r="IZ6" s="1802"/>
      <c r="JA6" s="1802"/>
      <c r="JB6" s="1802"/>
      <c r="JC6" s="1802"/>
      <c r="JD6" s="1802"/>
      <c r="JE6" s="1802"/>
      <c r="JF6" s="1802"/>
      <c r="JG6" s="1802"/>
      <c r="JH6" s="1816"/>
      <c r="JI6" s="1816"/>
      <c r="JJ6" s="1816"/>
      <c r="JK6" s="1816"/>
      <c r="JL6" s="1816"/>
      <c r="JM6" s="1802"/>
      <c r="JN6" s="1802"/>
      <c r="JO6" s="1802"/>
      <c r="JP6" s="1802"/>
      <c r="JQ6" s="1802"/>
      <c r="JR6" s="58"/>
      <c r="JS6" s="58"/>
      <c r="JT6" s="346"/>
      <c r="JU6" s="346"/>
      <c r="JV6" s="346"/>
      <c r="JW6" s="346"/>
      <c r="JX6" s="346"/>
      <c r="JY6" s="346"/>
      <c r="JZ6" s="346"/>
      <c r="KA6" s="346"/>
      <c r="KB6" s="346"/>
      <c r="KC6" s="346"/>
      <c r="KD6" s="346"/>
      <c r="KE6" s="346"/>
      <c r="KF6" s="346"/>
      <c r="KG6" s="346"/>
      <c r="KH6" s="346"/>
      <c r="KI6" s="346"/>
      <c r="KJ6" s="346"/>
    </row>
    <row r="7" spans="1:296" s="55" customFormat="1" ht="11.25" customHeight="1">
      <c r="A7" s="1817"/>
      <c r="B7" s="4"/>
      <c r="C7" s="58"/>
      <c r="D7" s="4"/>
      <c r="E7" s="58"/>
      <c r="F7" s="58"/>
      <c r="G7" s="1524" t="s">
        <v>1039</v>
      </c>
      <c r="H7" s="1811"/>
      <c r="I7" s="1804" t="s">
        <v>1040</v>
      </c>
      <c r="J7" s="1524" t="s">
        <v>1041</v>
      </c>
      <c r="K7" s="741"/>
      <c r="L7" s="741"/>
      <c r="M7" s="58"/>
      <c r="P7" s="1811"/>
      <c r="Q7" s="1522"/>
      <c r="R7" s="741"/>
      <c r="S7" s="742"/>
      <c r="T7" s="747" t="s">
        <v>1042</v>
      </c>
      <c r="U7" s="312"/>
      <c r="V7" s="313"/>
      <c r="W7" s="1818"/>
      <c r="X7" s="1818"/>
      <c r="Y7" s="1818"/>
      <c r="Z7" s="1818"/>
      <c r="AA7" s="1818"/>
      <c r="AB7" s="1818"/>
      <c r="AC7" s="1818"/>
      <c r="AD7" s="1818"/>
      <c r="AE7" s="1818"/>
      <c r="AF7" s="1818"/>
      <c r="AG7" s="1818"/>
      <c r="AH7" s="1818"/>
      <c r="AI7" s="1818"/>
      <c r="AJ7" s="1818"/>
      <c r="AK7" s="1818"/>
      <c r="AL7" s="1818"/>
      <c r="AM7" s="1818"/>
      <c r="AN7" s="1818"/>
      <c r="AO7" s="1818"/>
      <c r="AP7" s="1818"/>
      <c r="AQ7" s="1818"/>
      <c r="AR7" s="1818"/>
      <c r="AS7" s="1818"/>
      <c r="AT7" s="1818"/>
      <c r="AU7" s="1818"/>
      <c r="AV7" s="1818"/>
      <c r="AW7" s="1818"/>
      <c r="AX7" s="1818"/>
      <c r="AY7" s="1818"/>
      <c r="AZ7" s="1818"/>
      <c r="BA7" s="1818"/>
      <c r="BB7" s="1818"/>
      <c r="BC7" s="1818"/>
      <c r="BD7" s="1818"/>
      <c r="BE7" s="1818"/>
      <c r="BF7" s="1818"/>
      <c r="BG7" s="1818"/>
      <c r="BH7" s="1818"/>
      <c r="BI7" s="1818"/>
      <c r="BJ7" s="1818"/>
      <c r="BK7" s="1818"/>
      <c r="BL7" s="1818"/>
      <c r="BM7" s="1818"/>
      <c r="BN7" s="1818"/>
      <c r="BO7" s="1818"/>
      <c r="BP7" s="1818"/>
      <c r="BQ7" s="1818"/>
      <c r="BR7" s="1818"/>
      <c r="BS7" s="1818"/>
      <c r="BT7" s="1818"/>
      <c r="BU7" s="1818"/>
      <c r="BV7" s="1818"/>
      <c r="BW7" s="1818"/>
      <c r="BX7" s="1818"/>
      <c r="BY7" s="1818"/>
      <c r="BZ7" s="1818"/>
      <c r="CA7" s="1818"/>
      <c r="CB7" s="1818"/>
      <c r="CC7" s="1818"/>
      <c r="CD7" s="1818"/>
      <c r="CE7" s="1815"/>
      <c r="CF7" s="1815"/>
      <c r="CG7" s="1815"/>
      <c r="CH7" s="1815"/>
      <c r="CI7" s="1815"/>
      <c r="CJ7" s="1815"/>
      <c r="CK7" s="1815"/>
      <c r="CL7" s="1815"/>
      <c r="CM7" s="1815"/>
      <c r="CN7" s="1815"/>
      <c r="CO7" s="1815"/>
      <c r="CP7" s="1815"/>
      <c r="CQ7" s="1815"/>
      <c r="CR7" s="1815"/>
      <c r="CS7" s="1815"/>
      <c r="CT7" s="1815"/>
      <c r="CU7" s="1815"/>
      <c r="CV7" s="1815"/>
      <c r="CW7" s="1815"/>
      <c r="CX7" s="1815"/>
      <c r="CY7" s="1815"/>
      <c r="CZ7" s="1815"/>
      <c r="DA7" s="1815"/>
      <c r="DB7" s="1815"/>
      <c r="DC7" s="1815"/>
      <c r="DD7" s="1815"/>
      <c r="DE7" s="1815"/>
      <c r="DF7" s="1815"/>
      <c r="DG7" s="1815"/>
      <c r="DH7" s="1815"/>
      <c r="DI7" s="1815"/>
      <c r="DJ7" s="1815"/>
      <c r="DK7" s="1815"/>
      <c r="DL7" s="1815"/>
      <c r="DM7" s="1815"/>
      <c r="DN7" s="1815"/>
      <c r="DO7" s="1815"/>
      <c r="DP7" s="1815"/>
      <c r="DQ7" s="1815"/>
      <c r="DR7" s="1815"/>
      <c r="DS7" s="1815"/>
      <c r="DT7" s="1815"/>
      <c r="DU7" s="1815"/>
      <c r="DV7" s="1815"/>
      <c r="DW7" s="1815"/>
      <c r="DX7" s="1815"/>
      <c r="DY7" s="1815"/>
      <c r="DZ7" s="1815"/>
      <c r="EA7" s="1815"/>
      <c r="EB7" s="1815"/>
      <c r="EC7" s="1815"/>
      <c r="ED7" s="1815"/>
      <c r="EE7" s="1815"/>
      <c r="EF7" s="1815"/>
      <c r="EG7" s="1815"/>
      <c r="EH7" s="1815"/>
      <c r="EI7" s="1815"/>
      <c r="EJ7" s="1815"/>
      <c r="EK7" s="1815"/>
      <c r="EL7" s="1815"/>
      <c r="EM7" s="1815"/>
      <c r="EN7" s="1815"/>
      <c r="EO7" s="1815"/>
      <c r="EP7" s="1815"/>
      <c r="EQ7" s="1815"/>
      <c r="ER7" s="1815"/>
      <c r="ES7" s="1815"/>
      <c r="ET7" s="1815"/>
      <c r="EU7" s="1815"/>
      <c r="EV7" s="1815"/>
      <c r="EW7" s="45"/>
      <c r="EX7" s="347"/>
      <c r="EY7" s="347"/>
      <c r="EZ7" s="347"/>
      <c r="FA7" s="347"/>
      <c r="FB7" s="347"/>
      <c r="FC7" s="347"/>
      <c r="FD7" s="347"/>
      <c r="FE7" s="347"/>
      <c r="FF7" s="347"/>
      <c r="FG7" s="347"/>
      <c r="FH7" s="347"/>
      <c r="FI7" s="347"/>
      <c r="FJ7" s="347"/>
      <c r="FK7" s="347"/>
      <c r="FL7" s="347"/>
      <c r="FM7" s="347"/>
      <c r="FN7" s="347"/>
      <c r="FO7" s="347"/>
      <c r="FP7" s="347"/>
      <c r="FQ7" s="347"/>
      <c r="FR7" s="347"/>
      <c r="FS7" s="347"/>
      <c r="FT7" s="347"/>
      <c r="FU7" s="347"/>
      <c r="FV7" s="353"/>
      <c r="FW7" s="353"/>
      <c r="FX7" s="353"/>
      <c r="FY7" s="353"/>
      <c r="FZ7" s="353"/>
      <c r="GA7" s="353"/>
      <c r="GB7" s="353"/>
      <c r="GC7" s="353"/>
      <c r="GD7" s="353"/>
      <c r="GE7" s="353"/>
      <c r="GF7" s="353"/>
      <c r="GG7" s="353"/>
      <c r="GH7" s="353"/>
      <c r="GI7" s="353"/>
      <c r="GJ7" s="353"/>
      <c r="GK7" s="353"/>
      <c r="GL7" s="353"/>
      <c r="GM7" s="353"/>
      <c r="GN7" s="353"/>
      <c r="GO7" s="353"/>
      <c r="GP7" s="353"/>
      <c r="GQ7" s="353"/>
      <c r="GR7" s="353"/>
      <c r="GS7" s="353"/>
      <c r="GT7" s="353"/>
      <c r="GU7" s="353"/>
      <c r="GV7" s="353"/>
      <c r="GW7" s="353"/>
      <c r="GX7" s="353"/>
      <c r="GY7" s="353"/>
      <c r="GZ7" s="353"/>
      <c r="HA7" s="353"/>
      <c r="HB7" s="353"/>
      <c r="HC7" s="353"/>
      <c r="HD7" s="353"/>
      <c r="HE7" s="353"/>
      <c r="HF7" s="353"/>
      <c r="HG7" s="353"/>
      <c r="HH7" s="353"/>
      <c r="HI7" s="353"/>
      <c r="HJ7" s="353"/>
      <c r="HK7" s="353"/>
      <c r="HL7" s="353"/>
      <c r="HM7" s="353"/>
      <c r="HN7" s="353"/>
      <c r="HO7" s="353"/>
      <c r="HP7" s="353"/>
      <c r="HQ7" s="353"/>
      <c r="HR7" s="353"/>
      <c r="HS7" s="353"/>
      <c r="HT7" s="353"/>
      <c r="HU7" s="353"/>
      <c r="HV7" s="353"/>
      <c r="HW7" s="353"/>
      <c r="HX7" s="353"/>
      <c r="HY7" s="353"/>
      <c r="HZ7" s="353"/>
      <c r="IA7" s="353"/>
      <c r="IB7" s="353"/>
      <c r="IC7" s="353"/>
      <c r="ID7" s="1802"/>
      <c r="IE7" s="1802"/>
      <c r="IF7" s="1802"/>
      <c r="IG7" s="1802"/>
      <c r="IH7" s="1802"/>
      <c r="II7" s="1802"/>
      <c r="IJ7" s="1802"/>
      <c r="IK7" s="1802"/>
      <c r="IL7" s="1802"/>
      <c r="IM7" s="1802"/>
      <c r="IN7" s="1802"/>
      <c r="IO7" s="1802"/>
      <c r="IP7" s="1802"/>
      <c r="IQ7" s="1802"/>
      <c r="IR7" s="1802"/>
      <c r="IS7" s="1802"/>
      <c r="IT7" s="1802"/>
      <c r="IU7" s="1802"/>
      <c r="IV7" s="1802"/>
      <c r="IW7" s="1802"/>
      <c r="IX7" s="1802"/>
      <c r="IY7" s="1802"/>
      <c r="IZ7" s="1802"/>
      <c r="JA7" s="1802"/>
      <c r="JB7" s="1802"/>
      <c r="JC7" s="1802"/>
      <c r="JD7" s="1802"/>
      <c r="JE7" s="1802"/>
      <c r="JF7" s="1802"/>
      <c r="JG7" s="1802"/>
      <c r="JH7" s="1816"/>
      <c r="JI7" s="1816"/>
      <c r="JJ7" s="1816"/>
      <c r="JK7" s="1816"/>
      <c r="JL7" s="1816"/>
      <c r="JM7" s="1802"/>
      <c r="JN7" s="1802"/>
      <c r="JO7" s="1802"/>
      <c r="JP7" s="1802"/>
      <c r="JQ7" s="1802"/>
      <c r="JR7" s="58"/>
      <c r="JS7" s="58"/>
      <c r="JT7" s="346"/>
      <c r="JU7" s="346"/>
      <c r="JV7" s="346"/>
      <c r="JW7" s="346"/>
      <c r="JX7" s="346"/>
      <c r="JY7" s="346"/>
      <c r="JZ7" s="346"/>
      <c r="KA7" s="346"/>
      <c r="KB7" s="346"/>
      <c r="KC7" s="346"/>
      <c r="KD7" s="346"/>
      <c r="KE7" s="346"/>
      <c r="KF7" s="346"/>
      <c r="KG7" s="346"/>
      <c r="KH7" s="346"/>
      <c r="KI7" s="346"/>
      <c r="KJ7" s="346"/>
    </row>
    <row r="8" spans="1:296" s="72" customFormat="1" ht="11.25" customHeight="1">
      <c r="A8" s="1817"/>
      <c r="B8" s="945" t="s">
        <v>1043</v>
      </c>
      <c r="C8" s="1524" t="s">
        <v>1044</v>
      </c>
      <c r="D8" s="1524" t="s">
        <v>1045</v>
      </c>
      <c r="E8" s="1524" t="s">
        <v>1046</v>
      </c>
      <c r="F8" s="1524" t="s">
        <v>1046</v>
      </c>
      <c r="G8" s="1524" t="s">
        <v>1043</v>
      </c>
      <c r="H8" s="1524" t="s">
        <v>1039</v>
      </c>
      <c r="I8" s="1804"/>
      <c r="J8" s="1524" t="s">
        <v>1047</v>
      </c>
      <c r="K8" s="1814" t="s">
        <v>1048</v>
      </c>
      <c r="L8" s="1814"/>
      <c r="M8" s="1524" t="s">
        <v>1049</v>
      </c>
      <c r="N8" s="1524" t="s">
        <v>1050</v>
      </c>
      <c r="O8" s="1524" t="s">
        <v>1051</v>
      </c>
      <c r="P8" s="1811"/>
      <c r="Q8" s="1814" t="s">
        <v>1052</v>
      </c>
      <c r="R8" s="1814"/>
      <c r="S8" s="1524" t="s">
        <v>1053</v>
      </c>
      <c r="T8" s="1524" t="s">
        <v>1054</v>
      </c>
      <c r="U8" s="314"/>
      <c r="V8" s="315"/>
      <c r="W8" s="1818"/>
      <c r="X8" s="1818"/>
      <c r="Y8" s="1818"/>
      <c r="Z8" s="1818"/>
      <c r="AA8" s="1818"/>
      <c r="AB8" s="1818"/>
      <c r="AC8" s="1818"/>
      <c r="AD8" s="1818"/>
      <c r="AE8" s="1818"/>
      <c r="AF8" s="1818"/>
      <c r="AG8" s="1818"/>
      <c r="AH8" s="1818"/>
      <c r="AI8" s="1818"/>
      <c r="AJ8" s="1818"/>
      <c r="AK8" s="1818"/>
      <c r="AL8" s="1818"/>
      <c r="AM8" s="1818"/>
      <c r="AN8" s="1818"/>
      <c r="AO8" s="1818"/>
      <c r="AP8" s="1818"/>
      <c r="AQ8" s="1818"/>
      <c r="AR8" s="1818"/>
      <c r="AS8" s="1818"/>
      <c r="AT8" s="1818"/>
      <c r="AU8" s="1818"/>
      <c r="AV8" s="1818"/>
      <c r="AW8" s="1818"/>
      <c r="AX8" s="1818"/>
      <c r="AY8" s="1818"/>
      <c r="AZ8" s="1818"/>
      <c r="BA8" s="1818"/>
      <c r="BB8" s="1818"/>
      <c r="BC8" s="1818"/>
      <c r="BD8" s="1818"/>
      <c r="BE8" s="1818"/>
      <c r="BF8" s="1818"/>
      <c r="BG8" s="1818"/>
      <c r="BH8" s="1818"/>
      <c r="BI8" s="1818"/>
      <c r="BJ8" s="1818"/>
      <c r="BK8" s="1818"/>
      <c r="BL8" s="1818"/>
      <c r="BM8" s="1818"/>
      <c r="BN8" s="1818"/>
      <c r="BO8" s="1818"/>
      <c r="BP8" s="1818"/>
      <c r="BQ8" s="1818"/>
      <c r="BR8" s="1818"/>
      <c r="BS8" s="1818"/>
      <c r="BT8" s="1818"/>
      <c r="BU8" s="1818"/>
      <c r="BV8" s="1818"/>
      <c r="BW8" s="1818"/>
      <c r="BX8" s="1818"/>
      <c r="BY8" s="1818"/>
      <c r="BZ8" s="1818"/>
      <c r="CA8" s="1818"/>
      <c r="CB8" s="1818"/>
      <c r="CC8" s="1818"/>
      <c r="CD8" s="1818"/>
      <c r="CE8" s="1815"/>
      <c r="CF8" s="1815"/>
      <c r="CG8" s="1815"/>
      <c r="CH8" s="1815"/>
      <c r="CI8" s="1815"/>
      <c r="CJ8" s="1815"/>
      <c r="CK8" s="1815"/>
      <c r="CL8" s="1815"/>
      <c r="CM8" s="1815"/>
      <c r="CN8" s="1815"/>
      <c r="CO8" s="1815"/>
      <c r="CP8" s="1815"/>
      <c r="CQ8" s="1815"/>
      <c r="CR8" s="1815"/>
      <c r="CS8" s="1815"/>
      <c r="CT8" s="1815"/>
      <c r="CU8" s="1815"/>
      <c r="CV8" s="1815"/>
      <c r="CW8" s="1815"/>
      <c r="CX8" s="1815"/>
      <c r="CY8" s="1815"/>
      <c r="CZ8" s="1815"/>
      <c r="DA8" s="1815"/>
      <c r="DB8" s="1815"/>
      <c r="DC8" s="1815"/>
      <c r="DD8" s="1815"/>
      <c r="DE8" s="1815"/>
      <c r="DF8" s="1815"/>
      <c r="DG8" s="1815"/>
      <c r="DH8" s="1815"/>
      <c r="DI8" s="1815"/>
      <c r="DJ8" s="1815"/>
      <c r="DK8" s="1815"/>
      <c r="DL8" s="1815"/>
      <c r="DM8" s="1815"/>
      <c r="DN8" s="1815"/>
      <c r="DO8" s="1815"/>
      <c r="DP8" s="1815"/>
      <c r="DQ8" s="1815"/>
      <c r="DR8" s="1815"/>
      <c r="DS8" s="1815"/>
      <c r="DT8" s="1815"/>
      <c r="DU8" s="1815"/>
      <c r="DV8" s="1815"/>
      <c r="DW8" s="1815"/>
      <c r="DX8" s="1815"/>
      <c r="DY8" s="1815"/>
      <c r="DZ8" s="1815"/>
      <c r="EA8" s="1815"/>
      <c r="EB8" s="1815"/>
      <c r="EC8" s="1815"/>
      <c r="ED8" s="1815"/>
      <c r="EE8" s="1815"/>
      <c r="EF8" s="1815"/>
      <c r="EG8" s="1815"/>
      <c r="EH8" s="1815"/>
      <c r="EI8" s="1815"/>
      <c r="EJ8" s="1815"/>
      <c r="EK8" s="1815"/>
      <c r="EL8" s="1815"/>
      <c r="EM8" s="1815"/>
      <c r="EN8" s="1815"/>
      <c r="EO8" s="1815"/>
      <c r="EP8" s="1815"/>
      <c r="EQ8" s="1815"/>
      <c r="ER8" s="1815"/>
      <c r="ES8" s="1815"/>
      <c r="ET8" s="1815"/>
      <c r="EU8" s="1815"/>
      <c r="EV8" s="1815"/>
      <c r="EW8" s="1815" t="s">
        <v>1055</v>
      </c>
      <c r="EX8" s="353" t="s">
        <v>855</v>
      </c>
      <c r="EY8" s="353" t="s">
        <v>856</v>
      </c>
      <c r="EZ8" s="353" t="s">
        <v>857</v>
      </c>
      <c r="FA8" s="353" t="s">
        <v>858</v>
      </c>
      <c r="FB8" s="1802" t="s">
        <v>1056</v>
      </c>
      <c r="FC8" s="1802" t="s">
        <v>1056</v>
      </c>
      <c r="FD8" s="1802" t="s">
        <v>1056</v>
      </c>
      <c r="FE8" s="1802" t="s">
        <v>1056</v>
      </c>
      <c r="FF8" s="1802" t="s">
        <v>1056</v>
      </c>
      <c r="FG8" s="1802" t="s">
        <v>1057</v>
      </c>
      <c r="FH8" s="1802" t="s">
        <v>1057</v>
      </c>
      <c r="FI8" s="1802" t="s">
        <v>1057</v>
      </c>
      <c r="FJ8" s="1802" t="s">
        <v>1057</v>
      </c>
      <c r="FK8" s="1802" t="s">
        <v>1057</v>
      </c>
      <c r="FL8" s="353" t="s">
        <v>831</v>
      </c>
      <c r="FM8" s="353" t="s">
        <v>855</v>
      </c>
      <c r="FN8" s="353" t="s">
        <v>856</v>
      </c>
      <c r="FO8" s="353" t="s">
        <v>857</v>
      </c>
      <c r="FP8" s="353" t="s">
        <v>858</v>
      </c>
      <c r="FQ8" s="353" t="s">
        <v>831</v>
      </c>
      <c r="FR8" s="353" t="s">
        <v>855</v>
      </c>
      <c r="FS8" s="353" t="s">
        <v>856</v>
      </c>
      <c r="FT8" s="353" t="s">
        <v>857</v>
      </c>
      <c r="FU8" s="353" t="s">
        <v>858</v>
      </c>
      <c r="FV8" s="1802" t="s">
        <v>1058</v>
      </c>
      <c r="FW8" s="1802" t="s">
        <v>1058</v>
      </c>
      <c r="FX8" s="1802" t="s">
        <v>1058</v>
      </c>
      <c r="FY8" s="1802" t="s">
        <v>1058</v>
      </c>
      <c r="FZ8" s="1802" t="s">
        <v>1058</v>
      </c>
      <c r="GA8" s="1802" t="s">
        <v>1059</v>
      </c>
      <c r="GB8" s="1802" t="s">
        <v>1059</v>
      </c>
      <c r="GC8" s="1802" t="s">
        <v>1059</v>
      </c>
      <c r="GD8" s="1802" t="s">
        <v>1059</v>
      </c>
      <c r="GE8" s="1802" t="s">
        <v>1059</v>
      </c>
      <c r="GF8" s="1802" t="s">
        <v>1060</v>
      </c>
      <c r="GG8" s="1802" t="s">
        <v>1060</v>
      </c>
      <c r="GH8" s="1802" t="s">
        <v>1060</v>
      </c>
      <c r="GI8" s="1802" t="s">
        <v>1060</v>
      </c>
      <c r="GJ8" s="1802" t="s">
        <v>1060</v>
      </c>
      <c r="GK8" s="1802" t="s">
        <v>1061</v>
      </c>
      <c r="GL8" s="1802" t="s">
        <v>1061</v>
      </c>
      <c r="GM8" s="1802" t="s">
        <v>1061</v>
      </c>
      <c r="GN8" s="1802" t="s">
        <v>1061</v>
      </c>
      <c r="GO8" s="1802" t="s">
        <v>1061</v>
      </c>
      <c r="GP8" s="1802" t="s">
        <v>1062</v>
      </c>
      <c r="GQ8" s="1802" t="s">
        <v>1062</v>
      </c>
      <c r="GR8" s="1802" t="s">
        <v>1062</v>
      </c>
      <c r="GS8" s="1802" t="s">
        <v>1062</v>
      </c>
      <c r="GT8" s="1802" t="s">
        <v>1062</v>
      </c>
      <c r="GU8" s="1802" t="s">
        <v>1063</v>
      </c>
      <c r="GV8" s="1802" t="s">
        <v>1063</v>
      </c>
      <c r="GW8" s="1802" t="s">
        <v>1063</v>
      </c>
      <c r="GX8" s="1802" t="s">
        <v>1063</v>
      </c>
      <c r="GY8" s="1802" t="s">
        <v>1063</v>
      </c>
      <c r="GZ8" s="1802" t="s">
        <v>1064</v>
      </c>
      <c r="HA8" s="1802" t="s">
        <v>1064</v>
      </c>
      <c r="HB8" s="1802" t="s">
        <v>1064</v>
      </c>
      <c r="HC8" s="1802" t="s">
        <v>1064</v>
      </c>
      <c r="HD8" s="1802" t="s">
        <v>1064</v>
      </c>
      <c r="HE8" s="1802" t="s">
        <v>1065</v>
      </c>
      <c r="HF8" s="1802" t="s">
        <v>1065</v>
      </c>
      <c r="HG8" s="1802" t="s">
        <v>1065</v>
      </c>
      <c r="HH8" s="1802" t="s">
        <v>1065</v>
      </c>
      <c r="HI8" s="1802" t="s">
        <v>1065</v>
      </c>
      <c r="HJ8" s="1802" t="s">
        <v>1066</v>
      </c>
      <c r="HK8" s="1802" t="s">
        <v>1066</v>
      </c>
      <c r="HL8" s="1802" t="s">
        <v>1066</v>
      </c>
      <c r="HM8" s="1802" t="s">
        <v>1066</v>
      </c>
      <c r="HN8" s="1802" t="s">
        <v>1066</v>
      </c>
      <c r="HO8" s="1802" t="s">
        <v>1067</v>
      </c>
      <c r="HP8" s="1802" t="s">
        <v>1067</v>
      </c>
      <c r="HQ8" s="1802" t="s">
        <v>1067</v>
      </c>
      <c r="HR8" s="1802" t="s">
        <v>1067</v>
      </c>
      <c r="HS8" s="1802" t="s">
        <v>1067</v>
      </c>
      <c r="HT8" s="1802" t="s">
        <v>1068</v>
      </c>
      <c r="HU8" s="1802" t="s">
        <v>1068</v>
      </c>
      <c r="HV8" s="1802" t="s">
        <v>1068</v>
      </c>
      <c r="HW8" s="1802" t="s">
        <v>1068</v>
      </c>
      <c r="HX8" s="1802" t="s">
        <v>1068</v>
      </c>
      <c r="HY8" s="1802" t="s">
        <v>1069</v>
      </c>
      <c r="HZ8" s="1802" t="s">
        <v>1069</v>
      </c>
      <c r="IA8" s="1802" t="s">
        <v>1069</v>
      </c>
      <c r="IB8" s="1802" t="s">
        <v>1069</v>
      </c>
      <c r="IC8" s="1802" t="s">
        <v>1069</v>
      </c>
      <c r="ID8" s="1802"/>
      <c r="IE8" s="1802"/>
      <c r="IF8" s="1802"/>
      <c r="IG8" s="1802"/>
      <c r="IH8" s="1802"/>
      <c r="II8" s="1802"/>
      <c r="IJ8" s="1802"/>
      <c r="IK8" s="1802"/>
      <c r="IL8" s="1802"/>
      <c r="IM8" s="1802"/>
      <c r="IN8" s="1802"/>
      <c r="IO8" s="1802"/>
      <c r="IP8" s="1802"/>
      <c r="IQ8" s="1802"/>
      <c r="IR8" s="1802"/>
      <c r="IS8" s="1802"/>
      <c r="IT8" s="1802"/>
      <c r="IU8" s="1802"/>
      <c r="IV8" s="1802"/>
      <c r="IW8" s="1802"/>
      <c r="IX8" s="1802"/>
      <c r="IY8" s="1802"/>
      <c r="IZ8" s="1802"/>
      <c r="JA8" s="1802"/>
      <c r="JB8" s="1802"/>
      <c r="JC8" s="1802"/>
      <c r="JD8" s="1802"/>
      <c r="JE8" s="1802"/>
      <c r="JF8" s="1802"/>
      <c r="JG8" s="1802"/>
      <c r="JH8" s="1816"/>
      <c r="JI8" s="1816"/>
      <c r="JJ8" s="1816"/>
      <c r="JK8" s="1816"/>
      <c r="JL8" s="1816"/>
      <c r="JM8" s="1802"/>
      <c r="JN8" s="1802"/>
      <c r="JO8" s="1802"/>
      <c r="JP8" s="1802"/>
      <c r="JQ8" s="1802"/>
      <c r="JR8" s="54"/>
      <c r="JS8" s="54"/>
      <c r="JT8" s="349"/>
      <c r="JU8" s="349"/>
      <c r="JV8" s="349"/>
      <c r="JW8" s="349"/>
      <c r="JX8" s="349"/>
      <c r="JY8" s="349"/>
      <c r="JZ8" s="349"/>
      <c r="KA8" s="349"/>
      <c r="KB8" s="349"/>
      <c r="KC8" s="349"/>
      <c r="KD8" s="349"/>
      <c r="KE8" s="349"/>
      <c r="KF8" s="349"/>
      <c r="KG8" s="349"/>
      <c r="KH8" s="349"/>
      <c r="KI8" s="349"/>
      <c r="KJ8" s="349"/>
    </row>
    <row r="9" spans="1:296" s="72" customFormat="1" ht="11.25" customHeight="1">
      <c r="A9" s="1817"/>
      <c r="B9" s="945" t="s">
        <v>1070</v>
      </c>
      <c r="C9" s="1524" t="s">
        <v>1071</v>
      </c>
      <c r="D9" s="1524" t="s">
        <v>1072</v>
      </c>
      <c r="E9" s="1524" t="s">
        <v>1073</v>
      </c>
      <c r="F9" s="1524" t="s">
        <v>1074</v>
      </c>
      <c r="G9" s="1524" t="s">
        <v>1075</v>
      </c>
      <c r="H9" s="1524" t="s">
        <v>1043</v>
      </c>
      <c r="I9" s="1805"/>
      <c r="J9" s="345" t="s">
        <v>1076</v>
      </c>
      <c r="K9" s="1524" t="s">
        <v>1077</v>
      </c>
      <c r="L9" s="1524" t="s">
        <v>478</v>
      </c>
      <c r="M9" s="1524" t="s">
        <v>1046</v>
      </c>
      <c r="N9" s="1524" t="s">
        <v>1078</v>
      </c>
      <c r="O9" s="1524" t="s">
        <v>1079</v>
      </c>
      <c r="P9" s="1825"/>
      <c r="Q9" s="1524" t="s">
        <v>1080</v>
      </c>
      <c r="R9" s="1524" t="s">
        <v>1081</v>
      </c>
      <c r="S9" s="1524" t="s">
        <v>1043</v>
      </c>
      <c r="T9" s="1524" t="s">
        <v>1082</v>
      </c>
      <c r="U9" s="1666" t="s">
        <v>851</v>
      </c>
      <c r="V9" s="1666"/>
      <c r="W9" s="1818"/>
      <c r="X9" s="1818"/>
      <c r="Y9" s="1818"/>
      <c r="Z9" s="1818"/>
      <c r="AA9" s="1818"/>
      <c r="AB9" s="1818"/>
      <c r="AC9" s="1818"/>
      <c r="AD9" s="1818"/>
      <c r="AE9" s="1818"/>
      <c r="AF9" s="1818"/>
      <c r="AG9" s="1818"/>
      <c r="AH9" s="1818"/>
      <c r="AI9" s="1818"/>
      <c r="AJ9" s="1818"/>
      <c r="AK9" s="1818"/>
      <c r="AL9" s="1818"/>
      <c r="AM9" s="1818"/>
      <c r="AN9" s="1818"/>
      <c r="AO9" s="1818"/>
      <c r="AP9" s="1818"/>
      <c r="AQ9" s="1818"/>
      <c r="AR9" s="1818"/>
      <c r="AS9" s="1818"/>
      <c r="AT9" s="1818"/>
      <c r="AU9" s="1818"/>
      <c r="AV9" s="1818"/>
      <c r="AW9" s="1818"/>
      <c r="AX9" s="1818"/>
      <c r="AY9" s="1818"/>
      <c r="AZ9" s="1818"/>
      <c r="BA9" s="1818"/>
      <c r="BB9" s="1818"/>
      <c r="BC9" s="1818"/>
      <c r="BD9" s="1818"/>
      <c r="BE9" s="1818"/>
      <c r="BF9" s="1818"/>
      <c r="BG9" s="1818"/>
      <c r="BH9" s="1818"/>
      <c r="BI9" s="1818"/>
      <c r="BJ9" s="1818"/>
      <c r="BK9" s="1818"/>
      <c r="BL9" s="1818"/>
      <c r="BM9" s="1818"/>
      <c r="BN9" s="1818"/>
      <c r="BO9" s="1818"/>
      <c r="BP9" s="1818"/>
      <c r="BQ9" s="1818"/>
      <c r="BR9" s="1818"/>
      <c r="BS9" s="1818"/>
      <c r="BT9" s="1818"/>
      <c r="BU9" s="1818"/>
      <c r="BV9" s="1818"/>
      <c r="BW9" s="1818"/>
      <c r="BX9" s="1818"/>
      <c r="BY9" s="1818"/>
      <c r="BZ9" s="1818"/>
      <c r="CA9" s="1818"/>
      <c r="CB9" s="1818"/>
      <c r="CC9" s="1818"/>
      <c r="CD9" s="1818"/>
      <c r="CE9" s="1815"/>
      <c r="CF9" s="1815"/>
      <c r="CG9" s="1815"/>
      <c r="CH9" s="1815"/>
      <c r="CI9" s="1815"/>
      <c r="CJ9" s="1815"/>
      <c r="CK9" s="1815"/>
      <c r="CL9" s="1815"/>
      <c r="CM9" s="1815"/>
      <c r="CN9" s="1815"/>
      <c r="CO9" s="1815"/>
      <c r="CP9" s="1815"/>
      <c r="CQ9" s="1815"/>
      <c r="CR9" s="1815"/>
      <c r="CS9" s="1815"/>
      <c r="CT9" s="1815"/>
      <c r="CU9" s="1815"/>
      <c r="CV9" s="1815"/>
      <c r="CW9" s="1815"/>
      <c r="CX9" s="1815"/>
      <c r="CY9" s="1815"/>
      <c r="CZ9" s="1815"/>
      <c r="DA9" s="1815"/>
      <c r="DB9" s="1815"/>
      <c r="DC9" s="1815"/>
      <c r="DD9" s="1815"/>
      <c r="DE9" s="1815"/>
      <c r="DF9" s="1815"/>
      <c r="DG9" s="1815"/>
      <c r="DH9" s="1815"/>
      <c r="DI9" s="1815"/>
      <c r="DJ9" s="1815"/>
      <c r="DK9" s="1815"/>
      <c r="DL9" s="1815"/>
      <c r="DM9" s="1815"/>
      <c r="DN9" s="1815"/>
      <c r="DO9" s="1815"/>
      <c r="DP9" s="1815"/>
      <c r="DQ9" s="1815"/>
      <c r="DR9" s="1815"/>
      <c r="DS9" s="1815"/>
      <c r="DT9" s="1815"/>
      <c r="DU9" s="1815"/>
      <c r="DV9" s="1815"/>
      <c r="DW9" s="1815"/>
      <c r="DX9" s="1815"/>
      <c r="DY9" s="1815"/>
      <c r="DZ9" s="1815"/>
      <c r="EA9" s="1815"/>
      <c r="EB9" s="1815"/>
      <c r="EC9" s="1815"/>
      <c r="ED9" s="1815"/>
      <c r="EE9" s="1815"/>
      <c r="EF9" s="1815"/>
      <c r="EG9" s="1815"/>
      <c r="EH9" s="1815"/>
      <c r="EI9" s="1815"/>
      <c r="EJ9" s="1815"/>
      <c r="EK9" s="1815"/>
      <c r="EL9" s="1815"/>
      <c r="EM9" s="1815"/>
      <c r="EN9" s="1815"/>
      <c r="EO9" s="1815"/>
      <c r="EP9" s="1815"/>
      <c r="EQ9" s="1815"/>
      <c r="ER9" s="1815"/>
      <c r="ES9" s="1815"/>
      <c r="ET9" s="1815"/>
      <c r="EU9" s="1815"/>
      <c r="EV9" s="1815"/>
      <c r="EW9" s="1815"/>
      <c r="EX9" s="353" t="s">
        <v>1083</v>
      </c>
      <c r="EY9" s="353" t="s">
        <v>1083</v>
      </c>
      <c r="EZ9" s="353" t="s">
        <v>1083</v>
      </c>
      <c r="FA9" s="353" t="s">
        <v>1083</v>
      </c>
      <c r="FB9" s="1802"/>
      <c r="FC9" s="1802"/>
      <c r="FD9" s="1802"/>
      <c r="FE9" s="1802"/>
      <c r="FF9" s="1802"/>
      <c r="FG9" s="1802"/>
      <c r="FH9" s="1802"/>
      <c r="FI9" s="1802"/>
      <c r="FJ9" s="1802"/>
      <c r="FK9" s="1802"/>
      <c r="FL9" s="353" t="s">
        <v>1084</v>
      </c>
      <c r="FM9" s="353" t="s">
        <v>1084</v>
      </c>
      <c r="FN9" s="353" t="s">
        <v>1084</v>
      </c>
      <c r="FO9" s="353" t="s">
        <v>1084</v>
      </c>
      <c r="FP9" s="353" t="s">
        <v>1084</v>
      </c>
      <c r="FQ9" s="353" t="s">
        <v>1085</v>
      </c>
      <c r="FR9" s="353" t="s">
        <v>1085</v>
      </c>
      <c r="FS9" s="353" t="s">
        <v>1085</v>
      </c>
      <c r="FT9" s="353" t="s">
        <v>1085</v>
      </c>
      <c r="FU9" s="353" t="s">
        <v>1085</v>
      </c>
      <c r="FV9" s="1802"/>
      <c r="FW9" s="1802"/>
      <c r="FX9" s="1802"/>
      <c r="FY9" s="1802"/>
      <c r="FZ9" s="1802"/>
      <c r="GA9" s="1802"/>
      <c r="GB9" s="1802"/>
      <c r="GC9" s="1802"/>
      <c r="GD9" s="1802"/>
      <c r="GE9" s="1802"/>
      <c r="GF9" s="1802"/>
      <c r="GG9" s="1802"/>
      <c r="GH9" s="1802"/>
      <c r="GI9" s="1802"/>
      <c r="GJ9" s="1802"/>
      <c r="GK9" s="1802"/>
      <c r="GL9" s="1802"/>
      <c r="GM9" s="1802"/>
      <c r="GN9" s="1802"/>
      <c r="GO9" s="1802"/>
      <c r="GP9" s="1802"/>
      <c r="GQ9" s="1802"/>
      <c r="GR9" s="1802"/>
      <c r="GS9" s="1802"/>
      <c r="GT9" s="1802"/>
      <c r="GU9" s="1802"/>
      <c r="GV9" s="1802"/>
      <c r="GW9" s="1802"/>
      <c r="GX9" s="1802"/>
      <c r="GY9" s="1802"/>
      <c r="GZ9" s="1802"/>
      <c r="HA9" s="1802"/>
      <c r="HB9" s="1802"/>
      <c r="HC9" s="1802"/>
      <c r="HD9" s="1802"/>
      <c r="HE9" s="1802"/>
      <c r="HF9" s="1802"/>
      <c r="HG9" s="1802"/>
      <c r="HH9" s="1802"/>
      <c r="HI9" s="1802"/>
      <c r="HJ9" s="1802"/>
      <c r="HK9" s="1802"/>
      <c r="HL9" s="1802"/>
      <c r="HM9" s="1802"/>
      <c r="HN9" s="1802"/>
      <c r="HO9" s="1802"/>
      <c r="HP9" s="1802"/>
      <c r="HQ9" s="1802"/>
      <c r="HR9" s="1802"/>
      <c r="HS9" s="1802"/>
      <c r="HT9" s="1802"/>
      <c r="HU9" s="1802"/>
      <c r="HV9" s="1802"/>
      <c r="HW9" s="1802"/>
      <c r="HX9" s="1802"/>
      <c r="HY9" s="1802"/>
      <c r="HZ9" s="1802"/>
      <c r="IA9" s="1802"/>
      <c r="IB9" s="1802"/>
      <c r="IC9" s="1802"/>
      <c r="ID9" s="1802"/>
      <c r="IE9" s="1802"/>
      <c r="IF9" s="1802"/>
      <c r="IG9" s="1802"/>
      <c r="IH9" s="1802"/>
      <c r="II9" s="1802"/>
      <c r="IJ9" s="1802"/>
      <c r="IK9" s="1802"/>
      <c r="IL9" s="1802"/>
      <c r="IM9" s="1802"/>
      <c r="IN9" s="1802"/>
      <c r="IO9" s="1802"/>
      <c r="IP9" s="1802"/>
      <c r="IQ9" s="1802"/>
      <c r="IR9" s="1802"/>
      <c r="IS9" s="1802"/>
      <c r="IT9" s="1802"/>
      <c r="IU9" s="1802"/>
      <c r="IV9" s="1802"/>
      <c r="IW9" s="1802"/>
      <c r="IX9" s="1802"/>
      <c r="IY9" s="1802"/>
      <c r="IZ9" s="1802"/>
      <c r="JA9" s="1802"/>
      <c r="JB9" s="1802"/>
      <c r="JC9" s="1802"/>
      <c r="JD9" s="1802"/>
      <c r="JE9" s="1802"/>
      <c r="JF9" s="1802"/>
      <c r="JG9" s="1802"/>
      <c r="JH9" s="1816"/>
      <c r="JI9" s="1816"/>
      <c r="JJ9" s="1816"/>
      <c r="JK9" s="1816"/>
      <c r="JL9" s="1816"/>
      <c r="JM9" s="1802"/>
      <c r="JN9" s="1802"/>
      <c r="JO9" s="1802"/>
      <c r="JP9" s="1802"/>
      <c r="JQ9" s="1802"/>
      <c r="JR9" s="54"/>
      <c r="JS9" s="54"/>
      <c r="JT9" s="349"/>
      <c r="JU9" s="349"/>
      <c r="JV9" s="349"/>
      <c r="JW9" s="349"/>
      <c r="JX9" s="349"/>
      <c r="JY9" s="349"/>
      <c r="JZ9" s="349"/>
      <c r="KA9" s="349"/>
      <c r="KB9" s="349"/>
      <c r="KC9" s="349"/>
      <c r="KD9" s="349"/>
      <c r="KE9" s="349"/>
      <c r="KF9" s="349"/>
      <c r="KG9" s="349"/>
      <c r="KH9" s="349"/>
      <c r="KI9" s="349"/>
      <c r="KJ9" s="349"/>
    </row>
    <row r="10" spans="1:296" ht="12" customHeight="1">
      <c r="A10" s="70" t="str">
        <f t="shared" ref="A10:A47" si="0">IF(AND(E10&gt;0,OR(B10="",C10="",D10="",F10="",G10="", H10="",M10="",N10="",O10="",P10="")),1,"")</f>
        <v/>
      </c>
      <c r="B10" s="2616" t="s">
        <v>1086</v>
      </c>
      <c r="C10" s="2617">
        <v>1</v>
      </c>
      <c r="D10" s="2618">
        <v>1</v>
      </c>
      <c r="E10" s="2619">
        <v>3</v>
      </c>
      <c r="F10" s="2619">
        <v>836</v>
      </c>
      <c r="G10" s="2619">
        <v>653</v>
      </c>
      <c r="H10" s="2619">
        <v>593</v>
      </c>
      <c r="I10" s="2620">
        <f>IF(C10="",0,HLOOKUP(C10,'Part V-Utility Allowances'!$I$11:$M$21,11))</f>
        <v>103</v>
      </c>
      <c r="J10" s="2621"/>
      <c r="K10" s="487">
        <f t="shared" ref="K10:K47" si="1">MAX(0,H10-I10)</f>
        <v>490</v>
      </c>
      <c r="L10" s="487">
        <f t="shared" ref="L10:L47" si="2">MAX(0,E10*K10)</f>
        <v>1470</v>
      </c>
      <c r="M10" s="2622" t="s">
        <v>21</v>
      </c>
      <c r="N10" s="2622" t="s">
        <v>1087</v>
      </c>
      <c r="O10" s="2622" t="s">
        <v>112</v>
      </c>
      <c r="P10" s="2623" t="s">
        <v>21</v>
      </c>
      <c r="Q10" s="2624">
        <f t="shared" ref="Q10:Q47" si="3">IF(H10="","",H10*12/0.3)</f>
        <v>23720</v>
      </c>
      <c r="R10" s="2625">
        <f>IF(H10="","",IF(C10="Efficiency",Q10/($O$6*VLOOKUP(0,'DCA Underwriting Assumptions'!$J$143:$K$148,2,FALSE)),Q10/($O$6*VLOOKUP(C10,'DCA Underwriting Assumptions'!$J$143:$K$148,2,FALSE))))</f>
        <v>0.45375418460066952</v>
      </c>
      <c r="S10" s="2626"/>
      <c r="T10" s="2627"/>
      <c r="U10" s="2592"/>
      <c r="V10" s="2593"/>
      <c r="W10" s="102" t="str">
        <f t="shared" ref="W10:W47" si="4">IF(AND(C10="Efficiency",B10="60% AMI",NOT(M10="Common Space")),E10,"")</f>
        <v/>
      </c>
      <c r="X10" s="102" t="str">
        <f t="shared" ref="X10:X47" si="5">IF(AND(C10=1,B10="60% AMI",NOT(M10="Common Space")),E10,"")</f>
        <v/>
      </c>
      <c r="Y10" s="102" t="str">
        <f t="shared" ref="Y10:Y47" si="6">IF(AND(C10=2,B10="60% AMI",NOT(M10="Common Space")),E10,"")</f>
        <v/>
      </c>
      <c r="Z10" s="102" t="str">
        <f t="shared" ref="Z10:Z47" si="7">IF(AND(C10=3,B10="60% AMI",NOT(M10="Common Space")),E10,"")</f>
        <v/>
      </c>
      <c r="AA10" s="102" t="str">
        <f t="shared" ref="AA10:AA47" si="8">IF(AND(C10=4,B10="60% AMI",NOT(M10="Common Space")),E10,"")</f>
        <v/>
      </c>
      <c r="AB10" s="102" t="str">
        <f t="shared" ref="AB10:AB47" si="9">IF(AND(C10="Efficiency",B10="50% AMI",NOT(M10="Common Space")),E10,"")</f>
        <v/>
      </c>
      <c r="AC10" s="102">
        <f t="shared" ref="AC10:AC47" si="10">IF(AND(C10=1,B10="50% AMI",NOT(M10="Common Space")),E10,"")</f>
        <v>3</v>
      </c>
      <c r="AD10" s="102" t="str">
        <f t="shared" ref="AD10:AD47" si="11">IF(AND(C10=2,B10="50% AMI",NOT(M10="Common Space")),E10,"")</f>
        <v/>
      </c>
      <c r="AE10" s="102" t="str">
        <f t="shared" ref="AE10:AE47" si="12">IF(AND(C10=3,B10="50% AMI",NOT(M10="Common Space")),E10,"")</f>
        <v/>
      </c>
      <c r="AF10" s="102" t="str">
        <f t="shared" ref="AF10:AF47" si="13">IF(AND(C10=4,B10="50% AMI",NOT(M10="Common Space")),E10,"")</f>
        <v/>
      </c>
      <c r="AG10" s="102" t="str">
        <f t="shared" ref="AG10:AG47" si="14">IF(AND(C10="Efficiency",B10="30% AMI",NOT(M10="Common Space")),E10,"")</f>
        <v/>
      </c>
      <c r="AH10" s="102" t="str">
        <f t="shared" ref="AH10:AH47" si="15">IF(AND(C10=1,B10="30% AMI",NOT(M10="Common Space")),E10,"")</f>
        <v/>
      </c>
      <c r="AI10" s="102" t="str">
        <f t="shared" ref="AI10:AI47" si="16">IF(AND(C10=2,B10="30% AMI",NOT(M10="Common Space")),E10,"")</f>
        <v/>
      </c>
      <c r="AJ10" s="102" t="str">
        <f t="shared" ref="AJ10:AJ47" si="17">IF(AND(C10=3,B10="30% AMI",NOT(M10="Common Space")),E10,"")</f>
        <v/>
      </c>
      <c r="AK10" s="102" t="str">
        <f t="shared" ref="AK10:AK47" si="18">IF(AND(C10=4,B10="30% AMI",NOT(M10="Common Space")),E10,"")</f>
        <v/>
      </c>
      <c r="AL10" s="102" t="str">
        <f t="shared" ref="AL10:AL47" si="19">IF(AND(C10="Efficiency",B10="Unrestricted",NOT(M10="Common Space")),E10,"")</f>
        <v/>
      </c>
      <c r="AM10" s="102" t="str">
        <f t="shared" ref="AM10:AM47" si="20">IF(AND(C10=1,B10="Unrestricted",NOT(M10="Common Space")),E10,"")</f>
        <v/>
      </c>
      <c r="AN10" s="102" t="str">
        <f t="shared" ref="AN10:AN47" si="21">IF(AND(C10=2,B10="Unrestricted",NOT(M10="Common Space")),E10,"")</f>
        <v/>
      </c>
      <c r="AO10" s="102" t="str">
        <f t="shared" ref="AO10:AO47" si="22">IF(AND(C10=3,B10="Unrestricted",NOT(M10="Common Space")),E10,"")</f>
        <v/>
      </c>
      <c r="AP10" s="102" t="str">
        <f t="shared" ref="AP10:AP47" si="23">IF(AND(C10=4,B10="Unrestricted",NOT(M10="Common Space")),E10,"")</f>
        <v/>
      </c>
      <c r="AQ10" s="102" t="str">
        <f t="shared" ref="AQ10:AQ47" si="24">IF(OR(AND($C10="Efficiency",NOT($J10=""),NOT($J10="PHA Oper Sub"),$B10="30% AMI",NOT($M10="Common Space")),AND($C10="Efficiency",NOT($J10=""),NOT($J10="PHA Oper Sub"),$B10="HOME 30% AMI",NOT($M10="Common Space"))),$E10,"")</f>
        <v/>
      </c>
      <c r="AR10" s="102" t="str">
        <f t="shared" ref="AR10:AR47" si="25">IF(OR(AND($C10=1,NOT($J10=""),NOT($J10="PHA Oper Sub"),$B10="30% AMI",NOT($M10="Common Space")),AND($C10=1,NOT($J10=""),NOT($J10="PHA Oper Sub"),$B10="HOME 30% AMI",NOT($M10="Common Space"))),$E10,"")</f>
        <v/>
      </c>
      <c r="AS10" s="102" t="str">
        <f t="shared" ref="AS10:AS47" si="26">IF(OR(AND($C10=2,NOT($J10=""),NOT($J10="PHA Oper Sub"),$B10="30% AMI",NOT($M10="Common Space")),AND($C10=2,NOT($J10=""),NOT($J10="PHA Oper Sub"),$B10="HOME 30% AMI",NOT($M10="Common Space"))),$E10,"")</f>
        <v/>
      </c>
      <c r="AT10" s="102" t="str">
        <f t="shared" ref="AT10:AT47" si="27">IF(OR(AND($C10=3,NOT($J10=""),NOT($J10="PHA Oper Sub"),$B10="30% AMI",NOT($M10="Common Space")),AND($C10=3,NOT($J10=""),NOT($J10="PHA Oper Sub"),$B10="HOME 30% AMI",NOT($M10="Common Space"))),$E10,"")</f>
        <v/>
      </c>
      <c r="AU10" s="102" t="str">
        <f t="shared" ref="AU10:AU47" si="28">IF(OR(AND($C10=4,NOT($J10=""),NOT($J10="PHA Oper Sub"),$B10="30% AMI",NOT($M10="Common Space")),AND($C10=4,NOT($J10=""),NOT($J10="PHA Oper Sub"),$B10="HOME 30% AMI",NOT($M10="Common Space"))),$E10,"")</f>
        <v/>
      </c>
      <c r="AV10" s="102" t="str">
        <f t="shared" ref="AV10:AV47" si="29">IF(OR(AND($C10="Efficiency",NOT($J10=""),NOT($J10="PHA Oper Sub"),NOT($J10=0),$B10="50% AMI",NOT($M10="Common Space")),AND($C10="Efficiency",NOT($J10=""),NOT($J10=0),NOT($J10="PHA Oper Sub"),$B10="HOME 50% AMI",NOT($M10="Common Space"))),$E10,"")</f>
        <v/>
      </c>
      <c r="AW10" s="102" t="str">
        <f t="shared" ref="AW10:AW47" si="30">IF(OR(AND($C10=1,NOT($J10=""),NOT($J10=0),NOT($J10="PHA Oper Sub"),$B10="50% AMI",NOT($M10="Common Space")),AND($C10=1,NOT($J10=""),NOT($J10=0),NOT($J10="PHA Oper Sub"),$B10="HOME 50% AMI",NOT($M10="Common Space"))),$E10,"")</f>
        <v/>
      </c>
      <c r="AX10" s="102" t="str">
        <f t="shared" ref="AX10:AX47" si="31">IF(OR(AND($C10=2,NOT($J10=""),NOT($J10=0),NOT($J10="PHA Oper Sub"),$B10="50% AMI",NOT($M10="Common Space")),AND($C10=2,NOT($J10=""),NOT($J10=0),NOT($J10="PHA Oper Sub"),$B10="HOME 50% AMI",NOT($M10="Common Space"))),$E10,"")</f>
        <v/>
      </c>
      <c r="AY10" s="102" t="str">
        <f t="shared" ref="AY10:AY47" si="32">IF(OR(AND($C10=3,NOT($J10=""),NOT($J10=0),NOT($J10="PHA Oper Sub"),$B10="50% AMI",NOT($M10="Common Space")),AND($C10=3,NOT($J10=""),NOT($J10=0),NOT($J10="PHA Oper Sub"),$B10="HOME 50% AMI",NOT($M10="Common Space"))),$E10,"")</f>
        <v/>
      </c>
      <c r="AZ10" s="102" t="str">
        <f t="shared" ref="AZ10:AZ47" si="33">IF(OR(AND($C10=4,NOT($J10=""),NOT($J10=0),NOT($J10="PHA Oper Sub"),$B10="50% AMI",NOT($M10="Common Space")),AND($C10=4,NOT($J10=""),NOT($J10=0),NOT($J10="PHA Oper Sub"),$B10="HOME 50% AMI",NOT($M10="Common Space"))),$E10,"")</f>
        <v/>
      </c>
      <c r="BA10" s="102" t="str">
        <f t="shared" ref="BA10:BA47" si="34">IF(OR(AND($C10="Efficiency",NOT($J10=""),NOT($J10=0),NOT($J10="PHA Oper Sub"),$B10="60% AMI",NOT($M10="Common Space")),AND($C10="Efficiency",NOT($J10=""),NOT($J10=0),NOT($J10="PHA Oper Sub"),$B10="HOME 60% AMI",NOT($M10="Common Space"))),$E10,"")</f>
        <v/>
      </c>
      <c r="BB10" s="102" t="str">
        <f t="shared" ref="BB10:BB47" si="35">IF(OR(AND($C10=1,NOT($J10=""),NOT($J10=0),NOT($J10="PHA Oper Sub"),$B10="60% AMI",NOT($M10="Common Space")),AND($C10=1,NOT($J10=""),NOT($J10=0),NOT($J10="PHA Oper Sub"),$B10="HOME 60% AMI",NOT($M10="Common Space"))),$E10,"")</f>
        <v/>
      </c>
      <c r="BC10" s="102" t="str">
        <f t="shared" ref="BC10:BC47" si="36">IF(OR(AND($C10=2,NOT($J10=""),NOT($J10=0),NOT($J10="PHA Oper Sub"),$B10="60% AMI",NOT($M10="Common Space")),AND($C10=2,NOT($J10=""),NOT($J10=0),NOT($J10="PHA Oper Sub"),$B10="HOME 60% AMI",NOT($M10="Common Space"))),$E10,"")</f>
        <v/>
      </c>
      <c r="BD10" s="102" t="str">
        <f t="shared" ref="BD10:BD47" si="37">IF(OR(AND($C10=3,NOT($J10=""),NOT($J10=0),NOT($J10="PHA Oper Sub"),$B10="60% AMI",NOT($M10="Common Space")),AND($C10=3,NOT($J10=""),NOT($J10=0),NOT($J10="PHA Oper Sub"),$B10="HOME 60% AMI",NOT($M10="Common Space"))),$E10,"")</f>
        <v/>
      </c>
      <c r="BE10" s="102" t="str">
        <f t="shared" ref="BE10:BE47" si="38">IF(OR(AND($C10=4,NOT($J10=""),NOT($J10=0),NOT($J10="PHA Oper Sub"),$B10="60% AMI",NOT($M10="Common Space")),AND($C10=4,NOT($J10=""),NOT($J10=0),NOT($J10="PHA Oper Sub"),$B10="HOME 60% AMI",NOT($M10="Common Space"))),$E10,"")</f>
        <v/>
      </c>
      <c r="BF10" s="102" t="str">
        <f t="shared" ref="BF10:BF47" si="39">IF(OR(AND($C10="Efficiency",$J10="PHA Oper Sub",$B10="30% AMI",NOT($M10="Common Space")),AND($C10="Efficiency",$J10="PHA Oper Sub",$B10="HOME 30% AMI",NOT($M10="Common Space"))),$E10,"")</f>
        <v/>
      </c>
      <c r="BG10" s="102" t="str">
        <f t="shared" ref="BG10:BG47" si="40">IF(OR(AND($C10=1,$J10="PHA Oper Sub",$B10="30% AMI",NOT($M10="Common Space")),AND($C10=1,$J10="PHA Oper Sub",$B10="HOME 30% AMI",NOT($M10="Common Space"))),$E10,"")</f>
        <v/>
      </c>
      <c r="BH10" s="102" t="str">
        <f t="shared" ref="BH10:BH47" si="41">IF(OR(AND($C10=2,$J10="PHA Oper Sub",$B10="30% AMI",NOT($M10="Common Space")),AND($C10=2,$J10="PHA Oper Sub",$B10="HOME 30% AMI",NOT($M10="Common Space"))),$E10,"")</f>
        <v/>
      </c>
      <c r="BI10" s="102" t="str">
        <f t="shared" ref="BI10:BI47" si="42">IF(OR(AND($C10=3,$J10="PHA Oper Sub",$B10="30% AMI",NOT($M10="Common Space")),AND($C10=3,$J10="PHA Oper Sub",$B10="HOME 30% AMI",NOT($M10="Common Space"))),$E10,"")</f>
        <v/>
      </c>
      <c r="BJ10" s="102" t="str">
        <f t="shared" ref="BJ10:BJ47" si="43">IF(OR(AND($C10=4,$J10="PHA Oper Sub",$B10="30% AMI",NOT($M10="Common Space")),AND($C10=4,$J10="PHA Oper Sub",$B10="HOME 30% AMI",NOT($M10="Common Space"))),$E10,"")</f>
        <v/>
      </c>
      <c r="BK10" s="102" t="str">
        <f t="shared" ref="BK10:BK47" si="44">IF(OR(AND($C10="Efficiency",$J10="PHA Oper Sub",$B10="50% AMI",NOT($M10="Common Space")),AND($C10="Efficiency",$J10="PHA Oper Sub",$B10="HOME 50% AMI",NOT($M10="Common Space"))),$E10,"")</f>
        <v/>
      </c>
      <c r="BL10" s="102" t="str">
        <f t="shared" ref="BL10:BL47" si="45">IF(OR(AND($C10=1,$J10="PHA Oper Sub",$B10="50% AMI",NOT($M10="Common Space")),AND($C10=1,$J10="PHA Oper Sub",$B10="HOME 50% AMI",NOT($M10="Common Space"))),$E10,"")</f>
        <v/>
      </c>
      <c r="BM10" s="102" t="str">
        <f t="shared" ref="BM10:BM47" si="46">IF(OR(AND($C10=2,$J10="PHA Oper Sub",$B10="50% AMI",NOT($M10="Common Space")),AND($C10=2,$J10="PHA Oper Sub",$B10="HOME 50% AMI",NOT($M10="Common Space"))),$E10,"")</f>
        <v/>
      </c>
      <c r="BN10" s="102" t="str">
        <f t="shared" ref="BN10:BN47" si="47">IF(OR(AND($C10=3,$J10="PHA Oper Sub",$B10="50% AMI",NOT($M10="Common Space")),AND($C10=3,$J10="PHA Oper Sub",$B10="HOME 50% AMI",NOT($M10="Common Space"))),$E10,"")</f>
        <v/>
      </c>
      <c r="BO10" s="102" t="str">
        <f t="shared" ref="BO10:BO47" si="48">IF(OR(AND($C10=4,$J10="PHA Oper Sub",$B10="50% AMI",NOT($M10="Common Space")),AND($C10=4,$J10="PHA Oper Sub",$B10="HOME 50% AMI",NOT($M10="Common Space"))),$E10,"")</f>
        <v/>
      </c>
      <c r="BP10" s="102" t="str">
        <f t="shared" ref="BP10:BP47" si="49">IF(OR(AND($C10="Efficiency",$J10="PHA Oper Sub",$B10="60% AMI",NOT($M10="Common Space")),AND($C10="Efficiency",$J10="PHA Oper Sub",$B10="HOME 60% AMI",NOT($M10="Common Space"))),$E10,"")</f>
        <v/>
      </c>
      <c r="BQ10" s="102" t="str">
        <f t="shared" ref="BQ10:BQ47" si="50">IF(OR(AND($C10=1,$J10="PHA Oper Sub",$B10="60% AMI",NOT($M10="Common Space")),AND($C10=1,$J10="PHA Oper Sub",$B10="HOME 60% AMI",NOT($M10="Common Space"))),$E10,"")</f>
        <v/>
      </c>
      <c r="BR10" s="102" t="str">
        <f t="shared" ref="BR10:BR47" si="51">IF(OR(AND($C10=2,$J10="PHA Oper Sub",$B10="60% AMI",NOT($M10="Common Space")),AND($C10=2,$J10="PHA Oper Sub",$B10="HOME 60% AMI",NOT($M10="Common Space"))),$E10,"")</f>
        <v/>
      </c>
      <c r="BS10" s="102" t="str">
        <f t="shared" ref="BS10:BS47" si="52">IF(OR(AND($C10=3,$J10="PHA Oper Sub",$B10="60% AMI",NOT($M10="Common Space")),AND($C10=3,$J10="PHA Oper Sub",$B10="HOME 60% AMI",NOT($M10="Common Space"))),$E10,"")</f>
        <v/>
      </c>
      <c r="BT10" s="102" t="str">
        <f t="shared" ref="BT10:BT47" si="53">IF(OR(AND($C10=4,$J10="PHA Oper Sub",$B10="60% AMI",NOT($M10="Common Space")),AND($C10=4,$J10="PHA Oper Sub",$B10="HOME 60% AMI",NOT($M10="Common Space"))),$E10,"")</f>
        <v/>
      </c>
      <c r="BU10" s="102" t="str">
        <f t="shared" ref="BU10:BU47" si="54">IF(AND(C10="Efficiency",M10="Common Space"),E10,"")</f>
        <v/>
      </c>
      <c r="BV10" s="102" t="str">
        <f t="shared" ref="BV10:BV47" si="55">IF(AND(C10=1,M10="Common Space"),E10,"")</f>
        <v/>
      </c>
      <c r="BW10" s="102" t="str">
        <f t="shared" ref="BW10:BW47" si="56">IF(AND(C10=2,M10="Common Space"),E10,"")</f>
        <v/>
      </c>
      <c r="BX10" s="102" t="str">
        <f t="shared" ref="BX10:BX47" si="57">IF(AND(C10=3,M10="Common Space"),E10,"")</f>
        <v/>
      </c>
      <c r="BY10" s="102" t="str">
        <f t="shared" ref="BY10:BY47" si="58">IF(AND(C10=4,M10="Common Space"),E10,"")</f>
        <v/>
      </c>
      <c r="BZ10" s="102" t="str">
        <f t="shared" ref="BZ10:BZ47" si="59">IF(OR(AND(C10="Efficiency",B10="60% AMI",NOT(M10="Common Space")),AND(C10="Efficiency",B10="HOME 60% AMI",NOT(M10="Common Space"))),E10*F10,"")</f>
        <v/>
      </c>
      <c r="CA10" s="102" t="str">
        <f t="shared" ref="CA10:CA47" si="60">IF(OR(AND(C10=1,B10="60% AMI",NOT(M10="Common Space")),AND(C10=1,B10="HOME 60% AMI",NOT(M10="Common Space"))),E10*F10,"")</f>
        <v/>
      </c>
      <c r="CB10" s="102" t="str">
        <f t="shared" ref="CB10:CB47" si="61">IF(OR(AND(C10=2,B10="60% AMI",NOT(M10="Common Space")),AND(C10=2,B10="HOME 60% AMI",NOT(M10="Common Space"))),E10*F10,"")</f>
        <v/>
      </c>
      <c r="CC10" s="102" t="str">
        <f t="shared" ref="CC10:CC47" si="62">IF(OR(AND(C10=3,B10="60% AMI",NOT(M10="Common Space")),AND(C10=3,B10="HOME 60% AMI",NOT(M10="Common Space"))),E10*F10,"")</f>
        <v/>
      </c>
      <c r="CD10" s="102" t="str">
        <f t="shared" ref="CD10:CD47" si="63">IF(OR(AND(C10=4,B10="60% AMI",NOT(M10="Common Space")),AND(C10=4,B10="HOME 60% AMI",NOT(M10="Common Space"))),E10*F10,"")</f>
        <v/>
      </c>
      <c r="CE10" s="102" t="str">
        <f t="shared" ref="CE10:CE47" si="64">IF(OR(AND(C10="Efficiency",B10="50% AMI",NOT(M10="Common Space")),AND(C10="Efficiency",B10="HOME 50% AMI",NOT(M10="Common Space"))),E10*F10,"")</f>
        <v/>
      </c>
      <c r="CF10" s="102">
        <f t="shared" ref="CF10:CF47" si="65">IF(OR(AND(C10=1,B10="50% AMI",NOT(M10="Common Space")),AND(C10=1,B10="HOME 50% AMI",NOT(M10="Common Space"))),E10*F10,"")</f>
        <v>2508</v>
      </c>
      <c r="CG10" s="102" t="str">
        <f t="shared" ref="CG10:CG47" si="66">IF(OR(AND(C10=2,B10="50% AMI",NOT(M10="Common Space")),AND(C10=2,B10="HOME 50% AMI",NOT(M10="Common Space"))),E10*F10,"")</f>
        <v/>
      </c>
      <c r="CH10" s="102" t="str">
        <f t="shared" ref="CH10:CH47" si="67">IF(OR(AND(C10=3,B10="50% AMI",NOT(M10="Common Space")),AND(C10=3,B10="HOME 50% AMI",NOT(M10="Common Space"))),E10*F10,"")</f>
        <v/>
      </c>
      <c r="CI10" s="102" t="str">
        <f t="shared" ref="CI10:CI47" si="68">IF(OR(AND(C10=4,B10="50% AMI",NOT(M10="Common Space")),AND(C10=4,B10="HOME 50% AMI",NOT(M10="Common Space"))),E10*F10,"")</f>
        <v/>
      </c>
      <c r="CJ10" s="102" t="str">
        <f t="shared" ref="CJ10:CJ47" si="69">IF(OR(AND(C10="Efficiency",B10="30% AMI",NOT(M10="Common Space")),AND(C10="Efficiency",B10="HOME 30% AMI",NOT(M10="Common Space"))),E10*F10,"")</f>
        <v/>
      </c>
      <c r="CK10" s="102" t="str">
        <f t="shared" ref="CK10:CK47" si="70">IF(OR(AND(C10=1,B10="30% AMI",NOT(M10="Common Space")),AND(C10=1,B10="HOME 30% AMI",NOT(M10="Common Space"))),E10*F10,"")</f>
        <v/>
      </c>
      <c r="CL10" s="102" t="str">
        <f t="shared" ref="CL10:CL47" si="71">IF(OR(AND(C10=2,B10="30% AMI",NOT(M10="Common Space")),AND(C10=2,B10="HOME 30% AMI",NOT(M10="Common Space"))),E10*F10,"")</f>
        <v/>
      </c>
      <c r="CM10" s="102" t="str">
        <f t="shared" ref="CM10:CM47" si="72">IF(OR(AND(C10=3,B10="30% AMI",NOT(M10="Common Space")),AND(C10=3,B10="HOME 30% AMI",NOT(M10="Common Space"))),E10*F10,"")</f>
        <v/>
      </c>
      <c r="CN10" s="102" t="str">
        <f t="shared" ref="CN10:CN47" si="73">IF(OR(AND(C10=4,B10="30% AMI",NOT(M10="Common Space")),AND(C10=4,B10="HOME 30% AMI",NOT(M10="Common Space"))),E10*F10,"")</f>
        <v/>
      </c>
      <c r="CO10" s="102" t="str">
        <f t="shared" ref="CO10:CO47" si="74">IF(AND(C10="Efficiency",B10="Unrestricted",NOT(M10="Common Space")),E10*F10,"")</f>
        <v/>
      </c>
      <c r="CP10" s="102" t="str">
        <f t="shared" ref="CP10:CP47" si="75">IF(AND(C10=1,B10="Unrestricted",NOT(M10="Common Space")),E10*F10,"")</f>
        <v/>
      </c>
      <c r="CQ10" s="102" t="str">
        <f t="shared" ref="CQ10:CQ47" si="76">IF(AND(C10=2,B10="Unrestricted",NOT(M10="Common Space")),E10*F10,"")</f>
        <v/>
      </c>
      <c r="CR10" s="102" t="str">
        <f t="shared" ref="CR10:CR47" si="77">IF(AND(C10=3,B10="Unrestricted",NOT(M10="Common Space")),E10*F10,"")</f>
        <v/>
      </c>
      <c r="CS10" s="102" t="str">
        <f t="shared" ref="CS10:CS47" si="78">IF(AND(C10=4,B10="Unrestricted",NOT(M10="Common Space")),E10*F10,"")</f>
        <v/>
      </c>
      <c r="CT10" s="102" t="str">
        <f t="shared" ref="CT10:CT47" si="79">IF(AND(C10="Efficiency",NOT(J10=""),NOT($J10=0),NOT(M10="Common Space")),E10*F10,"")</f>
        <v/>
      </c>
      <c r="CU10" s="102" t="str">
        <f t="shared" ref="CU10:CU47" si="80">IF(AND(C10=1,NOT(J10=""),NOT($J10=0),NOT(M10="Common Space")),E10*F10,"")</f>
        <v/>
      </c>
      <c r="CV10" s="102" t="str">
        <f t="shared" ref="CV10:CV47" si="81">IF(AND(C10=2,NOT(J10=""),NOT($J10=0),NOT(M10="Common Space")),E10*F10,"")</f>
        <v/>
      </c>
      <c r="CW10" s="102" t="str">
        <f t="shared" ref="CW10:CW47" si="82">IF(AND(C10=3,NOT(J10=""),NOT($J10=0),NOT(M10="Common Space")),E10*F10,"")</f>
        <v/>
      </c>
      <c r="CX10" s="102" t="str">
        <f t="shared" ref="CX10:CX47" si="83">IF(AND(C10=4,NOT(J10=""),NOT($J10=0),NOT(M10="Common Space")),E10*F10,"")</f>
        <v/>
      </c>
      <c r="CY10" s="102" t="str">
        <f t="shared" ref="CY10:CY47" si="84">IF(AND(C10="Efficiency",M10="Common Space"),E10*F10,"")</f>
        <v/>
      </c>
      <c r="CZ10" s="102" t="str">
        <f t="shared" ref="CZ10:CZ47" si="85">IF(AND(C10=1,M10="Common Space"),E10*F10,"")</f>
        <v/>
      </c>
      <c r="DA10" s="102" t="str">
        <f t="shared" ref="DA10:DA47" si="86">IF(AND(C10=2,M10="Common Space"),E10*F10,"")</f>
        <v/>
      </c>
      <c r="DB10" s="102" t="str">
        <f t="shared" ref="DB10:DB47" si="87">IF(AND(C10=3,M10="Common Space"),E10*F10,"")</f>
        <v/>
      </c>
      <c r="DC10" s="102" t="str">
        <f t="shared" ref="DC10:DC47" si="88">IF(AND(C10=4,M10="Common Space"),E10*F10,"")</f>
        <v/>
      </c>
      <c r="DD10" s="102" t="str">
        <f t="shared" ref="DD10:DD47" si="89">IF(AND($C10="Efficiency", $O10="New Construction",NOT($B10="Unrestricted"),NOT($B10="NSP 120% AMI"),NOT($B10="N/A-CS"),NOT($M10="Common Space")),$E10,"")</f>
        <v/>
      </c>
      <c r="DE10" s="102">
        <f t="shared" ref="DE10:DE47" si="90">IF(AND($C10=1, $O10="New Construction",NOT($B10="Unrestricted"),NOT($B10="NSP 120% AMI"),NOT($B10="N/A-CS"),NOT($M10="Common Space")),$E10,"")</f>
        <v>3</v>
      </c>
      <c r="DF10" s="102" t="str">
        <f t="shared" ref="DF10:DF47" si="91">IF(AND($C10=2, $O10="New Construction",NOT($B10="Unrestricted"),NOT($B10="NSP 120% AMI"),NOT($B10="N/A-CS"),NOT($M10="Common Space")),$E10,"")</f>
        <v/>
      </c>
      <c r="DG10" s="102" t="str">
        <f t="shared" ref="DG10:DG47" si="92">IF(AND($C10=3, $O10="New Construction",NOT($B10="Unrestricted"),NOT($B10="NSP 120% AMI"),NOT($B10="N/A-CS"),NOT($M10="Common Space")),$E10,"")</f>
        <v/>
      </c>
      <c r="DH10" s="102" t="str">
        <f t="shared" ref="DH10:DH47" si="93">IF(AND($C10=4, $O10="New Construction",NOT($B10="Unrestricted"),NOT($B10="NSP 120% AMI"),NOT($B10="N/A-CS"),NOT($M10="Common Space")),$E10,"")</f>
        <v/>
      </c>
      <c r="DI10" s="102" t="str">
        <f t="shared" ref="DI10:DI47" si="94">IF(AND($C10="Efficiency", $O10="New Construction",$B10="Unrestricted",NOT($B10="N/A-CS"),NOT($M10="Common Space")),$E10,"")</f>
        <v/>
      </c>
      <c r="DJ10" s="102" t="str">
        <f t="shared" ref="DJ10:DJ47" si="95">IF(AND($C10=1, $O10="New Construction",$B10="Unrestricted",NOT($B10="N/A-CS"),NOT($M10="Common Space")),$E10,"")</f>
        <v/>
      </c>
      <c r="DK10" s="102" t="str">
        <f t="shared" ref="DK10:DK47" si="96">IF(AND($C10=2, $O10="New Construction",$B10="Unrestricted",NOT($B10="N/A-CS"),NOT($M10="Common Space")),$E10,"")</f>
        <v/>
      </c>
      <c r="DL10" s="102" t="str">
        <f t="shared" ref="DL10:DL47" si="97">IF(AND($C10=3, $O10="New Construction",$B10="Unrestricted",NOT($B10="N/A-CS"),NOT($M10="Common Space")),$E10,"")</f>
        <v/>
      </c>
      <c r="DM10" s="102" t="str">
        <f t="shared" ref="DM10:DM47" si="98">IF(AND($C10=4, $O10="New Construction",$B10="Unrestricted",NOT($B10="N/A-CS"),NOT($M10="Common Space")),$E10,"")</f>
        <v/>
      </c>
      <c r="DN10" s="102" t="str">
        <f t="shared" ref="DN10:DN47" si="99">IF(AND($C10="Efficiency", $O10="New Construction",$B10="N/A-CS",$M10="Common Space"),$E10,"")</f>
        <v/>
      </c>
      <c r="DO10" s="102" t="str">
        <f t="shared" ref="DO10:DO47" si="100">IF(AND($C10=1, $O10="New Construction",$B10="N/A-CS",$M10="Common Space"),$E10,"")</f>
        <v/>
      </c>
      <c r="DP10" s="102" t="str">
        <f t="shared" ref="DP10:DP47" si="101">IF(AND($C10=2, $O10="New Construction",$B10="N/A-CS",$M10="Common Space"),$E10,"")</f>
        <v/>
      </c>
      <c r="DQ10" s="102" t="str">
        <f t="shared" ref="DQ10:DQ47" si="102">IF(AND($C10=3, $O10="New Construction",$B10="N/A-CS",$M10="Common Space"),$E10,"")</f>
        <v/>
      </c>
      <c r="DR10" s="102" t="str">
        <f t="shared" ref="DR10:DR47" si="103">IF(AND($C10=4, $O10="New Construction",$B10="N/A-CS",$M10="Common Space"),$E10,"")</f>
        <v/>
      </c>
      <c r="DS10" s="102" t="str">
        <f t="shared" ref="DS10:DS47" si="104">IF(AND($C10="Efficiency", $O10="Acquisition/Rehab",NOT($B10="Unrestricted"),NOT($B10="NSP 120% AMI"),NOT($B10="N/A-CS"),NOT($M10="Common Space")),$E10,"")</f>
        <v/>
      </c>
      <c r="DT10" s="102" t="str">
        <f t="shared" ref="DT10:DT47" si="105">IF(AND($C10=1, $O10="Acquisition/Rehab",NOT($B10="Unrestricted"),NOT($B10="NSP 120% AMI"),NOT($B10="N/A-CS"),NOT($M10="Common Space")),$E10,"")</f>
        <v/>
      </c>
      <c r="DU10" s="102" t="str">
        <f t="shared" ref="DU10:DU47" si="106">IF(AND($C10=2, $O10="Acquisition/Rehab",NOT($B10="Unrestricted"),NOT($B10="NSP 120% AMI"),NOT($B10="N/A-CS"),NOT($M10="Common Space")),$E10,"")</f>
        <v/>
      </c>
      <c r="DV10" s="102" t="str">
        <f t="shared" ref="DV10:DV47" si="107">IF(AND($C10=3, $O10="Acquisition/Rehab",NOT($B10="Unrestricted"),NOT($B10="NSP 120% AMI"),NOT($B10="N/A-CS"),NOT($M10="Common Space")),$E10,"")</f>
        <v/>
      </c>
      <c r="DW10" s="102" t="str">
        <f t="shared" ref="DW10:DW47" si="108">IF(AND($C10=4, $O10="Acquisition/Rehab",NOT($B10="Unrestricted"),NOT($B10="NSP 120% AMI"),NOT($B10="N/A-CS"),NOT($M10="Common Space")),$E10,"")</f>
        <v/>
      </c>
      <c r="DX10" s="102" t="str">
        <f t="shared" ref="DX10:DX47" si="109">IF(AND($C10="Efficiency", $O10="Acquisition/Rehab",$B10="Unrestricted",NOT($B10="N/A-CS"),NOT($M10="Common Space")),$E10,"")</f>
        <v/>
      </c>
      <c r="DY10" s="102" t="str">
        <f t="shared" ref="DY10:DY47" si="110">IF(AND($C10=1, $O10="Acquisition/Rehab",$B10="Unrestricted",NOT($B10="N/A-CS"),NOT($M10="Common Space")),$E10,"")</f>
        <v/>
      </c>
      <c r="DZ10" s="102" t="str">
        <f t="shared" ref="DZ10:DZ47" si="111">IF(AND($C10=2, $O10="Acquisition/Rehab",$B10="Unrestricted",NOT($B10="N/A-CS"),NOT($M10="Common Space")),$E10,"")</f>
        <v/>
      </c>
      <c r="EA10" s="102" t="str">
        <f t="shared" ref="EA10:EA47" si="112">IF(AND($C10=3, $O10="Acquisition/Rehab",$B10="Unrestricted",NOT($B10="N/A-CS"),NOT($M10="Common Space")),$E10,"")</f>
        <v/>
      </c>
      <c r="EB10" s="102" t="str">
        <f t="shared" ref="EB10:EB47" si="113">IF(AND($C10=4, $O10="Acquisition/Rehab",$B10="Unrestricted",NOT($B10="N/A-CS"),NOT($M10="Common Space")),$E10,"")</f>
        <v/>
      </c>
      <c r="EC10" s="102" t="str">
        <f t="shared" ref="EC10:EC47" si="114">IF(AND($C10="Efficiency", $O10="Acquisition/Rehab",$B10="N/A-CS",$M10="Common Space"),$E10,"")</f>
        <v/>
      </c>
      <c r="ED10" s="102" t="str">
        <f t="shared" ref="ED10:ED47" si="115">IF(AND($C10=1, $O10="Acquisition/Rehab",$B10="N/A-CS",$M10="Common Space"),$E10,"")</f>
        <v/>
      </c>
      <c r="EE10" s="102" t="str">
        <f t="shared" ref="EE10:EE47" si="116">IF(AND($C10=2, $O10="Acquisition/Rehab",$B10="N/A-CS",$M10="Common Space"),$E10,"")</f>
        <v/>
      </c>
      <c r="EF10" s="102" t="str">
        <f t="shared" ref="EF10:EF47" si="117">IF(AND($C10=3, $O10="Acquisition/Rehab",$B10="N/A-CS",$M10="Common Space"),$E10,"")</f>
        <v/>
      </c>
      <c r="EG10" s="102" t="str">
        <f t="shared" ref="EG10:EG47" si="118">IF(AND($C10=4, $O10="Acquisition/Rehab",$B10="N/A-CS",$M10="Common Space"),$E10,"")</f>
        <v/>
      </c>
      <c r="EH10" s="102" t="str">
        <f t="shared" ref="EH10:EH47" si="119">IF(AND($C10="Efficiency", $O10="Rehabilitation",NOT($B10="Unrestricted"),NOT($B10="NSP 120% AMI"),NOT($B10="N/A-CS"),NOT($M10="Common Space")),$E10,"")</f>
        <v/>
      </c>
      <c r="EI10" s="102" t="str">
        <f t="shared" ref="EI10:EI47" si="120">IF(AND($C10=1, $O10="Rehabilitation",NOT($B10="Unrestricted"),NOT($B10="NSP 120% AMI"),NOT($B10="N/A-CS"),NOT($M10="Common Space")),$E10,"")</f>
        <v/>
      </c>
      <c r="EJ10" s="102" t="str">
        <f t="shared" ref="EJ10:EJ47" si="121">IF(AND($C10=2, $O10="Rehabilitation",NOT($B10="Unrestricted"),NOT($B10="NSP 120% AMI"),NOT($B10="N/A-CS"),NOT($M10="Common Space")),$E10,"")</f>
        <v/>
      </c>
      <c r="EK10" s="102" t="str">
        <f t="shared" ref="EK10:EK47" si="122">IF(AND($C10=3, $O10="Rehabilitation",NOT($B10="Unrestricted"),NOT($B10="NSP 120% AMI"),NOT($B10="N/A-CS"),NOT($M10="Common Space")),$E10,"")</f>
        <v/>
      </c>
      <c r="EL10" s="102" t="str">
        <f t="shared" ref="EL10:EL47" si="123">IF(AND($C10=4, $O10="Rehabilitation",NOT($B10="Unrestricted"),NOT($B10="NSP 120% AMI"),NOT($B10="N/A-CS"),NOT($M10="Common Space")),$E10,"")</f>
        <v/>
      </c>
      <c r="EM10" s="102" t="str">
        <f t="shared" ref="EM10:EM47" si="124">IF(AND($C10="Efficiency", $O10="Rehabilitation",$B10="Unrestricted",NOT($B10="N/A-CS"),NOT($M10="Common Space")),$E10,"")</f>
        <v/>
      </c>
      <c r="EN10" s="102" t="str">
        <f t="shared" ref="EN10:EN47" si="125">IF(AND($C10=1, $O10="Rehabilitation",$B10="Unrestricted",NOT($B10="N/A-CS"),NOT($M10="Common Space")),$E10,"")</f>
        <v/>
      </c>
      <c r="EO10" s="102" t="str">
        <f t="shared" ref="EO10:EO47" si="126">IF(AND($C10=2, $O10="Rehabilitation",$B10="Unrestricted",NOT($B10="N/A-CS"),NOT($M10="Common Space")),$E10,"")</f>
        <v/>
      </c>
      <c r="EP10" s="102" t="str">
        <f t="shared" ref="EP10:EP47" si="127">IF(AND($C10=3, $O10="Rehabilitation",$B10="Unrestricted",NOT($B10="N/A-CS"),NOT($M10="Common Space")),$E10,"")</f>
        <v/>
      </c>
      <c r="EQ10" s="102" t="str">
        <f t="shared" ref="EQ10:EQ47" si="128">IF(AND($C10=4, $O10="Rehabilitation",$B10="Unrestricted",NOT($B10="N/A-CS"),NOT($M10="Common Space")),$E10,"")</f>
        <v/>
      </c>
      <c r="ER10" s="102" t="str">
        <f t="shared" ref="ER10:ER47" si="129">IF(AND($C10="Efficiency", $O10="Rehabilitation",$B10="N/A-CS",$M10="Common Space"),$E10,"")</f>
        <v/>
      </c>
      <c r="ES10" s="102" t="str">
        <f t="shared" ref="ES10:ES47" si="130">IF(AND($C10=1, $O10="Rehabilitation",$B10="N/A-CS",$M10="Common Space"),$E10,"")</f>
        <v/>
      </c>
      <c r="ET10" s="102" t="str">
        <f t="shared" ref="ET10:ET47" si="131">IF(AND($C10=2, $O10="Rehabilitation",$B10="N/A-CS",$M10="Common Space"),$E10,"")</f>
        <v/>
      </c>
      <c r="EU10" s="102" t="str">
        <f t="shared" ref="EU10:EU47" si="132">IF(AND($C10=3, $O10="Rehabilitation",$B10="N/A-CS",$M10="Common Space"),$E10,"")</f>
        <v/>
      </c>
      <c r="EV10" s="102" t="str">
        <f t="shared" ref="EV10:EV47" si="133">IF(AND($C10=4, $O10="Rehabilitation",$B10="N/A-CS",$M10="Common Space"),$E10,"")</f>
        <v/>
      </c>
      <c r="EW10" s="792" t="str">
        <f t="shared" ref="EW10:EW47" si="134">IF(AND($C10="Efficiency", NOT(OR($N10="SF Detached",$N10="Mfd Home",$N10="Duplex",$N10="Townhome"))),$E10,"")</f>
        <v/>
      </c>
      <c r="EX10" s="354">
        <f t="shared" ref="EX10:EX47" si="135">IF(AND($C10=1, NOT(OR($N10="SF Detached",$N10="Mfd Home",$N10="Duplex",$N10="Townhome"))),$E10,"")</f>
        <v>3</v>
      </c>
      <c r="EY10" s="354" t="str">
        <f t="shared" ref="EY10:EY47" si="136">IF(AND($C10=2, NOT(OR($N10="SF Detached",$N10="Mfd Home",$N10="Duplex",$N10="Townhome"))),$E10,"")</f>
        <v/>
      </c>
      <c r="EZ10" s="354" t="str">
        <f t="shared" ref="EZ10:EZ47" si="137">IF(AND($C10=3, NOT(OR($N10="SF Detached",$N10="Mfd Home",$N10="Duplex",$N10="Townhome"))),$E10,"")</f>
        <v/>
      </c>
      <c r="FA10" s="354" t="str">
        <f t="shared" ref="FA10:FA47" si="138">IF(AND($C10=4, NOT(OR($N10="SF Detached",$N10="Mfd Home",$N10="Duplex",$N10="Townhome"))),$E10,"")</f>
        <v/>
      </c>
      <c r="FB10" s="354" t="str">
        <f t="shared" ref="FB10:FB47" si="139">IF(AND($C10="Efficiency", $N10="SF Detached",NOT($P10="Yes")),$E10,"")</f>
        <v/>
      </c>
      <c r="FC10" s="354" t="str">
        <f t="shared" ref="FC10:FC47" si="140">IF(AND($C10=1, $N10="SF Detached",NOT($P10="Yes")),$E10,"")</f>
        <v/>
      </c>
      <c r="FD10" s="354" t="str">
        <f t="shared" ref="FD10:FD47" si="141">IF(AND($C10=2, $N10="SF Detached",NOT($P10="Yes")),$E10,"")</f>
        <v/>
      </c>
      <c r="FE10" s="354" t="str">
        <f t="shared" ref="FE10:FE47" si="142">IF(AND($C10=3, $N10="SF Detached",NOT($P10="Yes")),$E10,"")</f>
        <v/>
      </c>
      <c r="FF10" s="354" t="str">
        <f t="shared" ref="FF10:FF47" si="143">IF(AND($C10=4, $N10="SF Detached",NOT($P10="Yes")),$E10,"")</f>
        <v/>
      </c>
      <c r="FG10" s="354" t="str">
        <f t="shared" ref="FG10:FG47" si="144">IF(AND($C10="Efficiency", $N10="SF Detached",$P10="Yes"),$E10,"")</f>
        <v/>
      </c>
      <c r="FH10" s="354" t="str">
        <f t="shared" ref="FH10:FH47" si="145">IF(AND($C10=1, $N10="SF Detached",$P10="Yes"),$E10,"")</f>
        <v/>
      </c>
      <c r="FI10" s="354" t="str">
        <f t="shared" ref="FI10:FI47" si="146">IF(AND($C10=2, $N10="SF Detached",$P10="Yes"),$E10,"")</f>
        <v/>
      </c>
      <c r="FJ10" s="354" t="str">
        <f t="shared" ref="FJ10:FJ47" si="147">IF(AND($C10=3, $N10="SF Detached",$P10="Yes"),$E10,"")</f>
        <v/>
      </c>
      <c r="FK10" s="354" t="str">
        <f t="shared" ref="FK10:FK47" si="148">IF(AND($C10=4, $N10="SF Detached",$P10="Yes"),$E10,"")</f>
        <v/>
      </c>
      <c r="FL10" s="354" t="str">
        <f t="shared" ref="FL10:FL47" si="149">IF(AND($C10="Efficiency", $N10="Mfd Home",NOT($P10="Yes")),$E10,"")</f>
        <v/>
      </c>
      <c r="FM10" s="354" t="str">
        <f t="shared" ref="FM10:FM47" si="150">IF(AND($C10=1, $N10="Mfd Home",NOT($P10="Yes")),$E10,"")</f>
        <v/>
      </c>
      <c r="FN10" s="354" t="str">
        <f t="shared" ref="FN10:FN47" si="151">IF(AND($C10=2, $N10="Mfd Home",NOT($P10="Yes")),$E10,"")</f>
        <v/>
      </c>
      <c r="FO10" s="354" t="str">
        <f t="shared" ref="FO10:FO47" si="152">IF(AND($C10=3, $N10="Mfd Home",NOT($P10="Yes")),$E10,"")</f>
        <v/>
      </c>
      <c r="FP10" s="354" t="str">
        <f t="shared" ref="FP10:FP47" si="153">IF(AND($C10=4, $N10="Mfd Home",NOT($P10="Yes")),$E10,"")</f>
        <v/>
      </c>
      <c r="FQ10" s="354" t="str">
        <f t="shared" ref="FQ10:FQ47" si="154">IF(AND($C10="Efficiency", $N10="Mfd Home",$P10="Yes"),$E10,"")</f>
        <v/>
      </c>
      <c r="FR10" s="354" t="str">
        <f t="shared" ref="FR10:FR47" si="155">IF(AND($C10=1, $N10="Mfd Home",$P10="Yes"),$E10,"")</f>
        <v/>
      </c>
      <c r="FS10" s="354" t="str">
        <f t="shared" ref="FS10:FS47" si="156">IF(AND($C10=2, $N10="Mfd Home",$P10="Yes"),$E10,"")</f>
        <v/>
      </c>
      <c r="FT10" s="354" t="str">
        <f t="shared" ref="FT10:FT47" si="157">IF(AND($C10=3, $N10="Mfd Home",$P10="Yes"),$E10,"")</f>
        <v/>
      </c>
      <c r="FU10" s="354" t="str">
        <f t="shared" ref="FU10:FU47" si="158">IF(AND($C10=4, $N10="Mfd Home",$P10="Yes"),$E10,"")</f>
        <v/>
      </c>
      <c r="FV10" s="354" t="str">
        <f t="shared" ref="FV10:FV47" si="159">IF(AND($C10="Efficiency", $N10="Duplex",NOT($P10="Yes")),$E10,"")</f>
        <v/>
      </c>
      <c r="FW10" s="354" t="str">
        <f t="shared" ref="FW10:FW47" si="160">IF(AND($C10=1, $N10="Duplex",NOT($P10="Yes")),$E10,"")</f>
        <v/>
      </c>
      <c r="FX10" s="354" t="str">
        <f t="shared" ref="FX10:FX47" si="161">IF(AND($C10=2, $N10="Duplex",NOT($P10="Yes")),$E10,"")</f>
        <v/>
      </c>
      <c r="FY10" s="354" t="str">
        <f t="shared" ref="FY10:FY47" si="162">IF(AND($C10=3, $N10="Duplex",NOT($P10="Yes")),$E10,"")</f>
        <v/>
      </c>
      <c r="FZ10" s="354" t="str">
        <f t="shared" ref="FZ10:FZ47" si="163">IF(AND($C10=4, $N10="Duplex",NOT($P10="Yes")),$E10,"")</f>
        <v/>
      </c>
      <c r="GA10" s="354" t="str">
        <f t="shared" ref="GA10:GA47" si="164">IF(AND($C10="Efficiency", $N10="Duplex",$P10="Yes"),$E10,"")</f>
        <v/>
      </c>
      <c r="GB10" s="354" t="str">
        <f t="shared" ref="GB10:GB47" si="165">IF(AND($C10=1, $N10="Duplex",$P10="Yes"),$E10,"")</f>
        <v/>
      </c>
      <c r="GC10" s="354" t="str">
        <f t="shared" ref="GC10:GC47" si="166">IF(AND($C10=2, $N10="Duplex",$P10="Yes"),$E10,"")</f>
        <v/>
      </c>
      <c r="GD10" s="354" t="str">
        <f t="shared" ref="GD10:GD47" si="167">IF(AND($C10=3, $N10="Duplex",$P10="Yes"),$E10,"")</f>
        <v/>
      </c>
      <c r="GE10" s="354" t="str">
        <f t="shared" ref="GE10:GE47" si="168">IF(AND($C10=4, $N10="Duplex",$P10="Yes"),$E10,"")</f>
        <v/>
      </c>
      <c r="GF10" s="354" t="str">
        <f t="shared" ref="GF10:GF47" si="169">IF(AND($C10="Efficiency", $N10="Townhome",NOT($P10="Yes")),$E10,"")</f>
        <v/>
      </c>
      <c r="GG10" s="354" t="str">
        <f t="shared" ref="GG10:GG47" si="170">IF(AND($C10=1, $N10="Townhome",NOT($P10="Yes")),$E10,"")</f>
        <v/>
      </c>
      <c r="GH10" s="354" t="str">
        <f t="shared" ref="GH10:GH47" si="171">IF(AND($C10=2, $N10="Townhome",NOT($P10="Yes")),$E10,"")</f>
        <v/>
      </c>
      <c r="GI10" s="354" t="str">
        <f t="shared" ref="GI10:GI47" si="172">IF(AND($C10=3, $N10="Townhome",NOT($P10="Yes")),$E10,"")</f>
        <v/>
      </c>
      <c r="GJ10" s="354" t="str">
        <f t="shared" ref="GJ10:GJ47" si="173">IF(AND($C10=4, $N10="Townhome",NOT($P10="Yes")),$E10,"")</f>
        <v/>
      </c>
      <c r="GK10" s="354" t="str">
        <f t="shared" ref="GK10:GK47" si="174">IF(AND($C10="Efficiency", $N10="Townhome",$P10="Yes"),$E10,"")</f>
        <v/>
      </c>
      <c r="GL10" s="354" t="str">
        <f t="shared" ref="GL10:GL47" si="175">IF(AND($C10=1, $N10="Townhome",$P10="Yes"),$E10,"")</f>
        <v/>
      </c>
      <c r="GM10" s="354" t="str">
        <f t="shared" ref="GM10:GM47" si="176">IF(AND($C10=2, $N10="Townhome",$P10="Yes"),$E10,"")</f>
        <v/>
      </c>
      <c r="GN10" s="354" t="str">
        <f t="shared" ref="GN10:GN47" si="177">IF(AND($C10=3, $N10="Townhome",$P10="Yes"),$E10,"")</f>
        <v/>
      </c>
      <c r="GO10" s="354" t="str">
        <f t="shared" ref="GO10:GO47" si="178">IF(AND($C10=4, $N10="Townhome",$P10="Yes"),$E10,"")</f>
        <v/>
      </c>
      <c r="GP10" s="354" t="str">
        <f t="shared" ref="GP10:GP47" si="179">IF(AND($C10="Efficiency", $N10="1-Story",NOT($P10="Yes")),$E10,"")</f>
        <v/>
      </c>
      <c r="GQ10" s="354" t="str">
        <f t="shared" ref="GQ10:GQ47" si="180">IF(AND($C10=1, $N10="1-Story",NOT($P10="Yes")),$E10,"")</f>
        <v/>
      </c>
      <c r="GR10" s="354" t="str">
        <f t="shared" ref="GR10:GR47" si="181">IF(AND($C10=2, $N10="1-Story",NOT($P10="Yes")),$E10,"")</f>
        <v/>
      </c>
      <c r="GS10" s="354" t="str">
        <f t="shared" ref="GS10:GS47" si="182">IF(AND($C10=3, $N10="1-Story",NOT($P10="Yes")),$E10,"")</f>
        <v/>
      </c>
      <c r="GT10" s="354" t="str">
        <f t="shared" ref="GT10:GT47" si="183">IF(AND($C10=4, $N10="1-Story",NOT($P10="Yes")),$E10,"")</f>
        <v/>
      </c>
      <c r="GU10" s="354" t="str">
        <f t="shared" ref="GU10:GU47" si="184">IF(AND($C10="Efficiency", $N10="1-Story",$P10="Yes"),$E10,"")</f>
        <v/>
      </c>
      <c r="GV10" s="354" t="str">
        <f t="shared" ref="GV10:GV47" si="185">IF(AND($C10=1, $N10="1-Story",$P10="Yes"),$E10,"")</f>
        <v/>
      </c>
      <c r="GW10" s="354" t="str">
        <f t="shared" ref="GW10:GW47" si="186">IF(AND($C10=2, $N10="1-Story",$P10="Yes"),$E10,"")</f>
        <v/>
      </c>
      <c r="GX10" s="354" t="str">
        <f t="shared" ref="GX10:GX47" si="187">IF(AND($C10=3, $N10="1-Story",$P10="Yes"),$E10,"")</f>
        <v/>
      </c>
      <c r="GY10" s="354" t="str">
        <f t="shared" ref="GY10:GY47" si="188">IF(AND($C10=4, $N10="1-Story",$P10="Yes"),$E10,"")</f>
        <v/>
      </c>
      <c r="GZ10" s="354" t="str">
        <f t="shared" ref="GZ10:GZ47" si="189">IF(AND($C10="Efficiency", $N10="2-Story",NOT($P10="Yes")),$E10,"")</f>
        <v/>
      </c>
      <c r="HA10" s="354" t="str">
        <f t="shared" ref="HA10:HA47" si="190">IF(AND($C10=1, $N10="2-Story",NOT($P10="Yes")),$E10,"")</f>
        <v/>
      </c>
      <c r="HB10" s="354" t="str">
        <f t="shared" ref="HB10:HB47" si="191">IF(AND($C10=2, $N10="2-Story",NOT($P10="Yes")),$E10,"")</f>
        <v/>
      </c>
      <c r="HC10" s="354" t="str">
        <f t="shared" ref="HC10:HC47" si="192">IF(AND($C10=3, $N10="2-Story",NOT($P10="Yes")),$E10,"")</f>
        <v/>
      </c>
      <c r="HD10" s="354" t="str">
        <f t="shared" ref="HD10:HD47" si="193">IF(AND($C10=4, $N10="2-Story",NOT($P10="Yes")),$E10,"")</f>
        <v/>
      </c>
      <c r="HE10" s="354" t="str">
        <f t="shared" ref="HE10:HE47" si="194">IF(AND($C10="Efficiency", $N10="2-Story",$P10="Yes"),$E10,"")</f>
        <v/>
      </c>
      <c r="HF10" s="354" t="str">
        <f t="shared" ref="HF10:HF47" si="195">IF(AND($C10=1, $N10="2-Story",$P10="Yes"),$E10,"")</f>
        <v/>
      </c>
      <c r="HG10" s="354" t="str">
        <f t="shared" ref="HG10:HG47" si="196">IF(AND($C10=2, $N10="2-Story",$P10="Yes"),$E10,"")</f>
        <v/>
      </c>
      <c r="HH10" s="354" t="str">
        <f t="shared" ref="HH10:HH47" si="197">IF(AND($C10=3, $N10="2-Story",$P10="Yes"),$E10,"")</f>
        <v/>
      </c>
      <c r="HI10" s="354" t="str">
        <f t="shared" ref="HI10:HI47" si="198">IF(AND($C10=4, $N10="2-Story",$P10="Yes"),$E10,"")</f>
        <v/>
      </c>
      <c r="HJ10" s="354" t="str">
        <f t="shared" ref="HJ10:HJ47" si="199">IF(AND($C10="Efficiency", $N10="2-Story Walkup",NOT($P10="Yes")),$E10,"")</f>
        <v/>
      </c>
      <c r="HK10" s="354">
        <f t="shared" ref="HK10:HK47" si="200">IF(AND($C10=1, $N10="2-Story Walkup",NOT($P10="Yes")),$E10,"")</f>
        <v>3</v>
      </c>
      <c r="HL10" s="354" t="str">
        <f t="shared" ref="HL10:HL47" si="201">IF(AND($C10=2, $N10="2-Story Walkup",NOT($P10="Yes")),$E10,"")</f>
        <v/>
      </c>
      <c r="HM10" s="354" t="str">
        <f t="shared" ref="HM10:HM47" si="202">IF(AND($C10=3, $N10="2-Story Walkup",NOT($P10="Yes")),$E10,"")</f>
        <v/>
      </c>
      <c r="HN10" s="354" t="str">
        <f t="shared" ref="HN10:HN47" si="203">IF(AND($C10=4, $N10="2-Story Walkup",NOT($P10="Yes")),$E10,"")</f>
        <v/>
      </c>
      <c r="HO10" s="354" t="str">
        <f t="shared" ref="HO10:HO47" si="204">IF(AND($C10="Efficiency", $N10="2-Story Walkup",$P10="Yes"),$E10,"")</f>
        <v/>
      </c>
      <c r="HP10" s="354" t="str">
        <f t="shared" ref="HP10:HP47" si="205">IF(AND($C10=1, $N10="2-Story Walkup",$P10="Yes"),$E10,"")</f>
        <v/>
      </c>
      <c r="HQ10" s="354" t="str">
        <f t="shared" ref="HQ10:HQ47" si="206">IF(AND($C10=2, $N10="2-Story Walkup",$P10="Yes"),$E10,"")</f>
        <v/>
      </c>
      <c r="HR10" s="354" t="str">
        <f t="shared" ref="HR10:HR47" si="207">IF(AND($C10=3, $N10="2-Story Walkup",$P10="Yes"),$E10,"")</f>
        <v/>
      </c>
      <c r="HS10" s="354" t="str">
        <f t="shared" ref="HS10:HS47" si="208">IF(AND($C10=4, $N10="2-Story Walkup",$P10="Yes"),$E10,"")</f>
        <v/>
      </c>
      <c r="HT10" s="354" t="str">
        <f t="shared" ref="HT10:HT47" si="209">IF(AND($C10="Efficiency", $N10="3+ Story",NOT($P10="Yes")),$E10,"")</f>
        <v/>
      </c>
      <c r="HU10" s="354" t="str">
        <f t="shared" ref="HU10:HU47" si="210">IF(AND($C10=1, $N10="3+ Story",NOT($P10="Yes")),$E10,"")</f>
        <v/>
      </c>
      <c r="HV10" s="354" t="str">
        <f t="shared" ref="HV10:HV47" si="211">IF(AND($C10=2, $N10="3+ Story",NOT($P10="Yes")),$E10,"")</f>
        <v/>
      </c>
      <c r="HW10" s="354" t="str">
        <f t="shared" ref="HW10:HW47" si="212">IF(AND($C10=3, $N10="3+ Story",NOT($P10="Yes")),$E10,"")</f>
        <v/>
      </c>
      <c r="HX10" s="354" t="str">
        <f t="shared" ref="HX10:HX47" si="213">IF(AND($C10=4, $N10="3+ Story",NOT($P10="Yes")),$E10,"")</f>
        <v/>
      </c>
      <c r="HY10" s="354" t="str">
        <f t="shared" ref="HY10:HY47" si="214">IF(AND($C10="Efficiency", $N10="3+ Story",$P10="Yes"),$E10,"")</f>
        <v/>
      </c>
      <c r="HZ10" s="354" t="str">
        <f t="shared" ref="HZ10:HZ47" si="215">IF(AND($C10=1, $N10="3+ Story",$P10="Yes"),$E10,"")</f>
        <v/>
      </c>
      <c r="IA10" s="354" t="str">
        <f t="shared" ref="IA10:IA47" si="216">IF(AND($C10=2, $N10="3+ Story",$P10="Yes"),$E10,"")</f>
        <v/>
      </c>
      <c r="IB10" s="354" t="str">
        <f t="shared" ref="IB10:IB47" si="217">IF(AND($C10=3, $N10="3+ Story",$P10="Yes"),$E10,"")</f>
        <v/>
      </c>
      <c r="IC10" s="354" t="str">
        <f t="shared" ref="IC10:IC47" si="218">IF(AND($C10=4, $N10="3+ Story",$P10="Yes"),$E10,"")</f>
        <v/>
      </c>
      <c r="ID10" s="355" t="str">
        <f t="shared" ref="ID10:ID47" si="219">IF(AND($B10="NSP 120% AMI",$C10="Efficiency", NOT($M10="Common Space")),$E10,"")</f>
        <v/>
      </c>
      <c r="IE10" s="355" t="str">
        <f t="shared" ref="IE10:IE47" si="220">IF(AND($B10="NSP 120% AMI",$C10=1,NOT($M10="Common Space")),$E10,"")</f>
        <v/>
      </c>
      <c r="IF10" s="355" t="str">
        <f t="shared" ref="IF10:IF47" si="221">IF(AND($B10="NSP 120% AMI",$C10=2,NOT($M10="Common Space")),$E10,"")</f>
        <v/>
      </c>
      <c r="IG10" s="355" t="str">
        <f t="shared" ref="IG10:IG47" si="222">IF(AND($B10="NSP 120% AMI",$C10=3,NOT($M10="Common Space")),$E10,"")</f>
        <v/>
      </c>
      <c r="IH10" s="355" t="str">
        <f t="shared" ref="IH10:IH47" si="223">IF(AND($B10="NSP 120% AMI",$C10=4,NOT($M10="Common Space")),$E10,"")</f>
        <v/>
      </c>
      <c r="II10" s="344" t="str">
        <f t="shared" ref="II10:II47" si="224">IF(AND(C10="Efficiency",B10="NSP 120% AMI",NOT(M10="Common Space")),E10*F10,"")</f>
        <v/>
      </c>
      <c r="IJ10" s="344" t="str">
        <f t="shared" ref="IJ10:IJ47" si="225">IF(AND(C10=1,B10="NSP 120% AMI",NOT(M10="Common Space")),E10*F10,"")</f>
        <v/>
      </c>
      <c r="IK10" s="344" t="str">
        <f t="shared" ref="IK10:IK47" si="226">IF(AND(C10=2,B10="NSP 120% AMI",NOT(M10="Common Space")),E10*F10,"")</f>
        <v/>
      </c>
      <c r="IL10" s="344" t="str">
        <f t="shared" ref="IL10:IL47" si="227">IF(AND(C10=3,B10="NSP 120% AMI",NOT(M10="Common Space")),E10*F10,"")</f>
        <v/>
      </c>
      <c r="IM10" s="344" t="str">
        <f t="shared" ref="IM10:IM47" si="228">IF(AND(C10=4,B10="NSP 120% AMI",NOT(M10="Common Space")),E10*F10,"")</f>
        <v/>
      </c>
      <c r="IN10" s="344" t="str">
        <f t="shared" ref="IN10:IN47" si="229">IF(AND($C10="Efficiency", $O10="New Construction",$B10="NSP 120% AMI",NOT($M10="Common Space")),$E10,"")</f>
        <v/>
      </c>
      <c r="IO10" s="344" t="str">
        <f t="shared" ref="IO10:IO47" si="230">IF(AND($C10=1, $O10="New Construction",$B10="NSP 120% AMI",NOT($M10="Common Space")),$E10,"")</f>
        <v/>
      </c>
      <c r="IP10" s="344" t="str">
        <f t="shared" ref="IP10:IP47" si="231">IF(AND($C10=2, $O10="New Construction",$B10="NSP 120% AMI",NOT($M10="Common Space")),$E10,"")</f>
        <v/>
      </c>
      <c r="IQ10" s="344" t="str">
        <f t="shared" ref="IQ10:IQ47" si="232">IF(AND($C10=3, $O10="New Construction",$B10="NSP 120% AMI",NOT($M10="Common Space")),$E10,"")</f>
        <v/>
      </c>
      <c r="IR10" s="344" t="str">
        <f t="shared" ref="IR10:IR47" si="233">IF(AND($C10=4, $O10="New Construction",$B10="NSP 120% AMI",NOT($M10="Common Space")),$E10,"")</f>
        <v/>
      </c>
      <c r="IS10" s="344" t="str">
        <f t="shared" ref="IS10:IS47" si="234">IF(AND($C10="Efficiency", $O10="Acquisition/Rehab",$B10="NSP 120% AMI",NOT($M10="Common Space")),$E10,"")</f>
        <v/>
      </c>
      <c r="IT10" s="344" t="str">
        <f t="shared" ref="IT10:IT47" si="235">IF(AND($C10=1, $O10="Acquisition/Rehab",$B10="NSP 120% AMI",NOT($M10="Common Space")),$E10,"")</f>
        <v/>
      </c>
      <c r="IU10" s="344" t="str">
        <f t="shared" ref="IU10:IU47" si="236">IF(AND($C10=2, $O10="Acquisition/Rehab",$B10="NSP 120% AMI",NOT($M10="Common Space")),$E10,"")</f>
        <v/>
      </c>
      <c r="IV10" s="344" t="str">
        <f t="shared" ref="IV10:IV47" si="237">IF(AND($C10=3, $O10="Acquisition/Rehab",$B10="NSP 120% AMI",NOT($M10="Common Space")),$E10,"")</f>
        <v/>
      </c>
      <c r="IW10" s="344" t="str">
        <f t="shared" ref="IW10:IW47" si="238">IF(AND($C10=4, $O10="Acquisition/Rehab",$B10="NSP 120% AMI",NOT($M10="Common Space")),$E10,"")</f>
        <v/>
      </c>
      <c r="IX10" s="344" t="str">
        <f t="shared" ref="IX10:IX47" si="239">IF(AND($C10="Efficiency", $O10="Rehabilitation",$B10="NSP 120% AMI",NOT($M10="Common Space")),$E10,"")</f>
        <v/>
      </c>
      <c r="IY10" s="344" t="str">
        <f t="shared" ref="IY10:IY47" si="240">IF(AND($C10=1, $O10="Rehabilitation",$B10="NSP 120% AMI",NOT($M10="Common Space")),$E10,"")</f>
        <v/>
      </c>
      <c r="IZ10" s="344" t="str">
        <f t="shared" ref="IZ10:IZ47" si="241">IF(AND($C10=2, $O10="Rehabilitation",$B10="NSP 120% AMI",NOT($M10="Common Space")),$E10,"")</f>
        <v/>
      </c>
      <c r="JA10" s="344" t="str">
        <f t="shared" ref="JA10:JA47" si="242">IF(AND($C10=3, $O10="Rehabilitation",$B10="NSP 120% AMI",NOT($M10="Common Space")),$E10,"")</f>
        <v/>
      </c>
      <c r="JB10" s="344" t="str">
        <f t="shared" ref="JB10:JB47" si="243">IF(AND($C10=4, $O10="Rehabilitation",$B10="NSP 120% AMI",NOT($M10="Common Space")),$E10,"")</f>
        <v/>
      </c>
      <c r="JC10" s="353">
        <f>IF(AND($C10="Efficiency",$E10&gt;0,OR($N10="1-Story",$N10="2-Story",$N10="3+ Story",$N10="2-Story Walkup",$N10="Townhome"),OR($O10="Acquisition/Rehab",$O10="Rehabilitation"),NOT($P10="Yes")),$E10,0)</f>
        <v>0</v>
      </c>
      <c r="JD10" s="353">
        <f>IF(AND($C10=1,$E10&gt;0,OR($N10="1-Story",$N10="2-Story",$N10="3+ Story",$N10="2-Story Walkup",$N10="Townhome"),OR($O10="Acquisition/Rehab",$O10="Rehabilitation"),NOT($P10="Yes")),$E10,0)</f>
        <v>0</v>
      </c>
      <c r="JE10" s="353">
        <f>IF(AND($C10=2,$E10&gt;0,OR($N10="1-Story",$N10="2-Story",$N10="3+ Story",$N10="2-Story Walkup",$N10="Townhome"),OR($O10="Acquisition/Rehab",$O10="Rehabilitation"),NOT($P10="Yes")),$E10,0)</f>
        <v>0</v>
      </c>
      <c r="JF10" s="353">
        <f>IF(AND($C10=3,$E10&gt;0,OR($N10="1-Story",$N10="2-Story",$N10="3+ Story",$N10="2-Story Walkup",$N10="Townhome"),OR($O10="Acquisition/Rehab",$O10="Rehabilitation"),NOT($P10="Yes")),$E10,0)</f>
        <v>0</v>
      </c>
      <c r="JG10" s="353">
        <f>IF(AND($C10=4,$E10&gt;0,OR($N10="1-Story",$N10="2-Story",$N10="3+ Story",$N10="2-Story Walkup",$N10="Townhome"),OR($O10="Acquisition/Rehab",$O10="Rehabilitation"),NOT($P10="Yes")),$E10,0)</f>
        <v>0</v>
      </c>
      <c r="JH10" s="353">
        <f>IF(AND($C10="Efficiency",$E10&gt;0,OR($N10="1-Story",$N10="2-Story",$N10="3+ Story",$N10="2-Story Walkup",$N10="Townhome"),$O10="New Construction"),$E10,0)</f>
        <v>0</v>
      </c>
      <c r="JI10" s="353">
        <f>IF(AND($C10=1,$E10&gt;0,OR($N10="1-Story",$N10="2-Story",$N10="3+ Story",$N10="2-Story Walkup",$N10="Townhome"),$O10="New Construction"),$E10,0)</f>
        <v>3</v>
      </c>
      <c r="JJ10" s="353">
        <f>IF(AND($C10=2,$E10&gt;0,OR($N10="1-Story",$N10="2-Story",$N10="3+ Story",$N10="2-Story Walkup",$N10="Townhome"),$O10="New Construction"),$E10,0)</f>
        <v>0</v>
      </c>
      <c r="JK10" s="353">
        <f>IF(AND($C10=3,$E10&gt;0,OR($N10="1-Story",$N10="2-Story",$N10="3+ Story",$N10="2-Story Walkup",$N10="Townhome"),$O10="New Construction"),$E10,0)</f>
        <v>0</v>
      </c>
      <c r="JL10" s="353">
        <f>IF(AND($C10=4,$E10&gt;0,OR($N10="1-Story",$N10="2-Story",$N10="3+ Story",$N10="2-Story Walkup",$N10="Townhome"),$O10="New Construction"),$E10,0)</f>
        <v>0</v>
      </c>
      <c r="JM10" s="353">
        <f>IF(AND($C10="Efficiency",$E10&gt;0,OR($N10="SF Detached",$N10="Duplex",$N10="Mfd Home"),NOT($P10="Yes")),$E10,0)</f>
        <v>0</v>
      </c>
      <c r="JN10" s="353">
        <f>IF(AND($C10=1,$E10&gt;0,OR($N10="SF Detached",$N10="Duplex",$N10="Mfd Home"),NOT($P10="Yes")),$E10,0)</f>
        <v>0</v>
      </c>
      <c r="JO10" s="353">
        <f>IF(AND($C10=2,$E10&gt;0,OR($N10="SF Detached",$N10="Duplex",$N10="Mfd Home"),NOT($P10="Yes")),$E10,0)</f>
        <v>0</v>
      </c>
      <c r="JP10" s="353">
        <f>IF(AND($C10=3,$E10&gt;0,OR($N10="SF Detached",$N10="Duplex",$N10="Mfd Home"),NOT($P10="Yes")),$E10,0)</f>
        <v>0</v>
      </c>
      <c r="JQ10" s="353">
        <f>IF(AND($C10=4,$E10&gt;0,OR($N10="SF Detached",$N10="Duplex",$N10="Mfd Home"),NOT($P10="Yes")),$E10,0)</f>
        <v>0</v>
      </c>
    </row>
    <row r="11" spans="1:296" ht="12" customHeight="1">
      <c r="A11" s="70" t="str">
        <f t="shared" si="0"/>
        <v/>
      </c>
      <c r="B11" s="2628" t="s">
        <v>1088</v>
      </c>
      <c r="C11" s="2629">
        <v>1</v>
      </c>
      <c r="D11" s="2630">
        <v>1</v>
      </c>
      <c r="E11" s="2631">
        <v>9</v>
      </c>
      <c r="F11" s="2631">
        <v>836</v>
      </c>
      <c r="G11" s="2631">
        <v>784</v>
      </c>
      <c r="H11" s="2631">
        <v>724</v>
      </c>
      <c r="I11" s="2632">
        <f>IF(C11="",0,HLOOKUP(C11,'Part V-Utility Allowances'!$I$11:$M$21,11))</f>
        <v>103</v>
      </c>
      <c r="J11" s="2633"/>
      <c r="K11" s="488">
        <f t="shared" si="1"/>
        <v>621</v>
      </c>
      <c r="L11" s="488">
        <f t="shared" si="2"/>
        <v>5589</v>
      </c>
      <c r="M11" s="2634" t="s">
        <v>21</v>
      </c>
      <c r="N11" s="2634" t="s">
        <v>1087</v>
      </c>
      <c r="O11" s="2634" t="s">
        <v>112</v>
      </c>
      <c r="P11" s="2635" t="s">
        <v>21</v>
      </c>
      <c r="Q11" s="2636">
        <f t="shared" si="3"/>
        <v>28960</v>
      </c>
      <c r="R11" s="2637">
        <f>IF(H11="","",IF(C11="Efficiency",Q11/($O$6*VLOOKUP(0,'DCA Underwriting Assumptions'!$J$143:$K$148,2,FALSE)),Q11/($O$6*VLOOKUP(C11,'DCA Underwriting Assumptions'!$J$143:$K$148,2,FALSE))))</f>
        <v>0.55399330463892871</v>
      </c>
      <c r="S11" s="2638"/>
      <c r="T11" s="2639"/>
      <c r="U11" s="2594"/>
      <c r="V11" s="2595"/>
      <c r="W11" s="102" t="str">
        <f t="shared" si="4"/>
        <v/>
      </c>
      <c r="X11" s="102">
        <f t="shared" si="5"/>
        <v>9</v>
      </c>
      <c r="Y11" s="102" t="str">
        <f t="shared" si="6"/>
        <v/>
      </c>
      <c r="Z11" s="102" t="str">
        <f t="shared" si="7"/>
        <v/>
      </c>
      <c r="AA11" s="102" t="str">
        <f t="shared" si="8"/>
        <v/>
      </c>
      <c r="AB11" s="102" t="str">
        <f t="shared" si="9"/>
        <v/>
      </c>
      <c r="AC11" s="102" t="str">
        <f t="shared" si="10"/>
        <v/>
      </c>
      <c r="AD11" s="102" t="str">
        <f t="shared" si="11"/>
        <v/>
      </c>
      <c r="AE11" s="102" t="str">
        <f t="shared" si="12"/>
        <v/>
      </c>
      <c r="AF11" s="102" t="str">
        <f t="shared" si="13"/>
        <v/>
      </c>
      <c r="AG11" s="102" t="str">
        <f t="shared" si="14"/>
        <v/>
      </c>
      <c r="AH11" s="102" t="str">
        <f t="shared" si="15"/>
        <v/>
      </c>
      <c r="AI11" s="102" t="str">
        <f t="shared" si="16"/>
        <v/>
      </c>
      <c r="AJ11" s="102" t="str">
        <f t="shared" si="17"/>
        <v/>
      </c>
      <c r="AK11" s="102" t="str">
        <f t="shared" si="18"/>
        <v/>
      </c>
      <c r="AL11" s="102" t="str">
        <f t="shared" si="19"/>
        <v/>
      </c>
      <c r="AM11" s="102" t="str">
        <f t="shared" si="20"/>
        <v/>
      </c>
      <c r="AN11" s="102" t="str">
        <f t="shared" si="21"/>
        <v/>
      </c>
      <c r="AO11" s="102" t="str">
        <f t="shared" si="22"/>
        <v/>
      </c>
      <c r="AP11" s="102" t="str">
        <f t="shared" si="23"/>
        <v/>
      </c>
      <c r="AQ11" s="102" t="str">
        <f t="shared" si="24"/>
        <v/>
      </c>
      <c r="AR11" s="102" t="str">
        <f t="shared" si="25"/>
        <v/>
      </c>
      <c r="AS11" s="102" t="str">
        <f t="shared" si="26"/>
        <v/>
      </c>
      <c r="AT11" s="102" t="str">
        <f t="shared" si="27"/>
        <v/>
      </c>
      <c r="AU11" s="102" t="str">
        <f t="shared" si="28"/>
        <v/>
      </c>
      <c r="AV11" s="102" t="str">
        <f t="shared" si="29"/>
        <v/>
      </c>
      <c r="AW11" s="102" t="str">
        <f t="shared" si="30"/>
        <v/>
      </c>
      <c r="AX11" s="102" t="str">
        <f t="shared" si="31"/>
        <v/>
      </c>
      <c r="AY11" s="102" t="str">
        <f t="shared" si="32"/>
        <v/>
      </c>
      <c r="AZ11" s="102" t="str">
        <f t="shared" si="33"/>
        <v/>
      </c>
      <c r="BA11" s="102" t="str">
        <f t="shared" si="34"/>
        <v/>
      </c>
      <c r="BB11" s="102" t="str">
        <f t="shared" si="35"/>
        <v/>
      </c>
      <c r="BC11" s="102" t="str">
        <f t="shared" si="36"/>
        <v/>
      </c>
      <c r="BD11" s="102" t="str">
        <f t="shared" si="37"/>
        <v/>
      </c>
      <c r="BE11" s="102" t="str">
        <f t="shared" si="38"/>
        <v/>
      </c>
      <c r="BF11" s="102" t="str">
        <f t="shared" si="39"/>
        <v/>
      </c>
      <c r="BG11" s="102" t="str">
        <f t="shared" si="40"/>
        <v/>
      </c>
      <c r="BH11" s="102" t="str">
        <f t="shared" si="41"/>
        <v/>
      </c>
      <c r="BI11" s="102" t="str">
        <f t="shared" si="42"/>
        <v/>
      </c>
      <c r="BJ11" s="102" t="str">
        <f t="shared" si="43"/>
        <v/>
      </c>
      <c r="BK11" s="102" t="str">
        <f t="shared" si="44"/>
        <v/>
      </c>
      <c r="BL11" s="102" t="str">
        <f t="shared" si="45"/>
        <v/>
      </c>
      <c r="BM11" s="102" t="str">
        <f t="shared" si="46"/>
        <v/>
      </c>
      <c r="BN11" s="102" t="str">
        <f t="shared" si="47"/>
        <v/>
      </c>
      <c r="BO11" s="102" t="str">
        <f t="shared" si="48"/>
        <v/>
      </c>
      <c r="BP11" s="102" t="str">
        <f t="shared" si="49"/>
        <v/>
      </c>
      <c r="BQ11" s="102" t="str">
        <f t="shared" si="50"/>
        <v/>
      </c>
      <c r="BR11" s="102" t="str">
        <f t="shared" si="51"/>
        <v/>
      </c>
      <c r="BS11" s="102" t="str">
        <f t="shared" si="52"/>
        <v/>
      </c>
      <c r="BT11" s="102" t="str">
        <f t="shared" si="53"/>
        <v/>
      </c>
      <c r="BU11" s="102" t="str">
        <f t="shared" si="54"/>
        <v/>
      </c>
      <c r="BV11" s="102" t="str">
        <f t="shared" si="55"/>
        <v/>
      </c>
      <c r="BW11" s="102" t="str">
        <f t="shared" si="56"/>
        <v/>
      </c>
      <c r="BX11" s="102" t="str">
        <f t="shared" si="57"/>
        <v/>
      </c>
      <c r="BY11" s="102" t="str">
        <f t="shared" si="58"/>
        <v/>
      </c>
      <c r="BZ11" s="102" t="str">
        <f t="shared" si="59"/>
        <v/>
      </c>
      <c r="CA11" s="102">
        <f t="shared" si="60"/>
        <v>7524</v>
      </c>
      <c r="CB11" s="102" t="str">
        <f t="shared" si="61"/>
        <v/>
      </c>
      <c r="CC11" s="102" t="str">
        <f t="shared" si="62"/>
        <v/>
      </c>
      <c r="CD11" s="102" t="str">
        <f t="shared" si="63"/>
        <v/>
      </c>
      <c r="CE11" s="102" t="str">
        <f t="shared" si="64"/>
        <v/>
      </c>
      <c r="CF11" s="102" t="str">
        <f t="shared" si="65"/>
        <v/>
      </c>
      <c r="CG11" s="102" t="str">
        <f t="shared" si="66"/>
        <v/>
      </c>
      <c r="CH11" s="102" t="str">
        <f t="shared" si="67"/>
        <v/>
      </c>
      <c r="CI11" s="102" t="str">
        <f t="shared" si="68"/>
        <v/>
      </c>
      <c r="CJ11" s="102" t="str">
        <f t="shared" si="69"/>
        <v/>
      </c>
      <c r="CK11" s="102" t="str">
        <f t="shared" si="70"/>
        <v/>
      </c>
      <c r="CL11" s="102" t="str">
        <f t="shared" si="71"/>
        <v/>
      </c>
      <c r="CM11" s="102" t="str">
        <f t="shared" si="72"/>
        <v/>
      </c>
      <c r="CN11" s="102" t="str">
        <f t="shared" si="73"/>
        <v/>
      </c>
      <c r="CO11" s="102" t="str">
        <f t="shared" si="74"/>
        <v/>
      </c>
      <c r="CP11" s="102" t="str">
        <f t="shared" si="75"/>
        <v/>
      </c>
      <c r="CQ11" s="102" t="str">
        <f t="shared" si="76"/>
        <v/>
      </c>
      <c r="CR11" s="102" t="str">
        <f t="shared" si="77"/>
        <v/>
      </c>
      <c r="CS11" s="102" t="str">
        <f t="shared" si="78"/>
        <v/>
      </c>
      <c r="CT11" s="102" t="str">
        <f t="shared" si="79"/>
        <v/>
      </c>
      <c r="CU11" s="102" t="str">
        <f t="shared" si="80"/>
        <v/>
      </c>
      <c r="CV11" s="102" t="str">
        <f t="shared" si="81"/>
        <v/>
      </c>
      <c r="CW11" s="102" t="str">
        <f t="shared" si="82"/>
        <v/>
      </c>
      <c r="CX11" s="102" t="str">
        <f t="shared" si="83"/>
        <v/>
      </c>
      <c r="CY11" s="102" t="str">
        <f t="shared" si="84"/>
        <v/>
      </c>
      <c r="CZ11" s="102" t="str">
        <f t="shared" si="85"/>
        <v/>
      </c>
      <c r="DA11" s="102" t="str">
        <f t="shared" si="86"/>
        <v/>
      </c>
      <c r="DB11" s="102" t="str">
        <f t="shared" si="87"/>
        <v/>
      </c>
      <c r="DC11" s="102" t="str">
        <f t="shared" si="88"/>
        <v/>
      </c>
      <c r="DD11" s="102" t="str">
        <f t="shared" si="89"/>
        <v/>
      </c>
      <c r="DE11" s="102">
        <f t="shared" si="90"/>
        <v>9</v>
      </c>
      <c r="DF11" s="102" t="str">
        <f t="shared" si="91"/>
        <v/>
      </c>
      <c r="DG11" s="102" t="str">
        <f t="shared" si="92"/>
        <v/>
      </c>
      <c r="DH11" s="102" t="str">
        <f t="shared" si="93"/>
        <v/>
      </c>
      <c r="DI11" s="102" t="str">
        <f t="shared" si="94"/>
        <v/>
      </c>
      <c r="DJ11" s="102" t="str">
        <f t="shared" si="95"/>
        <v/>
      </c>
      <c r="DK11" s="102" t="str">
        <f t="shared" si="96"/>
        <v/>
      </c>
      <c r="DL11" s="102" t="str">
        <f t="shared" si="97"/>
        <v/>
      </c>
      <c r="DM11" s="102" t="str">
        <f t="shared" si="98"/>
        <v/>
      </c>
      <c r="DN11" s="102" t="str">
        <f t="shared" si="99"/>
        <v/>
      </c>
      <c r="DO11" s="102" t="str">
        <f t="shared" si="100"/>
        <v/>
      </c>
      <c r="DP11" s="102" t="str">
        <f t="shared" si="101"/>
        <v/>
      </c>
      <c r="DQ11" s="102" t="str">
        <f t="shared" si="102"/>
        <v/>
      </c>
      <c r="DR11" s="102" t="str">
        <f t="shared" si="103"/>
        <v/>
      </c>
      <c r="DS11" s="102" t="str">
        <f t="shared" si="104"/>
        <v/>
      </c>
      <c r="DT11" s="102" t="str">
        <f t="shared" si="105"/>
        <v/>
      </c>
      <c r="DU11" s="102" t="str">
        <f t="shared" si="106"/>
        <v/>
      </c>
      <c r="DV11" s="102" t="str">
        <f t="shared" si="107"/>
        <v/>
      </c>
      <c r="DW11" s="102" t="str">
        <f t="shared" si="108"/>
        <v/>
      </c>
      <c r="DX11" s="102" t="str">
        <f t="shared" si="109"/>
        <v/>
      </c>
      <c r="DY11" s="102" t="str">
        <f t="shared" si="110"/>
        <v/>
      </c>
      <c r="DZ11" s="102" t="str">
        <f t="shared" si="111"/>
        <v/>
      </c>
      <c r="EA11" s="102" t="str">
        <f t="shared" si="112"/>
        <v/>
      </c>
      <c r="EB11" s="102" t="str">
        <f t="shared" si="113"/>
        <v/>
      </c>
      <c r="EC11" s="102" t="str">
        <f t="shared" si="114"/>
        <v/>
      </c>
      <c r="ED11" s="102" t="str">
        <f t="shared" si="115"/>
        <v/>
      </c>
      <c r="EE11" s="102" t="str">
        <f t="shared" si="116"/>
        <v/>
      </c>
      <c r="EF11" s="102" t="str">
        <f t="shared" si="117"/>
        <v/>
      </c>
      <c r="EG11" s="102" t="str">
        <f t="shared" si="118"/>
        <v/>
      </c>
      <c r="EH11" s="102" t="str">
        <f t="shared" si="119"/>
        <v/>
      </c>
      <c r="EI11" s="102" t="str">
        <f t="shared" si="120"/>
        <v/>
      </c>
      <c r="EJ11" s="102" t="str">
        <f t="shared" si="121"/>
        <v/>
      </c>
      <c r="EK11" s="102" t="str">
        <f t="shared" si="122"/>
        <v/>
      </c>
      <c r="EL11" s="102" t="str">
        <f t="shared" si="123"/>
        <v/>
      </c>
      <c r="EM11" s="102" t="str">
        <f t="shared" si="124"/>
        <v/>
      </c>
      <c r="EN11" s="102" t="str">
        <f t="shared" si="125"/>
        <v/>
      </c>
      <c r="EO11" s="102" t="str">
        <f t="shared" si="126"/>
        <v/>
      </c>
      <c r="EP11" s="102" t="str">
        <f t="shared" si="127"/>
        <v/>
      </c>
      <c r="EQ11" s="102" t="str">
        <f t="shared" si="128"/>
        <v/>
      </c>
      <c r="ER11" s="102" t="str">
        <f t="shared" si="129"/>
        <v/>
      </c>
      <c r="ES11" s="102" t="str">
        <f t="shared" si="130"/>
        <v/>
      </c>
      <c r="ET11" s="102" t="str">
        <f t="shared" si="131"/>
        <v/>
      </c>
      <c r="EU11" s="102" t="str">
        <f t="shared" si="132"/>
        <v/>
      </c>
      <c r="EV11" s="102" t="str">
        <f t="shared" si="133"/>
        <v/>
      </c>
      <c r="EW11" s="792" t="str">
        <f t="shared" si="134"/>
        <v/>
      </c>
      <c r="EX11" s="354">
        <f t="shared" si="135"/>
        <v>9</v>
      </c>
      <c r="EY11" s="354" t="str">
        <f t="shared" si="136"/>
        <v/>
      </c>
      <c r="EZ11" s="354" t="str">
        <f t="shared" si="137"/>
        <v/>
      </c>
      <c r="FA11" s="354" t="str">
        <f t="shared" si="138"/>
        <v/>
      </c>
      <c r="FB11" s="354" t="str">
        <f t="shared" si="139"/>
        <v/>
      </c>
      <c r="FC11" s="354" t="str">
        <f t="shared" si="140"/>
        <v/>
      </c>
      <c r="FD11" s="354" t="str">
        <f t="shared" si="141"/>
        <v/>
      </c>
      <c r="FE11" s="354" t="str">
        <f t="shared" si="142"/>
        <v/>
      </c>
      <c r="FF11" s="354" t="str">
        <f t="shared" si="143"/>
        <v/>
      </c>
      <c r="FG11" s="354" t="str">
        <f t="shared" si="144"/>
        <v/>
      </c>
      <c r="FH11" s="354" t="str">
        <f t="shared" si="145"/>
        <v/>
      </c>
      <c r="FI11" s="354" t="str">
        <f t="shared" si="146"/>
        <v/>
      </c>
      <c r="FJ11" s="354" t="str">
        <f t="shared" si="147"/>
        <v/>
      </c>
      <c r="FK11" s="354" t="str">
        <f t="shared" si="148"/>
        <v/>
      </c>
      <c r="FL11" s="354" t="str">
        <f t="shared" si="149"/>
        <v/>
      </c>
      <c r="FM11" s="354" t="str">
        <f t="shared" si="150"/>
        <v/>
      </c>
      <c r="FN11" s="354" t="str">
        <f t="shared" si="151"/>
        <v/>
      </c>
      <c r="FO11" s="354" t="str">
        <f t="shared" si="152"/>
        <v/>
      </c>
      <c r="FP11" s="354" t="str">
        <f t="shared" si="153"/>
        <v/>
      </c>
      <c r="FQ11" s="354" t="str">
        <f t="shared" si="154"/>
        <v/>
      </c>
      <c r="FR11" s="354" t="str">
        <f t="shared" si="155"/>
        <v/>
      </c>
      <c r="FS11" s="354" t="str">
        <f t="shared" si="156"/>
        <v/>
      </c>
      <c r="FT11" s="354" t="str">
        <f t="shared" si="157"/>
        <v/>
      </c>
      <c r="FU11" s="354" t="str">
        <f t="shared" si="158"/>
        <v/>
      </c>
      <c r="FV11" s="354" t="str">
        <f t="shared" si="159"/>
        <v/>
      </c>
      <c r="FW11" s="354" t="str">
        <f t="shared" si="160"/>
        <v/>
      </c>
      <c r="FX11" s="354" t="str">
        <f t="shared" si="161"/>
        <v/>
      </c>
      <c r="FY11" s="354" t="str">
        <f t="shared" si="162"/>
        <v/>
      </c>
      <c r="FZ11" s="354" t="str">
        <f t="shared" si="163"/>
        <v/>
      </c>
      <c r="GA11" s="354" t="str">
        <f t="shared" si="164"/>
        <v/>
      </c>
      <c r="GB11" s="354" t="str">
        <f t="shared" si="165"/>
        <v/>
      </c>
      <c r="GC11" s="354" t="str">
        <f t="shared" si="166"/>
        <v/>
      </c>
      <c r="GD11" s="354" t="str">
        <f t="shared" si="167"/>
        <v/>
      </c>
      <c r="GE11" s="354" t="str">
        <f t="shared" si="168"/>
        <v/>
      </c>
      <c r="GF11" s="354" t="str">
        <f t="shared" si="169"/>
        <v/>
      </c>
      <c r="GG11" s="354" t="str">
        <f t="shared" si="170"/>
        <v/>
      </c>
      <c r="GH11" s="354" t="str">
        <f t="shared" si="171"/>
        <v/>
      </c>
      <c r="GI11" s="354" t="str">
        <f t="shared" si="172"/>
        <v/>
      </c>
      <c r="GJ11" s="354" t="str">
        <f t="shared" si="173"/>
        <v/>
      </c>
      <c r="GK11" s="354" t="str">
        <f t="shared" si="174"/>
        <v/>
      </c>
      <c r="GL11" s="354" t="str">
        <f t="shared" si="175"/>
        <v/>
      </c>
      <c r="GM11" s="354" t="str">
        <f t="shared" si="176"/>
        <v/>
      </c>
      <c r="GN11" s="354" t="str">
        <f t="shared" si="177"/>
        <v/>
      </c>
      <c r="GO11" s="354" t="str">
        <f t="shared" si="178"/>
        <v/>
      </c>
      <c r="GP11" s="354" t="str">
        <f t="shared" si="179"/>
        <v/>
      </c>
      <c r="GQ11" s="354" t="str">
        <f t="shared" si="180"/>
        <v/>
      </c>
      <c r="GR11" s="354" t="str">
        <f t="shared" si="181"/>
        <v/>
      </c>
      <c r="GS11" s="354" t="str">
        <f t="shared" si="182"/>
        <v/>
      </c>
      <c r="GT11" s="354" t="str">
        <f t="shared" si="183"/>
        <v/>
      </c>
      <c r="GU11" s="354" t="str">
        <f t="shared" si="184"/>
        <v/>
      </c>
      <c r="GV11" s="354" t="str">
        <f t="shared" si="185"/>
        <v/>
      </c>
      <c r="GW11" s="354" t="str">
        <f t="shared" si="186"/>
        <v/>
      </c>
      <c r="GX11" s="354" t="str">
        <f t="shared" si="187"/>
        <v/>
      </c>
      <c r="GY11" s="354" t="str">
        <f t="shared" si="188"/>
        <v/>
      </c>
      <c r="GZ11" s="354" t="str">
        <f t="shared" si="189"/>
        <v/>
      </c>
      <c r="HA11" s="354" t="str">
        <f t="shared" si="190"/>
        <v/>
      </c>
      <c r="HB11" s="354" t="str">
        <f t="shared" si="191"/>
        <v/>
      </c>
      <c r="HC11" s="354" t="str">
        <f t="shared" si="192"/>
        <v/>
      </c>
      <c r="HD11" s="354" t="str">
        <f t="shared" si="193"/>
        <v/>
      </c>
      <c r="HE11" s="354" t="str">
        <f t="shared" si="194"/>
        <v/>
      </c>
      <c r="HF11" s="354" t="str">
        <f t="shared" si="195"/>
        <v/>
      </c>
      <c r="HG11" s="354" t="str">
        <f t="shared" si="196"/>
        <v/>
      </c>
      <c r="HH11" s="354" t="str">
        <f t="shared" si="197"/>
        <v/>
      </c>
      <c r="HI11" s="354" t="str">
        <f t="shared" si="198"/>
        <v/>
      </c>
      <c r="HJ11" s="354" t="str">
        <f t="shared" si="199"/>
        <v/>
      </c>
      <c r="HK11" s="354">
        <f t="shared" si="200"/>
        <v>9</v>
      </c>
      <c r="HL11" s="354" t="str">
        <f t="shared" si="201"/>
        <v/>
      </c>
      <c r="HM11" s="354" t="str">
        <f t="shared" si="202"/>
        <v/>
      </c>
      <c r="HN11" s="354" t="str">
        <f t="shared" si="203"/>
        <v/>
      </c>
      <c r="HO11" s="354" t="str">
        <f t="shared" si="204"/>
        <v/>
      </c>
      <c r="HP11" s="354" t="str">
        <f t="shared" si="205"/>
        <v/>
      </c>
      <c r="HQ11" s="354" t="str">
        <f t="shared" si="206"/>
        <v/>
      </c>
      <c r="HR11" s="354" t="str">
        <f t="shared" si="207"/>
        <v/>
      </c>
      <c r="HS11" s="354" t="str">
        <f t="shared" si="208"/>
        <v/>
      </c>
      <c r="HT11" s="354" t="str">
        <f t="shared" si="209"/>
        <v/>
      </c>
      <c r="HU11" s="354" t="str">
        <f t="shared" si="210"/>
        <v/>
      </c>
      <c r="HV11" s="354" t="str">
        <f t="shared" si="211"/>
        <v/>
      </c>
      <c r="HW11" s="354" t="str">
        <f t="shared" si="212"/>
        <v/>
      </c>
      <c r="HX11" s="354" t="str">
        <f t="shared" si="213"/>
        <v/>
      </c>
      <c r="HY11" s="354" t="str">
        <f t="shared" si="214"/>
        <v/>
      </c>
      <c r="HZ11" s="354" t="str">
        <f t="shared" si="215"/>
        <v/>
      </c>
      <c r="IA11" s="354" t="str">
        <f t="shared" si="216"/>
        <v/>
      </c>
      <c r="IB11" s="354" t="str">
        <f t="shared" si="217"/>
        <v/>
      </c>
      <c r="IC11" s="354" t="str">
        <f t="shared" si="218"/>
        <v/>
      </c>
      <c r="ID11" s="355" t="str">
        <f t="shared" si="219"/>
        <v/>
      </c>
      <c r="IE11" s="355" t="str">
        <f t="shared" si="220"/>
        <v/>
      </c>
      <c r="IF11" s="355" t="str">
        <f t="shared" si="221"/>
        <v/>
      </c>
      <c r="IG11" s="355" t="str">
        <f t="shared" si="222"/>
        <v/>
      </c>
      <c r="IH11" s="355" t="str">
        <f t="shared" si="223"/>
        <v/>
      </c>
      <c r="II11" s="344" t="str">
        <f t="shared" si="224"/>
        <v/>
      </c>
      <c r="IJ11" s="344" t="str">
        <f t="shared" si="225"/>
        <v/>
      </c>
      <c r="IK11" s="344" t="str">
        <f t="shared" si="226"/>
        <v/>
      </c>
      <c r="IL11" s="344" t="str">
        <f t="shared" si="227"/>
        <v/>
      </c>
      <c r="IM11" s="344" t="str">
        <f t="shared" si="228"/>
        <v/>
      </c>
      <c r="IN11" s="344" t="str">
        <f t="shared" si="229"/>
        <v/>
      </c>
      <c r="IO11" s="344" t="str">
        <f t="shared" si="230"/>
        <v/>
      </c>
      <c r="IP11" s="344" t="str">
        <f t="shared" si="231"/>
        <v/>
      </c>
      <c r="IQ11" s="344" t="str">
        <f t="shared" si="232"/>
        <v/>
      </c>
      <c r="IR11" s="344" t="str">
        <f t="shared" si="233"/>
        <v/>
      </c>
      <c r="IS11" s="344" t="str">
        <f t="shared" si="234"/>
        <v/>
      </c>
      <c r="IT11" s="344" t="str">
        <f t="shared" si="235"/>
        <v/>
      </c>
      <c r="IU11" s="344" t="str">
        <f t="shared" si="236"/>
        <v/>
      </c>
      <c r="IV11" s="344" t="str">
        <f t="shared" si="237"/>
        <v/>
      </c>
      <c r="IW11" s="344" t="str">
        <f t="shared" si="238"/>
        <v/>
      </c>
      <c r="IX11" s="344" t="str">
        <f t="shared" si="239"/>
        <v/>
      </c>
      <c r="IY11" s="344" t="str">
        <f t="shared" si="240"/>
        <v/>
      </c>
      <c r="IZ11" s="344" t="str">
        <f t="shared" si="241"/>
        <v/>
      </c>
      <c r="JA11" s="344" t="str">
        <f t="shared" si="242"/>
        <v/>
      </c>
      <c r="JB11" s="344" t="str">
        <f t="shared" si="243"/>
        <v/>
      </c>
      <c r="JC11" s="353">
        <f t="shared" ref="JC11:JC47" si="244">IF(AND($C11="Efficiency",$E11&gt;0,OR($N11="1-Story",$N11="2-Story",$N11="3+ Story",$N11="2-Story Walkup",$N11="Townhome"),OR($O11="Acquisition/Rehab",$O11="Rehabilitation"),NOT($P11="Yes")),$E11,0)</f>
        <v>0</v>
      </c>
      <c r="JD11" s="353">
        <f t="shared" ref="JD11:JD47" si="245">IF(AND($C11=1,$E11&gt;0,OR($N11="1-Story",$N11="2-Story",$N11="3+ Story",$N11="2-Story Walkup",$N11="Townhome"),OR($O11="Acquisition/Rehab",$O11="Rehabilitation"),NOT($P11="Yes")),$E11,0)</f>
        <v>0</v>
      </c>
      <c r="JE11" s="353">
        <f t="shared" ref="JE11:JE47" si="246">IF(AND($C11=2,$E11&gt;0,OR($N11="1-Story",$N11="2-Story",$N11="3+ Story",$N11="2-Story Walkup",$N11="Townhome"),OR($O11="Acquisition/Rehab",$O11="Rehabilitation"),NOT($P11="Yes")),$E11,0)</f>
        <v>0</v>
      </c>
      <c r="JF11" s="353">
        <f t="shared" ref="JF11:JF47" si="247">IF(AND($C11=3,$E11&gt;0,OR($N11="1-Story",$N11="2-Story",$N11="3+ Story",$N11="2-Story Walkup",$N11="Townhome"),OR($O11="Acquisition/Rehab",$O11="Rehabilitation"),NOT($P11="Yes")),$E11,0)</f>
        <v>0</v>
      </c>
      <c r="JG11" s="353">
        <f t="shared" ref="JG11:JG47" si="248">IF(AND($C11=4,$E11&gt;0,OR($N11="1-Story",$N11="2-Story",$N11="3+ Story",$N11="2-Story Walkup",$N11="Townhome"),OR($O11="Acquisition/Rehab",$O11="Rehabilitation"),NOT($P11="Yes")),$E11,0)</f>
        <v>0</v>
      </c>
      <c r="JH11" s="353">
        <f t="shared" ref="JH11:JH47" si="249">IF(AND($C11="Efficiency",$E11&gt;0,OR($N11="1-Story",$N11="2-Story",$N11="3+ Story",$N11="2-Story Walkup",$N11="Townhome"),$O11="New Construction"),$E11,0)</f>
        <v>0</v>
      </c>
      <c r="JI11" s="353">
        <f t="shared" ref="JI11:JI47" si="250">IF(AND($C11=1,$E11&gt;0,OR($N11="1-Story",$N11="2-Story",$N11="3+ Story",$N11="2-Story Walkup",$N11="Townhome"),$O11="New Construction"),$E11,0)</f>
        <v>9</v>
      </c>
      <c r="JJ11" s="353">
        <f t="shared" ref="JJ11:JJ47" si="251">IF(AND($C11=2,$E11&gt;0,OR($N11="1-Story",$N11="2-Story",$N11="3+ Story",$N11="2-Story Walkup",$N11="Townhome"),$O11="New Construction"),$E11,0)</f>
        <v>0</v>
      </c>
      <c r="JK11" s="353">
        <f t="shared" ref="JK11:JK47" si="252">IF(AND($C11=3,$E11&gt;0,OR($N11="1-Story",$N11="2-Story",$N11="3+ Story",$N11="2-Story Walkup",$N11="Townhome"),$O11="New Construction"),$E11,0)</f>
        <v>0</v>
      </c>
      <c r="JL11" s="353">
        <f t="shared" ref="JL11:JL47" si="253">IF(AND($C11=4,$E11&gt;0,OR($N11="1-Story",$N11="2-Story",$N11="3+ Story",$N11="2-Story Walkup",$N11="Townhome"),$O11="New Construction"),$E11,0)</f>
        <v>0</v>
      </c>
      <c r="JM11" s="353">
        <f t="shared" ref="JM11:JM47" si="254">IF(AND($C11="Efficiency",$E11&gt;0,OR($N11="SF Detached",$N11="Duplex",$N11="Mfd Home"),NOT($P11="Yes")),$E11,0)</f>
        <v>0</v>
      </c>
      <c r="JN11" s="353">
        <f t="shared" ref="JN11:JN47" si="255">IF(AND($C11=1,$E11&gt;0,OR($N11="SF Detached",$N11="Duplex",$N11="Mfd Home"),NOT($P11="Yes")),$E11,0)</f>
        <v>0</v>
      </c>
      <c r="JO11" s="353">
        <f t="shared" ref="JO11:JO47" si="256">IF(AND($C11=2,$E11&gt;0,OR($N11="SF Detached",$N11="Duplex",$N11="Mfd Home"),NOT($P11="Yes")),$E11,0)</f>
        <v>0</v>
      </c>
      <c r="JP11" s="353">
        <f t="shared" ref="JP11:JP47" si="257">IF(AND($C11=3,$E11&gt;0,OR($N11="SF Detached",$N11="Duplex",$N11="Mfd Home"),NOT($P11="Yes")),$E11,0)</f>
        <v>0</v>
      </c>
      <c r="JQ11" s="353">
        <f t="shared" ref="JQ11:JQ47" si="258">IF(AND($C11=4,$E11&gt;0,OR($N11="SF Detached",$N11="Duplex",$N11="Mfd Home"),NOT($P11="Yes")),$E11,0)</f>
        <v>0</v>
      </c>
    </row>
    <row r="12" spans="1:296" ht="12" customHeight="1">
      <c r="A12" s="70" t="str">
        <f t="shared" si="0"/>
        <v/>
      </c>
      <c r="B12" s="2628" t="s">
        <v>1086</v>
      </c>
      <c r="C12" s="2629">
        <v>2</v>
      </c>
      <c r="D12" s="2630">
        <v>2</v>
      </c>
      <c r="E12" s="2631">
        <v>6</v>
      </c>
      <c r="F12" s="2631">
        <v>1045</v>
      </c>
      <c r="G12" s="2631">
        <v>785</v>
      </c>
      <c r="H12" s="2631">
        <v>725</v>
      </c>
      <c r="I12" s="2632">
        <f>IF(C12="",0,HLOOKUP(C12,'Part V-Utility Allowances'!$I$11:$M$21,11))</f>
        <v>128</v>
      </c>
      <c r="J12" s="2633"/>
      <c r="K12" s="488">
        <f t="shared" si="1"/>
        <v>597</v>
      </c>
      <c r="L12" s="488">
        <f t="shared" si="2"/>
        <v>3582</v>
      </c>
      <c r="M12" s="2634" t="s">
        <v>21</v>
      </c>
      <c r="N12" s="2634" t="s">
        <v>1087</v>
      </c>
      <c r="O12" s="2634" t="s">
        <v>112</v>
      </c>
      <c r="P12" s="2635" t="s">
        <v>21</v>
      </c>
      <c r="Q12" s="2636">
        <f t="shared" si="3"/>
        <v>29000</v>
      </c>
      <c r="R12" s="2637">
        <f>IF(H12="","",IF(C12="Efficiency",Q12/($O$6*VLOOKUP(0,'DCA Underwriting Assumptions'!$J$143:$K$148,2,FALSE)),Q12/($O$6*VLOOKUP(C12,'DCA Underwriting Assumptions'!$J$143:$K$148,2,FALSE))))</f>
        <v>0.46229874063446519</v>
      </c>
      <c r="S12" s="2638"/>
      <c r="T12" s="2639"/>
      <c r="U12" s="2594"/>
      <c r="V12" s="2595"/>
      <c r="W12" s="102" t="str">
        <f t="shared" si="4"/>
        <v/>
      </c>
      <c r="X12" s="102" t="str">
        <f t="shared" si="5"/>
        <v/>
      </c>
      <c r="Y12" s="102" t="str">
        <f t="shared" si="6"/>
        <v/>
      </c>
      <c r="Z12" s="102" t="str">
        <f t="shared" si="7"/>
        <v/>
      </c>
      <c r="AA12" s="102" t="str">
        <f t="shared" si="8"/>
        <v/>
      </c>
      <c r="AB12" s="102" t="str">
        <f t="shared" si="9"/>
        <v/>
      </c>
      <c r="AC12" s="102" t="str">
        <f t="shared" si="10"/>
        <v/>
      </c>
      <c r="AD12" s="102">
        <f t="shared" si="11"/>
        <v>6</v>
      </c>
      <c r="AE12" s="102" t="str">
        <f t="shared" si="12"/>
        <v/>
      </c>
      <c r="AF12" s="102" t="str">
        <f t="shared" si="13"/>
        <v/>
      </c>
      <c r="AG12" s="102" t="str">
        <f t="shared" si="14"/>
        <v/>
      </c>
      <c r="AH12" s="102" t="str">
        <f t="shared" si="15"/>
        <v/>
      </c>
      <c r="AI12" s="102" t="str">
        <f t="shared" si="16"/>
        <v/>
      </c>
      <c r="AJ12" s="102" t="str">
        <f t="shared" si="17"/>
        <v/>
      </c>
      <c r="AK12" s="102" t="str">
        <f t="shared" si="18"/>
        <v/>
      </c>
      <c r="AL12" s="102" t="str">
        <f t="shared" si="19"/>
        <v/>
      </c>
      <c r="AM12" s="102" t="str">
        <f t="shared" si="20"/>
        <v/>
      </c>
      <c r="AN12" s="102" t="str">
        <f t="shared" si="21"/>
        <v/>
      </c>
      <c r="AO12" s="102" t="str">
        <f t="shared" si="22"/>
        <v/>
      </c>
      <c r="AP12" s="102" t="str">
        <f t="shared" si="23"/>
        <v/>
      </c>
      <c r="AQ12" s="102" t="str">
        <f t="shared" si="24"/>
        <v/>
      </c>
      <c r="AR12" s="102" t="str">
        <f t="shared" si="25"/>
        <v/>
      </c>
      <c r="AS12" s="102" t="str">
        <f t="shared" si="26"/>
        <v/>
      </c>
      <c r="AT12" s="102" t="str">
        <f t="shared" si="27"/>
        <v/>
      </c>
      <c r="AU12" s="102" t="str">
        <f t="shared" si="28"/>
        <v/>
      </c>
      <c r="AV12" s="102" t="str">
        <f t="shared" si="29"/>
        <v/>
      </c>
      <c r="AW12" s="102" t="str">
        <f t="shared" si="30"/>
        <v/>
      </c>
      <c r="AX12" s="102" t="str">
        <f t="shared" si="31"/>
        <v/>
      </c>
      <c r="AY12" s="102" t="str">
        <f t="shared" si="32"/>
        <v/>
      </c>
      <c r="AZ12" s="102" t="str">
        <f t="shared" si="33"/>
        <v/>
      </c>
      <c r="BA12" s="102" t="str">
        <f t="shared" si="34"/>
        <v/>
      </c>
      <c r="BB12" s="102" t="str">
        <f t="shared" si="35"/>
        <v/>
      </c>
      <c r="BC12" s="102" t="str">
        <f t="shared" si="36"/>
        <v/>
      </c>
      <c r="BD12" s="102" t="str">
        <f t="shared" si="37"/>
        <v/>
      </c>
      <c r="BE12" s="102" t="str">
        <f t="shared" si="38"/>
        <v/>
      </c>
      <c r="BF12" s="102" t="str">
        <f t="shared" si="39"/>
        <v/>
      </c>
      <c r="BG12" s="102" t="str">
        <f t="shared" si="40"/>
        <v/>
      </c>
      <c r="BH12" s="102" t="str">
        <f t="shared" si="41"/>
        <v/>
      </c>
      <c r="BI12" s="102" t="str">
        <f t="shared" si="42"/>
        <v/>
      </c>
      <c r="BJ12" s="102" t="str">
        <f t="shared" si="43"/>
        <v/>
      </c>
      <c r="BK12" s="102" t="str">
        <f t="shared" si="44"/>
        <v/>
      </c>
      <c r="BL12" s="102" t="str">
        <f t="shared" si="45"/>
        <v/>
      </c>
      <c r="BM12" s="102" t="str">
        <f t="shared" si="46"/>
        <v/>
      </c>
      <c r="BN12" s="102" t="str">
        <f t="shared" si="47"/>
        <v/>
      </c>
      <c r="BO12" s="102" t="str">
        <f t="shared" si="48"/>
        <v/>
      </c>
      <c r="BP12" s="102" t="str">
        <f t="shared" si="49"/>
        <v/>
      </c>
      <c r="BQ12" s="102" t="str">
        <f t="shared" si="50"/>
        <v/>
      </c>
      <c r="BR12" s="102" t="str">
        <f t="shared" si="51"/>
        <v/>
      </c>
      <c r="BS12" s="102" t="str">
        <f t="shared" si="52"/>
        <v/>
      </c>
      <c r="BT12" s="102" t="str">
        <f t="shared" si="53"/>
        <v/>
      </c>
      <c r="BU12" s="102" t="str">
        <f t="shared" si="54"/>
        <v/>
      </c>
      <c r="BV12" s="102" t="str">
        <f t="shared" si="55"/>
        <v/>
      </c>
      <c r="BW12" s="102" t="str">
        <f t="shared" si="56"/>
        <v/>
      </c>
      <c r="BX12" s="102" t="str">
        <f t="shared" si="57"/>
        <v/>
      </c>
      <c r="BY12" s="102" t="str">
        <f t="shared" si="58"/>
        <v/>
      </c>
      <c r="BZ12" s="102" t="str">
        <f t="shared" si="59"/>
        <v/>
      </c>
      <c r="CA12" s="102" t="str">
        <f t="shared" si="60"/>
        <v/>
      </c>
      <c r="CB12" s="102" t="str">
        <f t="shared" si="61"/>
        <v/>
      </c>
      <c r="CC12" s="102" t="str">
        <f t="shared" si="62"/>
        <v/>
      </c>
      <c r="CD12" s="102" t="str">
        <f t="shared" si="63"/>
        <v/>
      </c>
      <c r="CE12" s="102" t="str">
        <f t="shared" si="64"/>
        <v/>
      </c>
      <c r="CF12" s="102" t="str">
        <f t="shared" si="65"/>
        <v/>
      </c>
      <c r="CG12" s="102">
        <f t="shared" si="66"/>
        <v>6270</v>
      </c>
      <c r="CH12" s="102" t="str">
        <f t="shared" si="67"/>
        <v/>
      </c>
      <c r="CI12" s="102" t="str">
        <f t="shared" si="68"/>
        <v/>
      </c>
      <c r="CJ12" s="102" t="str">
        <f t="shared" si="69"/>
        <v/>
      </c>
      <c r="CK12" s="102" t="str">
        <f t="shared" si="70"/>
        <v/>
      </c>
      <c r="CL12" s="102" t="str">
        <f t="shared" si="71"/>
        <v/>
      </c>
      <c r="CM12" s="102" t="str">
        <f t="shared" si="72"/>
        <v/>
      </c>
      <c r="CN12" s="102" t="str">
        <f t="shared" si="73"/>
        <v/>
      </c>
      <c r="CO12" s="102" t="str">
        <f t="shared" si="74"/>
        <v/>
      </c>
      <c r="CP12" s="102" t="str">
        <f t="shared" si="75"/>
        <v/>
      </c>
      <c r="CQ12" s="102" t="str">
        <f t="shared" si="76"/>
        <v/>
      </c>
      <c r="CR12" s="102" t="str">
        <f t="shared" si="77"/>
        <v/>
      </c>
      <c r="CS12" s="102" t="str">
        <f t="shared" si="78"/>
        <v/>
      </c>
      <c r="CT12" s="102" t="str">
        <f t="shared" si="79"/>
        <v/>
      </c>
      <c r="CU12" s="102" t="str">
        <f t="shared" si="80"/>
        <v/>
      </c>
      <c r="CV12" s="102" t="str">
        <f t="shared" si="81"/>
        <v/>
      </c>
      <c r="CW12" s="102" t="str">
        <f t="shared" si="82"/>
        <v/>
      </c>
      <c r="CX12" s="102" t="str">
        <f t="shared" si="83"/>
        <v/>
      </c>
      <c r="CY12" s="102" t="str">
        <f t="shared" si="84"/>
        <v/>
      </c>
      <c r="CZ12" s="102" t="str">
        <f t="shared" si="85"/>
        <v/>
      </c>
      <c r="DA12" s="102" t="str">
        <f t="shared" si="86"/>
        <v/>
      </c>
      <c r="DB12" s="102" t="str">
        <f t="shared" si="87"/>
        <v/>
      </c>
      <c r="DC12" s="102" t="str">
        <f t="shared" si="88"/>
        <v/>
      </c>
      <c r="DD12" s="102" t="str">
        <f t="shared" si="89"/>
        <v/>
      </c>
      <c r="DE12" s="102" t="str">
        <f t="shared" si="90"/>
        <v/>
      </c>
      <c r="DF12" s="102">
        <f t="shared" si="91"/>
        <v>6</v>
      </c>
      <c r="DG12" s="102" t="str">
        <f t="shared" si="92"/>
        <v/>
      </c>
      <c r="DH12" s="102" t="str">
        <f t="shared" si="93"/>
        <v/>
      </c>
      <c r="DI12" s="102" t="str">
        <f t="shared" si="94"/>
        <v/>
      </c>
      <c r="DJ12" s="102" t="str">
        <f t="shared" si="95"/>
        <v/>
      </c>
      <c r="DK12" s="102" t="str">
        <f t="shared" si="96"/>
        <v/>
      </c>
      <c r="DL12" s="102" t="str">
        <f t="shared" si="97"/>
        <v/>
      </c>
      <c r="DM12" s="102" t="str">
        <f t="shared" si="98"/>
        <v/>
      </c>
      <c r="DN12" s="102" t="str">
        <f t="shared" si="99"/>
        <v/>
      </c>
      <c r="DO12" s="102" t="str">
        <f t="shared" si="100"/>
        <v/>
      </c>
      <c r="DP12" s="102" t="str">
        <f t="shared" si="101"/>
        <v/>
      </c>
      <c r="DQ12" s="102" t="str">
        <f t="shared" si="102"/>
        <v/>
      </c>
      <c r="DR12" s="102" t="str">
        <f t="shared" si="103"/>
        <v/>
      </c>
      <c r="DS12" s="102" t="str">
        <f t="shared" si="104"/>
        <v/>
      </c>
      <c r="DT12" s="102" t="str">
        <f t="shared" si="105"/>
        <v/>
      </c>
      <c r="DU12" s="102" t="str">
        <f t="shared" si="106"/>
        <v/>
      </c>
      <c r="DV12" s="102" t="str">
        <f t="shared" si="107"/>
        <v/>
      </c>
      <c r="DW12" s="102" t="str">
        <f t="shared" si="108"/>
        <v/>
      </c>
      <c r="DX12" s="102" t="str">
        <f t="shared" si="109"/>
        <v/>
      </c>
      <c r="DY12" s="102" t="str">
        <f t="shared" si="110"/>
        <v/>
      </c>
      <c r="DZ12" s="102" t="str">
        <f t="shared" si="111"/>
        <v/>
      </c>
      <c r="EA12" s="102" t="str">
        <f t="shared" si="112"/>
        <v/>
      </c>
      <c r="EB12" s="102" t="str">
        <f t="shared" si="113"/>
        <v/>
      </c>
      <c r="EC12" s="102" t="str">
        <f t="shared" si="114"/>
        <v/>
      </c>
      <c r="ED12" s="102" t="str">
        <f t="shared" si="115"/>
        <v/>
      </c>
      <c r="EE12" s="102" t="str">
        <f t="shared" si="116"/>
        <v/>
      </c>
      <c r="EF12" s="102" t="str">
        <f t="shared" si="117"/>
        <v/>
      </c>
      <c r="EG12" s="102" t="str">
        <f t="shared" si="118"/>
        <v/>
      </c>
      <c r="EH12" s="102" t="str">
        <f t="shared" si="119"/>
        <v/>
      </c>
      <c r="EI12" s="102" t="str">
        <f t="shared" si="120"/>
        <v/>
      </c>
      <c r="EJ12" s="102" t="str">
        <f t="shared" si="121"/>
        <v/>
      </c>
      <c r="EK12" s="102" t="str">
        <f t="shared" si="122"/>
        <v/>
      </c>
      <c r="EL12" s="102" t="str">
        <f t="shared" si="123"/>
        <v/>
      </c>
      <c r="EM12" s="102" t="str">
        <f t="shared" si="124"/>
        <v/>
      </c>
      <c r="EN12" s="102" t="str">
        <f t="shared" si="125"/>
        <v/>
      </c>
      <c r="EO12" s="102" t="str">
        <f t="shared" si="126"/>
        <v/>
      </c>
      <c r="EP12" s="102" t="str">
        <f t="shared" si="127"/>
        <v/>
      </c>
      <c r="EQ12" s="102" t="str">
        <f t="shared" si="128"/>
        <v/>
      </c>
      <c r="ER12" s="102" t="str">
        <f t="shared" si="129"/>
        <v/>
      </c>
      <c r="ES12" s="102" t="str">
        <f t="shared" si="130"/>
        <v/>
      </c>
      <c r="ET12" s="102" t="str">
        <f t="shared" si="131"/>
        <v/>
      </c>
      <c r="EU12" s="102" t="str">
        <f t="shared" si="132"/>
        <v/>
      </c>
      <c r="EV12" s="102" t="str">
        <f t="shared" si="133"/>
        <v/>
      </c>
      <c r="EW12" s="792" t="str">
        <f t="shared" si="134"/>
        <v/>
      </c>
      <c r="EX12" s="354" t="str">
        <f t="shared" si="135"/>
        <v/>
      </c>
      <c r="EY12" s="354">
        <f t="shared" si="136"/>
        <v>6</v>
      </c>
      <c r="EZ12" s="354" t="str">
        <f t="shared" si="137"/>
        <v/>
      </c>
      <c r="FA12" s="354" t="str">
        <f t="shared" si="138"/>
        <v/>
      </c>
      <c r="FB12" s="354" t="str">
        <f t="shared" si="139"/>
        <v/>
      </c>
      <c r="FC12" s="354" t="str">
        <f t="shared" si="140"/>
        <v/>
      </c>
      <c r="FD12" s="354" t="str">
        <f t="shared" si="141"/>
        <v/>
      </c>
      <c r="FE12" s="354" t="str">
        <f t="shared" si="142"/>
        <v/>
      </c>
      <c r="FF12" s="354" t="str">
        <f t="shared" si="143"/>
        <v/>
      </c>
      <c r="FG12" s="354" t="str">
        <f t="shared" si="144"/>
        <v/>
      </c>
      <c r="FH12" s="354" t="str">
        <f t="shared" si="145"/>
        <v/>
      </c>
      <c r="FI12" s="354" t="str">
        <f t="shared" si="146"/>
        <v/>
      </c>
      <c r="FJ12" s="354" t="str">
        <f t="shared" si="147"/>
        <v/>
      </c>
      <c r="FK12" s="354" t="str">
        <f t="shared" si="148"/>
        <v/>
      </c>
      <c r="FL12" s="354" t="str">
        <f t="shared" si="149"/>
        <v/>
      </c>
      <c r="FM12" s="354" t="str">
        <f t="shared" si="150"/>
        <v/>
      </c>
      <c r="FN12" s="354" t="str">
        <f t="shared" si="151"/>
        <v/>
      </c>
      <c r="FO12" s="354" t="str">
        <f t="shared" si="152"/>
        <v/>
      </c>
      <c r="FP12" s="354" t="str">
        <f t="shared" si="153"/>
        <v/>
      </c>
      <c r="FQ12" s="354" t="str">
        <f t="shared" si="154"/>
        <v/>
      </c>
      <c r="FR12" s="354" t="str">
        <f t="shared" si="155"/>
        <v/>
      </c>
      <c r="FS12" s="354" t="str">
        <f t="shared" si="156"/>
        <v/>
      </c>
      <c r="FT12" s="354" t="str">
        <f t="shared" si="157"/>
        <v/>
      </c>
      <c r="FU12" s="354" t="str">
        <f t="shared" si="158"/>
        <v/>
      </c>
      <c r="FV12" s="354" t="str">
        <f t="shared" si="159"/>
        <v/>
      </c>
      <c r="FW12" s="354" t="str">
        <f t="shared" si="160"/>
        <v/>
      </c>
      <c r="FX12" s="354" t="str">
        <f t="shared" si="161"/>
        <v/>
      </c>
      <c r="FY12" s="354" t="str">
        <f t="shared" si="162"/>
        <v/>
      </c>
      <c r="FZ12" s="354" t="str">
        <f t="shared" si="163"/>
        <v/>
      </c>
      <c r="GA12" s="354" t="str">
        <f t="shared" si="164"/>
        <v/>
      </c>
      <c r="GB12" s="354" t="str">
        <f t="shared" si="165"/>
        <v/>
      </c>
      <c r="GC12" s="354" t="str">
        <f t="shared" si="166"/>
        <v/>
      </c>
      <c r="GD12" s="354" t="str">
        <f t="shared" si="167"/>
        <v/>
      </c>
      <c r="GE12" s="354" t="str">
        <f t="shared" si="168"/>
        <v/>
      </c>
      <c r="GF12" s="354" t="str">
        <f t="shared" si="169"/>
        <v/>
      </c>
      <c r="GG12" s="354" t="str">
        <f t="shared" si="170"/>
        <v/>
      </c>
      <c r="GH12" s="354" t="str">
        <f t="shared" si="171"/>
        <v/>
      </c>
      <c r="GI12" s="354" t="str">
        <f t="shared" si="172"/>
        <v/>
      </c>
      <c r="GJ12" s="354" t="str">
        <f t="shared" si="173"/>
        <v/>
      </c>
      <c r="GK12" s="354" t="str">
        <f t="shared" si="174"/>
        <v/>
      </c>
      <c r="GL12" s="354" t="str">
        <f t="shared" si="175"/>
        <v/>
      </c>
      <c r="GM12" s="354" t="str">
        <f t="shared" si="176"/>
        <v/>
      </c>
      <c r="GN12" s="354" t="str">
        <f t="shared" si="177"/>
        <v/>
      </c>
      <c r="GO12" s="354" t="str">
        <f t="shared" si="178"/>
        <v/>
      </c>
      <c r="GP12" s="354" t="str">
        <f t="shared" si="179"/>
        <v/>
      </c>
      <c r="GQ12" s="354" t="str">
        <f t="shared" si="180"/>
        <v/>
      </c>
      <c r="GR12" s="354" t="str">
        <f t="shared" si="181"/>
        <v/>
      </c>
      <c r="GS12" s="354" t="str">
        <f t="shared" si="182"/>
        <v/>
      </c>
      <c r="GT12" s="354" t="str">
        <f t="shared" si="183"/>
        <v/>
      </c>
      <c r="GU12" s="354" t="str">
        <f t="shared" si="184"/>
        <v/>
      </c>
      <c r="GV12" s="354" t="str">
        <f t="shared" si="185"/>
        <v/>
      </c>
      <c r="GW12" s="354" t="str">
        <f t="shared" si="186"/>
        <v/>
      </c>
      <c r="GX12" s="354" t="str">
        <f t="shared" si="187"/>
        <v/>
      </c>
      <c r="GY12" s="354" t="str">
        <f t="shared" si="188"/>
        <v/>
      </c>
      <c r="GZ12" s="354" t="str">
        <f t="shared" si="189"/>
        <v/>
      </c>
      <c r="HA12" s="354" t="str">
        <f t="shared" si="190"/>
        <v/>
      </c>
      <c r="HB12" s="354" t="str">
        <f t="shared" si="191"/>
        <v/>
      </c>
      <c r="HC12" s="354" t="str">
        <f t="shared" si="192"/>
        <v/>
      </c>
      <c r="HD12" s="354" t="str">
        <f t="shared" si="193"/>
        <v/>
      </c>
      <c r="HE12" s="354" t="str">
        <f t="shared" si="194"/>
        <v/>
      </c>
      <c r="HF12" s="354" t="str">
        <f t="shared" si="195"/>
        <v/>
      </c>
      <c r="HG12" s="354" t="str">
        <f t="shared" si="196"/>
        <v/>
      </c>
      <c r="HH12" s="354" t="str">
        <f t="shared" si="197"/>
        <v/>
      </c>
      <c r="HI12" s="354" t="str">
        <f t="shared" si="198"/>
        <v/>
      </c>
      <c r="HJ12" s="354" t="str">
        <f t="shared" si="199"/>
        <v/>
      </c>
      <c r="HK12" s="354" t="str">
        <f t="shared" si="200"/>
        <v/>
      </c>
      <c r="HL12" s="354">
        <f t="shared" si="201"/>
        <v>6</v>
      </c>
      <c r="HM12" s="354" t="str">
        <f t="shared" si="202"/>
        <v/>
      </c>
      <c r="HN12" s="354" t="str">
        <f t="shared" si="203"/>
        <v/>
      </c>
      <c r="HO12" s="354" t="str">
        <f t="shared" si="204"/>
        <v/>
      </c>
      <c r="HP12" s="354" t="str">
        <f t="shared" si="205"/>
        <v/>
      </c>
      <c r="HQ12" s="354" t="str">
        <f t="shared" si="206"/>
        <v/>
      </c>
      <c r="HR12" s="354" t="str">
        <f t="shared" si="207"/>
        <v/>
      </c>
      <c r="HS12" s="354" t="str">
        <f t="shared" si="208"/>
        <v/>
      </c>
      <c r="HT12" s="354" t="str">
        <f t="shared" si="209"/>
        <v/>
      </c>
      <c r="HU12" s="354" t="str">
        <f t="shared" si="210"/>
        <v/>
      </c>
      <c r="HV12" s="354" t="str">
        <f t="shared" si="211"/>
        <v/>
      </c>
      <c r="HW12" s="354" t="str">
        <f t="shared" si="212"/>
        <v/>
      </c>
      <c r="HX12" s="354" t="str">
        <f t="shared" si="213"/>
        <v/>
      </c>
      <c r="HY12" s="354" t="str">
        <f t="shared" si="214"/>
        <v/>
      </c>
      <c r="HZ12" s="354" t="str">
        <f t="shared" si="215"/>
        <v/>
      </c>
      <c r="IA12" s="354" t="str">
        <f t="shared" si="216"/>
        <v/>
      </c>
      <c r="IB12" s="354" t="str">
        <f t="shared" si="217"/>
        <v/>
      </c>
      <c r="IC12" s="354" t="str">
        <f t="shared" si="218"/>
        <v/>
      </c>
      <c r="ID12" s="355" t="str">
        <f t="shared" si="219"/>
        <v/>
      </c>
      <c r="IE12" s="355" t="str">
        <f t="shared" si="220"/>
        <v/>
      </c>
      <c r="IF12" s="355" t="str">
        <f t="shared" si="221"/>
        <v/>
      </c>
      <c r="IG12" s="355" t="str">
        <f t="shared" si="222"/>
        <v/>
      </c>
      <c r="IH12" s="355" t="str">
        <f t="shared" si="223"/>
        <v/>
      </c>
      <c r="II12" s="344" t="str">
        <f t="shared" si="224"/>
        <v/>
      </c>
      <c r="IJ12" s="344" t="str">
        <f t="shared" si="225"/>
        <v/>
      </c>
      <c r="IK12" s="344" t="str">
        <f t="shared" si="226"/>
        <v/>
      </c>
      <c r="IL12" s="344" t="str">
        <f t="shared" si="227"/>
        <v/>
      </c>
      <c r="IM12" s="344" t="str">
        <f t="shared" si="228"/>
        <v/>
      </c>
      <c r="IN12" s="344" t="str">
        <f t="shared" si="229"/>
        <v/>
      </c>
      <c r="IO12" s="344" t="str">
        <f t="shared" si="230"/>
        <v/>
      </c>
      <c r="IP12" s="344" t="str">
        <f t="shared" si="231"/>
        <v/>
      </c>
      <c r="IQ12" s="344" t="str">
        <f t="shared" si="232"/>
        <v/>
      </c>
      <c r="IR12" s="344" t="str">
        <f t="shared" si="233"/>
        <v/>
      </c>
      <c r="IS12" s="344" t="str">
        <f t="shared" si="234"/>
        <v/>
      </c>
      <c r="IT12" s="344" t="str">
        <f t="shared" si="235"/>
        <v/>
      </c>
      <c r="IU12" s="344" t="str">
        <f t="shared" si="236"/>
        <v/>
      </c>
      <c r="IV12" s="344" t="str">
        <f t="shared" si="237"/>
        <v/>
      </c>
      <c r="IW12" s="344" t="str">
        <f t="shared" si="238"/>
        <v/>
      </c>
      <c r="IX12" s="344" t="str">
        <f t="shared" si="239"/>
        <v/>
      </c>
      <c r="IY12" s="344" t="str">
        <f t="shared" si="240"/>
        <v/>
      </c>
      <c r="IZ12" s="344" t="str">
        <f t="shared" si="241"/>
        <v/>
      </c>
      <c r="JA12" s="344" t="str">
        <f t="shared" si="242"/>
        <v/>
      </c>
      <c r="JB12" s="344" t="str">
        <f t="shared" si="243"/>
        <v/>
      </c>
      <c r="JC12" s="353">
        <f t="shared" si="244"/>
        <v>0</v>
      </c>
      <c r="JD12" s="353">
        <f t="shared" si="245"/>
        <v>0</v>
      </c>
      <c r="JE12" s="353">
        <f t="shared" si="246"/>
        <v>0</v>
      </c>
      <c r="JF12" s="353">
        <f t="shared" si="247"/>
        <v>0</v>
      </c>
      <c r="JG12" s="353">
        <f t="shared" si="248"/>
        <v>0</v>
      </c>
      <c r="JH12" s="353">
        <f t="shared" si="249"/>
        <v>0</v>
      </c>
      <c r="JI12" s="353">
        <f t="shared" si="250"/>
        <v>0</v>
      </c>
      <c r="JJ12" s="353">
        <f t="shared" si="251"/>
        <v>6</v>
      </c>
      <c r="JK12" s="353">
        <f t="shared" si="252"/>
        <v>0</v>
      </c>
      <c r="JL12" s="353">
        <f t="shared" si="253"/>
        <v>0</v>
      </c>
      <c r="JM12" s="353">
        <f t="shared" si="254"/>
        <v>0</v>
      </c>
      <c r="JN12" s="353">
        <f t="shared" si="255"/>
        <v>0</v>
      </c>
      <c r="JO12" s="353">
        <f t="shared" si="256"/>
        <v>0</v>
      </c>
      <c r="JP12" s="353">
        <f t="shared" si="257"/>
        <v>0</v>
      </c>
      <c r="JQ12" s="353">
        <f t="shared" si="258"/>
        <v>0</v>
      </c>
    </row>
    <row r="13" spans="1:296" ht="12" customHeight="1">
      <c r="A13" s="70" t="str">
        <f t="shared" si="0"/>
        <v/>
      </c>
      <c r="B13" s="2628" t="s">
        <v>1088</v>
      </c>
      <c r="C13" s="2629">
        <v>2</v>
      </c>
      <c r="D13" s="2630">
        <v>2</v>
      </c>
      <c r="E13" s="2631">
        <v>22</v>
      </c>
      <c r="F13" s="2631">
        <v>1045</v>
      </c>
      <c r="G13" s="2631">
        <v>942</v>
      </c>
      <c r="H13" s="2631">
        <v>882</v>
      </c>
      <c r="I13" s="2632">
        <f>IF(C13="",0,HLOOKUP(C13,'Part V-Utility Allowances'!$I$11:$M$21,11))</f>
        <v>128</v>
      </c>
      <c r="J13" s="2633"/>
      <c r="K13" s="488">
        <f t="shared" si="1"/>
        <v>754</v>
      </c>
      <c r="L13" s="488">
        <f t="shared" si="2"/>
        <v>16588</v>
      </c>
      <c r="M13" s="2634" t="s">
        <v>21</v>
      </c>
      <c r="N13" s="2634" t="s">
        <v>1087</v>
      </c>
      <c r="O13" s="2634" t="s">
        <v>112</v>
      </c>
      <c r="P13" s="2635" t="s">
        <v>21</v>
      </c>
      <c r="Q13" s="2636">
        <f t="shared" si="3"/>
        <v>35280</v>
      </c>
      <c r="R13" s="2637">
        <f>IF(H13="","",IF(C13="Efficiency",Q13/($O$6*VLOOKUP(0,'DCA Underwriting Assumptions'!$J$143:$K$148,2,FALSE)),Q13/($O$6*VLOOKUP(C13,'DCA Underwriting Assumptions'!$J$143:$K$148,2,FALSE))))</f>
        <v>0.56241032998565277</v>
      </c>
      <c r="S13" s="2638"/>
      <c r="T13" s="2639"/>
      <c r="U13" s="2594"/>
      <c r="V13" s="2595"/>
      <c r="W13" s="102" t="str">
        <f t="shared" si="4"/>
        <v/>
      </c>
      <c r="X13" s="102" t="str">
        <f t="shared" si="5"/>
        <v/>
      </c>
      <c r="Y13" s="102">
        <f t="shared" si="6"/>
        <v>22</v>
      </c>
      <c r="Z13" s="102" t="str">
        <f t="shared" si="7"/>
        <v/>
      </c>
      <c r="AA13" s="102" t="str">
        <f t="shared" si="8"/>
        <v/>
      </c>
      <c r="AB13" s="102" t="str">
        <f t="shared" si="9"/>
        <v/>
      </c>
      <c r="AC13" s="102" t="str">
        <f t="shared" si="10"/>
        <v/>
      </c>
      <c r="AD13" s="102" t="str">
        <f t="shared" si="11"/>
        <v/>
      </c>
      <c r="AE13" s="102" t="str">
        <f t="shared" si="12"/>
        <v/>
      </c>
      <c r="AF13" s="102" t="str">
        <f t="shared" si="13"/>
        <v/>
      </c>
      <c r="AG13" s="102" t="str">
        <f t="shared" si="14"/>
        <v/>
      </c>
      <c r="AH13" s="102" t="str">
        <f t="shared" si="15"/>
        <v/>
      </c>
      <c r="AI13" s="102" t="str">
        <f t="shared" si="16"/>
        <v/>
      </c>
      <c r="AJ13" s="102" t="str">
        <f t="shared" si="17"/>
        <v/>
      </c>
      <c r="AK13" s="102" t="str">
        <f t="shared" si="18"/>
        <v/>
      </c>
      <c r="AL13" s="102" t="str">
        <f t="shared" si="19"/>
        <v/>
      </c>
      <c r="AM13" s="102" t="str">
        <f t="shared" si="20"/>
        <v/>
      </c>
      <c r="AN13" s="102" t="str">
        <f t="shared" si="21"/>
        <v/>
      </c>
      <c r="AO13" s="102" t="str">
        <f t="shared" si="22"/>
        <v/>
      </c>
      <c r="AP13" s="102" t="str">
        <f t="shared" si="23"/>
        <v/>
      </c>
      <c r="AQ13" s="102" t="str">
        <f t="shared" si="24"/>
        <v/>
      </c>
      <c r="AR13" s="102" t="str">
        <f t="shared" si="25"/>
        <v/>
      </c>
      <c r="AS13" s="102" t="str">
        <f t="shared" si="26"/>
        <v/>
      </c>
      <c r="AT13" s="102" t="str">
        <f t="shared" si="27"/>
        <v/>
      </c>
      <c r="AU13" s="102" t="str">
        <f t="shared" si="28"/>
        <v/>
      </c>
      <c r="AV13" s="102" t="str">
        <f t="shared" si="29"/>
        <v/>
      </c>
      <c r="AW13" s="102" t="str">
        <f t="shared" si="30"/>
        <v/>
      </c>
      <c r="AX13" s="102" t="str">
        <f t="shared" si="31"/>
        <v/>
      </c>
      <c r="AY13" s="102" t="str">
        <f t="shared" si="32"/>
        <v/>
      </c>
      <c r="AZ13" s="102" t="str">
        <f t="shared" si="33"/>
        <v/>
      </c>
      <c r="BA13" s="102" t="str">
        <f t="shared" si="34"/>
        <v/>
      </c>
      <c r="BB13" s="102" t="str">
        <f t="shared" si="35"/>
        <v/>
      </c>
      <c r="BC13" s="102" t="str">
        <f t="shared" si="36"/>
        <v/>
      </c>
      <c r="BD13" s="102" t="str">
        <f t="shared" si="37"/>
        <v/>
      </c>
      <c r="BE13" s="102" t="str">
        <f t="shared" si="38"/>
        <v/>
      </c>
      <c r="BF13" s="102" t="str">
        <f t="shared" si="39"/>
        <v/>
      </c>
      <c r="BG13" s="102" t="str">
        <f t="shared" si="40"/>
        <v/>
      </c>
      <c r="BH13" s="102" t="str">
        <f t="shared" si="41"/>
        <v/>
      </c>
      <c r="BI13" s="102" t="str">
        <f t="shared" si="42"/>
        <v/>
      </c>
      <c r="BJ13" s="102" t="str">
        <f t="shared" si="43"/>
        <v/>
      </c>
      <c r="BK13" s="102" t="str">
        <f t="shared" si="44"/>
        <v/>
      </c>
      <c r="BL13" s="102" t="str">
        <f t="shared" si="45"/>
        <v/>
      </c>
      <c r="BM13" s="102" t="str">
        <f t="shared" si="46"/>
        <v/>
      </c>
      <c r="BN13" s="102" t="str">
        <f t="shared" si="47"/>
        <v/>
      </c>
      <c r="BO13" s="102" t="str">
        <f t="shared" si="48"/>
        <v/>
      </c>
      <c r="BP13" s="102" t="str">
        <f t="shared" si="49"/>
        <v/>
      </c>
      <c r="BQ13" s="102" t="str">
        <f t="shared" si="50"/>
        <v/>
      </c>
      <c r="BR13" s="102" t="str">
        <f t="shared" si="51"/>
        <v/>
      </c>
      <c r="BS13" s="102" t="str">
        <f t="shared" si="52"/>
        <v/>
      </c>
      <c r="BT13" s="102" t="str">
        <f t="shared" si="53"/>
        <v/>
      </c>
      <c r="BU13" s="102" t="str">
        <f t="shared" si="54"/>
        <v/>
      </c>
      <c r="BV13" s="102" t="str">
        <f t="shared" si="55"/>
        <v/>
      </c>
      <c r="BW13" s="102" t="str">
        <f t="shared" si="56"/>
        <v/>
      </c>
      <c r="BX13" s="102" t="str">
        <f t="shared" si="57"/>
        <v/>
      </c>
      <c r="BY13" s="102" t="str">
        <f t="shared" si="58"/>
        <v/>
      </c>
      <c r="BZ13" s="102" t="str">
        <f t="shared" si="59"/>
        <v/>
      </c>
      <c r="CA13" s="102" t="str">
        <f t="shared" si="60"/>
        <v/>
      </c>
      <c r="CB13" s="102">
        <f t="shared" si="61"/>
        <v>22990</v>
      </c>
      <c r="CC13" s="102" t="str">
        <f t="shared" si="62"/>
        <v/>
      </c>
      <c r="CD13" s="102" t="str">
        <f t="shared" si="63"/>
        <v/>
      </c>
      <c r="CE13" s="102" t="str">
        <f t="shared" si="64"/>
        <v/>
      </c>
      <c r="CF13" s="102" t="str">
        <f t="shared" si="65"/>
        <v/>
      </c>
      <c r="CG13" s="102" t="str">
        <f t="shared" si="66"/>
        <v/>
      </c>
      <c r="CH13" s="102" t="str">
        <f t="shared" si="67"/>
        <v/>
      </c>
      <c r="CI13" s="102" t="str">
        <f t="shared" si="68"/>
        <v/>
      </c>
      <c r="CJ13" s="102" t="str">
        <f t="shared" si="69"/>
        <v/>
      </c>
      <c r="CK13" s="102" t="str">
        <f t="shared" si="70"/>
        <v/>
      </c>
      <c r="CL13" s="102" t="str">
        <f t="shared" si="71"/>
        <v/>
      </c>
      <c r="CM13" s="102" t="str">
        <f t="shared" si="72"/>
        <v/>
      </c>
      <c r="CN13" s="102" t="str">
        <f t="shared" si="73"/>
        <v/>
      </c>
      <c r="CO13" s="102" t="str">
        <f t="shared" si="74"/>
        <v/>
      </c>
      <c r="CP13" s="102" t="str">
        <f t="shared" si="75"/>
        <v/>
      </c>
      <c r="CQ13" s="102" t="str">
        <f t="shared" si="76"/>
        <v/>
      </c>
      <c r="CR13" s="102" t="str">
        <f t="shared" si="77"/>
        <v/>
      </c>
      <c r="CS13" s="102" t="str">
        <f t="shared" si="78"/>
        <v/>
      </c>
      <c r="CT13" s="102" t="str">
        <f t="shared" si="79"/>
        <v/>
      </c>
      <c r="CU13" s="102" t="str">
        <f t="shared" si="80"/>
        <v/>
      </c>
      <c r="CV13" s="102" t="str">
        <f t="shared" si="81"/>
        <v/>
      </c>
      <c r="CW13" s="102" t="str">
        <f t="shared" si="82"/>
        <v/>
      </c>
      <c r="CX13" s="102" t="str">
        <f t="shared" si="83"/>
        <v/>
      </c>
      <c r="CY13" s="102" t="str">
        <f t="shared" si="84"/>
        <v/>
      </c>
      <c r="CZ13" s="102" t="str">
        <f t="shared" si="85"/>
        <v/>
      </c>
      <c r="DA13" s="102" t="str">
        <f t="shared" si="86"/>
        <v/>
      </c>
      <c r="DB13" s="102" t="str">
        <f t="shared" si="87"/>
        <v/>
      </c>
      <c r="DC13" s="102" t="str">
        <f t="shared" si="88"/>
        <v/>
      </c>
      <c r="DD13" s="102" t="str">
        <f t="shared" si="89"/>
        <v/>
      </c>
      <c r="DE13" s="102" t="str">
        <f t="shared" si="90"/>
        <v/>
      </c>
      <c r="DF13" s="102">
        <f t="shared" si="91"/>
        <v>22</v>
      </c>
      <c r="DG13" s="102" t="str">
        <f t="shared" si="92"/>
        <v/>
      </c>
      <c r="DH13" s="102" t="str">
        <f t="shared" si="93"/>
        <v/>
      </c>
      <c r="DI13" s="102" t="str">
        <f t="shared" si="94"/>
        <v/>
      </c>
      <c r="DJ13" s="102" t="str">
        <f t="shared" si="95"/>
        <v/>
      </c>
      <c r="DK13" s="102" t="str">
        <f t="shared" si="96"/>
        <v/>
      </c>
      <c r="DL13" s="102" t="str">
        <f t="shared" si="97"/>
        <v/>
      </c>
      <c r="DM13" s="102" t="str">
        <f t="shared" si="98"/>
        <v/>
      </c>
      <c r="DN13" s="102" t="str">
        <f t="shared" si="99"/>
        <v/>
      </c>
      <c r="DO13" s="102" t="str">
        <f t="shared" si="100"/>
        <v/>
      </c>
      <c r="DP13" s="102" t="str">
        <f t="shared" si="101"/>
        <v/>
      </c>
      <c r="DQ13" s="102" t="str">
        <f t="shared" si="102"/>
        <v/>
      </c>
      <c r="DR13" s="102" t="str">
        <f t="shared" si="103"/>
        <v/>
      </c>
      <c r="DS13" s="102" t="str">
        <f t="shared" si="104"/>
        <v/>
      </c>
      <c r="DT13" s="102" t="str">
        <f t="shared" si="105"/>
        <v/>
      </c>
      <c r="DU13" s="102" t="str">
        <f t="shared" si="106"/>
        <v/>
      </c>
      <c r="DV13" s="102" t="str">
        <f t="shared" si="107"/>
        <v/>
      </c>
      <c r="DW13" s="102" t="str">
        <f t="shared" si="108"/>
        <v/>
      </c>
      <c r="DX13" s="102" t="str">
        <f t="shared" si="109"/>
        <v/>
      </c>
      <c r="DY13" s="102" t="str">
        <f t="shared" si="110"/>
        <v/>
      </c>
      <c r="DZ13" s="102" t="str">
        <f t="shared" si="111"/>
        <v/>
      </c>
      <c r="EA13" s="102" t="str">
        <f t="shared" si="112"/>
        <v/>
      </c>
      <c r="EB13" s="102" t="str">
        <f t="shared" si="113"/>
        <v/>
      </c>
      <c r="EC13" s="102" t="str">
        <f t="shared" si="114"/>
        <v/>
      </c>
      <c r="ED13" s="102" t="str">
        <f t="shared" si="115"/>
        <v/>
      </c>
      <c r="EE13" s="102" t="str">
        <f t="shared" si="116"/>
        <v/>
      </c>
      <c r="EF13" s="102" t="str">
        <f t="shared" si="117"/>
        <v/>
      </c>
      <c r="EG13" s="102" t="str">
        <f t="shared" si="118"/>
        <v/>
      </c>
      <c r="EH13" s="102" t="str">
        <f t="shared" si="119"/>
        <v/>
      </c>
      <c r="EI13" s="102" t="str">
        <f t="shared" si="120"/>
        <v/>
      </c>
      <c r="EJ13" s="102" t="str">
        <f t="shared" si="121"/>
        <v/>
      </c>
      <c r="EK13" s="102" t="str">
        <f t="shared" si="122"/>
        <v/>
      </c>
      <c r="EL13" s="102" t="str">
        <f t="shared" si="123"/>
        <v/>
      </c>
      <c r="EM13" s="102" t="str">
        <f t="shared" si="124"/>
        <v/>
      </c>
      <c r="EN13" s="102" t="str">
        <f t="shared" si="125"/>
        <v/>
      </c>
      <c r="EO13" s="102" t="str">
        <f t="shared" si="126"/>
        <v/>
      </c>
      <c r="EP13" s="102" t="str">
        <f t="shared" si="127"/>
        <v/>
      </c>
      <c r="EQ13" s="102" t="str">
        <f t="shared" si="128"/>
        <v/>
      </c>
      <c r="ER13" s="102" t="str">
        <f t="shared" si="129"/>
        <v/>
      </c>
      <c r="ES13" s="102" t="str">
        <f t="shared" si="130"/>
        <v/>
      </c>
      <c r="ET13" s="102" t="str">
        <f t="shared" si="131"/>
        <v/>
      </c>
      <c r="EU13" s="102" t="str">
        <f t="shared" si="132"/>
        <v/>
      </c>
      <c r="EV13" s="102" t="str">
        <f t="shared" si="133"/>
        <v/>
      </c>
      <c r="EW13" s="792" t="str">
        <f t="shared" si="134"/>
        <v/>
      </c>
      <c r="EX13" s="354" t="str">
        <f t="shared" si="135"/>
        <v/>
      </c>
      <c r="EY13" s="354">
        <f t="shared" si="136"/>
        <v>22</v>
      </c>
      <c r="EZ13" s="354" t="str">
        <f t="shared" si="137"/>
        <v/>
      </c>
      <c r="FA13" s="354" t="str">
        <f t="shared" si="138"/>
        <v/>
      </c>
      <c r="FB13" s="354" t="str">
        <f t="shared" si="139"/>
        <v/>
      </c>
      <c r="FC13" s="354" t="str">
        <f t="shared" si="140"/>
        <v/>
      </c>
      <c r="FD13" s="354" t="str">
        <f t="shared" si="141"/>
        <v/>
      </c>
      <c r="FE13" s="354" t="str">
        <f t="shared" si="142"/>
        <v/>
      </c>
      <c r="FF13" s="354" t="str">
        <f t="shared" si="143"/>
        <v/>
      </c>
      <c r="FG13" s="354" t="str">
        <f t="shared" si="144"/>
        <v/>
      </c>
      <c r="FH13" s="354" t="str">
        <f t="shared" si="145"/>
        <v/>
      </c>
      <c r="FI13" s="354" t="str">
        <f t="shared" si="146"/>
        <v/>
      </c>
      <c r="FJ13" s="354" t="str">
        <f t="shared" si="147"/>
        <v/>
      </c>
      <c r="FK13" s="354" t="str">
        <f t="shared" si="148"/>
        <v/>
      </c>
      <c r="FL13" s="354" t="str">
        <f t="shared" si="149"/>
        <v/>
      </c>
      <c r="FM13" s="354" t="str">
        <f t="shared" si="150"/>
        <v/>
      </c>
      <c r="FN13" s="354" t="str">
        <f t="shared" si="151"/>
        <v/>
      </c>
      <c r="FO13" s="354" t="str">
        <f t="shared" si="152"/>
        <v/>
      </c>
      <c r="FP13" s="354" t="str">
        <f t="shared" si="153"/>
        <v/>
      </c>
      <c r="FQ13" s="354" t="str">
        <f t="shared" si="154"/>
        <v/>
      </c>
      <c r="FR13" s="354" t="str">
        <f t="shared" si="155"/>
        <v/>
      </c>
      <c r="FS13" s="354" t="str">
        <f t="shared" si="156"/>
        <v/>
      </c>
      <c r="FT13" s="354" t="str">
        <f t="shared" si="157"/>
        <v/>
      </c>
      <c r="FU13" s="354" t="str">
        <f t="shared" si="158"/>
        <v/>
      </c>
      <c r="FV13" s="354" t="str">
        <f t="shared" si="159"/>
        <v/>
      </c>
      <c r="FW13" s="354" t="str">
        <f t="shared" si="160"/>
        <v/>
      </c>
      <c r="FX13" s="354" t="str">
        <f t="shared" si="161"/>
        <v/>
      </c>
      <c r="FY13" s="354" t="str">
        <f t="shared" si="162"/>
        <v/>
      </c>
      <c r="FZ13" s="354" t="str">
        <f t="shared" si="163"/>
        <v/>
      </c>
      <c r="GA13" s="354" t="str">
        <f t="shared" si="164"/>
        <v/>
      </c>
      <c r="GB13" s="354" t="str">
        <f t="shared" si="165"/>
        <v/>
      </c>
      <c r="GC13" s="354" t="str">
        <f t="shared" si="166"/>
        <v/>
      </c>
      <c r="GD13" s="354" t="str">
        <f t="shared" si="167"/>
        <v/>
      </c>
      <c r="GE13" s="354" t="str">
        <f t="shared" si="168"/>
        <v/>
      </c>
      <c r="GF13" s="354" t="str">
        <f t="shared" si="169"/>
        <v/>
      </c>
      <c r="GG13" s="354" t="str">
        <f t="shared" si="170"/>
        <v/>
      </c>
      <c r="GH13" s="354" t="str">
        <f t="shared" si="171"/>
        <v/>
      </c>
      <c r="GI13" s="354" t="str">
        <f t="shared" si="172"/>
        <v/>
      </c>
      <c r="GJ13" s="354" t="str">
        <f t="shared" si="173"/>
        <v/>
      </c>
      <c r="GK13" s="354" t="str">
        <f t="shared" si="174"/>
        <v/>
      </c>
      <c r="GL13" s="354" t="str">
        <f t="shared" si="175"/>
        <v/>
      </c>
      <c r="GM13" s="354" t="str">
        <f t="shared" si="176"/>
        <v/>
      </c>
      <c r="GN13" s="354" t="str">
        <f t="shared" si="177"/>
        <v/>
      </c>
      <c r="GO13" s="354" t="str">
        <f t="shared" si="178"/>
        <v/>
      </c>
      <c r="GP13" s="354" t="str">
        <f t="shared" si="179"/>
        <v/>
      </c>
      <c r="GQ13" s="354" t="str">
        <f t="shared" si="180"/>
        <v/>
      </c>
      <c r="GR13" s="354" t="str">
        <f t="shared" si="181"/>
        <v/>
      </c>
      <c r="GS13" s="354" t="str">
        <f t="shared" si="182"/>
        <v/>
      </c>
      <c r="GT13" s="354" t="str">
        <f t="shared" si="183"/>
        <v/>
      </c>
      <c r="GU13" s="354" t="str">
        <f t="shared" si="184"/>
        <v/>
      </c>
      <c r="GV13" s="354" t="str">
        <f t="shared" si="185"/>
        <v/>
      </c>
      <c r="GW13" s="354" t="str">
        <f t="shared" si="186"/>
        <v/>
      </c>
      <c r="GX13" s="354" t="str">
        <f t="shared" si="187"/>
        <v/>
      </c>
      <c r="GY13" s="354" t="str">
        <f t="shared" si="188"/>
        <v/>
      </c>
      <c r="GZ13" s="354" t="str">
        <f t="shared" si="189"/>
        <v/>
      </c>
      <c r="HA13" s="354" t="str">
        <f t="shared" si="190"/>
        <v/>
      </c>
      <c r="HB13" s="354" t="str">
        <f t="shared" si="191"/>
        <v/>
      </c>
      <c r="HC13" s="354" t="str">
        <f t="shared" si="192"/>
        <v/>
      </c>
      <c r="HD13" s="354" t="str">
        <f t="shared" si="193"/>
        <v/>
      </c>
      <c r="HE13" s="354" t="str">
        <f t="shared" si="194"/>
        <v/>
      </c>
      <c r="HF13" s="354" t="str">
        <f t="shared" si="195"/>
        <v/>
      </c>
      <c r="HG13" s="354" t="str">
        <f t="shared" si="196"/>
        <v/>
      </c>
      <c r="HH13" s="354" t="str">
        <f t="shared" si="197"/>
        <v/>
      </c>
      <c r="HI13" s="354" t="str">
        <f t="shared" si="198"/>
        <v/>
      </c>
      <c r="HJ13" s="354" t="str">
        <f t="shared" si="199"/>
        <v/>
      </c>
      <c r="HK13" s="354" t="str">
        <f t="shared" si="200"/>
        <v/>
      </c>
      <c r="HL13" s="354">
        <f t="shared" si="201"/>
        <v>22</v>
      </c>
      <c r="HM13" s="354" t="str">
        <f t="shared" si="202"/>
        <v/>
      </c>
      <c r="HN13" s="354" t="str">
        <f t="shared" si="203"/>
        <v/>
      </c>
      <c r="HO13" s="354" t="str">
        <f t="shared" si="204"/>
        <v/>
      </c>
      <c r="HP13" s="354" t="str">
        <f t="shared" si="205"/>
        <v/>
      </c>
      <c r="HQ13" s="354" t="str">
        <f t="shared" si="206"/>
        <v/>
      </c>
      <c r="HR13" s="354" t="str">
        <f t="shared" si="207"/>
        <v/>
      </c>
      <c r="HS13" s="354" t="str">
        <f t="shared" si="208"/>
        <v/>
      </c>
      <c r="HT13" s="354" t="str">
        <f t="shared" si="209"/>
        <v/>
      </c>
      <c r="HU13" s="354" t="str">
        <f t="shared" si="210"/>
        <v/>
      </c>
      <c r="HV13" s="354" t="str">
        <f t="shared" si="211"/>
        <v/>
      </c>
      <c r="HW13" s="354" t="str">
        <f t="shared" si="212"/>
        <v/>
      </c>
      <c r="HX13" s="354" t="str">
        <f t="shared" si="213"/>
        <v/>
      </c>
      <c r="HY13" s="354" t="str">
        <f t="shared" si="214"/>
        <v/>
      </c>
      <c r="HZ13" s="354" t="str">
        <f t="shared" si="215"/>
        <v/>
      </c>
      <c r="IA13" s="354" t="str">
        <f t="shared" si="216"/>
        <v/>
      </c>
      <c r="IB13" s="354" t="str">
        <f t="shared" si="217"/>
        <v/>
      </c>
      <c r="IC13" s="354" t="str">
        <f t="shared" si="218"/>
        <v/>
      </c>
      <c r="ID13" s="355" t="str">
        <f t="shared" si="219"/>
        <v/>
      </c>
      <c r="IE13" s="355" t="str">
        <f t="shared" si="220"/>
        <v/>
      </c>
      <c r="IF13" s="355" t="str">
        <f t="shared" si="221"/>
        <v/>
      </c>
      <c r="IG13" s="355" t="str">
        <f t="shared" si="222"/>
        <v/>
      </c>
      <c r="IH13" s="355" t="str">
        <f t="shared" si="223"/>
        <v/>
      </c>
      <c r="II13" s="344" t="str">
        <f t="shared" si="224"/>
        <v/>
      </c>
      <c r="IJ13" s="344" t="str">
        <f t="shared" si="225"/>
        <v/>
      </c>
      <c r="IK13" s="344" t="str">
        <f t="shared" si="226"/>
        <v/>
      </c>
      <c r="IL13" s="344" t="str">
        <f t="shared" si="227"/>
        <v/>
      </c>
      <c r="IM13" s="344" t="str">
        <f t="shared" si="228"/>
        <v/>
      </c>
      <c r="IN13" s="344" t="str">
        <f t="shared" si="229"/>
        <v/>
      </c>
      <c r="IO13" s="344" t="str">
        <f t="shared" si="230"/>
        <v/>
      </c>
      <c r="IP13" s="344" t="str">
        <f t="shared" si="231"/>
        <v/>
      </c>
      <c r="IQ13" s="344" t="str">
        <f t="shared" si="232"/>
        <v/>
      </c>
      <c r="IR13" s="344" t="str">
        <f t="shared" si="233"/>
        <v/>
      </c>
      <c r="IS13" s="344" t="str">
        <f t="shared" si="234"/>
        <v/>
      </c>
      <c r="IT13" s="344" t="str">
        <f t="shared" si="235"/>
        <v/>
      </c>
      <c r="IU13" s="344" t="str">
        <f t="shared" si="236"/>
        <v/>
      </c>
      <c r="IV13" s="344" t="str">
        <f t="shared" si="237"/>
        <v/>
      </c>
      <c r="IW13" s="344" t="str">
        <f t="shared" si="238"/>
        <v/>
      </c>
      <c r="IX13" s="344" t="str">
        <f t="shared" si="239"/>
        <v/>
      </c>
      <c r="IY13" s="344" t="str">
        <f t="shared" si="240"/>
        <v/>
      </c>
      <c r="IZ13" s="344" t="str">
        <f t="shared" si="241"/>
        <v/>
      </c>
      <c r="JA13" s="344" t="str">
        <f t="shared" si="242"/>
        <v/>
      </c>
      <c r="JB13" s="344" t="str">
        <f t="shared" si="243"/>
        <v/>
      </c>
      <c r="JC13" s="353">
        <f t="shared" si="244"/>
        <v>0</v>
      </c>
      <c r="JD13" s="353">
        <f t="shared" si="245"/>
        <v>0</v>
      </c>
      <c r="JE13" s="353">
        <f t="shared" si="246"/>
        <v>0</v>
      </c>
      <c r="JF13" s="353">
        <f t="shared" si="247"/>
        <v>0</v>
      </c>
      <c r="JG13" s="353">
        <f t="shared" si="248"/>
        <v>0</v>
      </c>
      <c r="JH13" s="353">
        <f t="shared" si="249"/>
        <v>0</v>
      </c>
      <c r="JI13" s="353">
        <f t="shared" si="250"/>
        <v>0</v>
      </c>
      <c r="JJ13" s="353">
        <f t="shared" si="251"/>
        <v>22</v>
      </c>
      <c r="JK13" s="353">
        <f t="shared" si="252"/>
        <v>0</v>
      </c>
      <c r="JL13" s="353">
        <f t="shared" si="253"/>
        <v>0</v>
      </c>
      <c r="JM13" s="353">
        <f t="shared" si="254"/>
        <v>0</v>
      </c>
      <c r="JN13" s="353">
        <f t="shared" si="255"/>
        <v>0</v>
      </c>
      <c r="JO13" s="353">
        <f t="shared" si="256"/>
        <v>0</v>
      </c>
      <c r="JP13" s="353">
        <f t="shared" si="257"/>
        <v>0</v>
      </c>
      <c r="JQ13" s="353">
        <f t="shared" si="258"/>
        <v>0</v>
      </c>
    </row>
    <row r="14" spans="1:296" ht="12" customHeight="1">
      <c r="A14" s="70" t="str">
        <f t="shared" si="0"/>
        <v/>
      </c>
      <c r="B14" s="2628" t="s">
        <v>1086</v>
      </c>
      <c r="C14" s="2629">
        <v>3</v>
      </c>
      <c r="D14" s="2630">
        <v>2</v>
      </c>
      <c r="E14" s="2631">
        <v>6</v>
      </c>
      <c r="F14" s="2631">
        <v>1222</v>
      </c>
      <c r="G14" s="2631">
        <v>906</v>
      </c>
      <c r="H14" s="2631">
        <v>846</v>
      </c>
      <c r="I14" s="2632">
        <f>IF(C14="",0,HLOOKUP(C14,'Part V-Utility Allowances'!$I$11:$M$21,11))</f>
        <v>161</v>
      </c>
      <c r="J14" s="2633"/>
      <c r="K14" s="488">
        <f t="shared" si="1"/>
        <v>685</v>
      </c>
      <c r="L14" s="488">
        <f t="shared" si="2"/>
        <v>4110</v>
      </c>
      <c r="M14" s="2634" t="s">
        <v>21</v>
      </c>
      <c r="N14" s="2634" t="s">
        <v>1087</v>
      </c>
      <c r="O14" s="2634" t="s">
        <v>112</v>
      </c>
      <c r="P14" s="2635" t="s">
        <v>21</v>
      </c>
      <c r="Q14" s="2636">
        <f t="shared" si="3"/>
        <v>33840</v>
      </c>
      <c r="R14" s="2637">
        <f>IF(H14="","",IF(C14="Efficiency",Q14/($O$6*VLOOKUP(0,'DCA Underwriting Assumptions'!$J$143:$K$148,2,FALSE)),Q14/($O$6*VLOOKUP(C14,'DCA Underwriting Assumptions'!$J$143:$K$148,2,FALSE))))</f>
        <v>0.4668358900783578</v>
      </c>
      <c r="S14" s="2638"/>
      <c r="T14" s="2639"/>
      <c r="U14" s="2594"/>
      <c r="V14" s="2595"/>
      <c r="W14" s="102" t="str">
        <f t="shared" si="4"/>
        <v/>
      </c>
      <c r="X14" s="102" t="str">
        <f t="shared" si="5"/>
        <v/>
      </c>
      <c r="Y14" s="102" t="str">
        <f t="shared" si="6"/>
        <v/>
      </c>
      <c r="Z14" s="102" t="str">
        <f t="shared" si="7"/>
        <v/>
      </c>
      <c r="AA14" s="102" t="str">
        <f t="shared" si="8"/>
        <v/>
      </c>
      <c r="AB14" s="102" t="str">
        <f t="shared" si="9"/>
        <v/>
      </c>
      <c r="AC14" s="102" t="str">
        <f t="shared" si="10"/>
        <v/>
      </c>
      <c r="AD14" s="102" t="str">
        <f t="shared" si="11"/>
        <v/>
      </c>
      <c r="AE14" s="102">
        <f t="shared" si="12"/>
        <v>6</v>
      </c>
      <c r="AF14" s="102" t="str">
        <f t="shared" si="13"/>
        <v/>
      </c>
      <c r="AG14" s="102" t="str">
        <f t="shared" si="14"/>
        <v/>
      </c>
      <c r="AH14" s="102" t="str">
        <f t="shared" si="15"/>
        <v/>
      </c>
      <c r="AI14" s="102" t="str">
        <f t="shared" si="16"/>
        <v/>
      </c>
      <c r="AJ14" s="102" t="str">
        <f t="shared" si="17"/>
        <v/>
      </c>
      <c r="AK14" s="102" t="str">
        <f t="shared" si="18"/>
        <v/>
      </c>
      <c r="AL14" s="102" t="str">
        <f t="shared" si="19"/>
        <v/>
      </c>
      <c r="AM14" s="102" t="str">
        <f t="shared" si="20"/>
        <v/>
      </c>
      <c r="AN14" s="102" t="str">
        <f t="shared" si="21"/>
        <v/>
      </c>
      <c r="AO14" s="102" t="str">
        <f t="shared" si="22"/>
        <v/>
      </c>
      <c r="AP14" s="102" t="str">
        <f t="shared" si="23"/>
        <v/>
      </c>
      <c r="AQ14" s="102" t="str">
        <f t="shared" si="24"/>
        <v/>
      </c>
      <c r="AR14" s="102" t="str">
        <f t="shared" si="25"/>
        <v/>
      </c>
      <c r="AS14" s="102" t="str">
        <f t="shared" si="26"/>
        <v/>
      </c>
      <c r="AT14" s="102" t="str">
        <f t="shared" si="27"/>
        <v/>
      </c>
      <c r="AU14" s="102" t="str">
        <f t="shared" si="28"/>
        <v/>
      </c>
      <c r="AV14" s="102" t="str">
        <f t="shared" si="29"/>
        <v/>
      </c>
      <c r="AW14" s="102" t="str">
        <f t="shared" si="30"/>
        <v/>
      </c>
      <c r="AX14" s="102" t="str">
        <f t="shared" si="31"/>
        <v/>
      </c>
      <c r="AY14" s="102" t="str">
        <f t="shared" si="32"/>
        <v/>
      </c>
      <c r="AZ14" s="102" t="str">
        <f t="shared" si="33"/>
        <v/>
      </c>
      <c r="BA14" s="102" t="str">
        <f t="shared" si="34"/>
        <v/>
      </c>
      <c r="BB14" s="102" t="str">
        <f t="shared" si="35"/>
        <v/>
      </c>
      <c r="BC14" s="102" t="str">
        <f t="shared" si="36"/>
        <v/>
      </c>
      <c r="BD14" s="102" t="str">
        <f t="shared" si="37"/>
        <v/>
      </c>
      <c r="BE14" s="102" t="str">
        <f t="shared" si="38"/>
        <v/>
      </c>
      <c r="BF14" s="102" t="str">
        <f t="shared" si="39"/>
        <v/>
      </c>
      <c r="BG14" s="102" t="str">
        <f t="shared" si="40"/>
        <v/>
      </c>
      <c r="BH14" s="102" t="str">
        <f t="shared" si="41"/>
        <v/>
      </c>
      <c r="BI14" s="102" t="str">
        <f t="shared" si="42"/>
        <v/>
      </c>
      <c r="BJ14" s="102" t="str">
        <f t="shared" si="43"/>
        <v/>
      </c>
      <c r="BK14" s="102" t="str">
        <f t="shared" si="44"/>
        <v/>
      </c>
      <c r="BL14" s="102" t="str">
        <f t="shared" si="45"/>
        <v/>
      </c>
      <c r="BM14" s="102" t="str">
        <f t="shared" si="46"/>
        <v/>
      </c>
      <c r="BN14" s="102" t="str">
        <f t="shared" si="47"/>
        <v/>
      </c>
      <c r="BO14" s="102" t="str">
        <f t="shared" si="48"/>
        <v/>
      </c>
      <c r="BP14" s="102" t="str">
        <f t="shared" si="49"/>
        <v/>
      </c>
      <c r="BQ14" s="102" t="str">
        <f t="shared" si="50"/>
        <v/>
      </c>
      <c r="BR14" s="102" t="str">
        <f t="shared" si="51"/>
        <v/>
      </c>
      <c r="BS14" s="102" t="str">
        <f t="shared" si="52"/>
        <v/>
      </c>
      <c r="BT14" s="102" t="str">
        <f t="shared" si="53"/>
        <v/>
      </c>
      <c r="BU14" s="102" t="str">
        <f t="shared" si="54"/>
        <v/>
      </c>
      <c r="BV14" s="102" t="str">
        <f t="shared" si="55"/>
        <v/>
      </c>
      <c r="BW14" s="102" t="str">
        <f t="shared" si="56"/>
        <v/>
      </c>
      <c r="BX14" s="102" t="str">
        <f t="shared" si="57"/>
        <v/>
      </c>
      <c r="BY14" s="102" t="str">
        <f t="shared" si="58"/>
        <v/>
      </c>
      <c r="BZ14" s="102" t="str">
        <f t="shared" si="59"/>
        <v/>
      </c>
      <c r="CA14" s="102" t="str">
        <f t="shared" si="60"/>
        <v/>
      </c>
      <c r="CB14" s="102" t="str">
        <f t="shared" si="61"/>
        <v/>
      </c>
      <c r="CC14" s="102" t="str">
        <f t="shared" si="62"/>
        <v/>
      </c>
      <c r="CD14" s="102" t="str">
        <f t="shared" si="63"/>
        <v/>
      </c>
      <c r="CE14" s="102" t="str">
        <f t="shared" si="64"/>
        <v/>
      </c>
      <c r="CF14" s="102" t="str">
        <f t="shared" si="65"/>
        <v/>
      </c>
      <c r="CG14" s="102" t="str">
        <f t="shared" si="66"/>
        <v/>
      </c>
      <c r="CH14" s="102">
        <f t="shared" si="67"/>
        <v>7332</v>
      </c>
      <c r="CI14" s="102" t="str">
        <f t="shared" si="68"/>
        <v/>
      </c>
      <c r="CJ14" s="102" t="str">
        <f t="shared" si="69"/>
        <v/>
      </c>
      <c r="CK14" s="102" t="str">
        <f t="shared" si="70"/>
        <v/>
      </c>
      <c r="CL14" s="102" t="str">
        <f t="shared" si="71"/>
        <v/>
      </c>
      <c r="CM14" s="102" t="str">
        <f t="shared" si="72"/>
        <v/>
      </c>
      <c r="CN14" s="102" t="str">
        <f t="shared" si="73"/>
        <v/>
      </c>
      <c r="CO14" s="102" t="str">
        <f t="shared" si="74"/>
        <v/>
      </c>
      <c r="CP14" s="102" t="str">
        <f t="shared" si="75"/>
        <v/>
      </c>
      <c r="CQ14" s="102" t="str">
        <f t="shared" si="76"/>
        <v/>
      </c>
      <c r="CR14" s="102" t="str">
        <f t="shared" si="77"/>
        <v/>
      </c>
      <c r="CS14" s="102" t="str">
        <f t="shared" si="78"/>
        <v/>
      </c>
      <c r="CT14" s="102" t="str">
        <f t="shared" si="79"/>
        <v/>
      </c>
      <c r="CU14" s="102" t="str">
        <f t="shared" si="80"/>
        <v/>
      </c>
      <c r="CV14" s="102" t="str">
        <f t="shared" si="81"/>
        <v/>
      </c>
      <c r="CW14" s="102" t="str">
        <f t="shared" si="82"/>
        <v/>
      </c>
      <c r="CX14" s="102" t="str">
        <f t="shared" si="83"/>
        <v/>
      </c>
      <c r="CY14" s="102" t="str">
        <f t="shared" si="84"/>
        <v/>
      </c>
      <c r="CZ14" s="102" t="str">
        <f t="shared" si="85"/>
        <v/>
      </c>
      <c r="DA14" s="102" t="str">
        <f t="shared" si="86"/>
        <v/>
      </c>
      <c r="DB14" s="102" t="str">
        <f t="shared" si="87"/>
        <v/>
      </c>
      <c r="DC14" s="102" t="str">
        <f t="shared" si="88"/>
        <v/>
      </c>
      <c r="DD14" s="102" t="str">
        <f t="shared" si="89"/>
        <v/>
      </c>
      <c r="DE14" s="102" t="str">
        <f t="shared" si="90"/>
        <v/>
      </c>
      <c r="DF14" s="102" t="str">
        <f t="shared" si="91"/>
        <v/>
      </c>
      <c r="DG14" s="102">
        <f t="shared" si="92"/>
        <v>6</v>
      </c>
      <c r="DH14" s="102" t="str">
        <f t="shared" si="93"/>
        <v/>
      </c>
      <c r="DI14" s="102" t="str">
        <f t="shared" si="94"/>
        <v/>
      </c>
      <c r="DJ14" s="102" t="str">
        <f t="shared" si="95"/>
        <v/>
      </c>
      <c r="DK14" s="102" t="str">
        <f t="shared" si="96"/>
        <v/>
      </c>
      <c r="DL14" s="102" t="str">
        <f t="shared" si="97"/>
        <v/>
      </c>
      <c r="DM14" s="102" t="str">
        <f t="shared" si="98"/>
        <v/>
      </c>
      <c r="DN14" s="102" t="str">
        <f t="shared" si="99"/>
        <v/>
      </c>
      <c r="DO14" s="102" t="str">
        <f t="shared" si="100"/>
        <v/>
      </c>
      <c r="DP14" s="102" t="str">
        <f t="shared" si="101"/>
        <v/>
      </c>
      <c r="DQ14" s="102" t="str">
        <f t="shared" si="102"/>
        <v/>
      </c>
      <c r="DR14" s="102" t="str">
        <f t="shared" si="103"/>
        <v/>
      </c>
      <c r="DS14" s="102" t="str">
        <f t="shared" si="104"/>
        <v/>
      </c>
      <c r="DT14" s="102" t="str">
        <f t="shared" si="105"/>
        <v/>
      </c>
      <c r="DU14" s="102" t="str">
        <f t="shared" si="106"/>
        <v/>
      </c>
      <c r="DV14" s="102" t="str">
        <f t="shared" si="107"/>
        <v/>
      </c>
      <c r="DW14" s="102" t="str">
        <f t="shared" si="108"/>
        <v/>
      </c>
      <c r="DX14" s="102" t="str">
        <f t="shared" si="109"/>
        <v/>
      </c>
      <c r="DY14" s="102" t="str">
        <f t="shared" si="110"/>
        <v/>
      </c>
      <c r="DZ14" s="102" t="str">
        <f t="shared" si="111"/>
        <v/>
      </c>
      <c r="EA14" s="102" t="str">
        <f t="shared" si="112"/>
        <v/>
      </c>
      <c r="EB14" s="102" t="str">
        <f t="shared" si="113"/>
        <v/>
      </c>
      <c r="EC14" s="102" t="str">
        <f t="shared" si="114"/>
        <v/>
      </c>
      <c r="ED14" s="102" t="str">
        <f t="shared" si="115"/>
        <v/>
      </c>
      <c r="EE14" s="102" t="str">
        <f t="shared" si="116"/>
        <v/>
      </c>
      <c r="EF14" s="102" t="str">
        <f t="shared" si="117"/>
        <v/>
      </c>
      <c r="EG14" s="102" t="str">
        <f t="shared" si="118"/>
        <v/>
      </c>
      <c r="EH14" s="102" t="str">
        <f t="shared" si="119"/>
        <v/>
      </c>
      <c r="EI14" s="102" t="str">
        <f t="shared" si="120"/>
        <v/>
      </c>
      <c r="EJ14" s="102" t="str">
        <f t="shared" si="121"/>
        <v/>
      </c>
      <c r="EK14" s="102" t="str">
        <f t="shared" si="122"/>
        <v/>
      </c>
      <c r="EL14" s="102" t="str">
        <f t="shared" si="123"/>
        <v/>
      </c>
      <c r="EM14" s="102" t="str">
        <f t="shared" si="124"/>
        <v/>
      </c>
      <c r="EN14" s="102" t="str">
        <f t="shared" si="125"/>
        <v/>
      </c>
      <c r="EO14" s="102" t="str">
        <f t="shared" si="126"/>
        <v/>
      </c>
      <c r="EP14" s="102" t="str">
        <f t="shared" si="127"/>
        <v/>
      </c>
      <c r="EQ14" s="102" t="str">
        <f t="shared" si="128"/>
        <v/>
      </c>
      <c r="ER14" s="102" t="str">
        <f t="shared" si="129"/>
        <v/>
      </c>
      <c r="ES14" s="102" t="str">
        <f t="shared" si="130"/>
        <v/>
      </c>
      <c r="ET14" s="102" t="str">
        <f t="shared" si="131"/>
        <v/>
      </c>
      <c r="EU14" s="102" t="str">
        <f t="shared" si="132"/>
        <v/>
      </c>
      <c r="EV14" s="102" t="str">
        <f t="shared" si="133"/>
        <v/>
      </c>
      <c r="EW14" s="792" t="str">
        <f t="shared" si="134"/>
        <v/>
      </c>
      <c r="EX14" s="354" t="str">
        <f t="shared" si="135"/>
        <v/>
      </c>
      <c r="EY14" s="354" t="str">
        <f t="shared" si="136"/>
        <v/>
      </c>
      <c r="EZ14" s="354">
        <f t="shared" si="137"/>
        <v>6</v>
      </c>
      <c r="FA14" s="354" t="str">
        <f t="shared" si="138"/>
        <v/>
      </c>
      <c r="FB14" s="354" t="str">
        <f t="shared" si="139"/>
        <v/>
      </c>
      <c r="FC14" s="354" t="str">
        <f t="shared" si="140"/>
        <v/>
      </c>
      <c r="FD14" s="354" t="str">
        <f t="shared" si="141"/>
        <v/>
      </c>
      <c r="FE14" s="354" t="str">
        <f t="shared" si="142"/>
        <v/>
      </c>
      <c r="FF14" s="354" t="str">
        <f t="shared" si="143"/>
        <v/>
      </c>
      <c r="FG14" s="354" t="str">
        <f t="shared" si="144"/>
        <v/>
      </c>
      <c r="FH14" s="354" t="str">
        <f t="shared" si="145"/>
        <v/>
      </c>
      <c r="FI14" s="354" t="str">
        <f t="shared" si="146"/>
        <v/>
      </c>
      <c r="FJ14" s="354" t="str">
        <f t="shared" si="147"/>
        <v/>
      </c>
      <c r="FK14" s="354" t="str">
        <f t="shared" si="148"/>
        <v/>
      </c>
      <c r="FL14" s="354" t="str">
        <f t="shared" si="149"/>
        <v/>
      </c>
      <c r="FM14" s="354" t="str">
        <f t="shared" si="150"/>
        <v/>
      </c>
      <c r="FN14" s="354" t="str">
        <f t="shared" si="151"/>
        <v/>
      </c>
      <c r="FO14" s="354" t="str">
        <f t="shared" si="152"/>
        <v/>
      </c>
      <c r="FP14" s="354" t="str">
        <f t="shared" si="153"/>
        <v/>
      </c>
      <c r="FQ14" s="354" t="str">
        <f t="shared" si="154"/>
        <v/>
      </c>
      <c r="FR14" s="354" t="str">
        <f t="shared" si="155"/>
        <v/>
      </c>
      <c r="FS14" s="354" t="str">
        <f t="shared" si="156"/>
        <v/>
      </c>
      <c r="FT14" s="354" t="str">
        <f t="shared" si="157"/>
        <v/>
      </c>
      <c r="FU14" s="354" t="str">
        <f t="shared" si="158"/>
        <v/>
      </c>
      <c r="FV14" s="354" t="str">
        <f t="shared" si="159"/>
        <v/>
      </c>
      <c r="FW14" s="354" t="str">
        <f t="shared" si="160"/>
        <v/>
      </c>
      <c r="FX14" s="354" t="str">
        <f t="shared" si="161"/>
        <v/>
      </c>
      <c r="FY14" s="354" t="str">
        <f t="shared" si="162"/>
        <v/>
      </c>
      <c r="FZ14" s="354" t="str">
        <f t="shared" si="163"/>
        <v/>
      </c>
      <c r="GA14" s="354" t="str">
        <f t="shared" si="164"/>
        <v/>
      </c>
      <c r="GB14" s="354" t="str">
        <f t="shared" si="165"/>
        <v/>
      </c>
      <c r="GC14" s="354" t="str">
        <f t="shared" si="166"/>
        <v/>
      </c>
      <c r="GD14" s="354" t="str">
        <f t="shared" si="167"/>
        <v/>
      </c>
      <c r="GE14" s="354" t="str">
        <f t="shared" si="168"/>
        <v/>
      </c>
      <c r="GF14" s="354" t="str">
        <f t="shared" si="169"/>
        <v/>
      </c>
      <c r="GG14" s="354" t="str">
        <f t="shared" si="170"/>
        <v/>
      </c>
      <c r="GH14" s="354" t="str">
        <f t="shared" si="171"/>
        <v/>
      </c>
      <c r="GI14" s="354" t="str">
        <f t="shared" si="172"/>
        <v/>
      </c>
      <c r="GJ14" s="354" t="str">
        <f t="shared" si="173"/>
        <v/>
      </c>
      <c r="GK14" s="354" t="str">
        <f t="shared" si="174"/>
        <v/>
      </c>
      <c r="GL14" s="354" t="str">
        <f t="shared" si="175"/>
        <v/>
      </c>
      <c r="GM14" s="354" t="str">
        <f t="shared" si="176"/>
        <v/>
      </c>
      <c r="GN14" s="354" t="str">
        <f t="shared" si="177"/>
        <v/>
      </c>
      <c r="GO14" s="354" t="str">
        <f t="shared" si="178"/>
        <v/>
      </c>
      <c r="GP14" s="354" t="str">
        <f t="shared" si="179"/>
        <v/>
      </c>
      <c r="GQ14" s="354" t="str">
        <f t="shared" si="180"/>
        <v/>
      </c>
      <c r="GR14" s="354" t="str">
        <f t="shared" si="181"/>
        <v/>
      </c>
      <c r="GS14" s="354" t="str">
        <f t="shared" si="182"/>
        <v/>
      </c>
      <c r="GT14" s="354" t="str">
        <f t="shared" si="183"/>
        <v/>
      </c>
      <c r="GU14" s="354" t="str">
        <f t="shared" si="184"/>
        <v/>
      </c>
      <c r="GV14" s="354" t="str">
        <f t="shared" si="185"/>
        <v/>
      </c>
      <c r="GW14" s="354" t="str">
        <f t="shared" si="186"/>
        <v/>
      </c>
      <c r="GX14" s="354" t="str">
        <f t="shared" si="187"/>
        <v/>
      </c>
      <c r="GY14" s="354" t="str">
        <f t="shared" si="188"/>
        <v/>
      </c>
      <c r="GZ14" s="354" t="str">
        <f t="shared" si="189"/>
        <v/>
      </c>
      <c r="HA14" s="354" t="str">
        <f t="shared" si="190"/>
        <v/>
      </c>
      <c r="HB14" s="354" t="str">
        <f t="shared" si="191"/>
        <v/>
      </c>
      <c r="HC14" s="354" t="str">
        <f t="shared" si="192"/>
        <v/>
      </c>
      <c r="HD14" s="354" t="str">
        <f t="shared" si="193"/>
        <v/>
      </c>
      <c r="HE14" s="354" t="str">
        <f t="shared" si="194"/>
        <v/>
      </c>
      <c r="HF14" s="354" t="str">
        <f t="shared" si="195"/>
        <v/>
      </c>
      <c r="HG14" s="354" t="str">
        <f t="shared" si="196"/>
        <v/>
      </c>
      <c r="HH14" s="354" t="str">
        <f t="shared" si="197"/>
        <v/>
      </c>
      <c r="HI14" s="354" t="str">
        <f t="shared" si="198"/>
        <v/>
      </c>
      <c r="HJ14" s="354" t="str">
        <f t="shared" si="199"/>
        <v/>
      </c>
      <c r="HK14" s="354" t="str">
        <f t="shared" si="200"/>
        <v/>
      </c>
      <c r="HL14" s="354" t="str">
        <f t="shared" si="201"/>
        <v/>
      </c>
      <c r="HM14" s="354">
        <f t="shared" si="202"/>
        <v>6</v>
      </c>
      <c r="HN14" s="354" t="str">
        <f t="shared" si="203"/>
        <v/>
      </c>
      <c r="HO14" s="354" t="str">
        <f t="shared" si="204"/>
        <v/>
      </c>
      <c r="HP14" s="354" t="str">
        <f t="shared" si="205"/>
        <v/>
      </c>
      <c r="HQ14" s="354" t="str">
        <f t="shared" si="206"/>
        <v/>
      </c>
      <c r="HR14" s="354" t="str">
        <f t="shared" si="207"/>
        <v/>
      </c>
      <c r="HS14" s="354" t="str">
        <f t="shared" si="208"/>
        <v/>
      </c>
      <c r="HT14" s="354" t="str">
        <f t="shared" si="209"/>
        <v/>
      </c>
      <c r="HU14" s="354" t="str">
        <f t="shared" si="210"/>
        <v/>
      </c>
      <c r="HV14" s="354" t="str">
        <f t="shared" si="211"/>
        <v/>
      </c>
      <c r="HW14" s="354" t="str">
        <f t="shared" si="212"/>
        <v/>
      </c>
      <c r="HX14" s="354" t="str">
        <f t="shared" si="213"/>
        <v/>
      </c>
      <c r="HY14" s="354" t="str">
        <f t="shared" si="214"/>
        <v/>
      </c>
      <c r="HZ14" s="354" t="str">
        <f t="shared" si="215"/>
        <v/>
      </c>
      <c r="IA14" s="354" t="str">
        <f t="shared" si="216"/>
        <v/>
      </c>
      <c r="IB14" s="354" t="str">
        <f t="shared" si="217"/>
        <v/>
      </c>
      <c r="IC14" s="354" t="str">
        <f t="shared" si="218"/>
        <v/>
      </c>
      <c r="ID14" s="355" t="str">
        <f t="shared" si="219"/>
        <v/>
      </c>
      <c r="IE14" s="355" t="str">
        <f t="shared" si="220"/>
        <v/>
      </c>
      <c r="IF14" s="355" t="str">
        <f t="shared" si="221"/>
        <v/>
      </c>
      <c r="IG14" s="355" t="str">
        <f t="shared" si="222"/>
        <v/>
      </c>
      <c r="IH14" s="355" t="str">
        <f t="shared" si="223"/>
        <v/>
      </c>
      <c r="II14" s="344" t="str">
        <f t="shared" si="224"/>
        <v/>
      </c>
      <c r="IJ14" s="344" t="str">
        <f t="shared" si="225"/>
        <v/>
      </c>
      <c r="IK14" s="344" t="str">
        <f t="shared" si="226"/>
        <v/>
      </c>
      <c r="IL14" s="344" t="str">
        <f t="shared" si="227"/>
        <v/>
      </c>
      <c r="IM14" s="344" t="str">
        <f t="shared" si="228"/>
        <v/>
      </c>
      <c r="IN14" s="344" t="str">
        <f t="shared" si="229"/>
        <v/>
      </c>
      <c r="IO14" s="344" t="str">
        <f t="shared" si="230"/>
        <v/>
      </c>
      <c r="IP14" s="344" t="str">
        <f t="shared" si="231"/>
        <v/>
      </c>
      <c r="IQ14" s="344" t="str">
        <f t="shared" si="232"/>
        <v/>
      </c>
      <c r="IR14" s="344" t="str">
        <f t="shared" si="233"/>
        <v/>
      </c>
      <c r="IS14" s="344" t="str">
        <f t="shared" si="234"/>
        <v/>
      </c>
      <c r="IT14" s="344" t="str">
        <f t="shared" si="235"/>
        <v/>
      </c>
      <c r="IU14" s="344" t="str">
        <f t="shared" si="236"/>
        <v/>
      </c>
      <c r="IV14" s="344" t="str">
        <f t="shared" si="237"/>
        <v/>
      </c>
      <c r="IW14" s="344" t="str">
        <f t="shared" si="238"/>
        <v/>
      </c>
      <c r="IX14" s="344" t="str">
        <f t="shared" si="239"/>
        <v/>
      </c>
      <c r="IY14" s="344" t="str">
        <f t="shared" si="240"/>
        <v/>
      </c>
      <c r="IZ14" s="344" t="str">
        <f t="shared" si="241"/>
        <v/>
      </c>
      <c r="JA14" s="344" t="str">
        <f t="shared" si="242"/>
        <v/>
      </c>
      <c r="JB14" s="344" t="str">
        <f t="shared" si="243"/>
        <v/>
      </c>
      <c r="JC14" s="353">
        <f t="shared" si="244"/>
        <v>0</v>
      </c>
      <c r="JD14" s="353">
        <f t="shared" si="245"/>
        <v>0</v>
      </c>
      <c r="JE14" s="353">
        <f t="shared" si="246"/>
        <v>0</v>
      </c>
      <c r="JF14" s="353">
        <f t="shared" si="247"/>
        <v>0</v>
      </c>
      <c r="JG14" s="353">
        <f t="shared" si="248"/>
        <v>0</v>
      </c>
      <c r="JH14" s="353">
        <f t="shared" si="249"/>
        <v>0</v>
      </c>
      <c r="JI14" s="353">
        <f t="shared" si="250"/>
        <v>0</v>
      </c>
      <c r="JJ14" s="353">
        <f t="shared" si="251"/>
        <v>0</v>
      </c>
      <c r="JK14" s="353">
        <f t="shared" si="252"/>
        <v>6</v>
      </c>
      <c r="JL14" s="353">
        <f t="shared" si="253"/>
        <v>0</v>
      </c>
      <c r="JM14" s="353">
        <f t="shared" si="254"/>
        <v>0</v>
      </c>
      <c r="JN14" s="353">
        <f t="shared" si="255"/>
        <v>0</v>
      </c>
      <c r="JO14" s="353">
        <f t="shared" si="256"/>
        <v>0</v>
      </c>
      <c r="JP14" s="353">
        <f t="shared" si="257"/>
        <v>0</v>
      </c>
      <c r="JQ14" s="353">
        <f t="shared" si="258"/>
        <v>0</v>
      </c>
    </row>
    <row r="15" spans="1:296" ht="12" customHeight="1">
      <c r="A15" s="70" t="str">
        <f t="shared" si="0"/>
        <v/>
      </c>
      <c r="B15" s="2628" t="s">
        <v>1088</v>
      </c>
      <c r="C15" s="2629">
        <v>3</v>
      </c>
      <c r="D15" s="2630">
        <v>2</v>
      </c>
      <c r="E15" s="2631">
        <v>17</v>
      </c>
      <c r="F15" s="2631">
        <v>1222</v>
      </c>
      <c r="G15" s="2631">
        <v>1087</v>
      </c>
      <c r="H15" s="2631">
        <v>1027</v>
      </c>
      <c r="I15" s="2632">
        <f>IF(C15="",0,HLOOKUP(C15,'Part V-Utility Allowances'!$I$11:$M$21,11))</f>
        <v>161</v>
      </c>
      <c r="J15" s="2633"/>
      <c r="K15" s="488">
        <f t="shared" si="1"/>
        <v>866</v>
      </c>
      <c r="L15" s="488">
        <f t="shared" si="2"/>
        <v>14722</v>
      </c>
      <c r="M15" s="2634" t="s">
        <v>21</v>
      </c>
      <c r="N15" s="2634" t="s">
        <v>1087</v>
      </c>
      <c r="O15" s="2634" t="s">
        <v>112</v>
      </c>
      <c r="P15" s="2635" t="s">
        <v>21</v>
      </c>
      <c r="Q15" s="2636">
        <f t="shared" si="3"/>
        <v>41080</v>
      </c>
      <c r="R15" s="2637">
        <f>IF(H15="","",IF(C15="Efficiency",Q15/($O$6*VLOOKUP(0,'DCA Underwriting Assumptions'!$J$143:$K$148,2,FALSE)),Q15/($O$6*VLOOKUP(C15,'DCA Underwriting Assumptions'!$J$143:$K$148,2,FALSE))))</f>
        <v>0.56671449067431856</v>
      </c>
      <c r="S15" s="2638"/>
      <c r="T15" s="2639"/>
      <c r="U15" s="2594"/>
      <c r="V15" s="2595"/>
      <c r="W15" s="102" t="str">
        <f t="shared" si="4"/>
        <v/>
      </c>
      <c r="X15" s="102" t="str">
        <f t="shared" si="5"/>
        <v/>
      </c>
      <c r="Y15" s="102" t="str">
        <f t="shared" si="6"/>
        <v/>
      </c>
      <c r="Z15" s="102">
        <f t="shared" si="7"/>
        <v>17</v>
      </c>
      <c r="AA15" s="102" t="str">
        <f t="shared" si="8"/>
        <v/>
      </c>
      <c r="AB15" s="102" t="str">
        <f t="shared" si="9"/>
        <v/>
      </c>
      <c r="AC15" s="102" t="str">
        <f t="shared" si="10"/>
        <v/>
      </c>
      <c r="AD15" s="102" t="str">
        <f t="shared" si="11"/>
        <v/>
      </c>
      <c r="AE15" s="102" t="str">
        <f t="shared" si="12"/>
        <v/>
      </c>
      <c r="AF15" s="102" t="str">
        <f t="shared" si="13"/>
        <v/>
      </c>
      <c r="AG15" s="102" t="str">
        <f t="shared" si="14"/>
        <v/>
      </c>
      <c r="AH15" s="102" t="str">
        <f t="shared" si="15"/>
        <v/>
      </c>
      <c r="AI15" s="102" t="str">
        <f t="shared" si="16"/>
        <v/>
      </c>
      <c r="AJ15" s="102" t="str">
        <f t="shared" si="17"/>
        <v/>
      </c>
      <c r="AK15" s="102" t="str">
        <f t="shared" si="18"/>
        <v/>
      </c>
      <c r="AL15" s="102" t="str">
        <f t="shared" si="19"/>
        <v/>
      </c>
      <c r="AM15" s="102" t="str">
        <f t="shared" si="20"/>
        <v/>
      </c>
      <c r="AN15" s="102" t="str">
        <f t="shared" si="21"/>
        <v/>
      </c>
      <c r="AO15" s="102" t="str">
        <f t="shared" si="22"/>
        <v/>
      </c>
      <c r="AP15" s="102" t="str">
        <f t="shared" si="23"/>
        <v/>
      </c>
      <c r="AQ15" s="102" t="str">
        <f t="shared" si="24"/>
        <v/>
      </c>
      <c r="AR15" s="102" t="str">
        <f t="shared" si="25"/>
        <v/>
      </c>
      <c r="AS15" s="102" t="str">
        <f t="shared" si="26"/>
        <v/>
      </c>
      <c r="AT15" s="102" t="str">
        <f t="shared" si="27"/>
        <v/>
      </c>
      <c r="AU15" s="102" t="str">
        <f t="shared" si="28"/>
        <v/>
      </c>
      <c r="AV15" s="102" t="str">
        <f t="shared" si="29"/>
        <v/>
      </c>
      <c r="AW15" s="102" t="str">
        <f t="shared" si="30"/>
        <v/>
      </c>
      <c r="AX15" s="102" t="str">
        <f t="shared" si="31"/>
        <v/>
      </c>
      <c r="AY15" s="102" t="str">
        <f t="shared" si="32"/>
        <v/>
      </c>
      <c r="AZ15" s="102" t="str">
        <f t="shared" si="33"/>
        <v/>
      </c>
      <c r="BA15" s="102" t="str">
        <f t="shared" si="34"/>
        <v/>
      </c>
      <c r="BB15" s="102" t="str">
        <f t="shared" si="35"/>
        <v/>
      </c>
      <c r="BC15" s="102" t="str">
        <f t="shared" si="36"/>
        <v/>
      </c>
      <c r="BD15" s="102" t="str">
        <f t="shared" si="37"/>
        <v/>
      </c>
      <c r="BE15" s="102" t="str">
        <f t="shared" si="38"/>
        <v/>
      </c>
      <c r="BF15" s="102" t="str">
        <f t="shared" si="39"/>
        <v/>
      </c>
      <c r="BG15" s="102" t="str">
        <f t="shared" si="40"/>
        <v/>
      </c>
      <c r="BH15" s="102" t="str">
        <f t="shared" si="41"/>
        <v/>
      </c>
      <c r="BI15" s="102" t="str">
        <f t="shared" si="42"/>
        <v/>
      </c>
      <c r="BJ15" s="102" t="str">
        <f t="shared" si="43"/>
        <v/>
      </c>
      <c r="BK15" s="102" t="str">
        <f t="shared" si="44"/>
        <v/>
      </c>
      <c r="BL15" s="102" t="str">
        <f t="shared" si="45"/>
        <v/>
      </c>
      <c r="BM15" s="102" t="str">
        <f t="shared" si="46"/>
        <v/>
      </c>
      <c r="BN15" s="102" t="str">
        <f t="shared" si="47"/>
        <v/>
      </c>
      <c r="BO15" s="102" t="str">
        <f t="shared" si="48"/>
        <v/>
      </c>
      <c r="BP15" s="102" t="str">
        <f t="shared" si="49"/>
        <v/>
      </c>
      <c r="BQ15" s="102" t="str">
        <f t="shared" si="50"/>
        <v/>
      </c>
      <c r="BR15" s="102" t="str">
        <f t="shared" si="51"/>
        <v/>
      </c>
      <c r="BS15" s="102" t="str">
        <f t="shared" si="52"/>
        <v/>
      </c>
      <c r="BT15" s="102" t="str">
        <f t="shared" si="53"/>
        <v/>
      </c>
      <c r="BU15" s="102" t="str">
        <f t="shared" si="54"/>
        <v/>
      </c>
      <c r="BV15" s="102" t="str">
        <f t="shared" si="55"/>
        <v/>
      </c>
      <c r="BW15" s="102" t="str">
        <f t="shared" si="56"/>
        <v/>
      </c>
      <c r="BX15" s="102" t="str">
        <f t="shared" si="57"/>
        <v/>
      </c>
      <c r="BY15" s="102" t="str">
        <f t="shared" si="58"/>
        <v/>
      </c>
      <c r="BZ15" s="102" t="str">
        <f t="shared" si="59"/>
        <v/>
      </c>
      <c r="CA15" s="102" t="str">
        <f t="shared" si="60"/>
        <v/>
      </c>
      <c r="CB15" s="102" t="str">
        <f t="shared" si="61"/>
        <v/>
      </c>
      <c r="CC15" s="102">
        <f t="shared" si="62"/>
        <v>20774</v>
      </c>
      <c r="CD15" s="102" t="str">
        <f t="shared" si="63"/>
        <v/>
      </c>
      <c r="CE15" s="102" t="str">
        <f t="shared" si="64"/>
        <v/>
      </c>
      <c r="CF15" s="102" t="str">
        <f t="shared" si="65"/>
        <v/>
      </c>
      <c r="CG15" s="102" t="str">
        <f t="shared" si="66"/>
        <v/>
      </c>
      <c r="CH15" s="102" t="str">
        <f t="shared" si="67"/>
        <v/>
      </c>
      <c r="CI15" s="102" t="str">
        <f t="shared" si="68"/>
        <v/>
      </c>
      <c r="CJ15" s="102" t="str">
        <f t="shared" si="69"/>
        <v/>
      </c>
      <c r="CK15" s="102" t="str">
        <f t="shared" si="70"/>
        <v/>
      </c>
      <c r="CL15" s="102" t="str">
        <f t="shared" si="71"/>
        <v/>
      </c>
      <c r="CM15" s="102" t="str">
        <f t="shared" si="72"/>
        <v/>
      </c>
      <c r="CN15" s="102" t="str">
        <f t="shared" si="73"/>
        <v/>
      </c>
      <c r="CO15" s="102" t="str">
        <f t="shared" si="74"/>
        <v/>
      </c>
      <c r="CP15" s="102" t="str">
        <f t="shared" si="75"/>
        <v/>
      </c>
      <c r="CQ15" s="102" t="str">
        <f t="shared" si="76"/>
        <v/>
      </c>
      <c r="CR15" s="102" t="str">
        <f t="shared" si="77"/>
        <v/>
      </c>
      <c r="CS15" s="102" t="str">
        <f t="shared" si="78"/>
        <v/>
      </c>
      <c r="CT15" s="102" t="str">
        <f t="shared" si="79"/>
        <v/>
      </c>
      <c r="CU15" s="102" t="str">
        <f t="shared" si="80"/>
        <v/>
      </c>
      <c r="CV15" s="102" t="str">
        <f t="shared" si="81"/>
        <v/>
      </c>
      <c r="CW15" s="102" t="str">
        <f t="shared" si="82"/>
        <v/>
      </c>
      <c r="CX15" s="102" t="str">
        <f t="shared" si="83"/>
        <v/>
      </c>
      <c r="CY15" s="102" t="str">
        <f t="shared" si="84"/>
        <v/>
      </c>
      <c r="CZ15" s="102" t="str">
        <f t="shared" si="85"/>
        <v/>
      </c>
      <c r="DA15" s="102" t="str">
        <f t="shared" si="86"/>
        <v/>
      </c>
      <c r="DB15" s="102" t="str">
        <f t="shared" si="87"/>
        <v/>
      </c>
      <c r="DC15" s="102" t="str">
        <f t="shared" si="88"/>
        <v/>
      </c>
      <c r="DD15" s="102" t="str">
        <f t="shared" si="89"/>
        <v/>
      </c>
      <c r="DE15" s="102" t="str">
        <f t="shared" si="90"/>
        <v/>
      </c>
      <c r="DF15" s="102" t="str">
        <f t="shared" si="91"/>
        <v/>
      </c>
      <c r="DG15" s="102">
        <f t="shared" si="92"/>
        <v>17</v>
      </c>
      <c r="DH15" s="102" t="str">
        <f t="shared" si="93"/>
        <v/>
      </c>
      <c r="DI15" s="102" t="str">
        <f t="shared" si="94"/>
        <v/>
      </c>
      <c r="DJ15" s="102" t="str">
        <f t="shared" si="95"/>
        <v/>
      </c>
      <c r="DK15" s="102" t="str">
        <f t="shared" si="96"/>
        <v/>
      </c>
      <c r="DL15" s="102" t="str">
        <f t="shared" si="97"/>
        <v/>
      </c>
      <c r="DM15" s="102" t="str">
        <f t="shared" si="98"/>
        <v/>
      </c>
      <c r="DN15" s="102" t="str">
        <f t="shared" si="99"/>
        <v/>
      </c>
      <c r="DO15" s="102" t="str">
        <f t="shared" si="100"/>
        <v/>
      </c>
      <c r="DP15" s="102" t="str">
        <f t="shared" si="101"/>
        <v/>
      </c>
      <c r="DQ15" s="102" t="str">
        <f t="shared" si="102"/>
        <v/>
      </c>
      <c r="DR15" s="102" t="str">
        <f t="shared" si="103"/>
        <v/>
      </c>
      <c r="DS15" s="102" t="str">
        <f t="shared" si="104"/>
        <v/>
      </c>
      <c r="DT15" s="102" t="str">
        <f t="shared" si="105"/>
        <v/>
      </c>
      <c r="DU15" s="102" t="str">
        <f t="shared" si="106"/>
        <v/>
      </c>
      <c r="DV15" s="102" t="str">
        <f t="shared" si="107"/>
        <v/>
      </c>
      <c r="DW15" s="102" t="str">
        <f t="shared" si="108"/>
        <v/>
      </c>
      <c r="DX15" s="102" t="str">
        <f t="shared" si="109"/>
        <v/>
      </c>
      <c r="DY15" s="102" t="str">
        <f t="shared" si="110"/>
        <v/>
      </c>
      <c r="DZ15" s="102" t="str">
        <f t="shared" si="111"/>
        <v/>
      </c>
      <c r="EA15" s="102" t="str">
        <f t="shared" si="112"/>
        <v/>
      </c>
      <c r="EB15" s="102" t="str">
        <f t="shared" si="113"/>
        <v/>
      </c>
      <c r="EC15" s="102" t="str">
        <f t="shared" si="114"/>
        <v/>
      </c>
      <c r="ED15" s="102" t="str">
        <f t="shared" si="115"/>
        <v/>
      </c>
      <c r="EE15" s="102" t="str">
        <f t="shared" si="116"/>
        <v/>
      </c>
      <c r="EF15" s="102" t="str">
        <f t="shared" si="117"/>
        <v/>
      </c>
      <c r="EG15" s="102" t="str">
        <f t="shared" si="118"/>
        <v/>
      </c>
      <c r="EH15" s="102" t="str">
        <f t="shared" si="119"/>
        <v/>
      </c>
      <c r="EI15" s="102" t="str">
        <f t="shared" si="120"/>
        <v/>
      </c>
      <c r="EJ15" s="102" t="str">
        <f t="shared" si="121"/>
        <v/>
      </c>
      <c r="EK15" s="102" t="str">
        <f t="shared" si="122"/>
        <v/>
      </c>
      <c r="EL15" s="102" t="str">
        <f t="shared" si="123"/>
        <v/>
      </c>
      <c r="EM15" s="102" t="str">
        <f t="shared" si="124"/>
        <v/>
      </c>
      <c r="EN15" s="102" t="str">
        <f t="shared" si="125"/>
        <v/>
      </c>
      <c r="EO15" s="102" t="str">
        <f t="shared" si="126"/>
        <v/>
      </c>
      <c r="EP15" s="102" t="str">
        <f t="shared" si="127"/>
        <v/>
      </c>
      <c r="EQ15" s="102" t="str">
        <f t="shared" si="128"/>
        <v/>
      </c>
      <c r="ER15" s="102" t="str">
        <f t="shared" si="129"/>
        <v/>
      </c>
      <c r="ES15" s="102" t="str">
        <f t="shared" si="130"/>
        <v/>
      </c>
      <c r="ET15" s="102" t="str">
        <f t="shared" si="131"/>
        <v/>
      </c>
      <c r="EU15" s="102" t="str">
        <f t="shared" si="132"/>
        <v/>
      </c>
      <c r="EV15" s="102" t="str">
        <f t="shared" si="133"/>
        <v/>
      </c>
      <c r="EW15" s="792" t="str">
        <f t="shared" si="134"/>
        <v/>
      </c>
      <c r="EX15" s="354" t="str">
        <f t="shared" si="135"/>
        <v/>
      </c>
      <c r="EY15" s="354" t="str">
        <f t="shared" si="136"/>
        <v/>
      </c>
      <c r="EZ15" s="354">
        <f t="shared" si="137"/>
        <v>17</v>
      </c>
      <c r="FA15" s="354" t="str">
        <f t="shared" si="138"/>
        <v/>
      </c>
      <c r="FB15" s="354" t="str">
        <f t="shared" si="139"/>
        <v/>
      </c>
      <c r="FC15" s="354" t="str">
        <f t="shared" si="140"/>
        <v/>
      </c>
      <c r="FD15" s="354" t="str">
        <f t="shared" si="141"/>
        <v/>
      </c>
      <c r="FE15" s="354" t="str">
        <f t="shared" si="142"/>
        <v/>
      </c>
      <c r="FF15" s="354" t="str">
        <f t="shared" si="143"/>
        <v/>
      </c>
      <c r="FG15" s="354" t="str">
        <f t="shared" si="144"/>
        <v/>
      </c>
      <c r="FH15" s="354" t="str">
        <f t="shared" si="145"/>
        <v/>
      </c>
      <c r="FI15" s="354" t="str">
        <f t="shared" si="146"/>
        <v/>
      </c>
      <c r="FJ15" s="354" t="str">
        <f t="shared" si="147"/>
        <v/>
      </c>
      <c r="FK15" s="354" t="str">
        <f t="shared" si="148"/>
        <v/>
      </c>
      <c r="FL15" s="354" t="str">
        <f t="shared" si="149"/>
        <v/>
      </c>
      <c r="FM15" s="354" t="str">
        <f t="shared" si="150"/>
        <v/>
      </c>
      <c r="FN15" s="354" t="str">
        <f t="shared" si="151"/>
        <v/>
      </c>
      <c r="FO15" s="354" t="str">
        <f t="shared" si="152"/>
        <v/>
      </c>
      <c r="FP15" s="354" t="str">
        <f t="shared" si="153"/>
        <v/>
      </c>
      <c r="FQ15" s="354" t="str">
        <f t="shared" si="154"/>
        <v/>
      </c>
      <c r="FR15" s="354" t="str">
        <f t="shared" si="155"/>
        <v/>
      </c>
      <c r="FS15" s="354" t="str">
        <f t="shared" si="156"/>
        <v/>
      </c>
      <c r="FT15" s="354" t="str">
        <f t="shared" si="157"/>
        <v/>
      </c>
      <c r="FU15" s="354" t="str">
        <f t="shared" si="158"/>
        <v/>
      </c>
      <c r="FV15" s="354" t="str">
        <f t="shared" si="159"/>
        <v/>
      </c>
      <c r="FW15" s="354" t="str">
        <f t="shared" si="160"/>
        <v/>
      </c>
      <c r="FX15" s="354" t="str">
        <f t="shared" si="161"/>
        <v/>
      </c>
      <c r="FY15" s="354" t="str">
        <f t="shared" si="162"/>
        <v/>
      </c>
      <c r="FZ15" s="354" t="str">
        <f t="shared" si="163"/>
        <v/>
      </c>
      <c r="GA15" s="354" t="str">
        <f t="shared" si="164"/>
        <v/>
      </c>
      <c r="GB15" s="354" t="str">
        <f t="shared" si="165"/>
        <v/>
      </c>
      <c r="GC15" s="354" t="str">
        <f t="shared" si="166"/>
        <v/>
      </c>
      <c r="GD15" s="354" t="str">
        <f t="shared" si="167"/>
        <v/>
      </c>
      <c r="GE15" s="354" t="str">
        <f t="shared" si="168"/>
        <v/>
      </c>
      <c r="GF15" s="354" t="str">
        <f t="shared" si="169"/>
        <v/>
      </c>
      <c r="GG15" s="354" t="str">
        <f t="shared" si="170"/>
        <v/>
      </c>
      <c r="GH15" s="354" t="str">
        <f t="shared" si="171"/>
        <v/>
      </c>
      <c r="GI15" s="354" t="str">
        <f t="shared" si="172"/>
        <v/>
      </c>
      <c r="GJ15" s="354" t="str">
        <f t="shared" si="173"/>
        <v/>
      </c>
      <c r="GK15" s="354" t="str">
        <f t="shared" si="174"/>
        <v/>
      </c>
      <c r="GL15" s="354" t="str">
        <f t="shared" si="175"/>
        <v/>
      </c>
      <c r="GM15" s="354" t="str">
        <f t="shared" si="176"/>
        <v/>
      </c>
      <c r="GN15" s="354" t="str">
        <f t="shared" si="177"/>
        <v/>
      </c>
      <c r="GO15" s="354" t="str">
        <f t="shared" si="178"/>
        <v/>
      </c>
      <c r="GP15" s="354" t="str">
        <f t="shared" si="179"/>
        <v/>
      </c>
      <c r="GQ15" s="354" t="str">
        <f t="shared" si="180"/>
        <v/>
      </c>
      <c r="GR15" s="354" t="str">
        <f t="shared" si="181"/>
        <v/>
      </c>
      <c r="GS15" s="354" t="str">
        <f t="shared" si="182"/>
        <v/>
      </c>
      <c r="GT15" s="354" t="str">
        <f t="shared" si="183"/>
        <v/>
      </c>
      <c r="GU15" s="354" t="str">
        <f t="shared" si="184"/>
        <v/>
      </c>
      <c r="GV15" s="354" t="str">
        <f t="shared" si="185"/>
        <v/>
      </c>
      <c r="GW15" s="354" t="str">
        <f t="shared" si="186"/>
        <v/>
      </c>
      <c r="GX15" s="354" t="str">
        <f t="shared" si="187"/>
        <v/>
      </c>
      <c r="GY15" s="354" t="str">
        <f t="shared" si="188"/>
        <v/>
      </c>
      <c r="GZ15" s="354" t="str">
        <f t="shared" si="189"/>
        <v/>
      </c>
      <c r="HA15" s="354" t="str">
        <f t="shared" si="190"/>
        <v/>
      </c>
      <c r="HB15" s="354" t="str">
        <f t="shared" si="191"/>
        <v/>
      </c>
      <c r="HC15" s="354" t="str">
        <f t="shared" si="192"/>
        <v/>
      </c>
      <c r="HD15" s="354" t="str">
        <f t="shared" si="193"/>
        <v/>
      </c>
      <c r="HE15" s="354" t="str">
        <f t="shared" si="194"/>
        <v/>
      </c>
      <c r="HF15" s="354" t="str">
        <f t="shared" si="195"/>
        <v/>
      </c>
      <c r="HG15" s="354" t="str">
        <f t="shared" si="196"/>
        <v/>
      </c>
      <c r="HH15" s="354" t="str">
        <f t="shared" si="197"/>
        <v/>
      </c>
      <c r="HI15" s="354" t="str">
        <f t="shared" si="198"/>
        <v/>
      </c>
      <c r="HJ15" s="354" t="str">
        <f t="shared" si="199"/>
        <v/>
      </c>
      <c r="HK15" s="354" t="str">
        <f t="shared" si="200"/>
        <v/>
      </c>
      <c r="HL15" s="354" t="str">
        <f t="shared" si="201"/>
        <v/>
      </c>
      <c r="HM15" s="354">
        <f t="shared" si="202"/>
        <v>17</v>
      </c>
      <c r="HN15" s="354" t="str">
        <f t="shared" si="203"/>
        <v/>
      </c>
      <c r="HO15" s="354" t="str">
        <f t="shared" si="204"/>
        <v/>
      </c>
      <c r="HP15" s="354" t="str">
        <f t="shared" si="205"/>
        <v/>
      </c>
      <c r="HQ15" s="354" t="str">
        <f t="shared" si="206"/>
        <v/>
      </c>
      <c r="HR15" s="354" t="str">
        <f t="shared" si="207"/>
        <v/>
      </c>
      <c r="HS15" s="354" t="str">
        <f t="shared" si="208"/>
        <v/>
      </c>
      <c r="HT15" s="354" t="str">
        <f t="shared" si="209"/>
        <v/>
      </c>
      <c r="HU15" s="354" t="str">
        <f t="shared" si="210"/>
        <v/>
      </c>
      <c r="HV15" s="354" t="str">
        <f t="shared" si="211"/>
        <v/>
      </c>
      <c r="HW15" s="354" t="str">
        <f t="shared" si="212"/>
        <v/>
      </c>
      <c r="HX15" s="354" t="str">
        <f t="shared" si="213"/>
        <v/>
      </c>
      <c r="HY15" s="354" t="str">
        <f t="shared" si="214"/>
        <v/>
      </c>
      <c r="HZ15" s="354" t="str">
        <f t="shared" si="215"/>
        <v/>
      </c>
      <c r="IA15" s="354" t="str">
        <f t="shared" si="216"/>
        <v/>
      </c>
      <c r="IB15" s="354" t="str">
        <f t="shared" si="217"/>
        <v/>
      </c>
      <c r="IC15" s="354" t="str">
        <f t="shared" si="218"/>
        <v/>
      </c>
      <c r="ID15" s="355" t="str">
        <f t="shared" si="219"/>
        <v/>
      </c>
      <c r="IE15" s="355" t="str">
        <f t="shared" si="220"/>
        <v/>
      </c>
      <c r="IF15" s="355" t="str">
        <f t="shared" si="221"/>
        <v/>
      </c>
      <c r="IG15" s="355" t="str">
        <f t="shared" si="222"/>
        <v/>
      </c>
      <c r="IH15" s="355" t="str">
        <f t="shared" si="223"/>
        <v/>
      </c>
      <c r="II15" s="344" t="str">
        <f t="shared" si="224"/>
        <v/>
      </c>
      <c r="IJ15" s="344" t="str">
        <f t="shared" si="225"/>
        <v/>
      </c>
      <c r="IK15" s="344" t="str">
        <f t="shared" si="226"/>
        <v/>
      </c>
      <c r="IL15" s="344" t="str">
        <f t="shared" si="227"/>
        <v/>
      </c>
      <c r="IM15" s="344" t="str">
        <f t="shared" si="228"/>
        <v/>
      </c>
      <c r="IN15" s="344" t="str">
        <f t="shared" si="229"/>
        <v/>
      </c>
      <c r="IO15" s="344" t="str">
        <f t="shared" si="230"/>
        <v/>
      </c>
      <c r="IP15" s="344" t="str">
        <f t="shared" si="231"/>
        <v/>
      </c>
      <c r="IQ15" s="344" t="str">
        <f t="shared" si="232"/>
        <v/>
      </c>
      <c r="IR15" s="344" t="str">
        <f t="shared" si="233"/>
        <v/>
      </c>
      <c r="IS15" s="344" t="str">
        <f t="shared" si="234"/>
        <v/>
      </c>
      <c r="IT15" s="344" t="str">
        <f t="shared" si="235"/>
        <v/>
      </c>
      <c r="IU15" s="344" t="str">
        <f t="shared" si="236"/>
        <v/>
      </c>
      <c r="IV15" s="344" t="str">
        <f t="shared" si="237"/>
        <v/>
      </c>
      <c r="IW15" s="344" t="str">
        <f t="shared" si="238"/>
        <v/>
      </c>
      <c r="IX15" s="344" t="str">
        <f t="shared" si="239"/>
        <v/>
      </c>
      <c r="IY15" s="344" t="str">
        <f t="shared" si="240"/>
        <v/>
      </c>
      <c r="IZ15" s="344" t="str">
        <f t="shared" si="241"/>
        <v/>
      </c>
      <c r="JA15" s="344" t="str">
        <f t="shared" si="242"/>
        <v/>
      </c>
      <c r="JB15" s="344" t="str">
        <f t="shared" si="243"/>
        <v/>
      </c>
      <c r="JC15" s="353">
        <f t="shared" si="244"/>
        <v>0</v>
      </c>
      <c r="JD15" s="353">
        <f t="shared" si="245"/>
        <v>0</v>
      </c>
      <c r="JE15" s="353">
        <f t="shared" si="246"/>
        <v>0</v>
      </c>
      <c r="JF15" s="353">
        <f t="shared" si="247"/>
        <v>0</v>
      </c>
      <c r="JG15" s="353">
        <f t="shared" si="248"/>
        <v>0</v>
      </c>
      <c r="JH15" s="353">
        <f t="shared" si="249"/>
        <v>0</v>
      </c>
      <c r="JI15" s="353">
        <f t="shared" si="250"/>
        <v>0</v>
      </c>
      <c r="JJ15" s="353">
        <f t="shared" si="251"/>
        <v>0</v>
      </c>
      <c r="JK15" s="353">
        <f t="shared" si="252"/>
        <v>17</v>
      </c>
      <c r="JL15" s="353">
        <f t="shared" si="253"/>
        <v>0</v>
      </c>
      <c r="JM15" s="353">
        <f t="shared" si="254"/>
        <v>0</v>
      </c>
      <c r="JN15" s="353">
        <f t="shared" si="255"/>
        <v>0</v>
      </c>
      <c r="JO15" s="353">
        <f t="shared" si="256"/>
        <v>0</v>
      </c>
      <c r="JP15" s="353">
        <f t="shared" si="257"/>
        <v>0</v>
      </c>
      <c r="JQ15" s="353">
        <f t="shared" si="258"/>
        <v>0</v>
      </c>
    </row>
    <row r="16" spans="1:296" ht="12" customHeight="1">
      <c r="A16" s="70" t="str">
        <f t="shared" si="0"/>
        <v/>
      </c>
      <c r="B16" s="2628" t="s">
        <v>1089</v>
      </c>
      <c r="C16" s="2629">
        <v>3</v>
      </c>
      <c r="D16" s="2630">
        <v>2</v>
      </c>
      <c r="E16" s="2631">
        <v>2</v>
      </c>
      <c r="F16" s="2631">
        <v>1222</v>
      </c>
      <c r="G16" s="2631">
        <v>0</v>
      </c>
      <c r="H16" s="2631">
        <v>0</v>
      </c>
      <c r="I16" s="2632">
        <f>IF(C16="",0,HLOOKUP(C16,'Part V-Utility Allowances'!$I$11:$M$21,11))</f>
        <v>161</v>
      </c>
      <c r="J16" s="2633"/>
      <c r="K16" s="488">
        <f t="shared" si="1"/>
        <v>0</v>
      </c>
      <c r="L16" s="488">
        <f t="shared" si="2"/>
        <v>0</v>
      </c>
      <c r="M16" s="2634" t="s">
        <v>1090</v>
      </c>
      <c r="N16" s="2634" t="s">
        <v>1087</v>
      </c>
      <c r="O16" s="2634" t="s">
        <v>112</v>
      </c>
      <c r="P16" s="2635" t="s">
        <v>21</v>
      </c>
      <c r="Q16" s="2636">
        <f t="shared" si="3"/>
        <v>0</v>
      </c>
      <c r="R16" s="2637">
        <f>IF(H16="","",IF(C16="Efficiency",Q16/($O$6*VLOOKUP(0,'DCA Underwriting Assumptions'!$J$143:$K$148,2,FALSE)),Q16/($O$6*VLOOKUP(C16,'DCA Underwriting Assumptions'!$J$143:$K$148,2,FALSE))))</f>
        <v>0</v>
      </c>
      <c r="S16" s="2638"/>
      <c r="T16" s="2639"/>
      <c r="U16" s="2594"/>
      <c r="V16" s="2595"/>
      <c r="W16" s="102" t="str">
        <f t="shared" si="4"/>
        <v/>
      </c>
      <c r="X16" s="102" t="str">
        <f t="shared" si="5"/>
        <v/>
      </c>
      <c r="Y16" s="102" t="str">
        <f t="shared" si="6"/>
        <v/>
      </c>
      <c r="Z16" s="102" t="str">
        <f t="shared" si="7"/>
        <v/>
      </c>
      <c r="AA16" s="102" t="str">
        <f t="shared" si="8"/>
        <v/>
      </c>
      <c r="AB16" s="102" t="str">
        <f t="shared" si="9"/>
        <v/>
      </c>
      <c r="AC16" s="102" t="str">
        <f t="shared" si="10"/>
        <v/>
      </c>
      <c r="AD16" s="102" t="str">
        <f t="shared" si="11"/>
        <v/>
      </c>
      <c r="AE16" s="102" t="str">
        <f t="shared" si="12"/>
        <v/>
      </c>
      <c r="AF16" s="102" t="str">
        <f t="shared" si="13"/>
        <v/>
      </c>
      <c r="AG16" s="102" t="str">
        <f t="shared" si="14"/>
        <v/>
      </c>
      <c r="AH16" s="102" t="str">
        <f t="shared" si="15"/>
        <v/>
      </c>
      <c r="AI16" s="102" t="str">
        <f t="shared" si="16"/>
        <v/>
      </c>
      <c r="AJ16" s="102" t="str">
        <f t="shared" si="17"/>
        <v/>
      </c>
      <c r="AK16" s="102" t="str">
        <f t="shared" si="18"/>
        <v/>
      </c>
      <c r="AL16" s="102" t="str">
        <f t="shared" si="19"/>
        <v/>
      </c>
      <c r="AM16" s="102" t="str">
        <f t="shared" si="20"/>
        <v/>
      </c>
      <c r="AN16" s="102" t="str">
        <f t="shared" si="21"/>
        <v/>
      </c>
      <c r="AO16" s="102" t="str">
        <f t="shared" si="22"/>
        <v/>
      </c>
      <c r="AP16" s="102" t="str">
        <f t="shared" si="23"/>
        <v/>
      </c>
      <c r="AQ16" s="102" t="str">
        <f t="shared" si="24"/>
        <v/>
      </c>
      <c r="AR16" s="102" t="str">
        <f t="shared" si="25"/>
        <v/>
      </c>
      <c r="AS16" s="102" t="str">
        <f t="shared" si="26"/>
        <v/>
      </c>
      <c r="AT16" s="102" t="str">
        <f t="shared" si="27"/>
        <v/>
      </c>
      <c r="AU16" s="102" t="str">
        <f t="shared" si="28"/>
        <v/>
      </c>
      <c r="AV16" s="102" t="str">
        <f t="shared" si="29"/>
        <v/>
      </c>
      <c r="AW16" s="102" t="str">
        <f t="shared" si="30"/>
        <v/>
      </c>
      <c r="AX16" s="102" t="str">
        <f t="shared" si="31"/>
        <v/>
      </c>
      <c r="AY16" s="102" t="str">
        <f t="shared" si="32"/>
        <v/>
      </c>
      <c r="AZ16" s="102" t="str">
        <f t="shared" si="33"/>
        <v/>
      </c>
      <c r="BA16" s="102" t="str">
        <f t="shared" si="34"/>
        <v/>
      </c>
      <c r="BB16" s="102" t="str">
        <f t="shared" si="35"/>
        <v/>
      </c>
      <c r="BC16" s="102" t="str">
        <f t="shared" si="36"/>
        <v/>
      </c>
      <c r="BD16" s="102" t="str">
        <f t="shared" si="37"/>
        <v/>
      </c>
      <c r="BE16" s="102" t="str">
        <f t="shared" si="38"/>
        <v/>
      </c>
      <c r="BF16" s="102" t="str">
        <f t="shared" si="39"/>
        <v/>
      </c>
      <c r="BG16" s="102" t="str">
        <f t="shared" si="40"/>
        <v/>
      </c>
      <c r="BH16" s="102" t="str">
        <f t="shared" si="41"/>
        <v/>
      </c>
      <c r="BI16" s="102" t="str">
        <f t="shared" si="42"/>
        <v/>
      </c>
      <c r="BJ16" s="102" t="str">
        <f t="shared" si="43"/>
        <v/>
      </c>
      <c r="BK16" s="102" t="str">
        <f t="shared" si="44"/>
        <v/>
      </c>
      <c r="BL16" s="102" t="str">
        <f t="shared" si="45"/>
        <v/>
      </c>
      <c r="BM16" s="102" t="str">
        <f t="shared" si="46"/>
        <v/>
      </c>
      <c r="BN16" s="102" t="str">
        <f t="shared" si="47"/>
        <v/>
      </c>
      <c r="BO16" s="102" t="str">
        <f t="shared" si="48"/>
        <v/>
      </c>
      <c r="BP16" s="102" t="str">
        <f t="shared" si="49"/>
        <v/>
      </c>
      <c r="BQ16" s="102" t="str">
        <f t="shared" si="50"/>
        <v/>
      </c>
      <c r="BR16" s="102" t="str">
        <f t="shared" si="51"/>
        <v/>
      </c>
      <c r="BS16" s="102" t="str">
        <f t="shared" si="52"/>
        <v/>
      </c>
      <c r="BT16" s="102" t="str">
        <f t="shared" si="53"/>
        <v/>
      </c>
      <c r="BU16" s="102" t="str">
        <f t="shared" si="54"/>
        <v/>
      </c>
      <c r="BV16" s="102" t="str">
        <f t="shared" si="55"/>
        <v/>
      </c>
      <c r="BW16" s="102" t="str">
        <f t="shared" si="56"/>
        <v/>
      </c>
      <c r="BX16" s="102">
        <f t="shared" si="57"/>
        <v>2</v>
      </c>
      <c r="BY16" s="102" t="str">
        <f t="shared" si="58"/>
        <v/>
      </c>
      <c r="BZ16" s="102" t="str">
        <f t="shared" si="59"/>
        <v/>
      </c>
      <c r="CA16" s="102" t="str">
        <f t="shared" si="60"/>
        <v/>
      </c>
      <c r="CB16" s="102" t="str">
        <f t="shared" si="61"/>
        <v/>
      </c>
      <c r="CC16" s="102" t="str">
        <f t="shared" si="62"/>
        <v/>
      </c>
      <c r="CD16" s="102" t="str">
        <f t="shared" si="63"/>
        <v/>
      </c>
      <c r="CE16" s="102" t="str">
        <f t="shared" si="64"/>
        <v/>
      </c>
      <c r="CF16" s="102" t="str">
        <f t="shared" si="65"/>
        <v/>
      </c>
      <c r="CG16" s="102" t="str">
        <f t="shared" si="66"/>
        <v/>
      </c>
      <c r="CH16" s="102" t="str">
        <f t="shared" si="67"/>
        <v/>
      </c>
      <c r="CI16" s="102" t="str">
        <f t="shared" si="68"/>
        <v/>
      </c>
      <c r="CJ16" s="102" t="str">
        <f t="shared" si="69"/>
        <v/>
      </c>
      <c r="CK16" s="102" t="str">
        <f t="shared" si="70"/>
        <v/>
      </c>
      <c r="CL16" s="102" t="str">
        <f t="shared" si="71"/>
        <v/>
      </c>
      <c r="CM16" s="102" t="str">
        <f t="shared" si="72"/>
        <v/>
      </c>
      <c r="CN16" s="102" t="str">
        <f t="shared" si="73"/>
        <v/>
      </c>
      <c r="CO16" s="102" t="str">
        <f t="shared" si="74"/>
        <v/>
      </c>
      <c r="CP16" s="102" t="str">
        <f t="shared" si="75"/>
        <v/>
      </c>
      <c r="CQ16" s="102" t="str">
        <f t="shared" si="76"/>
        <v/>
      </c>
      <c r="CR16" s="102" t="str">
        <f t="shared" si="77"/>
        <v/>
      </c>
      <c r="CS16" s="102" t="str">
        <f t="shared" si="78"/>
        <v/>
      </c>
      <c r="CT16" s="102" t="str">
        <f t="shared" si="79"/>
        <v/>
      </c>
      <c r="CU16" s="102" t="str">
        <f t="shared" si="80"/>
        <v/>
      </c>
      <c r="CV16" s="102" t="str">
        <f t="shared" si="81"/>
        <v/>
      </c>
      <c r="CW16" s="102" t="str">
        <f t="shared" si="82"/>
        <v/>
      </c>
      <c r="CX16" s="102" t="str">
        <f t="shared" si="83"/>
        <v/>
      </c>
      <c r="CY16" s="102" t="str">
        <f t="shared" si="84"/>
        <v/>
      </c>
      <c r="CZ16" s="102" t="str">
        <f t="shared" si="85"/>
        <v/>
      </c>
      <c r="DA16" s="102" t="str">
        <f t="shared" si="86"/>
        <v/>
      </c>
      <c r="DB16" s="102">
        <f t="shared" si="87"/>
        <v>2444</v>
      </c>
      <c r="DC16" s="102" t="str">
        <f t="shared" si="88"/>
        <v/>
      </c>
      <c r="DD16" s="102" t="str">
        <f t="shared" si="89"/>
        <v/>
      </c>
      <c r="DE16" s="102" t="str">
        <f t="shared" si="90"/>
        <v/>
      </c>
      <c r="DF16" s="102" t="str">
        <f t="shared" si="91"/>
        <v/>
      </c>
      <c r="DG16" s="102" t="str">
        <f t="shared" si="92"/>
        <v/>
      </c>
      <c r="DH16" s="102" t="str">
        <f t="shared" si="93"/>
        <v/>
      </c>
      <c r="DI16" s="102" t="str">
        <f t="shared" si="94"/>
        <v/>
      </c>
      <c r="DJ16" s="102" t="str">
        <f t="shared" si="95"/>
        <v/>
      </c>
      <c r="DK16" s="102" t="str">
        <f t="shared" si="96"/>
        <v/>
      </c>
      <c r="DL16" s="102" t="str">
        <f t="shared" si="97"/>
        <v/>
      </c>
      <c r="DM16" s="102" t="str">
        <f t="shared" si="98"/>
        <v/>
      </c>
      <c r="DN16" s="102" t="str">
        <f t="shared" si="99"/>
        <v/>
      </c>
      <c r="DO16" s="102" t="str">
        <f t="shared" si="100"/>
        <v/>
      </c>
      <c r="DP16" s="102" t="str">
        <f t="shared" si="101"/>
        <v/>
      </c>
      <c r="DQ16" s="102">
        <f t="shared" si="102"/>
        <v>2</v>
      </c>
      <c r="DR16" s="102" t="str">
        <f t="shared" si="103"/>
        <v/>
      </c>
      <c r="DS16" s="102" t="str">
        <f t="shared" si="104"/>
        <v/>
      </c>
      <c r="DT16" s="102" t="str">
        <f t="shared" si="105"/>
        <v/>
      </c>
      <c r="DU16" s="102" t="str">
        <f t="shared" si="106"/>
        <v/>
      </c>
      <c r="DV16" s="102" t="str">
        <f t="shared" si="107"/>
        <v/>
      </c>
      <c r="DW16" s="102" t="str">
        <f t="shared" si="108"/>
        <v/>
      </c>
      <c r="DX16" s="102" t="str">
        <f t="shared" si="109"/>
        <v/>
      </c>
      <c r="DY16" s="102" t="str">
        <f t="shared" si="110"/>
        <v/>
      </c>
      <c r="DZ16" s="102" t="str">
        <f t="shared" si="111"/>
        <v/>
      </c>
      <c r="EA16" s="102" t="str">
        <f t="shared" si="112"/>
        <v/>
      </c>
      <c r="EB16" s="102" t="str">
        <f t="shared" si="113"/>
        <v/>
      </c>
      <c r="EC16" s="102" t="str">
        <f t="shared" si="114"/>
        <v/>
      </c>
      <c r="ED16" s="102" t="str">
        <f t="shared" si="115"/>
        <v/>
      </c>
      <c r="EE16" s="102" t="str">
        <f t="shared" si="116"/>
        <v/>
      </c>
      <c r="EF16" s="102" t="str">
        <f t="shared" si="117"/>
        <v/>
      </c>
      <c r="EG16" s="102" t="str">
        <f t="shared" si="118"/>
        <v/>
      </c>
      <c r="EH16" s="102" t="str">
        <f t="shared" si="119"/>
        <v/>
      </c>
      <c r="EI16" s="102" t="str">
        <f t="shared" si="120"/>
        <v/>
      </c>
      <c r="EJ16" s="102" t="str">
        <f t="shared" si="121"/>
        <v/>
      </c>
      <c r="EK16" s="102" t="str">
        <f t="shared" si="122"/>
        <v/>
      </c>
      <c r="EL16" s="102" t="str">
        <f t="shared" si="123"/>
        <v/>
      </c>
      <c r="EM16" s="102" t="str">
        <f t="shared" si="124"/>
        <v/>
      </c>
      <c r="EN16" s="102" t="str">
        <f t="shared" si="125"/>
        <v/>
      </c>
      <c r="EO16" s="102" t="str">
        <f t="shared" si="126"/>
        <v/>
      </c>
      <c r="EP16" s="102" t="str">
        <f t="shared" si="127"/>
        <v/>
      </c>
      <c r="EQ16" s="102" t="str">
        <f t="shared" si="128"/>
        <v/>
      </c>
      <c r="ER16" s="102" t="str">
        <f t="shared" si="129"/>
        <v/>
      </c>
      <c r="ES16" s="102" t="str">
        <f t="shared" si="130"/>
        <v/>
      </c>
      <c r="ET16" s="102" t="str">
        <f t="shared" si="131"/>
        <v/>
      </c>
      <c r="EU16" s="102" t="str">
        <f t="shared" si="132"/>
        <v/>
      </c>
      <c r="EV16" s="102" t="str">
        <f t="shared" si="133"/>
        <v/>
      </c>
      <c r="EW16" s="792" t="str">
        <f t="shared" si="134"/>
        <v/>
      </c>
      <c r="EX16" s="354" t="str">
        <f t="shared" si="135"/>
        <v/>
      </c>
      <c r="EY16" s="354" t="str">
        <f t="shared" si="136"/>
        <v/>
      </c>
      <c r="EZ16" s="354">
        <f t="shared" si="137"/>
        <v>2</v>
      </c>
      <c r="FA16" s="354" t="str">
        <f t="shared" si="138"/>
        <v/>
      </c>
      <c r="FB16" s="354" t="str">
        <f t="shared" si="139"/>
        <v/>
      </c>
      <c r="FC16" s="354" t="str">
        <f t="shared" si="140"/>
        <v/>
      </c>
      <c r="FD16" s="354" t="str">
        <f t="shared" si="141"/>
        <v/>
      </c>
      <c r="FE16" s="354" t="str">
        <f t="shared" si="142"/>
        <v/>
      </c>
      <c r="FF16" s="354" t="str">
        <f t="shared" si="143"/>
        <v/>
      </c>
      <c r="FG16" s="354" t="str">
        <f t="shared" si="144"/>
        <v/>
      </c>
      <c r="FH16" s="354" t="str">
        <f t="shared" si="145"/>
        <v/>
      </c>
      <c r="FI16" s="354" t="str">
        <f t="shared" si="146"/>
        <v/>
      </c>
      <c r="FJ16" s="354" t="str">
        <f t="shared" si="147"/>
        <v/>
      </c>
      <c r="FK16" s="354" t="str">
        <f t="shared" si="148"/>
        <v/>
      </c>
      <c r="FL16" s="354" t="str">
        <f t="shared" si="149"/>
        <v/>
      </c>
      <c r="FM16" s="354" t="str">
        <f t="shared" si="150"/>
        <v/>
      </c>
      <c r="FN16" s="354" t="str">
        <f t="shared" si="151"/>
        <v/>
      </c>
      <c r="FO16" s="354" t="str">
        <f t="shared" si="152"/>
        <v/>
      </c>
      <c r="FP16" s="354" t="str">
        <f t="shared" si="153"/>
        <v/>
      </c>
      <c r="FQ16" s="354" t="str">
        <f t="shared" si="154"/>
        <v/>
      </c>
      <c r="FR16" s="354" t="str">
        <f t="shared" si="155"/>
        <v/>
      </c>
      <c r="FS16" s="354" t="str">
        <f t="shared" si="156"/>
        <v/>
      </c>
      <c r="FT16" s="354" t="str">
        <f t="shared" si="157"/>
        <v/>
      </c>
      <c r="FU16" s="354" t="str">
        <f t="shared" si="158"/>
        <v/>
      </c>
      <c r="FV16" s="354" t="str">
        <f t="shared" si="159"/>
        <v/>
      </c>
      <c r="FW16" s="354" t="str">
        <f t="shared" si="160"/>
        <v/>
      </c>
      <c r="FX16" s="354" t="str">
        <f t="shared" si="161"/>
        <v/>
      </c>
      <c r="FY16" s="354" t="str">
        <f t="shared" si="162"/>
        <v/>
      </c>
      <c r="FZ16" s="354" t="str">
        <f t="shared" si="163"/>
        <v/>
      </c>
      <c r="GA16" s="354" t="str">
        <f t="shared" si="164"/>
        <v/>
      </c>
      <c r="GB16" s="354" t="str">
        <f t="shared" si="165"/>
        <v/>
      </c>
      <c r="GC16" s="354" t="str">
        <f t="shared" si="166"/>
        <v/>
      </c>
      <c r="GD16" s="354" t="str">
        <f t="shared" si="167"/>
        <v/>
      </c>
      <c r="GE16" s="354" t="str">
        <f t="shared" si="168"/>
        <v/>
      </c>
      <c r="GF16" s="354" t="str">
        <f t="shared" si="169"/>
        <v/>
      </c>
      <c r="GG16" s="354" t="str">
        <f t="shared" si="170"/>
        <v/>
      </c>
      <c r="GH16" s="354" t="str">
        <f t="shared" si="171"/>
        <v/>
      </c>
      <c r="GI16" s="354" t="str">
        <f t="shared" si="172"/>
        <v/>
      </c>
      <c r="GJ16" s="354" t="str">
        <f t="shared" si="173"/>
        <v/>
      </c>
      <c r="GK16" s="354" t="str">
        <f t="shared" si="174"/>
        <v/>
      </c>
      <c r="GL16" s="354" t="str">
        <f t="shared" si="175"/>
        <v/>
      </c>
      <c r="GM16" s="354" t="str">
        <f t="shared" si="176"/>
        <v/>
      </c>
      <c r="GN16" s="354" t="str">
        <f t="shared" si="177"/>
        <v/>
      </c>
      <c r="GO16" s="354" t="str">
        <f t="shared" si="178"/>
        <v/>
      </c>
      <c r="GP16" s="354" t="str">
        <f t="shared" si="179"/>
        <v/>
      </c>
      <c r="GQ16" s="354" t="str">
        <f t="shared" si="180"/>
        <v/>
      </c>
      <c r="GR16" s="354" t="str">
        <f t="shared" si="181"/>
        <v/>
      </c>
      <c r="GS16" s="354" t="str">
        <f t="shared" si="182"/>
        <v/>
      </c>
      <c r="GT16" s="354" t="str">
        <f t="shared" si="183"/>
        <v/>
      </c>
      <c r="GU16" s="354" t="str">
        <f t="shared" si="184"/>
        <v/>
      </c>
      <c r="GV16" s="354" t="str">
        <f t="shared" si="185"/>
        <v/>
      </c>
      <c r="GW16" s="354" t="str">
        <f t="shared" si="186"/>
        <v/>
      </c>
      <c r="GX16" s="354" t="str">
        <f t="shared" si="187"/>
        <v/>
      </c>
      <c r="GY16" s="354" t="str">
        <f t="shared" si="188"/>
        <v/>
      </c>
      <c r="GZ16" s="354" t="str">
        <f t="shared" si="189"/>
        <v/>
      </c>
      <c r="HA16" s="354" t="str">
        <f t="shared" si="190"/>
        <v/>
      </c>
      <c r="HB16" s="354" t="str">
        <f t="shared" si="191"/>
        <v/>
      </c>
      <c r="HC16" s="354" t="str">
        <f t="shared" si="192"/>
        <v/>
      </c>
      <c r="HD16" s="354" t="str">
        <f t="shared" si="193"/>
        <v/>
      </c>
      <c r="HE16" s="354" t="str">
        <f t="shared" si="194"/>
        <v/>
      </c>
      <c r="HF16" s="354" t="str">
        <f t="shared" si="195"/>
        <v/>
      </c>
      <c r="HG16" s="354" t="str">
        <f t="shared" si="196"/>
        <v/>
      </c>
      <c r="HH16" s="354" t="str">
        <f t="shared" si="197"/>
        <v/>
      </c>
      <c r="HI16" s="354" t="str">
        <f t="shared" si="198"/>
        <v/>
      </c>
      <c r="HJ16" s="354" t="str">
        <f t="shared" si="199"/>
        <v/>
      </c>
      <c r="HK16" s="354" t="str">
        <f t="shared" si="200"/>
        <v/>
      </c>
      <c r="HL16" s="354" t="str">
        <f t="shared" si="201"/>
        <v/>
      </c>
      <c r="HM16" s="354">
        <f t="shared" si="202"/>
        <v>2</v>
      </c>
      <c r="HN16" s="354" t="str">
        <f t="shared" si="203"/>
        <v/>
      </c>
      <c r="HO16" s="354" t="str">
        <f t="shared" si="204"/>
        <v/>
      </c>
      <c r="HP16" s="354" t="str">
        <f t="shared" si="205"/>
        <v/>
      </c>
      <c r="HQ16" s="354" t="str">
        <f t="shared" si="206"/>
        <v/>
      </c>
      <c r="HR16" s="354" t="str">
        <f t="shared" si="207"/>
        <v/>
      </c>
      <c r="HS16" s="354" t="str">
        <f t="shared" si="208"/>
        <v/>
      </c>
      <c r="HT16" s="354" t="str">
        <f t="shared" si="209"/>
        <v/>
      </c>
      <c r="HU16" s="354" t="str">
        <f t="shared" si="210"/>
        <v/>
      </c>
      <c r="HV16" s="354" t="str">
        <f t="shared" si="211"/>
        <v/>
      </c>
      <c r="HW16" s="354" t="str">
        <f t="shared" si="212"/>
        <v/>
      </c>
      <c r="HX16" s="354" t="str">
        <f t="shared" si="213"/>
        <v/>
      </c>
      <c r="HY16" s="354" t="str">
        <f t="shared" si="214"/>
        <v/>
      </c>
      <c r="HZ16" s="354" t="str">
        <f t="shared" si="215"/>
        <v/>
      </c>
      <c r="IA16" s="354" t="str">
        <f t="shared" si="216"/>
        <v/>
      </c>
      <c r="IB16" s="354" t="str">
        <f t="shared" si="217"/>
        <v/>
      </c>
      <c r="IC16" s="354" t="str">
        <f t="shared" si="218"/>
        <v/>
      </c>
      <c r="ID16" s="355" t="str">
        <f t="shared" si="219"/>
        <v/>
      </c>
      <c r="IE16" s="355" t="str">
        <f t="shared" si="220"/>
        <v/>
      </c>
      <c r="IF16" s="355" t="str">
        <f t="shared" si="221"/>
        <v/>
      </c>
      <c r="IG16" s="355" t="str">
        <f t="shared" si="222"/>
        <v/>
      </c>
      <c r="IH16" s="355" t="str">
        <f t="shared" si="223"/>
        <v/>
      </c>
      <c r="II16" s="344" t="str">
        <f t="shared" si="224"/>
        <v/>
      </c>
      <c r="IJ16" s="344" t="str">
        <f t="shared" si="225"/>
        <v/>
      </c>
      <c r="IK16" s="344" t="str">
        <f t="shared" si="226"/>
        <v/>
      </c>
      <c r="IL16" s="344" t="str">
        <f t="shared" si="227"/>
        <v/>
      </c>
      <c r="IM16" s="344" t="str">
        <f t="shared" si="228"/>
        <v/>
      </c>
      <c r="IN16" s="344" t="str">
        <f t="shared" si="229"/>
        <v/>
      </c>
      <c r="IO16" s="344" t="str">
        <f t="shared" si="230"/>
        <v/>
      </c>
      <c r="IP16" s="344" t="str">
        <f t="shared" si="231"/>
        <v/>
      </c>
      <c r="IQ16" s="344" t="str">
        <f t="shared" si="232"/>
        <v/>
      </c>
      <c r="IR16" s="344" t="str">
        <f t="shared" si="233"/>
        <v/>
      </c>
      <c r="IS16" s="344" t="str">
        <f t="shared" si="234"/>
        <v/>
      </c>
      <c r="IT16" s="344" t="str">
        <f t="shared" si="235"/>
        <v/>
      </c>
      <c r="IU16" s="344" t="str">
        <f t="shared" si="236"/>
        <v/>
      </c>
      <c r="IV16" s="344" t="str">
        <f t="shared" si="237"/>
        <v/>
      </c>
      <c r="IW16" s="344" t="str">
        <f t="shared" si="238"/>
        <v/>
      </c>
      <c r="IX16" s="344" t="str">
        <f t="shared" si="239"/>
        <v/>
      </c>
      <c r="IY16" s="344" t="str">
        <f t="shared" si="240"/>
        <v/>
      </c>
      <c r="IZ16" s="344" t="str">
        <f t="shared" si="241"/>
        <v/>
      </c>
      <c r="JA16" s="344" t="str">
        <f t="shared" si="242"/>
        <v/>
      </c>
      <c r="JB16" s="344" t="str">
        <f t="shared" si="243"/>
        <v/>
      </c>
      <c r="JC16" s="353">
        <f t="shared" si="244"/>
        <v>0</v>
      </c>
      <c r="JD16" s="353">
        <f t="shared" si="245"/>
        <v>0</v>
      </c>
      <c r="JE16" s="353">
        <f t="shared" si="246"/>
        <v>0</v>
      </c>
      <c r="JF16" s="353">
        <f t="shared" si="247"/>
        <v>0</v>
      </c>
      <c r="JG16" s="353">
        <f t="shared" si="248"/>
        <v>0</v>
      </c>
      <c r="JH16" s="353">
        <f t="shared" si="249"/>
        <v>0</v>
      </c>
      <c r="JI16" s="353">
        <f t="shared" si="250"/>
        <v>0</v>
      </c>
      <c r="JJ16" s="353">
        <f t="shared" si="251"/>
        <v>0</v>
      </c>
      <c r="JK16" s="353">
        <f t="shared" si="252"/>
        <v>2</v>
      </c>
      <c r="JL16" s="353">
        <f t="shared" si="253"/>
        <v>0</v>
      </c>
      <c r="JM16" s="353">
        <f t="shared" si="254"/>
        <v>0</v>
      </c>
      <c r="JN16" s="353">
        <f t="shared" si="255"/>
        <v>0</v>
      </c>
      <c r="JO16" s="353">
        <f t="shared" si="256"/>
        <v>0</v>
      </c>
      <c r="JP16" s="353">
        <f t="shared" si="257"/>
        <v>0</v>
      </c>
      <c r="JQ16" s="353">
        <f t="shared" si="258"/>
        <v>0</v>
      </c>
    </row>
    <row r="17" spans="1:277" ht="12" customHeight="1">
      <c r="A17" s="70" t="str">
        <f t="shared" si="0"/>
        <v/>
      </c>
      <c r="B17" s="2628" t="s">
        <v>1104</v>
      </c>
      <c r="C17" s="2629">
        <v>3</v>
      </c>
      <c r="D17" s="2630">
        <v>2</v>
      </c>
      <c r="E17" s="2631">
        <v>5</v>
      </c>
      <c r="F17" s="2631">
        <v>1222</v>
      </c>
      <c r="G17" s="2631">
        <v>1087</v>
      </c>
      <c r="H17" s="2631">
        <v>1027</v>
      </c>
      <c r="I17" s="2632">
        <f>IF(C17="",0,HLOOKUP(C17,'Part V-Utility Allowances'!$I$11:$M$21,11))</f>
        <v>161</v>
      </c>
      <c r="J17" s="2633"/>
      <c r="K17" s="488">
        <f t="shared" si="1"/>
        <v>866</v>
      </c>
      <c r="L17" s="488">
        <f t="shared" si="2"/>
        <v>4330</v>
      </c>
      <c r="M17" s="2634" t="s">
        <v>21</v>
      </c>
      <c r="N17" s="2634" t="s">
        <v>1087</v>
      </c>
      <c r="O17" s="2634" t="s">
        <v>112</v>
      </c>
      <c r="P17" s="2635" t="s">
        <v>21</v>
      </c>
      <c r="Q17" s="2636">
        <f t="shared" si="3"/>
        <v>41080</v>
      </c>
      <c r="R17" s="2637">
        <f>IF(H17="","",IF(C17="Efficiency",Q17/($O$6*VLOOKUP(0,'DCA Underwriting Assumptions'!$J$143:$K$148,2,FALSE)),Q17/($O$6*VLOOKUP(C17,'DCA Underwriting Assumptions'!$J$143:$K$148,2,FALSE))))</f>
        <v>0.56671449067431856</v>
      </c>
      <c r="S17" s="2638"/>
      <c r="T17" s="2639"/>
      <c r="U17" s="2594"/>
      <c r="V17" s="2595"/>
      <c r="W17" s="102" t="str">
        <f t="shared" si="4"/>
        <v/>
      </c>
      <c r="X17" s="102" t="str">
        <f t="shared" si="5"/>
        <v/>
      </c>
      <c r="Y17" s="102" t="str">
        <f t="shared" si="6"/>
        <v/>
      </c>
      <c r="Z17" s="102" t="str">
        <f t="shared" si="7"/>
        <v/>
      </c>
      <c r="AA17" s="102" t="str">
        <f t="shared" si="8"/>
        <v/>
      </c>
      <c r="AB17" s="102" t="str">
        <f t="shared" si="9"/>
        <v/>
      </c>
      <c r="AC17" s="102" t="str">
        <f t="shared" si="10"/>
        <v/>
      </c>
      <c r="AD17" s="102" t="str">
        <f t="shared" si="11"/>
        <v/>
      </c>
      <c r="AE17" s="102" t="str">
        <f t="shared" si="12"/>
        <v/>
      </c>
      <c r="AF17" s="102" t="str">
        <f t="shared" si="13"/>
        <v/>
      </c>
      <c r="AG17" s="102" t="str">
        <f t="shared" si="14"/>
        <v/>
      </c>
      <c r="AH17" s="102" t="str">
        <f t="shared" si="15"/>
        <v/>
      </c>
      <c r="AI17" s="102" t="str">
        <f t="shared" si="16"/>
        <v/>
      </c>
      <c r="AJ17" s="102" t="str">
        <f t="shared" si="17"/>
        <v/>
      </c>
      <c r="AK17" s="102" t="str">
        <f t="shared" si="18"/>
        <v/>
      </c>
      <c r="AL17" s="102" t="str">
        <f t="shared" si="19"/>
        <v/>
      </c>
      <c r="AM17" s="102" t="str">
        <f t="shared" si="20"/>
        <v/>
      </c>
      <c r="AN17" s="102" t="str">
        <f t="shared" si="21"/>
        <v/>
      </c>
      <c r="AO17" s="102">
        <f t="shared" si="22"/>
        <v>5</v>
      </c>
      <c r="AP17" s="102" t="str">
        <f t="shared" si="23"/>
        <v/>
      </c>
      <c r="AQ17" s="102" t="str">
        <f t="shared" si="24"/>
        <v/>
      </c>
      <c r="AR17" s="102" t="str">
        <f t="shared" si="25"/>
        <v/>
      </c>
      <c r="AS17" s="102" t="str">
        <f t="shared" si="26"/>
        <v/>
      </c>
      <c r="AT17" s="102" t="str">
        <f t="shared" si="27"/>
        <v/>
      </c>
      <c r="AU17" s="102" t="str">
        <f t="shared" si="28"/>
        <v/>
      </c>
      <c r="AV17" s="102" t="str">
        <f t="shared" si="29"/>
        <v/>
      </c>
      <c r="AW17" s="102" t="str">
        <f t="shared" si="30"/>
        <v/>
      </c>
      <c r="AX17" s="102" t="str">
        <f t="shared" si="31"/>
        <v/>
      </c>
      <c r="AY17" s="102" t="str">
        <f t="shared" si="32"/>
        <v/>
      </c>
      <c r="AZ17" s="102" t="str">
        <f t="shared" si="33"/>
        <v/>
      </c>
      <c r="BA17" s="102" t="str">
        <f t="shared" si="34"/>
        <v/>
      </c>
      <c r="BB17" s="102" t="str">
        <f t="shared" si="35"/>
        <v/>
      </c>
      <c r="BC17" s="102" t="str">
        <f t="shared" si="36"/>
        <v/>
      </c>
      <c r="BD17" s="102" t="str">
        <f t="shared" si="37"/>
        <v/>
      </c>
      <c r="BE17" s="102" t="str">
        <f t="shared" si="38"/>
        <v/>
      </c>
      <c r="BF17" s="102" t="str">
        <f t="shared" si="39"/>
        <v/>
      </c>
      <c r="BG17" s="102" t="str">
        <f t="shared" si="40"/>
        <v/>
      </c>
      <c r="BH17" s="102" t="str">
        <f t="shared" si="41"/>
        <v/>
      </c>
      <c r="BI17" s="102" t="str">
        <f t="shared" si="42"/>
        <v/>
      </c>
      <c r="BJ17" s="102" t="str">
        <f t="shared" si="43"/>
        <v/>
      </c>
      <c r="BK17" s="102" t="str">
        <f t="shared" si="44"/>
        <v/>
      </c>
      <c r="BL17" s="102" t="str">
        <f t="shared" si="45"/>
        <v/>
      </c>
      <c r="BM17" s="102" t="str">
        <f t="shared" si="46"/>
        <v/>
      </c>
      <c r="BN17" s="102" t="str">
        <f t="shared" si="47"/>
        <v/>
      </c>
      <c r="BO17" s="102" t="str">
        <f t="shared" si="48"/>
        <v/>
      </c>
      <c r="BP17" s="102" t="str">
        <f t="shared" si="49"/>
        <v/>
      </c>
      <c r="BQ17" s="102" t="str">
        <f t="shared" si="50"/>
        <v/>
      </c>
      <c r="BR17" s="102" t="str">
        <f t="shared" si="51"/>
        <v/>
      </c>
      <c r="BS17" s="102" t="str">
        <f t="shared" si="52"/>
        <v/>
      </c>
      <c r="BT17" s="102" t="str">
        <f t="shared" si="53"/>
        <v/>
      </c>
      <c r="BU17" s="102" t="str">
        <f t="shared" si="54"/>
        <v/>
      </c>
      <c r="BV17" s="102" t="str">
        <f t="shared" si="55"/>
        <v/>
      </c>
      <c r="BW17" s="102" t="str">
        <f t="shared" si="56"/>
        <v/>
      </c>
      <c r="BX17" s="102" t="str">
        <f t="shared" si="57"/>
        <v/>
      </c>
      <c r="BY17" s="102" t="str">
        <f t="shared" si="58"/>
        <v/>
      </c>
      <c r="BZ17" s="102" t="str">
        <f t="shared" si="59"/>
        <v/>
      </c>
      <c r="CA17" s="102" t="str">
        <f t="shared" si="60"/>
        <v/>
      </c>
      <c r="CB17" s="102" t="str">
        <f t="shared" si="61"/>
        <v/>
      </c>
      <c r="CC17" s="102" t="str">
        <f t="shared" si="62"/>
        <v/>
      </c>
      <c r="CD17" s="102" t="str">
        <f t="shared" si="63"/>
        <v/>
      </c>
      <c r="CE17" s="102" t="str">
        <f t="shared" si="64"/>
        <v/>
      </c>
      <c r="CF17" s="102" t="str">
        <f t="shared" si="65"/>
        <v/>
      </c>
      <c r="CG17" s="102" t="str">
        <f t="shared" si="66"/>
        <v/>
      </c>
      <c r="CH17" s="102" t="str">
        <f t="shared" si="67"/>
        <v/>
      </c>
      <c r="CI17" s="102" t="str">
        <f t="shared" si="68"/>
        <v/>
      </c>
      <c r="CJ17" s="102" t="str">
        <f t="shared" si="69"/>
        <v/>
      </c>
      <c r="CK17" s="102" t="str">
        <f t="shared" si="70"/>
        <v/>
      </c>
      <c r="CL17" s="102" t="str">
        <f t="shared" si="71"/>
        <v/>
      </c>
      <c r="CM17" s="102" t="str">
        <f t="shared" si="72"/>
        <v/>
      </c>
      <c r="CN17" s="102" t="str">
        <f t="shared" si="73"/>
        <v/>
      </c>
      <c r="CO17" s="102" t="str">
        <f t="shared" si="74"/>
        <v/>
      </c>
      <c r="CP17" s="102" t="str">
        <f t="shared" si="75"/>
        <v/>
      </c>
      <c r="CQ17" s="102" t="str">
        <f t="shared" si="76"/>
        <v/>
      </c>
      <c r="CR17" s="102">
        <f t="shared" si="77"/>
        <v>6110</v>
      </c>
      <c r="CS17" s="102" t="str">
        <f t="shared" si="78"/>
        <v/>
      </c>
      <c r="CT17" s="102" t="str">
        <f t="shared" si="79"/>
        <v/>
      </c>
      <c r="CU17" s="102" t="str">
        <f t="shared" si="80"/>
        <v/>
      </c>
      <c r="CV17" s="102" t="str">
        <f t="shared" si="81"/>
        <v/>
      </c>
      <c r="CW17" s="102" t="str">
        <f t="shared" si="82"/>
        <v/>
      </c>
      <c r="CX17" s="102" t="str">
        <f t="shared" si="83"/>
        <v/>
      </c>
      <c r="CY17" s="102" t="str">
        <f t="shared" si="84"/>
        <v/>
      </c>
      <c r="CZ17" s="102" t="str">
        <f t="shared" si="85"/>
        <v/>
      </c>
      <c r="DA17" s="102" t="str">
        <f t="shared" si="86"/>
        <v/>
      </c>
      <c r="DB17" s="102" t="str">
        <f t="shared" si="87"/>
        <v/>
      </c>
      <c r="DC17" s="102" t="str">
        <f t="shared" si="88"/>
        <v/>
      </c>
      <c r="DD17" s="102" t="str">
        <f t="shared" si="89"/>
        <v/>
      </c>
      <c r="DE17" s="102" t="str">
        <f t="shared" si="90"/>
        <v/>
      </c>
      <c r="DF17" s="102" t="str">
        <f t="shared" si="91"/>
        <v/>
      </c>
      <c r="DG17" s="102" t="str">
        <f t="shared" si="92"/>
        <v/>
      </c>
      <c r="DH17" s="102" t="str">
        <f t="shared" si="93"/>
        <v/>
      </c>
      <c r="DI17" s="102" t="str">
        <f t="shared" si="94"/>
        <v/>
      </c>
      <c r="DJ17" s="102" t="str">
        <f t="shared" si="95"/>
        <v/>
      </c>
      <c r="DK17" s="102" t="str">
        <f t="shared" si="96"/>
        <v/>
      </c>
      <c r="DL17" s="102">
        <f t="shared" si="97"/>
        <v>5</v>
      </c>
      <c r="DM17" s="102" t="str">
        <f t="shared" si="98"/>
        <v/>
      </c>
      <c r="DN17" s="102" t="str">
        <f t="shared" si="99"/>
        <v/>
      </c>
      <c r="DO17" s="102" t="str">
        <f t="shared" si="100"/>
        <v/>
      </c>
      <c r="DP17" s="102" t="str">
        <f t="shared" si="101"/>
        <v/>
      </c>
      <c r="DQ17" s="102" t="str">
        <f t="shared" si="102"/>
        <v/>
      </c>
      <c r="DR17" s="102" t="str">
        <f t="shared" si="103"/>
        <v/>
      </c>
      <c r="DS17" s="102" t="str">
        <f t="shared" si="104"/>
        <v/>
      </c>
      <c r="DT17" s="102" t="str">
        <f t="shared" si="105"/>
        <v/>
      </c>
      <c r="DU17" s="102" t="str">
        <f t="shared" si="106"/>
        <v/>
      </c>
      <c r="DV17" s="102" t="str">
        <f t="shared" si="107"/>
        <v/>
      </c>
      <c r="DW17" s="102" t="str">
        <f t="shared" si="108"/>
        <v/>
      </c>
      <c r="DX17" s="102" t="str">
        <f t="shared" si="109"/>
        <v/>
      </c>
      <c r="DY17" s="102" t="str">
        <f t="shared" si="110"/>
        <v/>
      </c>
      <c r="DZ17" s="102" t="str">
        <f t="shared" si="111"/>
        <v/>
      </c>
      <c r="EA17" s="102" t="str">
        <f t="shared" si="112"/>
        <v/>
      </c>
      <c r="EB17" s="102" t="str">
        <f t="shared" si="113"/>
        <v/>
      </c>
      <c r="EC17" s="102" t="str">
        <f t="shared" si="114"/>
        <v/>
      </c>
      <c r="ED17" s="102" t="str">
        <f t="shared" si="115"/>
        <v/>
      </c>
      <c r="EE17" s="102" t="str">
        <f t="shared" si="116"/>
        <v/>
      </c>
      <c r="EF17" s="102" t="str">
        <f t="shared" si="117"/>
        <v/>
      </c>
      <c r="EG17" s="102" t="str">
        <f t="shared" si="118"/>
        <v/>
      </c>
      <c r="EH17" s="102" t="str">
        <f t="shared" si="119"/>
        <v/>
      </c>
      <c r="EI17" s="102" t="str">
        <f t="shared" si="120"/>
        <v/>
      </c>
      <c r="EJ17" s="102" t="str">
        <f t="shared" si="121"/>
        <v/>
      </c>
      <c r="EK17" s="102" t="str">
        <f t="shared" si="122"/>
        <v/>
      </c>
      <c r="EL17" s="102" t="str">
        <f t="shared" si="123"/>
        <v/>
      </c>
      <c r="EM17" s="102" t="str">
        <f t="shared" si="124"/>
        <v/>
      </c>
      <c r="EN17" s="102" t="str">
        <f t="shared" si="125"/>
        <v/>
      </c>
      <c r="EO17" s="102" t="str">
        <f t="shared" si="126"/>
        <v/>
      </c>
      <c r="EP17" s="102" t="str">
        <f t="shared" si="127"/>
        <v/>
      </c>
      <c r="EQ17" s="102" t="str">
        <f t="shared" si="128"/>
        <v/>
      </c>
      <c r="ER17" s="102" t="str">
        <f t="shared" si="129"/>
        <v/>
      </c>
      <c r="ES17" s="102" t="str">
        <f t="shared" si="130"/>
        <v/>
      </c>
      <c r="ET17" s="102" t="str">
        <f t="shared" si="131"/>
        <v/>
      </c>
      <c r="EU17" s="102" t="str">
        <f t="shared" si="132"/>
        <v/>
      </c>
      <c r="EV17" s="102" t="str">
        <f t="shared" si="133"/>
        <v/>
      </c>
      <c r="EW17" s="792" t="str">
        <f t="shared" si="134"/>
        <v/>
      </c>
      <c r="EX17" s="354" t="str">
        <f t="shared" si="135"/>
        <v/>
      </c>
      <c r="EY17" s="354" t="str">
        <f t="shared" si="136"/>
        <v/>
      </c>
      <c r="EZ17" s="354">
        <f t="shared" si="137"/>
        <v>5</v>
      </c>
      <c r="FA17" s="354" t="str">
        <f t="shared" si="138"/>
        <v/>
      </c>
      <c r="FB17" s="354" t="str">
        <f t="shared" si="139"/>
        <v/>
      </c>
      <c r="FC17" s="354" t="str">
        <f t="shared" si="140"/>
        <v/>
      </c>
      <c r="FD17" s="354" t="str">
        <f t="shared" si="141"/>
        <v/>
      </c>
      <c r="FE17" s="354" t="str">
        <f t="shared" si="142"/>
        <v/>
      </c>
      <c r="FF17" s="354" t="str">
        <f t="shared" si="143"/>
        <v/>
      </c>
      <c r="FG17" s="354" t="str">
        <f t="shared" si="144"/>
        <v/>
      </c>
      <c r="FH17" s="354" t="str">
        <f t="shared" si="145"/>
        <v/>
      </c>
      <c r="FI17" s="354" t="str">
        <f t="shared" si="146"/>
        <v/>
      </c>
      <c r="FJ17" s="354" t="str">
        <f t="shared" si="147"/>
        <v/>
      </c>
      <c r="FK17" s="354" t="str">
        <f t="shared" si="148"/>
        <v/>
      </c>
      <c r="FL17" s="354" t="str">
        <f t="shared" si="149"/>
        <v/>
      </c>
      <c r="FM17" s="354" t="str">
        <f t="shared" si="150"/>
        <v/>
      </c>
      <c r="FN17" s="354" t="str">
        <f t="shared" si="151"/>
        <v/>
      </c>
      <c r="FO17" s="354" t="str">
        <f t="shared" si="152"/>
        <v/>
      </c>
      <c r="FP17" s="354" t="str">
        <f t="shared" si="153"/>
        <v/>
      </c>
      <c r="FQ17" s="354" t="str">
        <f t="shared" si="154"/>
        <v/>
      </c>
      <c r="FR17" s="354" t="str">
        <f t="shared" si="155"/>
        <v/>
      </c>
      <c r="FS17" s="354" t="str">
        <f t="shared" si="156"/>
        <v/>
      </c>
      <c r="FT17" s="354" t="str">
        <f t="shared" si="157"/>
        <v/>
      </c>
      <c r="FU17" s="354" t="str">
        <f t="shared" si="158"/>
        <v/>
      </c>
      <c r="FV17" s="354" t="str">
        <f t="shared" si="159"/>
        <v/>
      </c>
      <c r="FW17" s="354" t="str">
        <f t="shared" si="160"/>
        <v/>
      </c>
      <c r="FX17" s="354" t="str">
        <f t="shared" si="161"/>
        <v/>
      </c>
      <c r="FY17" s="354" t="str">
        <f t="shared" si="162"/>
        <v/>
      </c>
      <c r="FZ17" s="354" t="str">
        <f t="shared" si="163"/>
        <v/>
      </c>
      <c r="GA17" s="354" t="str">
        <f t="shared" si="164"/>
        <v/>
      </c>
      <c r="GB17" s="354" t="str">
        <f t="shared" si="165"/>
        <v/>
      </c>
      <c r="GC17" s="354" t="str">
        <f t="shared" si="166"/>
        <v/>
      </c>
      <c r="GD17" s="354" t="str">
        <f t="shared" si="167"/>
        <v/>
      </c>
      <c r="GE17" s="354" t="str">
        <f t="shared" si="168"/>
        <v/>
      </c>
      <c r="GF17" s="354" t="str">
        <f t="shared" si="169"/>
        <v/>
      </c>
      <c r="GG17" s="354" t="str">
        <f t="shared" si="170"/>
        <v/>
      </c>
      <c r="GH17" s="354" t="str">
        <f t="shared" si="171"/>
        <v/>
      </c>
      <c r="GI17" s="354" t="str">
        <f t="shared" si="172"/>
        <v/>
      </c>
      <c r="GJ17" s="354" t="str">
        <f t="shared" si="173"/>
        <v/>
      </c>
      <c r="GK17" s="354" t="str">
        <f t="shared" si="174"/>
        <v/>
      </c>
      <c r="GL17" s="354" t="str">
        <f t="shared" si="175"/>
        <v/>
      </c>
      <c r="GM17" s="354" t="str">
        <f t="shared" si="176"/>
        <v/>
      </c>
      <c r="GN17" s="354" t="str">
        <f t="shared" si="177"/>
        <v/>
      </c>
      <c r="GO17" s="354" t="str">
        <f t="shared" si="178"/>
        <v/>
      </c>
      <c r="GP17" s="354" t="str">
        <f t="shared" si="179"/>
        <v/>
      </c>
      <c r="GQ17" s="354" t="str">
        <f t="shared" si="180"/>
        <v/>
      </c>
      <c r="GR17" s="354" t="str">
        <f t="shared" si="181"/>
        <v/>
      </c>
      <c r="GS17" s="354" t="str">
        <f t="shared" si="182"/>
        <v/>
      </c>
      <c r="GT17" s="354" t="str">
        <f t="shared" si="183"/>
        <v/>
      </c>
      <c r="GU17" s="354" t="str">
        <f t="shared" si="184"/>
        <v/>
      </c>
      <c r="GV17" s="354" t="str">
        <f t="shared" si="185"/>
        <v/>
      </c>
      <c r="GW17" s="354" t="str">
        <f t="shared" si="186"/>
        <v/>
      </c>
      <c r="GX17" s="354" t="str">
        <f t="shared" si="187"/>
        <v/>
      </c>
      <c r="GY17" s="354" t="str">
        <f t="shared" si="188"/>
        <v/>
      </c>
      <c r="GZ17" s="354" t="str">
        <f t="shared" si="189"/>
        <v/>
      </c>
      <c r="HA17" s="354" t="str">
        <f t="shared" si="190"/>
        <v/>
      </c>
      <c r="HB17" s="354" t="str">
        <f t="shared" si="191"/>
        <v/>
      </c>
      <c r="HC17" s="354" t="str">
        <f t="shared" si="192"/>
        <v/>
      </c>
      <c r="HD17" s="354" t="str">
        <f t="shared" si="193"/>
        <v/>
      </c>
      <c r="HE17" s="354" t="str">
        <f t="shared" si="194"/>
        <v/>
      </c>
      <c r="HF17" s="354" t="str">
        <f t="shared" si="195"/>
        <v/>
      </c>
      <c r="HG17" s="354" t="str">
        <f t="shared" si="196"/>
        <v/>
      </c>
      <c r="HH17" s="354" t="str">
        <f t="shared" si="197"/>
        <v/>
      </c>
      <c r="HI17" s="354" t="str">
        <f t="shared" si="198"/>
        <v/>
      </c>
      <c r="HJ17" s="354" t="str">
        <f t="shared" si="199"/>
        <v/>
      </c>
      <c r="HK17" s="354" t="str">
        <f t="shared" si="200"/>
        <v/>
      </c>
      <c r="HL17" s="354" t="str">
        <f t="shared" si="201"/>
        <v/>
      </c>
      <c r="HM17" s="354">
        <f t="shared" si="202"/>
        <v>5</v>
      </c>
      <c r="HN17" s="354" t="str">
        <f t="shared" si="203"/>
        <v/>
      </c>
      <c r="HO17" s="354" t="str">
        <f t="shared" si="204"/>
        <v/>
      </c>
      <c r="HP17" s="354" t="str">
        <f t="shared" si="205"/>
        <v/>
      </c>
      <c r="HQ17" s="354" t="str">
        <f t="shared" si="206"/>
        <v/>
      </c>
      <c r="HR17" s="354" t="str">
        <f t="shared" si="207"/>
        <v/>
      </c>
      <c r="HS17" s="354" t="str">
        <f t="shared" si="208"/>
        <v/>
      </c>
      <c r="HT17" s="354" t="str">
        <f t="shared" si="209"/>
        <v/>
      </c>
      <c r="HU17" s="354" t="str">
        <f t="shared" si="210"/>
        <v/>
      </c>
      <c r="HV17" s="354" t="str">
        <f t="shared" si="211"/>
        <v/>
      </c>
      <c r="HW17" s="354" t="str">
        <f t="shared" si="212"/>
        <v/>
      </c>
      <c r="HX17" s="354" t="str">
        <f t="shared" si="213"/>
        <v/>
      </c>
      <c r="HY17" s="354" t="str">
        <f t="shared" si="214"/>
        <v/>
      </c>
      <c r="HZ17" s="354" t="str">
        <f t="shared" si="215"/>
        <v/>
      </c>
      <c r="IA17" s="354" t="str">
        <f t="shared" si="216"/>
        <v/>
      </c>
      <c r="IB17" s="354" t="str">
        <f t="shared" si="217"/>
        <v/>
      </c>
      <c r="IC17" s="354" t="str">
        <f t="shared" si="218"/>
        <v/>
      </c>
      <c r="ID17" s="355" t="str">
        <f t="shared" si="219"/>
        <v/>
      </c>
      <c r="IE17" s="355" t="str">
        <f t="shared" si="220"/>
        <v/>
      </c>
      <c r="IF17" s="355" t="str">
        <f t="shared" si="221"/>
        <v/>
      </c>
      <c r="IG17" s="355" t="str">
        <f t="shared" si="222"/>
        <v/>
      </c>
      <c r="IH17" s="355" t="str">
        <f t="shared" si="223"/>
        <v/>
      </c>
      <c r="II17" s="344" t="str">
        <f t="shared" si="224"/>
        <v/>
      </c>
      <c r="IJ17" s="344" t="str">
        <f t="shared" si="225"/>
        <v/>
      </c>
      <c r="IK17" s="344" t="str">
        <f t="shared" si="226"/>
        <v/>
      </c>
      <c r="IL17" s="344" t="str">
        <f t="shared" si="227"/>
        <v/>
      </c>
      <c r="IM17" s="344" t="str">
        <f t="shared" si="228"/>
        <v/>
      </c>
      <c r="IN17" s="344" t="str">
        <f t="shared" si="229"/>
        <v/>
      </c>
      <c r="IO17" s="344" t="str">
        <f t="shared" si="230"/>
        <v/>
      </c>
      <c r="IP17" s="344" t="str">
        <f t="shared" si="231"/>
        <v/>
      </c>
      <c r="IQ17" s="344" t="str">
        <f t="shared" si="232"/>
        <v/>
      </c>
      <c r="IR17" s="344" t="str">
        <f t="shared" si="233"/>
        <v/>
      </c>
      <c r="IS17" s="344" t="str">
        <f t="shared" si="234"/>
        <v/>
      </c>
      <c r="IT17" s="344" t="str">
        <f t="shared" si="235"/>
        <v/>
      </c>
      <c r="IU17" s="344" t="str">
        <f t="shared" si="236"/>
        <v/>
      </c>
      <c r="IV17" s="344" t="str">
        <f t="shared" si="237"/>
        <v/>
      </c>
      <c r="IW17" s="344" t="str">
        <f t="shared" si="238"/>
        <v/>
      </c>
      <c r="IX17" s="344" t="str">
        <f t="shared" si="239"/>
        <v/>
      </c>
      <c r="IY17" s="344" t="str">
        <f t="shared" si="240"/>
        <v/>
      </c>
      <c r="IZ17" s="344" t="str">
        <f t="shared" si="241"/>
        <v/>
      </c>
      <c r="JA17" s="344" t="str">
        <f t="shared" si="242"/>
        <v/>
      </c>
      <c r="JB17" s="344" t="str">
        <f t="shared" si="243"/>
        <v/>
      </c>
      <c r="JC17" s="353">
        <f t="shared" si="244"/>
        <v>0</v>
      </c>
      <c r="JD17" s="353">
        <f t="shared" si="245"/>
        <v>0</v>
      </c>
      <c r="JE17" s="353">
        <f t="shared" si="246"/>
        <v>0</v>
      </c>
      <c r="JF17" s="353">
        <f t="shared" si="247"/>
        <v>0</v>
      </c>
      <c r="JG17" s="353">
        <f t="shared" si="248"/>
        <v>0</v>
      </c>
      <c r="JH17" s="353">
        <f t="shared" si="249"/>
        <v>0</v>
      </c>
      <c r="JI17" s="353">
        <f t="shared" si="250"/>
        <v>0</v>
      </c>
      <c r="JJ17" s="353">
        <f t="shared" si="251"/>
        <v>0</v>
      </c>
      <c r="JK17" s="353">
        <f t="shared" si="252"/>
        <v>5</v>
      </c>
      <c r="JL17" s="353">
        <f t="shared" si="253"/>
        <v>0</v>
      </c>
      <c r="JM17" s="353">
        <f t="shared" si="254"/>
        <v>0</v>
      </c>
      <c r="JN17" s="353">
        <f t="shared" si="255"/>
        <v>0</v>
      </c>
      <c r="JO17" s="353">
        <f t="shared" si="256"/>
        <v>0</v>
      </c>
      <c r="JP17" s="353">
        <f t="shared" si="257"/>
        <v>0</v>
      </c>
      <c r="JQ17" s="353">
        <f t="shared" si="258"/>
        <v>0</v>
      </c>
    </row>
    <row r="18" spans="1:277" ht="12" customHeight="1">
      <c r="A18" s="70" t="str">
        <f t="shared" si="0"/>
        <v/>
      </c>
      <c r="B18" s="2628" t="s">
        <v>1104</v>
      </c>
      <c r="C18" s="2629">
        <v>2</v>
      </c>
      <c r="D18" s="2630">
        <v>2</v>
      </c>
      <c r="E18" s="2631">
        <v>4</v>
      </c>
      <c r="F18" s="2631">
        <v>1045</v>
      </c>
      <c r="G18" s="2631">
        <v>942</v>
      </c>
      <c r="H18" s="2631">
        <v>882</v>
      </c>
      <c r="I18" s="2632">
        <f>IF(C18="",0,HLOOKUP(C18,'Part V-Utility Allowances'!$I$11:$M$21,11))</f>
        <v>128</v>
      </c>
      <c r="J18" s="2633"/>
      <c r="K18" s="488">
        <f t="shared" si="1"/>
        <v>754</v>
      </c>
      <c r="L18" s="488">
        <f t="shared" si="2"/>
        <v>3016</v>
      </c>
      <c r="M18" s="2634" t="s">
        <v>21</v>
      </c>
      <c r="N18" s="2634" t="s">
        <v>1087</v>
      </c>
      <c r="O18" s="2634" t="s">
        <v>112</v>
      </c>
      <c r="P18" s="2635" t="s">
        <v>21</v>
      </c>
      <c r="Q18" s="2636">
        <f t="shared" si="3"/>
        <v>35280</v>
      </c>
      <c r="R18" s="2637">
        <f>IF(H18="","",IF(C18="Efficiency",Q18/($O$6*VLOOKUP(0,'DCA Underwriting Assumptions'!$J$143:$K$148,2,FALSE)),Q18/($O$6*VLOOKUP(C18,'DCA Underwriting Assumptions'!$J$143:$K$148,2,FALSE))))</f>
        <v>0.56241032998565277</v>
      </c>
      <c r="S18" s="2638"/>
      <c r="T18" s="2639"/>
      <c r="U18" s="2594"/>
      <c r="V18" s="2595"/>
      <c r="W18" s="102" t="str">
        <f t="shared" si="4"/>
        <v/>
      </c>
      <c r="X18" s="102" t="str">
        <f t="shared" si="5"/>
        <v/>
      </c>
      <c r="Y18" s="102" t="str">
        <f t="shared" si="6"/>
        <v/>
      </c>
      <c r="Z18" s="102" t="str">
        <f t="shared" si="7"/>
        <v/>
      </c>
      <c r="AA18" s="102" t="str">
        <f t="shared" si="8"/>
        <v/>
      </c>
      <c r="AB18" s="102" t="str">
        <f t="shared" si="9"/>
        <v/>
      </c>
      <c r="AC18" s="102" t="str">
        <f t="shared" si="10"/>
        <v/>
      </c>
      <c r="AD18" s="102" t="str">
        <f t="shared" si="11"/>
        <v/>
      </c>
      <c r="AE18" s="102" t="str">
        <f t="shared" si="12"/>
        <v/>
      </c>
      <c r="AF18" s="102" t="str">
        <f t="shared" si="13"/>
        <v/>
      </c>
      <c r="AG18" s="102" t="str">
        <f t="shared" si="14"/>
        <v/>
      </c>
      <c r="AH18" s="102" t="str">
        <f t="shared" si="15"/>
        <v/>
      </c>
      <c r="AI18" s="102" t="str">
        <f t="shared" si="16"/>
        <v/>
      </c>
      <c r="AJ18" s="102" t="str">
        <f t="shared" si="17"/>
        <v/>
      </c>
      <c r="AK18" s="102" t="str">
        <f t="shared" si="18"/>
        <v/>
      </c>
      <c r="AL18" s="102" t="str">
        <f t="shared" si="19"/>
        <v/>
      </c>
      <c r="AM18" s="102" t="str">
        <f t="shared" si="20"/>
        <v/>
      </c>
      <c r="AN18" s="102">
        <f t="shared" si="21"/>
        <v>4</v>
      </c>
      <c r="AO18" s="102" t="str">
        <f t="shared" si="22"/>
        <v/>
      </c>
      <c r="AP18" s="102" t="str">
        <f t="shared" si="23"/>
        <v/>
      </c>
      <c r="AQ18" s="102" t="str">
        <f t="shared" si="24"/>
        <v/>
      </c>
      <c r="AR18" s="102" t="str">
        <f t="shared" si="25"/>
        <v/>
      </c>
      <c r="AS18" s="102" t="str">
        <f t="shared" si="26"/>
        <v/>
      </c>
      <c r="AT18" s="102" t="str">
        <f t="shared" si="27"/>
        <v/>
      </c>
      <c r="AU18" s="102" t="str">
        <f t="shared" si="28"/>
        <v/>
      </c>
      <c r="AV18" s="102" t="str">
        <f t="shared" si="29"/>
        <v/>
      </c>
      <c r="AW18" s="102" t="str">
        <f t="shared" si="30"/>
        <v/>
      </c>
      <c r="AX18" s="102" t="str">
        <f t="shared" si="31"/>
        <v/>
      </c>
      <c r="AY18" s="102" t="str">
        <f t="shared" si="32"/>
        <v/>
      </c>
      <c r="AZ18" s="102" t="str">
        <f t="shared" si="33"/>
        <v/>
      </c>
      <c r="BA18" s="102" t="str">
        <f t="shared" si="34"/>
        <v/>
      </c>
      <c r="BB18" s="102" t="str">
        <f t="shared" si="35"/>
        <v/>
      </c>
      <c r="BC18" s="102" t="str">
        <f t="shared" si="36"/>
        <v/>
      </c>
      <c r="BD18" s="102" t="str">
        <f t="shared" si="37"/>
        <v/>
      </c>
      <c r="BE18" s="102" t="str">
        <f t="shared" si="38"/>
        <v/>
      </c>
      <c r="BF18" s="102" t="str">
        <f t="shared" si="39"/>
        <v/>
      </c>
      <c r="BG18" s="102" t="str">
        <f t="shared" si="40"/>
        <v/>
      </c>
      <c r="BH18" s="102" t="str">
        <f t="shared" si="41"/>
        <v/>
      </c>
      <c r="BI18" s="102" t="str">
        <f t="shared" si="42"/>
        <v/>
      </c>
      <c r="BJ18" s="102" t="str">
        <f t="shared" si="43"/>
        <v/>
      </c>
      <c r="BK18" s="102" t="str">
        <f t="shared" si="44"/>
        <v/>
      </c>
      <c r="BL18" s="102" t="str">
        <f t="shared" si="45"/>
        <v/>
      </c>
      <c r="BM18" s="102" t="str">
        <f t="shared" si="46"/>
        <v/>
      </c>
      <c r="BN18" s="102" t="str">
        <f t="shared" si="47"/>
        <v/>
      </c>
      <c r="BO18" s="102" t="str">
        <f t="shared" si="48"/>
        <v/>
      </c>
      <c r="BP18" s="102" t="str">
        <f t="shared" si="49"/>
        <v/>
      </c>
      <c r="BQ18" s="102" t="str">
        <f t="shared" si="50"/>
        <v/>
      </c>
      <c r="BR18" s="102" t="str">
        <f t="shared" si="51"/>
        <v/>
      </c>
      <c r="BS18" s="102" t="str">
        <f t="shared" si="52"/>
        <v/>
      </c>
      <c r="BT18" s="102" t="str">
        <f t="shared" si="53"/>
        <v/>
      </c>
      <c r="BU18" s="102" t="str">
        <f t="shared" si="54"/>
        <v/>
      </c>
      <c r="BV18" s="102" t="str">
        <f t="shared" si="55"/>
        <v/>
      </c>
      <c r="BW18" s="102" t="str">
        <f t="shared" si="56"/>
        <v/>
      </c>
      <c r="BX18" s="102" t="str">
        <f t="shared" si="57"/>
        <v/>
      </c>
      <c r="BY18" s="102" t="str">
        <f t="shared" si="58"/>
        <v/>
      </c>
      <c r="BZ18" s="102" t="str">
        <f t="shared" si="59"/>
        <v/>
      </c>
      <c r="CA18" s="102" t="str">
        <f t="shared" si="60"/>
        <v/>
      </c>
      <c r="CB18" s="102" t="str">
        <f t="shared" si="61"/>
        <v/>
      </c>
      <c r="CC18" s="102" t="str">
        <f t="shared" si="62"/>
        <v/>
      </c>
      <c r="CD18" s="102" t="str">
        <f t="shared" si="63"/>
        <v/>
      </c>
      <c r="CE18" s="102" t="str">
        <f t="shared" si="64"/>
        <v/>
      </c>
      <c r="CF18" s="102" t="str">
        <f t="shared" si="65"/>
        <v/>
      </c>
      <c r="CG18" s="102" t="str">
        <f t="shared" si="66"/>
        <v/>
      </c>
      <c r="CH18" s="102" t="str">
        <f t="shared" si="67"/>
        <v/>
      </c>
      <c r="CI18" s="102" t="str">
        <f t="shared" si="68"/>
        <v/>
      </c>
      <c r="CJ18" s="102" t="str">
        <f t="shared" si="69"/>
        <v/>
      </c>
      <c r="CK18" s="102" t="str">
        <f t="shared" si="70"/>
        <v/>
      </c>
      <c r="CL18" s="102" t="str">
        <f t="shared" si="71"/>
        <v/>
      </c>
      <c r="CM18" s="102" t="str">
        <f t="shared" si="72"/>
        <v/>
      </c>
      <c r="CN18" s="102" t="str">
        <f t="shared" si="73"/>
        <v/>
      </c>
      <c r="CO18" s="102" t="str">
        <f t="shared" si="74"/>
        <v/>
      </c>
      <c r="CP18" s="102" t="str">
        <f t="shared" si="75"/>
        <v/>
      </c>
      <c r="CQ18" s="102">
        <f t="shared" si="76"/>
        <v>4180</v>
      </c>
      <c r="CR18" s="102" t="str">
        <f t="shared" si="77"/>
        <v/>
      </c>
      <c r="CS18" s="102" t="str">
        <f t="shared" si="78"/>
        <v/>
      </c>
      <c r="CT18" s="102" t="str">
        <f t="shared" si="79"/>
        <v/>
      </c>
      <c r="CU18" s="102" t="str">
        <f t="shared" si="80"/>
        <v/>
      </c>
      <c r="CV18" s="102" t="str">
        <f t="shared" si="81"/>
        <v/>
      </c>
      <c r="CW18" s="102" t="str">
        <f t="shared" si="82"/>
        <v/>
      </c>
      <c r="CX18" s="102" t="str">
        <f t="shared" si="83"/>
        <v/>
      </c>
      <c r="CY18" s="102" t="str">
        <f t="shared" si="84"/>
        <v/>
      </c>
      <c r="CZ18" s="102" t="str">
        <f t="shared" si="85"/>
        <v/>
      </c>
      <c r="DA18" s="102" t="str">
        <f t="shared" si="86"/>
        <v/>
      </c>
      <c r="DB18" s="102" t="str">
        <f t="shared" si="87"/>
        <v/>
      </c>
      <c r="DC18" s="102" t="str">
        <f t="shared" si="88"/>
        <v/>
      </c>
      <c r="DD18" s="102" t="str">
        <f t="shared" si="89"/>
        <v/>
      </c>
      <c r="DE18" s="102" t="str">
        <f t="shared" si="90"/>
        <v/>
      </c>
      <c r="DF18" s="102" t="str">
        <f t="shared" si="91"/>
        <v/>
      </c>
      <c r="DG18" s="102" t="str">
        <f t="shared" si="92"/>
        <v/>
      </c>
      <c r="DH18" s="102" t="str">
        <f t="shared" si="93"/>
        <v/>
      </c>
      <c r="DI18" s="102" t="str">
        <f t="shared" si="94"/>
        <v/>
      </c>
      <c r="DJ18" s="102" t="str">
        <f t="shared" si="95"/>
        <v/>
      </c>
      <c r="DK18" s="102">
        <f t="shared" si="96"/>
        <v>4</v>
      </c>
      <c r="DL18" s="102" t="str">
        <f t="shared" si="97"/>
        <v/>
      </c>
      <c r="DM18" s="102" t="str">
        <f t="shared" si="98"/>
        <v/>
      </c>
      <c r="DN18" s="102" t="str">
        <f t="shared" si="99"/>
        <v/>
      </c>
      <c r="DO18" s="102" t="str">
        <f t="shared" si="100"/>
        <v/>
      </c>
      <c r="DP18" s="102" t="str">
        <f t="shared" si="101"/>
        <v/>
      </c>
      <c r="DQ18" s="102" t="str">
        <f t="shared" si="102"/>
        <v/>
      </c>
      <c r="DR18" s="102" t="str">
        <f t="shared" si="103"/>
        <v/>
      </c>
      <c r="DS18" s="102" t="str">
        <f t="shared" si="104"/>
        <v/>
      </c>
      <c r="DT18" s="102" t="str">
        <f t="shared" si="105"/>
        <v/>
      </c>
      <c r="DU18" s="102" t="str">
        <f t="shared" si="106"/>
        <v/>
      </c>
      <c r="DV18" s="102" t="str">
        <f t="shared" si="107"/>
        <v/>
      </c>
      <c r="DW18" s="102" t="str">
        <f t="shared" si="108"/>
        <v/>
      </c>
      <c r="DX18" s="102" t="str">
        <f t="shared" si="109"/>
        <v/>
      </c>
      <c r="DY18" s="102" t="str">
        <f t="shared" si="110"/>
        <v/>
      </c>
      <c r="DZ18" s="102" t="str">
        <f t="shared" si="111"/>
        <v/>
      </c>
      <c r="EA18" s="102" t="str">
        <f t="shared" si="112"/>
        <v/>
      </c>
      <c r="EB18" s="102" t="str">
        <f t="shared" si="113"/>
        <v/>
      </c>
      <c r="EC18" s="102" t="str">
        <f t="shared" si="114"/>
        <v/>
      </c>
      <c r="ED18" s="102" t="str">
        <f t="shared" si="115"/>
        <v/>
      </c>
      <c r="EE18" s="102" t="str">
        <f t="shared" si="116"/>
        <v/>
      </c>
      <c r="EF18" s="102" t="str">
        <f t="shared" si="117"/>
        <v/>
      </c>
      <c r="EG18" s="102" t="str">
        <f t="shared" si="118"/>
        <v/>
      </c>
      <c r="EH18" s="102" t="str">
        <f t="shared" si="119"/>
        <v/>
      </c>
      <c r="EI18" s="102" t="str">
        <f t="shared" si="120"/>
        <v/>
      </c>
      <c r="EJ18" s="102" t="str">
        <f t="shared" si="121"/>
        <v/>
      </c>
      <c r="EK18" s="102" t="str">
        <f t="shared" si="122"/>
        <v/>
      </c>
      <c r="EL18" s="102" t="str">
        <f t="shared" si="123"/>
        <v/>
      </c>
      <c r="EM18" s="102" t="str">
        <f t="shared" si="124"/>
        <v/>
      </c>
      <c r="EN18" s="102" t="str">
        <f t="shared" si="125"/>
        <v/>
      </c>
      <c r="EO18" s="102" t="str">
        <f t="shared" si="126"/>
        <v/>
      </c>
      <c r="EP18" s="102" t="str">
        <f t="shared" si="127"/>
        <v/>
      </c>
      <c r="EQ18" s="102" t="str">
        <f t="shared" si="128"/>
        <v/>
      </c>
      <c r="ER18" s="102" t="str">
        <f t="shared" si="129"/>
        <v/>
      </c>
      <c r="ES18" s="102" t="str">
        <f t="shared" si="130"/>
        <v/>
      </c>
      <c r="ET18" s="102" t="str">
        <f t="shared" si="131"/>
        <v/>
      </c>
      <c r="EU18" s="102" t="str">
        <f t="shared" si="132"/>
        <v/>
      </c>
      <c r="EV18" s="102" t="str">
        <f t="shared" si="133"/>
        <v/>
      </c>
      <c r="EW18" s="792" t="str">
        <f t="shared" si="134"/>
        <v/>
      </c>
      <c r="EX18" s="354" t="str">
        <f t="shared" si="135"/>
        <v/>
      </c>
      <c r="EY18" s="354">
        <f t="shared" si="136"/>
        <v>4</v>
      </c>
      <c r="EZ18" s="354" t="str">
        <f t="shared" si="137"/>
        <v/>
      </c>
      <c r="FA18" s="354" t="str">
        <f t="shared" si="138"/>
        <v/>
      </c>
      <c r="FB18" s="354" t="str">
        <f t="shared" si="139"/>
        <v/>
      </c>
      <c r="FC18" s="354" t="str">
        <f t="shared" si="140"/>
        <v/>
      </c>
      <c r="FD18" s="354" t="str">
        <f t="shared" si="141"/>
        <v/>
      </c>
      <c r="FE18" s="354" t="str">
        <f t="shared" si="142"/>
        <v/>
      </c>
      <c r="FF18" s="354" t="str">
        <f t="shared" si="143"/>
        <v/>
      </c>
      <c r="FG18" s="354" t="str">
        <f t="shared" si="144"/>
        <v/>
      </c>
      <c r="FH18" s="354" t="str">
        <f t="shared" si="145"/>
        <v/>
      </c>
      <c r="FI18" s="354" t="str">
        <f t="shared" si="146"/>
        <v/>
      </c>
      <c r="FJ18" s="354" t="str">
        <f t="shared" si="147"/>
        <v/>
      </c>
      <c r="FK18" s="354" t="str">
        <f t="shared" si="148"/>
        <v/>
      </c>
      <c r="FL18" s="354" t="str">
        <f t="shared" si="149"/>
        <v/>
      </c>
      <c r="FM18" s="354" t="str">
        <f t="shared" si="150"/>
        <v/>
      </c>
      <c r="FN18" s="354" t="str">
        <f t="shared" si="151"/>
        <v/>
      </c>
      <c r="FO18" s="354" t="str">
        <f t="shared" si="152"/>
        <v/>
      </c>
      <c r="FP18" s="354" t="str">
        <f t="shared" si="153"/>
        <v/>
      </c>
      <c r="FQ18" s="354" t="str">
        <f t="shared" si="154"/>
        <v/>
      </c>
      <c r="FR18" s="354" t="str">
        <f t="shared" si="155"/>
        <v/>
      </c>
      <c r="FS18" s="354" t="str">
        <f t="shared" si="156"/>
        <v/>
      </c>
      <c r="FT18" s="354" t="str">
        <f t="shared" si="157"/>
        <v/>
      </c>
      <c r="FU18" s="354" t="str">
        <f t="shared" si="158"/>
        <v/>
      </c>
      <c r="FV18" s="354" t="str">
        <f t="shared" si="159"/>
        <v/>
      </c>
      <c r="FW18" s="354" t="str">
        <f t="shared" si="160"/>
        <v/>
      </c>
      <c r="FX18" s="354" t="str">
        <f t="shared" si="161"/>
        <v/>
      </c>
      <c r="FY18" s="354" t="str">
        <f t="shared" si="162"/>
        <v/>
      </c>
      <c r="FZ18" s="354" t="str">
        <f t="shared" si="163"/>
        <v/>
      </c>
      <c r="GA18" s="354" t="str">
        <f t="shared" si="164"/>
        <v/>
      </c>
      <c r="GB18" s="354" t="str">
        <f t="shared" si="165"/>
        <v/>
      </c>
      <c r="GC18" s="354" t="str">
        <f t="shared" si="166"/>
        <v/>
      </c>
      <c r="GD18" s="354" t="str">
        <f t="shared" si="167"/>
        <v/>
      </c>
      <c r="GE18" s="354" t="str">
        <f t="shared" si="168"/>
        <v/>
      </c>
      <c r="GF18" s="354" t="str">
        <f t="shared" si="169"/>
        <v/>
      </c>
      <c r="GG18" s="354" t="str">
        <f t="shared" si="170"/>
        <v/>
      </c>
      <c r="GH18" s="354" t="str">
        <f t="shared" si="171"/>
        <v/>
      </c>
      <c r="GI18" s="354" t="str">
        <f t="shared" si="172"/>
        <v/>
      </c>
      <c r="GJ18" s="354" t="str">
        <f t="shared" si="173"/>
        <v/>
      </c>
      <c r="GK18" s="354" t="str">
        <f t="shared" si="174"/>
        <v/>
      </c>
      <c r="GL18" s="354" t="str">
        <f t="shared" si="175"/>
        <v/>
      </c>
      <c r="GM18" s="354" t="str">
        <f t="shared" si="176"/>
        <v/>
      </c>
      <c r="GN18" s="354" t="str">
        <f t="shared" si="177"/>
        <v/>
      </c>
      <c r="GO18" s="354" t="str">
        <f t="shared" si="178"/>
        <v/>
      </c>
      <c r="GP18" s="354" t="str">
        <f t="shared" si="179"/>
        <v/>
      </c>
      <c r="GQ18" s="354" t="str">
        <f t="shared" si="180"/>
        <v/>
      </c>
      <c r="GR18" s="354" t="str">
        <f t="shared" si="181"/>
        <v/>
      </c>
      <c r="GS18" s="354" t="str">
        <f t="shared" si="182"/>
        <v/>
      </c>
      <c r="GT18" s="354" t="str">
        <f t="shared" si="183"/>
        <v/>
      </c>
      <c r="GU18" s="354" t="str">
        <f t="shared" si="184"/>
        <v/>
      </c>
      <c r="GV18" s="354" t="str">
        <f t="shared" si="185"/>
        <v/>
      </c>
      <c r="GW18" s="354" t="str">
        <f t="shared" si="186"/>
        <v/>
      </c>
      <c r="GX18" s="354" t="str">
        <f t="shared" si="187"/>
        <v/>
      </c>
      <c r="GY18" s="354" t="str">
        <f t="shared" si="188"/>
        <v/>
      </c>
      <c r="GZ18" s="354" t="str">
        <f t="shared" si="189"/>
        <v/>
      </c>
      <c r="HA18" s="354" t="str">
        <f t="shared" si="190"/>
        <v/>
      </c>
      <c r="HB18" s="354" t="str">
        <f t="shared" si="191"/>
        <v/>
      </c>
      <c r="HC18" s="354" t="str">
        <f t="shared" si="192"/>
        <v/>
      </c>
      <c r="HD18" s="354" t="str">
        <f t="shared" si="193"/>
        <v/>
      </c>
      <c r="HE18" s="354" t="str">
        <f t="shared" si="194"/>
        <v/>
      </c>
      <c r="HF18" s="354" t="str">
        <f t="shared" si="195"/>
        <v/>
      </c>
      <c r="HG18" s="354" t="str">
        <f t="shared" si="196"/>
        <v/>
      </c>
      <c r="HH18" s="354" t="str">
        <f t="shared" si="197"/>
        <v/>
      </c>
      <c r="HI18" s="354" t="str">
        <f t="shared" si="198"/>
        <v/>
      </c>
      <c r="HJ18" s="354" t="str">
        <f t="shared" si="199"/>
        <v/>
      </c>
      <c r="HK18" s="354" t="str">
        <f t="shared" si="200"/>
        <v/>
      </c>
      <c r="HL18" s="354">
        <f t="shared" si="201"/>
        <v>4</v>
      </c>
      <c r="HM18" s="354" t="str">
        <f t="shared" si="202"/>
        <v/>
      </c>
      <c r="HN18" s="354" t="str">
        <f t="shared" si="203"/>
        <v/>
      </c>
      <c r="HO18" s="354" t="str">
        <f t="shared" si="204"/>
        <v/>
      </c>
      <c r="HP18" s="354" t="str">
        <f t="shared" si="205"/>
        <v/>
      </c>
      <c r="HQ18" s="354" t="str">
        <f t="shared" si="206"/>
        <v/>
      </c>
      <c r="HR18" s="354" t="str">
        <f t="shared" si="207"/>
        <v/>
      </c>
      <c r="HS18" s="354" t="str">
        <f t="shared" si="208"/>
        <v/>
      </c>
      <c r="HT18" s="354" t="str">
        <f t="shared" si="209"/>
        <v/>
      </c>
      <c r="HU18" s="354" t="str">
        <f t="shared" si="210"/>
        <v/>
      </c>
      <c r="HV18" s="354" t="str">
        <f t="shared" si="211"/>
        <v/>
      </c>
      <c r="HW18" s="354" t="str">
        <f t="shared" si="212"/>
        <v/>
      </c>
      <c r="HX18" s="354" t="str">
        <f t="shared" si="213"/>
        <v/>
      </c>
      <c r="HY18" s="354" t="str">
        <f t="shared" si="214"/>
        <v/>
      </c>
      <c r="HZ18" s="354" t="str">
        <f t="shared" si="215"/>
        <v/>
      </c>
      <c r="IA18" s="354" t="str">
        <f t="shared" si="216"/>
        <v/>
      </c>
      <c r="IB18" s="354" t="str">
        <f t="shared" si="217"/>
        <v/>
      </c>
      <c r="IC18" s="354" t="str">
        <f t="shared" si="218"/>
        <v/>
      </c>
      <c r="ID18" s="355" t="str">
        <f t="shared" si="219"/>
        <v/>
      </c>
      <c r="IE18" s="355" t="str">
        <f t="shared" si="220"/>
        <v/>
      </c>
      <c r="IF18" s="355" t="str">
        <f t="shared" si="221"/>
        <v/>
      </c>
      <c r="IG18" s="355" t="str">
        <f t="shared" si="222"/>
        <v/>
      </c>
      <c r="IH18" s="355" t="str">
        <f t="shared" si="223"/>
        <v/>
      </c>
      <c r="II18" s="344" t="str">
        <f t="shared" si="224"/>
        <v/>
      </c>
      <c r="IJ18" s="344" t="str">
        <f t="shared" si="225"/>
        <v/>
      </c>
      <c r="IK18" s="344" t="str">
        <f t="shared" si="226"/>
        <v/>
      </c>
      <c r="IL18" s="344" t="str">
        <f t="shared" si="227"/>
        <v/>
      </c>
      <c r="IM18" s="344" t="str">
        <f t="shared" si="228"/>
        <v/>
      </c>
      <c r="IN18" s="344" t="str">
        <f t="shared" si="229"/>
        <v/>
      </c>
      <c r="IO18" s="344" t="str">
        <f t="shared" si="230"/>
        <v/>
      </c>
      <c r="IP18" s="344" t="str">
        <f t="shared" si="231"/>
        <v/>
      </c>
      <c r="IQ18" s="344" t="str">
        <f t="shared" si="232"/>
        <v/>
      </c>
      <c r="IR18" s="344" t="str">
        <f t="shared" si="233"/>
        <v/>
      </c>
      <c r="IS18" s="344" t="str">
        <f t="shared" si="234"/>
        <v/>
      </c>
      <c r="IT18" s="344" t="str">
        <f t="shared" si="235"/>
        <v/>
      </c>
      <c r="IU18" s="344" t="str">
        <f t="shared" si="236"/>
        <v/>
      </c>
      <c r="IV18" s="344" t="str">
        <f t="shared" si="237"/>
        <v/>
      </c>
      <c r="IW18" s="344" t="str">
        <f t="shared" si="238"/>
        <v/>
      </c>
      <c r="IX18" s="344" t="str">
        <f t="shared" si="239"/>
        <v/>
      </c>
      <c r="IY18" s="344" t="str">
        <f t="shared" si="240"/>
        <v/>
      </c>
      <c r="IZ18" s="344" t="str">
        <f t="shared" si="241"/>
        <v/>
      </c>
      <c r="JA18" s="344" t="str">
        <f t="shared" si="242"/>
        <v/>
      </c>
      <c r="JB18" s="344" t="str">
        <f t="shared" si="243"/>
        <v/>
      </c>
      <c r="JC18" s="353">
        <f t="shared" si="244"/>
        <v>0</v>
      </c>
      <c r="JD18" s="353">
        <f t="shared" si="245"/>
        <v>0</v>
      </c>
      <c r="JE18" s="353">
        <f t="shared" si="246"/>
        <v>0</v>
      </c>
      <c r="JF18" s="353">
        <f t="shared" si="247"/>
        <v>0</v>
      </c>
      <c r="JG18" s="353">
        <f t="shared" si="248"/>
        <v>0</v>
      </c>
      <c r="JH18" s="353">
        <f t="shared" si="249"/>
        <v>0</v>
      </c>
      <c r="JI18" s="353">
        <f t="shared" si="250"/>
        <v>0</v>
      </c>
      <c r="JJ18" s="353">
        <f t="shared" si="251"/>
        <v>4</v>
      </c>
      <c r="JK18" s="353">
        <f t="shared" si="252"/>
        <v>0</v>
      </c>
      <c r="JL18" s="353">
        <f t="shared" si="253"/>
        <v>0</v>
      </c>
      <c r="JM18" s="353">
        <f t="shared" si="254"/>
        <v>0</v>
      </c>
      <c r="JN18" s="353">
        <f t="shared" si="255"/>
        <v>0</v>
      </c>
      <c r="JO18" s="353">
        <f t="shared" si="256"/>
        <v>0</v>
      </c>
      <c r="JP18" s="353">
        <f t="shared" si="257"/>
        <v>0</v>
      </c>
      <c r="JQ18" s="353">
        <f t="shared" si="258"/>
        <v>0</v>
      </c>
    </row>
    <row r="19" spans="1:277" ht="12" customHeight="1">
      <c r="A19" s="70" t="str">
        <f t="shared" si="0"/>
        <v/>
      </c>
      <c r="B19" s="2628" t="s">
        <v>781</v>
      </c>
      <c r="C19" s="2629"/>
      <c r="D19" s="2630"/>
      <c r="E19" s="2631"/>
      <c r="F19" s="2631"/>
      <c r="G19" s="2631"/>
      <c r="H19" s="2631"/>
      <c r="I19" s="2632">
        <f>IF(C19="",0,HLOOKUP(C19,'Part V-Utility Allowances'!$I$11:$M$21,11))</f>
        <v>0</v>
      </c>
      <c r="J19" s="2633"/>
      <c r="K19" s="488">
        <f t="shared" si="1"/>
        <v>0</v>
      </c>
      <c r="L19" s="488">
        <f t="shared" si="2"/>
        <v>0</v>
      </c>
      <c r="M19" s="2634"/>
      <c r="N19" s="2634"/>
      <c r="O19" s="2634"/>
      <c r="P19" s="2635"/>
      <c r="Q19" s="2636" t="str">
        <f t="shared" si="3"/>
        <v/>
      </c>
      <c r="R19" s="2637" t="str">
        <f>IF(H19="","",IF(C19="Efficiency",Q19/($O$6*VLOOKUP(0,'DCA Underwriting Assumptions'!$J$143:$K$148,2,FALSE)),Q19/($O$6*VLOOKUP(C19,'DCA Underwriting Assumptions'!$J$143:$K$148,2,FALSE))))</f>
        <v/>
      </c>
      <c r="S19" s="2638"/>
      <c r="T19" s="2639"/>
      <c r="U19" s="2594"/>
      <c r="V19" s="2595"/>
      <c r="W19" s="102" t="str">
        <f t="shared" si="4"/>
        <v/>
      </c>
      <c r="X19" s="102" t="str">
        <f t="shared" si="5"/>
        <v/>
      </c>
      <c r="Y19" s="102" t="str">
        <f t="shared" si="6"/>
        <v/>
      </c>
      <c r="Z19" s="102" t="str">
        <f t="shared" si="7"/>
        <v/>
      </c>
      <c r="AA19" s="102" t="str">
        <f t="shared" si="8"/>
        <v/>
      </c>
      <c r="AB19" s="102" t="str">
        <f t="shared" si="9"/>
        <v/>
      </c>
      <c r="AC19" s="102" t="str">
        <f t="shared" si="10"/>
        <v/>
      </c>
      <c r="AD19" s="102" t="str">
        <f t="shared" si="11"/>
        <v/>
      </c>
      <c r="AE19" s="102" t="str">
        <f t="shared" si="12"/>
        <v/>
      </c>
      <c r="AF19" s="102" t="str">
        <f t="shared" si="13"/>
        <v/>
      </c>
      <c r="AG19" s="102" t="str">
        <f t="shared" si="14"/>
        <v/>
      </c>
      <c r="AH19" s="102" t="str">
        <f t="shared" si="15"/>
        <v/>
      </c>
      <c r="AI19" s="102" t="str">
        <f t="shared" si="16"/>
        <v/>
      </c>
      <c r="AJ19" s="102" t="str">
        <f t="shared" si="17"/>
        <v/>
      </c>
      <c r="AK19" s="102" t="str">
        <f t="shared" si="18"/>
        <v/>
      </c>
      <c r="AL19" s="102" t="str">
        <f t="shared" si="19"/>
        <v/>
      </c>
      <c r="AM19" s="102" t="str">
        <f t="shared" si="20"/>
        <v/>
      </c>
      <c r="AN19" s="102" t="str">
        <f t="shared" si="21"/>
        <v/>
      </c>
      <c r="AO19" s="102" t="str">
        <f t="shared" si="22"/>
        <v/>
      </c>
      <c r="AP19" s="102" t="str">
        <f t="shared" si="23"/>
        <v/>
      </c>
      <c r="AQ19" s="102" t="str">
        <f t="shared" si="24"/>
        <v/>
      </c>
      <c r="AR19" s="102" t="str">
        <f t="shared" si="25"/>
        <v/>
      </c>
      <c r="AS19" s="102" t="str">
        <f t="shared" si="26"/>
        <v/>
      </c>
      <c r="AT19" s="102" t="str">
        <f t="shared" si="27"/>
        <v/>
      </c>
      <c r="AU19" s="102" t="str">
        <f t="shared" si="28"/>
        <v/>
      </c>
      <c r="AV19" s="102" t="str">
        <f t="shared" si="29"/>
        <v/>
      </c>
      <c r="AW19" s="102" t="str">
        <f t="shared" si="30"/>
        <v/>
      </c>
      <c r="AX19" s="102" t="str">
        <f t="shared" si="31"/>
        <v/>
      </c>
      <c r="AY19" s="102" t="str">
        <f t="shared" si="32"/>
        <v/>
      </c>
      <c r="AZ19" s="102" t="str">
        <f t="shared" si="33"/>
        <v/>
      </c>
      <c r="BA19" s="102" t="str">
        <f t="shared" si="34"/>
        <v/>
      </c>
      <c r="BB19" s="102" t="str">
        <f t="shared" si="35"/>
        <v/>
      </c>
      <c r="BC19" s="102" t="str">
        <f t="shared" si="36"/>
        <v/>
      </c>
      <c r="BD19" s="102" t="str">
        <f t="shared" si="37"/>
        <v/>
      </c>
      <c r="BE19" s="102" t="str">
        <f t="shared" si="38"/>
        <v/>
      </c>
      <c r="BF19" s="102" t="str">
        <f t="shared" si="39"/>
        <v/>
      </c>
      <c r="BG19" s="102" t="str">
        <f t="shared" si="40"/>
        <v/>
      </c>
      <c r="BH19" s="102" t="str">
        <f t="shared" si="41"/>
        <v/>
      </c>
      <c r="BI19" s="102" t="str">
        <f t="shared" si="42"/>
        <v/>
      </c>
      <c r="BJ19" s="102" t="str">
        <f t="shared" si="43"/>
        <v/>
      </c>
      <c r="BK19" s="102" t="str">
        <f t="shared" si="44"/>
        <v/>
      </c>
      <c r="BL19" s="102" t="str">
        <f t="shared" si="45"/>
        <v/>
      </c>
      <c r="BM19" s="102" t="str">
        <f t="shared" si="46"/>
        <v/>
      </c>
      <c r="BN19" s="102" t="str">
        <f t="shared" si="47"/>
        <v/>
      </c>
      <c r="BO19" s="102" t="str">
        <f t="shared" si="48"/>
        <v/>
      </c>
      <c r="BP19" s="102" t="str">
        <f t="shared" si="49"/>
        <v/>
      </c>
      <c r="BQ19" s="102" t="str">
        <f t="shared" si="50"/>
        <v/>
      </c>
      <c r="BR19" s="102" t="str">
        <f t="shared" si="51"/>
        <v/>
      </c>
      <c r="BS19" s="102" t="str">
        <f t="shared" si="52"/>
        <v/>
      </c>
      <c r="BT19" s="102" t="str">
        <f t="shared" si="53"/>
        <v/>
      </c>
      <c r="BU19" s="102" t="str">
        <f t="shared" si="54"/>
        <v/>
      </c>
      <c r="BV19" s="102" t="str">
        <f t="shared" si="55"/>
        <v/>
      </c>
      <c r="BW19" s="102" t="str">
        <f t="shared" si="56"/>
        <v/>
      </c>
      <c r="BX19" s="102" t="str">
        <f t="shared" si="57"/>
        <v/>
      </c>
      <c r="BY19" s="102" t="str">
        <f t="shared" si="58"/>
        <v/>
      </c>
      <c r="BZ19" s="102" t="str">
        <f t="shared" si="59"/>
        <v/>
      </c>
      <c r="CA19" s="102" t="str">
        <f t="shared" si="60"/>
        <v/>
      </c>
      <c r="CB19" s="102" t="str">
        <f t="shared" si="61"/>
        <v/>
      </c>
      <c r="CC19" s="102" t="str">
        <f t="shared" si="62"/>
        <v/>
      </c>
      <c r="CD19" s="102" t="str">
        <f t="shared" si="63"/>
        <v/>
      </c>
      <c r="CE19" s="102" t="str">
        <f t="shared" si="64"/>
        <v/>
      </c>
      <c r="CF19" s="102" t="str">
        <f t="shared" si="65"/>
        <v/>
      </c>
      <c r="CG19" s="102" t="str">
        <f t="shared" si="66"/>
        <v/>
      </c>
      <c r="CH19" s="102" t="str">
        <f t="shared" si="67"/>
        <v/>
      </c>
      <c r="CI19" s="102" t="str">
        <f t="shared" si="68"/>
        <v/>
      </c>
      <c r="CJ19" s="102" t="str">
        <f t="shared" si="69"/>
        <v/>
      </c>
      <c r="CK19" s="102" t="str">
        <f t="shared" si="70"/>
        <v/>
      </c>
      <c r="CL19" s="102" t="str">
        <f t="shared" si="71"/>
        <v/>
      </c>
      <c r="CM19" s="102" t="str">
        <f t="shared" si="72"/>
        <v/>
      </c>
      <c r="CN19" s="102" t="str">
        <f t="shared" si="73"/>
        <v/>
      </c>
      <c r="CO19" s="102" t="str">
        <f t="shared" si="74"/>
        <v/>
      </c>
      <c r="CP19" s="102" t="str">
        <f t="shared" si="75"/>
        <v/>
      </c>
      <c r="CQ19" s="102" t="str">
        <f t="shared" si="76"/>
        <v/>
      </c>
      <c r="CR19" s="102" t="str">
        <f t="shared" si="77"/>
        <v/>
      </c>
      <c r="CS19" s="102" t="str">
        <f t="shared" si="78"/>
        <v/>
      </c>
      <c r="CT19" s="102" t="str">
        <f t="shared" si="79"/>
        <v/>
      </c>
      <c r="CU19" s="102" t="str">
        <f t="shared" si="80"/>
        <v/>
      </c>
      <c r="CV19" s="102" t="str">
        <f t="shared" si="81"/>
        <v/>
      </c>
      <c r="CW19" s="102" t="str">
        <f t="shared" si="82"/>
        <v/>
      </c>
      <c r="CX19" s="102" t="str">
        <f t="shared" si="83"/>
        <v/>
      </c>
      <c r="CY19" s="102" t="str">
        <f t="shared" si="84"/>
        <v/>
      </c>
      <c r="CZ19" s="102" t="str">
        <f t="shared" si="85"/>
        <v/>
      </c>
      <c r="DA19" s="102" t="str">
        <f t="shared" si="86"/>
        <v/>
      </c>
      <c r="DB19" s="102" t="str">
        <f t="shared" si="87"/>
        <v/>
      </c>
      <c r="DC19" s="102" t="str">
        <f t="shared" si="88"/>
        <v/>
      </c>
      <c r="DD19" s="102" t="str">
        <f t="shared" si="89"/>
        <v/>
      </c>
      <c r="DE19" s="102" t="str">
        <f t="shared" si="90"/>
        <v/>
      </c>
      <c r="DF19" s="102" t="str">
        <f t="shared" si="91"/>
        <v/>
      </c>
      <c r="DG19" s="102" t="str">
        <f t="shared" si="92"/>
        <v/>
      </c>
      <c r="DH19" s="102" t="str">
        <f t="shared" si="93"/>
        <v/>
      </c>
      <c r="DI19" s="102" t="str">
        <f t="shared" si="94"/>
        <v/>
      </c>
      <c r="DJ19" s="102" t="str">
        <f t="shared" si="95"/>
        <v/>
      </c>
      <c r="DK19" s="102" t="str">
        <f t="shared" si="96"/>
        <v/>
      </c>
      <c r="DL19" s="102" t="str">
        <f t="shared" si="97"/>
        <v/>
      </c>
      <c r="DM19" s="102" t="str">
        <f t="shared" si="98"/>
        <v/>
      </c>
      <c r="DN19" s="102" t="str">
        <f t="shared" si="99"/>
        <v/>
      </c>
      <c r="DO19" s="102" t="str">
        <f t="shared" si="100"/>
        <v/>
      </c>
      <c r="DP19" s="102" t="str">
        <f t="shared" si="101"/>
        <v/>
      </c>
      <c r="DQ19" s="102" t="str">
        <f t="shared" si="102"/>
        <v/>
      </c>
      <c r="DR19" s="102" t="str">
        <f t="shared" si="103"/>
        <v/>
      </c>
      <c r="DS19" s="102" t="str">
        <f t="shared" si="104"/>
        <v/>
      </c>
      <c r="DT19" s="102" t="str">
        <f t="shared" si="105"/>
        <v/>
      </c>
      <c r="DU19" s="102" t="str">
        <f t="shared" si="106"/>
        <v/>
      </c>
      <c r="DV19" s="102" t="str">
        <f t="shared" si="107"/>
        <v/>
      </c>
      <c r="DW19" s="102" t="str">
        <f t="shared" si="108"/>
        <v/>
      </c>
      <c r="DX19" s="102" t="str">
        <f t="shared" si="109"/>
        <v/>
      </c>
      <c r="DY19" s="102" t="str">
        <f t="shared" si="110"/>
        <v/>
      </c>
      <c r="DZ19" s="102" t="str">
        <f t="shared" si="111"/>
        <v/>
      </c>
      <c r="EA19" s="102" t="str">
        <f t="shared" si="112"/>
        <v/>
      </c>
      <c r="EB19" s="102" t="str">
        <f t="shared" si="113"/>
        <v/>
      </c>
      <c r="EC19" s="102" t="str">
        <f t="shared" si="114"/>
        <v/>
      </c>
      <c r="ED19" s="102" t="str">
        <f t="shared" si="115"/>
        <v/>
      </c>
      <c r="EE19" s="102" t="str">
        <f t="shared" si="116"/>
        <v/>
      </c>
      <c r="EF19" s="102" t="str">
        <f t="shared" si="117"/>
        <v/>
      </c>
      <c r="EG19" s="102" t="str">
        <f t="shared" si="118"/>
        <v/>
      </c>
      <c r="EH19" s="102" t="str">
        <f t="shared" si="119"/>
        <v/>
      </c>
      <c r="EI19" s="102" t="str">
        <f t="shared" si="120"/>
        <v/>
      </c>
      <c r="EJ19" s="102" t="str">
        <f t="shared" si="121"/>
        <v/>
      </c>
      <c r="EK19" s="102" t="str">
        <f t="shared" si="122"/>
        <v/>
      </c>
      <c r="EL19" s="102" t="str">
        <f t="shared" si="123"/>
        <v/>
      </c>
      <c r="EM19" s="102" t="str">
        <f t="shared" si="124"/>
        <v/>
      </c>
      <c r="EN19" s="102" t="str">
        <f t="shared" si="125"/>
        <v/>
      </c>
      <c r="EO19" s="102" t="str">
        <f t="shared" si="126"/>
        <v/>
      </c>
      <c r="EP19" s="102" t="str">
        <f t="shared" si="127"/>
        <v/>
      </c>
      <c r="EQ19" s="102" t="str">
        <f t="shared" si="128"/>
        <v/>
      </c>
      <c r="ER19" s="102" t="str">
        <f t="shared" si="129"/>
        <v/>
      </c>
      <c r="ES19" s="102" t="str">
        <f t="shared" si="130"/>
        <v/>
      </c>
      <c r="ET19" s="102" t="str">
        <f t="shared" si="131"/>
        <v/>
      </c>
      <c r="EU19" s="102" t="str">
        <f t="shared" si="132"/>
        <v/>
      </c>
      <c r="EV19" s="102" t="str">
        <f t="shared" si="133"/>
        <v/>
      </c>
      <c r="EW19" s="792" t="str">
        <f t="shared" si="134"/>
        <v/>
      </c>
      <c r="EX19" s="354" t="str">
        <f t="shared" si="135"/>
        <v/>
      </c>
      <c r="EY19" s="354" t="str">
        <f t="shared" si="136"/>
        <v/>
      </c>
      <c r="EZ19" s="354" t="str">
        <f t="shared" si="137"/>
        <v/>
      </c>
      <c r="FA19" s="354" t="str">
        <f t="shared" si="138"/>
        <v/>
      </c>
      <c r="FB19" s="354" t="str">
        <f t="shared" si="139"/>
        <v/>
      </c>
      <c r="FC19" s="354" t="str">
        <f t="shared" si="140"/>
        <v/>
      </c>
      <c r="FD19" s="354" t="str">
        <f t="shared" si="141"/>
        <v/>
      </c>
      <c r="FE19" s="354" t="str">
        <f t="shared" si="142"/>
        <v/>
      </c>
      <c r="FF19" s="354" t="str">
        <f t="shared" si="143"/>
        <v/>
      </c>
      <c r="FG19" s="354" t="str">
        <f t="shared" si="144"/>
        <v/>
      </c>
      <c r="FH19" s="354" t="str">
        <f t="shared" si="145"/>
        <v/>
      </c>
      <c r="FI19" s="354" t="str">
        <f t="shared" si="146"/>
        <v/>
      </c>
      <c r="FJ19" s="354" t="str">
        <f t="shared" si="147"/>
        <v/>
      </c>
      <c r="FK19" s="354" t="str">
        <f t="shared" si="148"/>
        <v/>
      </c>
      <c r="FL19" s="354" t="str">
        <f t="shared" si="149"/>
        <v/>
      </c>
      <c r="FM19" s="354" t="str">
        <f t="shared" si="150"/>
        <v/>
      </c>
      <c r="FN19" s="354" t="str">
        <f t="shared" si="151"/>
        <v/>
      </c>
      <c r="FO19" s="354" t="str">
        <f t="shared" si="152"/>
        <v/>
      </c>
      <c r="FP19" s="354" t="str">
        <f t="shared" si="153"/>
        <v/>
      </c>
      <c r="FQ19" s="354" t="str">
        <f t="shared" si="154"/>
        <v/>
      </c>
      <c r="FR19" s="354" t="str">
        <f t="shared" si="155"/>
        <v/>
      </c>
      <c r="FS19" s="354" t="str">
        <f t="shared" si="156"/>
        <v/>
      </c>
      <c r="FT19" s="354" t="str">
        <f t="shared" si="157"/>
        <v/>
      </c>
      <c r="FU19" s="354" t="str">
        <f t="shared" si="158"/>
        <v/>
      </c>
      <c r="FV19" s="354" t="str">
        <f t="shared" si="159"/>
        <v/>
      </c>
      <c r="FW19" s="354" t="str">
        <f t="shared" si="160"/>
        <v/>
      </c>
      <c r="FX19" s="354" t="str">
        <f t="shared" si="161"/>
        <v/>
      </c>
      <c r="FY19" s="354" t="str">
        <f t="shared" si="162"/>
        <v/>
      </c>
      <c r="FZ19" s="354" t="str">
        <f t="shared" si="163"/>
        <v/>
      </c>
      <c r="GA19" s="354" t="str">
        <f t="shared" si="164"/>
        <v/>
      </c>
      <c r="GB19" s="354" t="str">
        <f t="shared" si="165"/>
        <v/>
      </c>
      <c r="GC19" s="354" t="str">
        <f t="shared" si="166"/>
        <v/>
      </c>
      <c r="GD19" s="354" t="str">
        <f t="shared" si="167"/>
        <v/>
      </c>
      <c r="GE19" s="354" t="str">
        <f t="shared" si="168"/>
        <v/>
      </c>
      <c r="GF19" s="354" t="str">
        <f t="shared" si="169"/>
        <v/>
      </c>
      <c r="GG19" s="354" t="str">
        <f t="shared" si="170"/>
        <v/>
      </c>
      <c r="GH19" s="354" t="str">
        <f t="shared" si="171"/>
        <v/>
      </c>
      <c r="GI19" s="354" t="str">
        <f t="shared" si="172"/>
        <v/>
      </c>
      <c r="GJ19" s="354" t="str">
        <f t="shared" si="173"/>
        <v/>
      </c>
      <c r="GK19" s="354" t="str">
        <f t="shared" si="174"/>
        <v/>
      </c>
      <c r="GL19" s="354" t="str">
        <f t="shared" si="175"/>
        <v/>
      </c>
      <c r="GM19" s="354" t="str">
        <f t="shared" si="176"/>
        <v/>
      </c>
      <c r="GN19" s="354" t="str">
        <f t="shared" si="177"/>
        <v/>
      </c>
      <c r="GO19" s="354" t="str">
        <f t="shared" si="178"/>
        <v/>
      </c>
      <c r="GP19" s="354" t="str">
        <f t="shared" si="179"/>
        <v/>
      </c>
      <c r="GQ19" s="354" t="str">
        <f t="shared" si="180"/>
        <v/>
      </c>
      <c r="GR19" s="354" t="str">
        <f t="shared" si="181"/>
        <v/>
      </c>
      <c r="GS19" s="354" t="str">
        <f t="shared" si="182"/>
        <v/>
      </c>
      <c r="GT19" s="354" t="str">
        <f t="shared" si="183"/>
        <v/>
      </c>
      <c r="GU19" s="354" t="str">
        <f t="shared" si="184"/>
        <v/>
      </c>
      <c r="GV19" s="354" t="str">
        <f t="shared" si="185"/>
        <v/>
      </c>
      <c r="GW19" s="354" t="str">
        <f t="shared" si="186"/>
        <v/>
      </c>
      <c r="GX19" s="354" t="str">
        <f t="shared" si="187"/>
        <v/>
      </c>
      <c r="GY19" s="354" t="str">
        <f t="shared" si="188"/>
        <v/>
      </c>
      <c r="GZ19" s="354" t="str">
        <f t="shared" si="189"/>
        <v/>
      </c>
      <c r="HA19" s="354" t="str">
        <f t="shared" si="190"/>
        <v/>
      </c>
      <c r="HB19" s="354" t="str">
        <f t="shared" si="191"/>
        <v/>
      </c>
      <c r="HC19" s="354" t="str">
        <f t="shared" si="192"/>
        <v/>
      </c>
      <c r="HD19" s="354" t="str">
        <f t="shared" si="193"/>
        <v/>
      </c>
      <c r="HE19" s="354" t="str">
        <f t="shared" si="194"/>
        <v/>
      </c>
      <c r="HF19" s="354" t="str">
        <f t="shared" si="195"/>
        <v/>
      </c>
      <c r="HG19" s="354" t="str">
        <f t="shared" si="196"/>
        <v/>
      </c>
      <c r="HH19" s="354" t="str">
        <f t="shared" si="197"/>
        <v/>
      </c>
      <c r="HI19" s="354" t="str">
        <f t="shared" si="198"/>
        <v/>
      </c>
      <c r="HJ19" s="354" t="str">
        <f t="shared" si="199"/>
        <v/>
      </c>
      <c r="HK19" s="354" t="str">
        <f t="shared" si="200"/>
        <v/>
      </c>
      <c r="HL19" s="354" t="str">
        <f t="shared" si="201"/>
        <v/>
      </c>
      <c r="HM19" s="354" t="str">
        <f t="shared" si="202"/>
        <v/>
      </c>
      <c r="HN19" s="354" t="str">
        <f t="shared" si="203"/>
        <v/>
      </c>
      <c r="HO19" s="354" t="str">
        <f t="shared" si="204"/>
        <v/>
      </c>
      <c r="HP19" s="354" t="str">
        <f t="shared" si="205"/>
        <v/>
      </c>
      <c r="HQ19" s="354" t="str">
        <f t="shared" si="206"/>
        <v/>
      </c>
      <c r="HR19" s="354" t="str">
        <f t="shared" si="207"/>
        <v/>
      </c>
      <c r="HS19" s="354" t="str">
        <f t="shared" si="208"/>
        <v/>
      </c>
      <c r="HT19" s="354" t="str">
        <f t="shared" si="209"/>
        <v/>
      </c>
      <c r="HU19" s="354" t="str">
        <f t="shared" si="210"/>
        <v/>
      </c>
      <c r="HV19" s="354" t="str">
        <f t="shared" si="211"/>
        <v/>
      </c>
      <c r="HW19" s="354" t="str">
        <f t="shared" si="212"/>
        <v/>
      </c>
      <c r="HX19" s="354" t="str">
        <f t="shared" si="213"/>
        <v/>
      </c>
      <c r="HY19" s="354" t="str">
        <f t="shared" si="214"/>
        <v/>
      </c>
      <c r="HZ19" s="354" t="str">
        <f t="shared" si="215"/>
        <v/>
      </c>
      <c r="IA19" s="354" t="str">
        <f t="shared" si="216"/>
        <v/>
      </c>
      <c r="IB19" s="354" t="str">
        <f t="shared" si="217"/>
        <v/>
      </c>
      <c r="IC19" s="354" t="str">
        <f t="shared" si="218"/>
        <v/>
      </c>
      <c r="ID19" s="355" t="str">
        <f t="shared" si="219"/>
        <v/>
      </c>
      <c r="IE19" s="355" t="str">
        <f t="shared" si="220"/>
        <v/>
      </c>
      <c r="IF19" s="355" t="str">
        <f t="shared" si="221"/>
        <v/>
      </c>
      <c r="IG19" s="355" t="str">
        <f t="shared" si="222"/>
        <v/>
      </c>
      <c r="IH19" s="355" t="str">
        <f t="shared" si="223"/>
        <v/>
      </c>
      <c r="II19" s="344" t="str">
        <f t="shared" si="224"/>
        <v/>
      </c>
      <c r="IJ19" s="344" t="str">
        <f t="shared" si="225"/>
        <v/>
      </c>
      <c r="IK19" s="344" t="str">
        <f t="shared" si="226"/>
        <v/>
      </c>
      <c r="IL19" s="344" t="str">
        <f t="shared" si="227"/>
        <v/>
      </c>
      <c r="IM19" s="344" t="str">
        <f t="shared" si="228"/>
        <v/>
      </c>
      <c r="IN19" s="344" t="str">
        <f t="shared" si="229"/>
        <v/>
      </c>
      <c r="IO19" s="344" t="str">
        <f t="shared" si="230"/>
        <v/>
      </c>
      <c r="IP19" s="344" t="str">
        <f t="shared" si="231"/>
        <v/>
      </c>
      <c r="IQ19" s="344" t="str">
        <f t="shared" si="232"/>
        <v/>
      </c>
      <c r="IR19" s="344" t="str">
        <f t="shared" si="233"/>
        <v/>
      </c>
      <c r="IS19" s="344" t="str">
        <f t="shared" si="234"/>
        <v/>
      </c>
      <c r="IT19" s="344" t="str">
        <f t="shared" si="235"/>
        <v/>
      </c>
      <c r="IU19" s="344" t="str">
        <f t="shared" si="236"/>
        <v/>
      </c>
      <c r="IV19" s="344" t="str">
        <f t="shared" si="237"/>
        <v/>
      </c>
      <c r="IW19" s="344" t="str">
        <f t="shared" si="238"/>
        <v/>
      </c>
      <c r="IX19" s="344" t="str">
        <f t="shared" si="239"/>
        <v/>
      </c>
      <c r="IY19" s="344" t="str">
        <f t="shared" si="240"/>
        <v/>
      </c>
      <c r="IZ19" s="344" t="str">
        <f t="shared" si="241"/>
        <v/>
      </c>
      <c r="JA19" s="344" t="str">
        <f t="shared" si="242"/>
        <v/>
      </c>
      <c r="JB19" s="344" t="str">
        <f t="shared" si="243"/>
        <v/>
      </c>
      <c r="JC19" s="353">
        <f t="shared" si="244"/>
        <v>0</v>
      </c>
      <c r="JD19" s="353">
        <f t="shared" si="245"/>
        <v>0</v>
      </c>
      <c r="JE19" s="353">
        <f t="shared" si="246"/>
        <v>0</v>
      </c>
      <c r="JF19" s="353">
        <f t="shared" si="247"/>
        <v>0</v>
      </c>
      <c r="JG19" s="353">
        <f t="shared" si="248"/>
        <v>0</v>
      </c>
      <c r="JH19" s="353">
        <f t="shared" si="249"/>
        <v>0</v>
      </c>
      <c r="JI19" s="353">
        <f t="shared" si="250"/>
        <v>0</v>
      </c>
      <c r="JJ19" s="353">
        <f t="shared" si="251"/>
        <v>0</v>
      </c>
      <c r="JK19" s="353">
        <f t="shared" si="252"/>
        <v>0</v>
      </c>
      <c r="JL19" s="353">
        <f t="shared" si="253"/>
        <v>0</v>
      </c>
      <c r="JM19" s="353">
        <f t="shared" si="254"/>
        <v>0</v>
      </c>
      <c r="JN19" s="353">
        <f t="shared" si="255"/>
        <v>0</v>
      </c>
      <c r="JO19" s="353">
        <f t="shared" si="256"/>
        <v>0</v>
      </c>
      <c r="JP19" s="353">
        <f t="shared" si="257"/>
        <v>0</v>
      </c>
      <c r="JQ19" s="353">
        <f t="shared" si="258"/>
        <v>0</v>
      </c>
    </row>
    <row r="20" spans="1:277" ht="12" customHeight="1">
      <c r="A20" s="70" t="str">
        <f t="shared" si="0"/>
        <v/>
      </c>
      <c r="B20" s="2628" t="s">
        <v>781</v>
      </c>
      <c r="C20" s="2629"/>
      <c r="D20" s="2630"/>
      <c r="E20" s="2631"/>
      <c r="F20" s="2631"/>
      <c r="G20" s="2631"/>
      <c r="H20" s="2631"/>
      <c r="I20" s="2632">
        <f>IF(C20="",0,HLOOKUP(C20,'Part V-Utility Allowances'!$I$11:$M$21,11))</f>
        <v>0</v>
      </c>
      <c r="J20" s="2633"/>
      <c r="K20" s="488">
        <f t="shared" si="1"/>
        <v>0</v>
      </c>
      <c r="L20" s="488">
        <f t="shared" si="2"/>
        <v>0</v>
      </c>
      <c r="M20" s="2634"/>
      <c r="N20" s="2634"/>
      <c r="O20" s="2634"/>
      <c r="P20" s="2635"/>
      <c r="Q20" s="2636" t="str">
        <f t="shared" si="3"/>
        <v/>
      </c>
      <c r="R20" s="2637" t="str">
        <f>IF(H20="","",IF(C20="Efficiency",Q20/($O$6*VLOOKUP(0,'DCA Underwriting Assumptions'!$J$143:$K$148,2,FALSE)),Q20/($O$6*VLOOKUP(C20,'DCA Underwriting Assumptions'!$J$143:$K$148,2,FALSE))))</f>
        <v/>
      </c>
      <c r="S20" s="2638"/>
      <c r="T20" s="2639"/>
      <c r="U20" s="2594"/>
      <c r="V20" s="2595"/>
      <c r="W20" s="102" t="str">
        <f t="shared" si="4"/>
        <v/>
      </c>
      <c r="X20" s="102" t="str">
        <f t="shared" si="5"/>
        <v/>
      </c>
      <c r="Y20" s="102" t="str">
        <f t="shared" si="6"/>
        <v/>
      </c>
      <c r="Z20" s="102" t="str">
        <f t="shared" si="7"/>
        <v/>
      </c>
      <c r="AA20" s="102" t="str">
        <f t="shared" si="8"/>
        <v/>
      </c>
      <c r="AB20" s="102" t="str">
        <f t="shared" si="9"/>
        <v/>
      </c>
      <c r="AC20" s="102" t="str">
        <f t="shared" si="10"/>
        <v/>
      </c>
      <c r="AD20" s="102" t="str">
        <f t="shared" si="11"/>
        <v/>
      </c>
      <c r="AE20" s="102" t="str">
        <f t="shared" si="12"/>
        <v/>
      </c>
      <c r="AF20" s="102" t="str">
        <f t="shared" si="13"/>
        <v/>
      </c>
      <c r="AG20" s="102" t="str">
        <f t="shared" si="14"/>
        <v/>
      </c>
      <c r="AH20" s="102" t="str">
        <f t="shared" si="15"/>
        <v/>
      </c>
      <c r="AI20" s="102" t="str">
        <f t="shared" si="16"/>
        <v/>
      </c>
      <c r="AJ20" s="102" t="str">
        <f t="shared" si="17"/>
        <v/>
      </c>
      <c r="AK20" s="102" t="str">
        <f t="shared" si="18"/>
        <v/>
      </c>
      <c r="AL20" s="102" t="str">
        <f t="shared" si="19"/>
        <v/>
      </c>
      <c r="AM20" s="102" t="str">
        <f t="shared" si="20"/>
        <v/>
      </c>
      <c r="AN20" s="102" t="str">
        <f t="shared" si="21"/>
        <v/>
      </c>
      <c r="AO20" s="102" t="str">
        <f t="shared" si="22"/>
        <v/>
      </c>
      <c r="AP20" s="102" t="str">
        <f t="shared" si="23"/>
        <v/>
      </c>
      <c r="AQ20" s="102" t="str">
        <f t="shared" si="24"/>
        <v/>
      </c>
      <c r="AR20" s="102" t="str">
        <f t="shared" si="25"/>
        <v/>
      </c>
      <c r="AS20" s="102" t="str">
        <f t="shared" si="26"/>
        <v/>
      </c>
      <c r="AT20" s="102" t="str">
        <f t="shared" si="27"/>
        <v/>
      </c>
      <c r="AU20" s="102" t="str">
        <f t="shared" si="28"/>
        <v/>
      </c>
      <c r="AV20" s="102" t="str">
        <f t="shared" si="29"/>
        <v/>
      </c>
      <c r="AW20" s="102" t="str">
        <f t="shared" si="30"/>
        <v/>
      </c>
      <c r="AX20" s="102" t="str">
        <f t="shared" si="31"/>
        <v/>
      </c>
      <c r="AY20" s="102" t="str">
        <f t="shared" si="32"/>
        <v/>
      </c>
      <c r="AZ20" s="102" t="str">
        <f t="shared" si="33"/>
        <v/>
      </c>
      <c r="BA20" s="102" t="str">
        <f t="shared" si="34"/>
        <v/>
      </c>
      <c r="BB20" s="102" t="str">
        <f t="shared" si="35"/>
        <v/>
      </c>
      <c r="BC20" s="102" t="str">
        <f t="shared" si="36"/>
        <v/>
      </c>
      <c r="BD20" s="102" t="str">
        <f t="shared" si="37"/>
        <v/>
      </c>
      <c r="BE20" s="102" t="str">
        <f t="shared" si="38"/>
        <v/>
      </c>
      <c r="BF20" s="102" t="str">
        <f t="shared" si="39"/>
        <v/>
      </c>
      <c r="BG20" s="102" t="str">
        <f t="shared" si="40"/>
        <v/>
      </c>
      <c r="BH20" s="102" t="str">
        <f t="shared" si="41"/>
        <v/>
      </c>
      <c r="BI20" s="102" t="str">
        <f t="shared" si="42"/>
        <v/>
      </c>
      <c r="BJ20" s="102" t="str">
        <f t="shared" si="43"/>
        <v/>
      </c>
      <c r="BK20" s="102" t="str">
        <f t="shared" si="44"/>
        <v/>
      </c>
      <c r="BL20" s="102" t="str">
        <f t="shared" si="45"/>
        <v/>
      </c>
      <c r="BM20" s="102" t="str">
        <f t="shared" si="46"/>
        <v/>
      </c>
      <c r="BN20" s="102" t="str">
        <f t="shared" si="47"/>
        <v/>
      </c>
      <c r="BO20" s="102" t="str">
        <f t="shared" si="48"/>
        <v/>
      </c>
      <c r="BP20" s="102" t="str">
        <f t="shared" si="49"/>
        <v/>
      </c>
      <c r="BQ20" s="102" t="str">
        <f t="shared" si="50"/>
        <v/>
      </c>
      <c r="BR20" s="102" t="str">
        <f t="shared" si="51"/>
        <v/>
      </c>
      <c r="BS20" s="102" t="str">
        <f t="shared" si="52"/>
        <v/>
      </c>
      <c r="BT20" s="102" t="str">
        <f t="shared" si="53"/>
        <v/>
      </c>
      <c r="BU20" s="102" t="str">
        <f t="shared" si="54"/>
        <v/>
      </c>
      <c r="BV20" s="102" t="str">
        <f t="shared" si="55"/>
        <v/>
      </c>
      <c r="BW20" s="102" t="str">
        <f t="shared" si="56"/>
        <v/>
      </c>
      <c r="BX20" s="102" t="str">
        <f t="shared" si="57"/>
        <v/>
      </c>
      <c r="BY20" s="102" t="str">
        <f t="shared" si="58"/>
        <v/>
      </c>
      <c r="BZ20" s="102" t="str">
        <f t="shared" si="59"/>
        <v/>
      </c>
      <c r="CA20" s="102" t="str">
        <f t="shared" si="60"/>
        <v/>
      </c>
      <c r="CB20" s="102" t="str">
        <f t="shared" si="61"/>
        <v/>
      </c>
      <c r="CC20" s="102" t="str">
        <f t="shared" si="62"/>
        <v/>
      </c>
      <c r="CD20" s="102" t="str">
        <f t="shared" si="63"/>
        <v/>
      </c>
      <c r="CE20" s="102" t="str">
        <f t="shared" si="64"/>
        <v/>
      </c>
      <c r="CF20" s="102" t="str">
        <f t="shared" si="65"/>
        <v/>
      </c>
      <c r="CG20" s="102" t="str">
        <f t="shared" si="66"/>
        <v/>
      </c>
      <c r="CH20" s="102" t="str">
        <f t="shared" si="67"/>
        <v/>
      </c>
      <c r="CI20" s="102" t="str">
        <f t="shared" si="68"/>
        <v/>
      </c>
      <c r="CJ20" s="102" t="str">
        <f t="shared" si="69"/>
        <v/>
      </c>
      <c r="CK20" s="102" t="str">
        <f t="shared" si="70"/>
        <v/>
      </c>
      <c r="CL20" s="102" t="str">
        <f t="shared" si="71"/>
        <v/>
      </c>
      <c r="CM20" s="102" t="str">
        <f t="shared" si="72"/>
        <v/>
      </c>
      <c r="CN20" s="102" t="str">
        <f t="shared" si="73"/>
        <v/>
      </c>
      <c r="CO20" s="102" t="str">
        <f t="shared" si="74"/>
        <v/>
      </c>
      <c r="CP20" s="102" t="str">
        <f t="shared" si="75"/>
        <v/>
      </c>
      <c r="CQ20" s="102" t="str">
        <f t="shared" si="76"/>
        <v/>
      </c>
      <c r="CR20" s="102" t="str">
        <f t="shared" si="77"/>
        <v/>
      </c>
      <c r="CS20" s="102" t="str">
        <f t="shared" si="78"/>
        <v/>
      </c>
      <c r="CT20" s="102" t="str">
        <f t="shared" si="79"/>
        <v/>
      </c>
      <c r="CU20" s="102" t="str">
        <f t="shared" si="80"/>
        <v/>
      </c>
      <c r="CV20" s="102" t="str">
        <f t="shared" si="81"/>
        <v/>
      </c>
      <c r="CW20" s="102" t="str">
        <f t="shared" si="82"/>
        <v/>
      </c>
      <c r="CX20" s="102" t="str">
        <f t="shared" si="83"/>
        <v/>
      </c>
      <c r="CY20" s="102" t="str">
        <f t="shared" si="84"/>
        <v/>
      </c>
      <c r="CZ20" s="102" t="str">
        <f t="shared" si="85"/>
        <v/>
      </c>
      <c r="DA20" s="102" t="str">
        <f t="shared" si="86"/>
        <v/>
      </c>
      <c r="DB20" s="102" t="str">
        <f t="shared" si="87"/>
        <v/>
      </c>
      <c r="DC20" s="102" t="str">
        <f t="shared" si="88"/>
        <v/>
      </c>
      <c r="DD20" s="102" t="str">
        <f t="shared" si="89"/>
        <v/>
      </c>
      <c r="DE20" s="102" t="str">
        <f t="shared" si="90"/>
        <v/>
      </c>
      <c r="DF20" s="102" t="str">
        <f t="shared" si="91"/>
        <v/>
      </c>
      <c r="DG20" s="102" t="str">
        <f t="shared" si="92"/>
        <v/>
      </c>
      <c r="DH20" s="102" t="str">
        <f t="shared" si="93"/>
        <v/>
      </c>
      <c r="DI20" s="102" t="str">
        <f t="shared" si="94"/>
        <v/>
      </c>
      <c r="DJ20" s="102" t="str">
        <f t="shared" si="95"/>
        <v/>
      </c>
      <c r="DK20" s="102" t="str">
        <f t="shared" si="96"/>
        <v/>
      </c>
      <c r="DL20" s="102" t="str">
        <f t="shared" si="97"/>
        <v/>
      </c>
      <c r="DM20" s="102" t="str">
        <f t="shared" si="98"/>
        <v/>
      </c>
      <c r="DN20" s="102" t="str">
        <f t="shared" si="99"/>
        <v/>
      </c>
      <c r="DO20" s="102" t="str">
        <f t="shared" si="100"/>
        <v/>
      </c>
      <c r="DP20" s="102" t="str">
        <f t="shared" si="101"/>
        <v/>
      </c>
      <c r="DQ20" s="102" t="str">
        <f t="shared" si="102"/>
        <v/>
      </c>
      <c r="DR20" s="102" t="str">
        <f t="shared" si="103"/>
        <v/>
      </c>
      <c r="DS20" s="102" t="str">
        <f t="shared" si="104"/>
        <v/>
      </c>
      <c r="DT20" s="102" t="str">
        <f t="shared" si="105"/>
        <v/>
      </c>
      <c r="DU20" s="102" t="str">
        <f t="shared" si="106"/>
        <v/>
      </c>
      <c r="DV20" s="102" t="str">
        <f t="shared" si="107"/>
        <v/>
      </c>
      <c r="DW20" s="102" t="str">
        <f t="shared" si="108"/>
        <v/>
      </c>
      <c r="DX20" s="102" t="str">
        <f t="shared" si="109"/>
        <v/>
      </c>
      <c r="DY20" s="102" t="str">
        <f t="shared" si="110"/>
        <v/>
      </c>
      <c r="DZ20" s="102" t="str">
        <f t="shared" si="111"/>
        <v/>
      </c>
      <c r="EA20" s="102" t="str">
        <f t="shared" si="112"/>
        <v/>
      </c>
      <c r="EB20" s="102" t="str">
        <f t="shared" si="113"/>
        <v/>
      </c>
      <c r="EC20" s="102" t="str">
        <f t="shared" si="114"/>
        <v/>
      </c>
      <c r="ED20" s="102" t="str">
        <f t="shared" si="115"/>
        <v/>
      </c>
      <c r="EE20" s="102" t="str">
        <f t="shared" si="116"/>
        <v/>
      </c>
      <c r="EF20" s="102" t="str">
        <f t="shared" si="117"/>
        <v/>
      </c>
      <c r="EG20" s="102" t="str">
        <f t="shared" si="118"/>
        <v/>
      </c>
      <c r="EH20" s="102" t="str">
        <f t="shared" si="119"/>
        <v/>
      </c>
      <c r="EI20" s="102" t="str">
        <f t="shared" si="120"/>
        <v/>
      </c>
      <c r="EJ20" s="102" t="str">
        <f t="shared" si="121"/>
        <v/>
      </c>
      <c r="EK20" s="102" t="str">
        <f t="shared" si="122"/>
        <v/>
      </c>
      <c r="EL20" s="102" t="str">
        <f t="shared" si="123"/>
        <v/>
      </c>
      <c r="EM20" s="102" t="str">
        <f t="shared" si="124"/>
        <v/>
      </c>
      <c r="EN20" s="102" t="str">
        <f t="shared" si="125"/>
        <v/>
      </c>
      <c r="EO20" s="102" t="str">
        <f t="shared" si="126"/>
        <v/>
      </c>
      <c r="EP20" s="102" t="str">
        <f t="shared" si="127"/>
        <v/>
      </c>
      <c r="EQ20" s="102" t="str">
        <f t="shared" si="128"/>
        <v/>
      </c>
      <c r="ER20" s="102" t="str">
        <f t="shared" si="129"/>
        <v/>
      </c>
      <c r="ES20" s="102" t="str">
        <f t="shared" si="130"/>
        <v/>
      </c>
      <c r="ET20" s="102" t="str">
        <f t="shared" si="131"/>
        <v/>
      </c>
      <c r="EU20" s="102" t="str">
        <f t="shared" si="132"/>
        <v/>
      </c>
      <c r="EV20" s="102" t="str">
        <f t="shared" si="133"/>
        <v/>
      </c>
      <c r="EW20" s="792" t="str">
        <f t="shared" si="134"/>
        <v/>
      </c>
      <c r="EX20" s="354" t="str">
        <f t="shared" si="135"/>
        <v/>
      </c>
      <c r="EY20" s="354" t="str">
        <f t="shared" si="136"/>
        <v/>
      </c>
      <c r="EZ20" s="354" t="str">
        <f t="shared" si="137"/>
        <v/>
      </c>
      <c r="FA20" s="354" t="str">
        <f t="shared" si="138"/>
        <v/>
      </c>
      <c r="FB20" s="354" t="str">
        <f t="shared" si="139"/>
        <v/>
      </c>
      <c r="FC20" s="354" t="str">
        <f t="shared" si="140"/>
        <v/>
      </c>
      <c r="FD20" s="354" t="str">
        <f t="shared" si="141"/>
        <v/>
      </c>
      <c r="FE20" s="354" t="str">
        <f t="shared" si="142"/>
        <v/>
      </c>
      <c r="FF20" s="354" t="str">
        <f t="shared" si="143"/>
        <v/>
      </c>
      <c r="FG20" s="354" t="str">
        <f t="shared" si="144"/>
        <v/>
      </c>
      <c r="FH20" s="354" t="str">
        <f t="shared" si="145"/>
        <v/>
      </c>
      <c r="FI20" s="354" t="str">
        <f t="shared" si="146"/>
        <v/>
      </c>
      <c r="FJ20" s="354" t="str">
        <f t="shared" si="147"/>
        <v/>
      </c>
      <c r="FK20" s="354" t="str">
        <f t="shared" si="148"/>
        <v/>
      </c>
      <c r="FL20" s="354" t="str">
        <f t="shared" si="149"/>
        <v/>
      </c>
      <c r="FM20" s="354" t="str">
        <f t="shared" si="150"/>
        <v/>
      </c>
      <c r="FN20" s="354" t="str">
        <f t="shared" si="151"/>
        <v/>
      </c>
      <c r="FO20" s="354" t="str">
        <f t="shared" si="152"/>
        <v/>
      </c>
      <c r="FP20" s="354" t="str">
        <f t="shared" si="153"/>
        <v/>
      </c>
      <c r="FQ20" s="354" t="str">
        <f t="shared" si="154"/>
        <v/>
      </c>
      <c r="FR20" s="354" t="str">
        <f t="shared" si="155"/>
        <v/>
      </c>
      <c r="FS20" s="354" t="str">
        <f t="shared" si="156"/>
        <v/>
      </c>
      <c r="FT20" s="354" t="str">
        <f t="shared" si="157"/>
        <v/>
      </c>
      <c r="FU20" s="354" t="str">
        <f t="shared" si="158"/>
        <v/>
      </c>
      <c r="FV20" s="354" t="str">
        <f t="shared" si="159"/>
        <v/>
      </c>
      <c r="FW20" s="354" t="str">
        <f t="shared" si="160"/>
        <v/>
      </c>
      <c r="FX20" s="354" t="str">
        <f t="shared" si="161"/>
        <v/>
      </c>
      <c r="FY20" s="354" t="str">
        <f t="shared" si="162"/>
        <v/>
      </c>
      <c r="FZ20" s="354" t="str">
        <f t="shared" si="163"/>
        <v/>
      </c>
      <c r="GA20" s="354" t="str">
        <f t="shared" si="164"/>
        <v/>
      </c>
      <c r="GB20" s="354" t="str">
        <f t="shared" si="165"/>
        <v/>
      </c>
      <c r="GC20" s="354" t="str">
        <f t="shared" si="166"/>
        <v/>
      </c>
      <c r="GD20" s="354" t="str">
        <f t="shared" si="167"/>
        <v/>
      </c>
      <c r="GE20" s="354" t="str">
        <f t="shared" si="168"/>
        <v/>
      </c>
      <c r="GF20" s="354" t="str">
        <f t="shared" si="169"/>
        <v/>
      </c>
      <c r="GG20" s="354" t="str">
        <f t="shared" si="170"/>
        <v/>
      </c>
      <c r="GH20" s="354" t="str">
        <f t="shared" si="171"/>
        <v/>
      </c>
      <c r="GI20" s="354" t="str">
        <f t="shared" si="172"/>
        <v/>
      </c>
      <c r="GJ20" s="354" t="str">
        <f t="shared" si="173"/>
        <v/>
      </c>
      <c r="GK20" s="354" t="str">
        <f t="shared" si="174"/>
        <v/>
      </c>
      <c r="GL20" s="354" t="str">
        <f t="shared" si="175"/>
        <v/>
      </c>
      <c r="GM20" s="354" t="str">
        <f t="shared" si="176"/>
        <v/>
      </c>
      <c r="GN20" s="354" t="str">
        <f t="shared" si="177"/>
        <v/>
      </c>
      <c r="GO20" s="354" t="str">
        <f t="shared" si="178"/>
        <v/>
      </c>
      <c r="GP20" s="354" t="str">
        <f t="shared" si="179"/>
        <v/>
      </c>
      <c r="GQ20" s="354" t="str">
        <f t="shared" si="180"/>
        <v/>
      </c>
      <c r="GR20" s="354" t="str">
        <f t="shared" si="181"/>
        <v/>
      </c>
      <c r="GS20" s="354" t="str">
        <f t="shared" si="182"/>
        <v/>
      </c>
      <c r="GT20" s="354" t="str">
        <f t="shared" si="183"/>
        <v/>
      </c>
      <c r="GU20" s="354" t="str">
        <f t="shared" si="184"/>
        <v/>
      </c>
      <c r="GV20" s="354" t="str">
        <f t="shared" si="185"/>
        <v/>
      </c>
      <c r="GW20" s="354" t="str">
        <f t="shared" si="186"/>
        <v/>
      </c>
      <c r="GX20" s="354" t="str">
        <f t="shared" si="187"/>
        <v/>
      </c>
      <c r="GY20" s="354" t="str">
        <f t="shared" si="188"/>
        <v/>
      </c>
      <c r="GZ20" s="354" t="str">
        <f t="shared" si="189"/>
        <v/>
      </c>
      <c r="HA20" s="354" t="str">
        <f t="shared" si="190"/>
        <v/>
      </c>
      <c r="HB20" s="354" t="str">
        <f t="shared" si="191"/>
        <v/>
      </c>
      <c r="HC20" s="354" t="str">
        <f t="shared" si="192"/>
        <v/>
      </c>
      <c r="HD20" s="354" t="str">
        <f t="shared" si="193"/>
        <v/>
      </c>
      <c r="HE20" s="354" t="str">
        <f t="shared" si="194"/>
        <v/>
      </c>
      <c r="HF20" s="354" t="str">
        <f t="shared" si="195"/>
        <v/>
      </c>
      <c r="HG20" s="354" t="str">
        <f t="shared" si="196"/>
        <v/>
      </c>
      <c r="HH20" s="354" t="str">
        <f t="shared" si="197"/>
        <v/>
      </c>
      <c r="HI20" s="354" t="str">
        <f t="shared" si="198"/>
        <v/>
      </c>
      <c r="HJ20" s="354" t="str">
        <f t="shared" si="199"/>
        <v/>
      </c>
      <c r="HK20" s="354" t="str">
        <f t="shared" si="200"/>
        <v/>
      </c>
      <c r="HL20" s="354" t="str">
        <f t="shared" si="201"/>
        <v/>
      </c>
      <c r="HM20" s="354" t="str">
        <f t="shared" si="202"/>
        <v/>
      </c>
      <c r="HN20" s="354" t="str">
        <f t="shared" si="203"/>
        <v/>
      </c>
      <c r="HO20" s="354" t="str">
        <f t="shared" si="204"/>
        <v/>
      </c>
      <c r="HP20" s="354" t="str">
        <f t="shared" si="205"/>
        <v/>
      </c>
      <c r="HQ20" s="354" t="str">
        <f t="shared" si="206"/>
        <v/>
      </c>
      <c r="HR20" s="354" t="str">
        <f t="shared" si="207"/>
        <v/>
      </c>
      <c r="HS20" s="354" t="str">
        <f t="shared" si="208"/>
        <v/>
      </c>
      <c r="HT20" s="354" t="str">
        <f t="shared" si="209"/>
        <v/>
      </c>
      <c r="HU20" s="354" t="str">
        <f t="shared" si="210"/>
        <v/>
      </c>
      <c r="HV20" s="354" t="str">
        <f t="shared" si="211"/>
        <v/>
      </c>
      <c r="HW20" s="354" t="str">
        <f t="shared" si="212"/>
        <v/>
      </c>
      <c r="HX20" s="354" t="str">
        <f t="shared" si="213"/>
        <v/>
      </c>
      <c r="HY20" s="354" t="str">
        <f t="shared" si="214"/>
        <v/>
      </c>
      <c r="HZ20" s="354" t="str">
        <f t="shared" si="215"/>
        <v/>
      </c>
      <c r="IA20" s="354" t="str">
        <f t="shared" si="216"/>
        <v/>
      </c>
      <c r="IB20" s="354" t="str">
        <f t="shared" si="217"/>
        <v/>
      </c>
      <c r="IC20" s="354" t="str">
        <f t="shared" si="218"/>
        <v/>
      </c>
      <c r="ID20" s="355" t="str">
        <f t="shared" si="219"/>
        <v/>
      </c>
      <c r="IE20" s="355" t="str">
        <f t="shared" si="220"/>
        <v/>
      </c>
      <c r="IF20" s="355" t="str">
        <f t="shared" si="221"/>
        <v/>
      </c>
      <c r="IG20" s="355" t="str">
        <f t="shared" si="222"/>
        <v/>
      </c>
      <c r="IH20" s="355" t="str">
        <f t="shared" si="223"/>
        <v/>
      </c>
      <c r="II20" s="344" t="str">
        <f t="shared" si="224"/>
        <v/>
      </c>
      <c r="IJ20" s="344" t="str">
        <f t="shared" si="225"/>
        <v/>
      </c>
      <c r="IK20" s="344" t="str">
        <f t="shared" si="226"/>
        <v/>
      </c>
      <c r="IL20" s="344" t="str">
        <f t="shared" si="227"/>
        <v/>
      </c>
      <c r="IM20" s="344" t="str">
        <f t="shared" si="228"/>
        <v/>
      </c>
      <c r="IN20" s="344" t="str">
        <f t="shared" si="229"/>
        <v/>
      </c>
      <c r="IO20" s="344" t="str">
        <f t="shared" si="230"/>
        <v/>
      </c>
      <c r="IP20" s="344" t="str">
        <f t="shared" si="231"/>
        <v/>
      </c>
      <c r="IQ20" s="344" t="str">
        <f t="shared" si="232"/>
        <v/>
      </c>
      <c r="IR20" s="344" t="str">
        <f t="shared" si="233"/>
        <v/>
      </c>
      <c r="IS20" s="344" t="str">
        <f t="shared" si="234"/>
        <v/>
      </c>
      <c r="IT20" s="344" t="str">
        <f t="shared" si="235"/>
        <v/>
      </c>
      <c r="IU20" s="344" t="str">
        <f t="shared" si="236"/>
        <v/>
      </c>
      <c r="IV20" s="344" t="str">
        <f t="shared" si="237"/>
        <v/>
      </c>
      <c r="IW20" s="344" t="str">
        <f t="shared" si="238"/>
        <v/>
      </c>
      <c r="IX20" s="344" t="str">
        <f t="shared" si="239"/>
        <v/>
      </c>
      <c r="IY20" s="344" t="str">
        <f t="shared" si="240"/>
        <v/>
      </c>
      <c r="IZ20" s="344" t="str">
        <f t="shared" si="241"/>
        <v/>
      </c>
      <c r="JA20" s="344" t="str">
        <f t="shared" si="242"/>
        <v/>
      </c>
      <c r="JB20" s="344" t="str">
        <f t="shared" si="243"/>
        <v/>
      </c>
      <c r="JC20" s="353">
        <f t="shared" si="244"/>
        <v>0</v>
      </c>
      <c r="JD20" s="353">
        <f t="shared" si="245"/>
        <v>0</v>
      </c>
      <c r="JE20" s="353">
        <f t="shared" si="246"/>
        <v>0</v>
      </c>
      <c r="JF20" s="353">
        <f t="shared" si="247"/>
        <v>0</v>
      </c>
      <c r="JG20" s="353">
        <f t="shared" si="248"/>
        <v>0</v>
      </c>
      <c r="JH20" s="353">
        <f t="shared" si="249"/>
        <v>0</v>
      </c>
      <c r="JI20" s="353">
        <f t="shared" si="250"/>
        <v>0</v>
      </c>
      <c r="JJ20" s="353">
        <f t="shared" si="251"/>
        <v>0</v>
      </c>
      <c r="JK20" s="353">
        <f t="shared" si="252"/>
        <v>0</v>
      </c>
      <c r="JL20" s="353">
        <f t="shared" si="253"/>
        <v>0</v>
      </c>
      <c r="JM20" s="353">
        <f t="shared" si="254"/>
        <v>0</v>
      </c>
      <c r="JN20" s="353">
        <f t="shared" si="255"/>
        <v>0</v>
      </c>
      <c r="JO20" s="353">
        <f t="shared" si="256"/>
        <v>0</v>
      </c>
      <c r="JP20" s="353">
        <f t="shared" si="257"/>
        <v>0</v>
      </c>
      <c r="JQ20" s="353">
        <f t="shared" si="258"/>
        <v>0</v>
      </c>
    </row>
    <row r="21" spans="1:277" ht="12" customHeight="1">
      <c r="A21" s="70" t="str">
        <f t="shared" si="0"/>
        <v/>
      </c>
      <c r="B21" s="2628" t="s">
        <v>781</v>
      </c>
      <c r="C21" s="2629"/>
      <c r="D21" s="2630"/>
      <c r="E21" s="2631"/>
      <c r="F21" s="2631"/>
      <c r="G21" s="2631"/>
      <c r="H21" s="2631"/>
      <c r="I21" s="2632">
        <f>IF(C21="",0,HLOOKUP(C21,'Part V-Utility Allowances'!$I$11:$M$21,11))</f>
        <v>0</v>
      </c>
      <c r="J21" s="2633"/>
      <c r="K21" s="488">
        <f t="shared" si="1"/>
        <v>0</v>
      </c>
      <c r="L21" s="488">
        <f t="shared" si="2"/>
        <v>0</v>
      </c>
      <c r="M21" s="2634"/>
      <c r="N21" s="2634"/>
      <c r="O21" s="2634"/>
      <c r="P21" s="2635"/>
      <c r="Q21" s="2636" t="str">
        <f t="shared" si="3"/>
        <v/>
      </c>
      <c r="R21" s="2637" t="str">
        <f>IF(H21="","",IF(C21="Efficiency",Q21/($O$6*VLOOKUP(0,'DCA Underwriting Assumptions'!$J$143:$K$148,2,FALSE)),Q21/($O$6*VLOOKUP(C21,'DCA Underwriting Assumptions'!$J$143:$K$148,2,FALSE))))</f>
        <v/>
      </c>
      <c r="S21" s="2638"/>
      <c r="T21" s="2639"/>
      <c r="U21" s="2594"/>
      <c r="V21" s="2595"/>
      <c r="W21" s="102" t="str">
        <f t="shared" si="4"/>
        <v/>
      </c>
      <c r="X21" s="102" t="str">
        <f t="shared" si="5"/>
        <v/>
      </c>
      <c r="Y21" s="102" t="str">
        <f t="shared" si="6"/>
        <v/>
      </c>
      <c r="Z21" s="102" t="str">
        <f t="shared" si="7"/>
        <v/>
      </c>
      <c r="AA21" s="102" t="str">
        <f t="shared" si="8"/>
        <v/>
      </c>
      <c r="AB21" s="102" t="str">
        <f t="shared" si="9"/>
        <v/>
      </c>
      <c r="AC21" s="102" t="str">
        <f t="shared" si="10"/>
        <v/>
      </c>
      <c r="AD21" s="102" t="str">
        <f t="shared" si="11"/>
        <v/>
      </c>
      <c r="AE21" s="102" t="str">
        <f t="shared" si="12"/>
        <v/>
      </c>
      <c r="AF21" s="102" t="str">
        <f t="shared" si="13"/>
        <v/>
      </c>
      <c r="AG21" s="102" t="str">
        <f t="shared" si="14"/>
        <v/>
      </c>
      <c r="AH21" s="102" t="str">
        <f t="shared" si="15"/>
        <v/>
      </c>
      <c r="AI21" s="102" t="str">
        <f t="shared" si="16"/>
        <v/>
      </c>
      <c r="AJ21" s="102" t="str">
        <f t="shared" si="17"/>
        <v/>
      </c>
      <c r="AK21" s="102" t="str">
        <f t="shared" si="18"/>
        <v/>
      </c>
      <c r="AL21" s="102" t="str">
        <f t="shared" si="19"/>
        <v/>
      </c>
      <c r="AM21" s="102" t="str">
        <f t="shared" si="20"/>
        <v/>
      </c>
      <c r="AN21" s="102" t="str">
        <f t="shared" si="21"/>
        <v/>
      </c>
      <c r="AO21" s="102" t="str">
        <f t="shared" si="22"/>
        <v/>
      </c>
      <c r="AP21" s="102" t="str">
        <f t="shared" si="23"/>
        <v/>
      </c>
      <c r="AQ21" s="102" t="str">
        <f t="shared" si="24"/>
        <v/>
      </c>
      <c r="AR21" s="102" t="str">
        <f t="shared" si="25"/>
        <v/>
      </c>
      <c r="AS21" s="102" t="str">
        <f t="shared" si="26"/>
        <v/>
      </c>
      <c r="AT21" s="102" t="str">
        <f t="shared" si="27"/>
        <v/>
      </c>
      <c r="AU21" s="102" t="str">
        <f t="shared" si="28"/>
        <v/>
      </c>
      <c r="AV21" s="102" t="str">
        <f t="shared" si="29"/>
        <v/>
      </c>
      <c r="AW21" s="102" t="str">
        <f t="shared" si="30"/>
        <v/>
      </c>
      <c r="AX21" s="102" t="str">
        <f t="shared" si="31"/>
        <v/>
      </c>
      <c r="AY21" s="102" t="str">
        <f t="shared" si="32"/>
        <v/>
      </c>
      <c r="AZ21" s="102" t="str">
        <f t="shared" si="33"/>
        <v/>
      </c>
      <c r="BA21" s="102" t="str">
        <f t="shared" si="34"/>
        <v/>
      </c>
      <c r="BB21" s="102" t="str">
        <f t="shared" si="35"/>
        <v/>
      </c>
      <c r="BC21" s="102" t="str">
        <f t="shared" si="36"/>
        <v/>
      </c>
      <c r="BD21" s="102" t="str">
        <f t="shared" si="37"/>
        <v/>
      </c>
      <c r="BE21" s="102" t="str">
        <f t="shared" si="38"/>
        <v/>
      </c>
      <c r="BF21" s="102" t="str">
        <f t="shared" si="39"/>
        <v/>
      </c>
      <c r="BG21" s="102" t="str">
        <f t="shared" si="40"/>
        <v/>
      </c>
      <c r="BH21" s="102" t="str">
        <f t="shared" si="41"/>
        <v/>
      </c>
      <c r="BI21" s="102" t="str">
        <f t="shared" si="42"/>
        <v/>
      </c>
      <c r="BJ21" s="102" t="str">
        <f t="shared" si="43"/>
        <v/>
      </c>
      <c r="BK21" s="102" t="str">
        <f t="shared" si="44"/>
        <v/>
      </c>
      <c r="BL21" s="102" t="str">
        <f t="shared" si="45"/>
        <v/>
      </c>
      <c r="BM21" s="102" t="str">
        <f t="shared" si="46"/>
        <v/>
      </c>
      <c r="BN21" s="102" t="str">
        <f t="shared" si="47"/>
        <v/>
      </c>
      <c r="BO21" s="102" t="str">
        <f t="shared" si="48"/>
        <v/>
      </c>
      <c r="BP21" s="102" t="str">
        <f t="shared" si="49"/>
        <v/>
      </c>
      <c r="BQ21" s="102" t="str">
        <f t="shared" si="50"/>
        <v/>
      </c>
      <c r="BR21" s="102" t="str">
        <f t="shared" si="51"/>
        <v/>
      </c>
      <c r="BS21" s="102" t="str">
        <f t="shared" si="52"/>
        <v/>
      </c>
      <c r="BT21" s="102" t="str">
        <f t="shared" si="53"/>
        <v/>
      </c>
      <c r="BU21" s="102" t="str">
        <f t="shared" si="54"/>
        <v/>
      </c>
      <c r="BV21" s="102" t="str">
        <f t="shared" si="55"/>
        <v/>
      </c>
      <c r="BW21" s="102" t="str">
        <f t="shared" si="56"/>
        <v/>
      </c>
      <c r="BX21" s="102" t="str">
        <f t="shared" si="57"/>
        <v/>
      </c>
      <c r="BY21" s="102" t="str">
        <f t="shared" si="58"/>
        <v/>
      </c>
      <c r="BZ21" s="102" t="str">
        <f t="shared" si="59"/>
        <v/>
      </c>
      <c r="CA21" s="102" t="str">
        <f t="shared" si="60"/>
        <v/>
      </c>
      <c r="CB21" s="102" t="str">
        <f t="shared" si="61"/>
        <v/>
      </c>
      <c r="CC21" s="102" t="str">
        <f t="shared" si="62"/>
        <v/>
      </c>
      <c r="CD21" s="102" t="str">
        <f t="shared" si="63"/>
        <v/>
      </c>
      <c r="CE21" s="102" t="str">
        <f t="shared" si="64"/>
        <v/>
      </c>
      <c r="CF21" s="102" t="str">
        <f t="shared" si="65"/>
        <v/>
      </c>
      <c r="CG21" s="102" t="str">
        <f t="shared" si="66"/>
        <v/>
      </c>
      <c r="CH21" s="102" t="str">
        <f t="shared" si="67"/>
        <v/>
      </c>
      <c r="CI21" s="102" t="str">
        <f t="shared" si="68"/>
        <v/>
      </c>
      <c r="CJ21" s="102" t="str">
        <f t="shared" si="69"/>
        <v/>
      </c>
      <c r="CK21" s="102" t="str">
        <f t="shared" si="70"/>
        <v/>
      </c>
      <c r="CL21" s="102" t="str">
        <f t="shared" si="71"/>
        <v/>
      </c>
      <c r="CM21" s="102" t="str">
        <f t="shared" si="72"/>
        <v/>
      </c>
      <c r="CN21" s="102" t="str">
        <f t="shared" si="73"/>
        <v/>
      </c>
      <c r="CO21" s="102" t="str">
        <f t="shared" si="74"/>
        <v/>
      </c>
      <c r="CP21" s="102" t="str">
        <f t="shared" si="75"/>
        <v/>
      </c>
      <c r="CQ21" s="102" t="str">
        <f t="shared" si="76"/>
        <v/>
      </c>
      <c r="CR21" s="102" t="str">
        <f t="shared" si="77"/>
        <v/>
      </c>
      <c r="CS21" s="102" t="str">
        <f t="shared" si="78"/>
        <v/>
      </c>
      <c r="CT21" s="102" t="str">
        <f t="shared" si="79"/>
        <v/>
      </c>
      <c r="CU21" s="102" t="str">
        <f t="shared" si="80"/>
        <v/>
      </c>
      <c r="CV21" s="102" t="str">
        <f t="shared" si="81"/>
        <v/>
      </c>
      <c r="CW21" s="102" t="str">
        <f t="shared" si="82"/>
        <v/>
      </c>
      <c r="CX21" s="102" t="str">
        <f t="shared" si="83"/>
        <v/>
      </c>
      <c r="CY21" s="102" t="str">
        <f t="shared" si="84"/>
        <v/>
      </c>
      <c r="CZ21" s="102" t="str">
        <f t="shared" si="85"/>
        <v/>
      </c>
      <c r="DA21" s="102" t="str">
        <f t="shared" si="86"/>
        <v/>
      </c>
      <c r="DB21" s="102" t="str">
        <f t="shared" si="87"/>
        <v/>
      </c>
      <c r="DC21" s="102" t="str">
        <f t="shared" si="88"/>
        <v/>
      </c>
      <c r="DD21" s="102" t="str">
        <f t="shared" si="89"/>
        <v/>
      </c>
      <c r="DE21" s="102" t="str">
        <f t="shared" si="90"/>
        <v/>
      </c>
      <c r="DF21" s="102" t="str">
        <f t="shared" si="91"/>
        <v/>
      </c>
      <c r="DG21" s="102" t="str">
        <f t="shared" si="92"/>
        <v/>
      </c>
      <c r="DH21" s="102" t="str">
        <f t="shared" si="93"/>
        <v/>
      </c>
      <c r="DI21" s="102" t="str">
        <f t="shared" si="94"/>
        <v/>
      </c>
      <c r="DJ21" s="102" t="str">
        <f t="shared" si="95"/>
        <v/>
      </c>
      <c r="DK21" s="102" t="str">
        <f t="shared" si="96"/>
        <v/>
      </c>
      <c r="DL21" s="102" t="str">
        <f t="shared" si="97"/>
        <v/>
      </c>
      <c r="DM21" s="102" t="str">
        <f t="shared" si="98"/>
        <v/>
      </c>
      <c r="DN21" s="102" t="str">
        <f t="shared" si="99"/>
        <v/>
      </c>
      <c r="DO21" s="102" t="str">
        <f t="shared" si="100"/>
        <v/>
      </c>
      <c r="DP21" s="102" t="str">
        <f t="shared" si="101"/>
        <v/>
      </c>
      <c r="DQ21" s="102" t="str">
        <f t="shared" si="102"/>
        <v/>
      </c>
      <c r="DR21" s="102" t="str">
        <f t="shared" si="103"/>
        <v/>
      </c>
      <c r="DS21" s="102" t="str">
        <f t="shared" si="104"/>
        <v/>
      </c>
      <c r="DT21" s="102" t="str">
        <f t="shared" si="105"/>
        <v/>
      </c>
      <c r="DU21" s="102" t="str">
        <f t="shared" si="106"/>
        <v/>
      </c>
      <c r="DV21" s="102" t="str">
        <f t="shared" si="107"/>
        <v/>
      </c>
      <c r="DW21" s="102" t="str">
        <f t="shared" si="108"/>
        <v/>
      </c>
      <c r="DX21" s="102" t="str">
        <f t="shared" si="109"/>
        <v/>
      </c>
      <c r="DY21" s="102" t="str">
        <f t="shared" si="110"/>
        <v/>
      </c>
      <c r="DZ21" s="102" t="str">
        <f t="shared" si="111"/>
        <v/>
      </c>
      <c r="EA21" s="102" t="str">
        <f t="shared" si="112"/>
        <v/>
      </c>
      <c r="EB21" s="102" t="str">
        <f t="shared" si="113"/>
        <v/>
      </c>
      <c r="EC21" s="102" t="str">
        <f t="shared" si="114"/>
        <v/>
      </c>
      <c r="ED21" s="102" t="str">
        <f t="shared" si="115"/>
        <v/>
      </c>
      <c r="EE21" s="102" t="str">
        <f t="shared" si="116"/>
        <v/>
      </c>
      <c r="EF21" s="102" t="str">
        <f t="shared" si="117"/>
        <v/>
      </c>
      <c r="EG21" s="102" t="str">
        <f t="shared" si="118"/>
        <v/>
      </c>
      <c r="EH21" s="102" t="str">
        <f t="shared" si="119"/>
        <v/>
      </c>
      <c r="EI21" s="102" t="str">
        <f t="shared" si="120"/>
        <v/>
      </c>
      <c r="EJ21" s="102" t="str">
        <f t="shared" si="121"/>
        <v/>
      </c>
      <c r="EK21" s="102" t="str">
        <f t="shared" si="122"/>
        <v/>
      </c>
      <c r="EL21" s="102" t="str">
        <f t="shared" si="123"/>
        <v/>
      </c>
      <c r="EM21" s="102" t="str">
        <f t="shared" si="124"/>
        <v/>
      </c>
      <c r="EN21" s="102" t="str">
        <f t="shared" si="125"/>
        <v/>
      </c>
      <c r="EO21" s="102" t="str">
        <f t="shared" si="126"/>
        <v/>
      </c>
      <c r="EP21" s="102" t="str">
        <f t="shared" si="127"/>
        <v/>
      </c>
      <c r="EQ21" s="102" t="str">
        <f t="shared" si="128"/>
        <v/>
      </c>
      <c r="ER21" s="102" t="str">
        <f t="shared" si="129"/>
        <v/>
      </c>
      <c r="ES21" s="102" t="str">
        <f t="shared" si="130"/>
        <v/>
      </c>
      <c r="ET21" s="102" t="str">
        <f t="shared" si="131"/>
        <v/>
      </c>
      <c r="EU21" s="102" t="str">
        <f t="shared" si="132"/>
        <v/>
      </c>
      <c r="EV21" s="102" t="str">
        <f t="shared" si="133"/>
        <v/>
      </c>
      <c r="EW21" s="792" t="str">
        <f t="shared" si="134"/>
        <v/>
      </c>
      <c r="EX21" s="354" t="str">
        <f t="shared" si="135"/>
        <v/>
      </c>
      <c r="EY21" s="354" t="str">
        <f t="shared" si="136"/>
        <v/>
      </c>
      <c r="EZ21" s="354" t="str">
        <f t="shared" si="137"/>
        <v/>
      </c>
      <c r="FA21" s="354" t="str">
        <f t="shared" si="138"/>
        <v/>
      </c>
      <c r="FB21" s="354" t="str">
        <f t="shared" si="139"/>
        <v/>
      </c>
      <c r="FC21" s="354" t="str">
        <f t="shared" si="140"/>
        <v/>
      </c>
      <c r="FD21" s="354" t="str">
        <f t="shared" si="141"/>
        <v/>
      </c>
      <c r="FE21" s="354" t="str">
        <f t="shared" si="142"/>
        <v/>
      </c>
      <c r="FF21" s="354" t="str">
        <f t="shared" si="143"/>
        <v/>
      </c>
      <c r="FG21" s="354" t="str">
        <f t="shared" si="144"/>
        <v/>
      </c>
      <c r="FH21" s="354" t="str">
        <f t="shared" si="145"/>
        <v/>
      </c>
      <c r="FI21" s="354" t="str">
        <f t="shared" si="146"/>
        <v/>
      </c>
      <c r="FJ21" s="354" t="str">
        <f t="shared" si="147"/>
        <v/>
      </c>
      <c r="FK21" s="354" t="str">
        <f t="shared" si="148"/>
        <v/>
      </c>
      <c r="FL21" s="354" t="str">
        <f t="shared" si="149"/>
        <v/>
      </c>
      <c r="FM21" s="354" t="str">
        <f t="shared" si="150"/>
        <v/>
      </c>
      <c r="FN21" s="354" t="str">
        <f t="shared" si="151"/>
        <v/>
      </c>
      <c r="FO21" s="354" t="str">
        <f t="shared" si="152"/>
        <v/>
      </c>
      <c r="FP21" s="354" t="str">
        <f t="shared" si="153"/>
        <v/>
      </c>
      <c r="FQ21" s="354" t="str">
        <f t="shared" si="154"/>
        <v/>
      </c>
      <c r="FR21" s="354" t="str">
        <f t="shared" si="155"/>
        <v/>
      </c>
      <c r="FS21" s="354" t="str">
        <f t="shared" si="156"/>
        <v/>
      </c>
      <c r="FT21" s="354" t="str">
        <f t="shared" si="157"/>
        <v/>
      </c>
      <c r="FU21" s="354" t="str">
        <f t="shared" si="158"/>
        <v/>
      </c>
      <c r="FV21" s="354" t="str">
        <f t="shared" si="159"/>
        <v/>
      </c>
      <c r="FW21" s="354" t="str">
        <f t="shared" si="160"/>
        <v/>
      </c>
      <c r="FX21" s="354" t="str">
        <f t="shared" si="161"/>
        <v/>
      </c>
      <c r="FY21" s="354" t="str">
        <f t="shared" si="162"/>
        <v/>
      </c>
      <c r="FZ21" s="354" t="str">
        <f t="shared" si="163"/>
        <v/>
      </c>
      <c r="GA21" s="354" t="str">
        <f t="shared" si="164"/>
        <v/>
      </c>
      <c r="GB21" s="354" t="str">
        <f t="shared" si="165"/>
        <v/>
      </c>
      <c r="GC21" s="354" t="str">
        <f t="shared" si="166"/>
        <v/>
      </c>
      <c r="GD21" s="354" t="str">
        <f t="shared" si="167"/>
        <v/>
      </c>
      <c r="GE21" s="354" t="str">
        <f t="shared" si="168"/>
        <v/>
      </c>
      <c r="GF21" s="354" t="str">
        <f t="shared" si="169"/>
        <v/>
      </c>
      <c r="GG21" s="354" t="str">
        <f t="shared" si="170"/>
        <v/>
      </c>
      <c r="GH21" s="354" t="str">
        <f t="shared" si="171"/>
        <v/>
      </c>
      <c r="GI21" s="354" t="str">
        <f t="shared" si="172"/>
        <v/>
      </c>
      <c r="GJ21" s="354" t="str">
        <f t="shared" si="173"/>
        <v/>
      </c>
      <c r="GK21" s="354" t="str">
        <f t="shared" si="174"/>
        <v/>
      </c>
      <c r="GL21" s="354" t="str">
        <f t="shared" si="175"/>
        <v/>
      </c>
      <c r="GM21" s="354" t="str">
        <f t="shared" si="176"/>
        <v/>
      </c>
      <c r="GN21" s="354" t="str">
        <f t="shared" si="177"/>
        <v/>
      </c>
      <c r="GO21" s="354" t="str">
        <f t="shared" si="178"/>
        <v/>
      </c>
      <c r="GP21" s="354" t="str">
        <f t="shared" si="179"/>
        <v/>
      </c>
      <c r="GQ21" s="354" t="str">
        <f t="shared" si="180"/>
        <v/>
      </c>
      <c r="GR21" s="354" t="str">
        <f t="shared" si="181"/>
        <v/>
      </c>
      <c r="GS21" s="354" t="str">
        <f t="shared" si="182"/>
        <v/>
      </c>
      <c r="GT21" s="354" t="str">
        <f t="shared" si="183"/>
        <v/>
      </c>
      <c r="GU21" s="354" t="str">
        <f t="shared" si="184"/>
        <v/>
      </c>
      <c r="GV21" s="354" t="str">
        <f t="shared" si="185"/>
        <v/>
      </c>
      <c r="GW21" s="354" t="str">
        <f t="shared" si="186"/>
        <v/>
      </c>
      <c r="GX21" s="354" t="str">
        <f t="shared" si="187"/>
        <v/>
      </c>
      <c r="GY21" s="354" t="str">
        <f t="shared" si="188"/>
        <v/>
      </c>
      <c r="GZ21" s="354" t="str">
        <f t="shared" si="189"/>
        <v/>
      </c>
      <c r="HA21" s="354" t="str">
        <f t="shared" si="190"/>
        <v/>
      </c>
      <c r="HB21" s="354" t="str">
        <f t="shared" si="191"/>
        <v/>
      </c>
      <c r="HC21" s="354" t="str">
        <f t="shared" si="192"/>
        <v/>
      </c>
      <c r="HD21" s="354" t="str">
        <f t="shared" si="193"/>
        <v/>
      </c>
      <c r="HE21" s="354" t="str">
        <f t="shared" si="194"/>
        <v/>
      </c>
      <c r="HF21" s="354" t="str">
        <f t="shared" si="195"/>
        <v/>
      </c>
      <c r="HG21" s="354" t="str">
        <f t="shared" si="196"/>
        <v/>
      </c>
      <c r="HH21" s="354" t="str">
        <f t="shared" si="197"/>
        <v/>
      </c>
      <c r="HI21" s="354" t="str">
        <f t="shared" si="198"/>
        <v/>
      </c>
      <c r="HJ21" s="354" t="str">
        <f t="shared" si="199"/>
        <v/>
      </c>
      <c r="HK21" s="354" t="str">
        <f t="shared" si="200"/>
        <v/>
      </c>
      <c r="HL21" s="354" t="str">
        <f t="shared" si="201"/>
        <v/>
      </c>
      <c r="HM21" s="354" t="str">
        <f t="shared" si="202"/>
        <v/>
      </c>
      <c r="HN21" s="354" t="str">
        <f t="shared" si="203"/>
        <v/>
      </c>
      <c r="HO21" s="354" t="str">
        <f t="shared" si="204"/>
        <v/>
      </c>
      <c r="HP21" s="354" t="str">
        <f t="shared" si="205"/>
        <v/>
      </c>
      <c r="HQ21" s="354" t="str">
        <f t="shared" si="206"/>
        <v/>
      </c>
      <c r="HR21" s="354" t="str">
        <f t="shared" si="207"/>
        <v/>
      </c>
      <c r="HS21" s="354" t="str">
        <f t="shared" si="208"/>
        <v/>
      </c>
      <c r="HT21" s="354" t="str">
        <f t="shared" si="209"/>
        <v/>
      </c>
      <c r="HU21" s="354" t="str">
        <f t="shared" si="210"/>
        <v/>
      </c>
      <c r="HV21" s="354" t="str">
        <f t="shared" si="211"/>
        <v/>
      </c>
      <c r="HW21" s="354" t="str">
        <f t="shared" si="212"/>
        <v/>
      </c>
      <c r="HX21" s="354" t="str">
        <f t="shared" si="213"/>
        <v/>
      </c>
      <c r="HY21" s="354" t="str">
        <f t="shared" si="214"/>
        <v/>
      </c>
      <c r="HZ21" s="354" t="str">
        <f t="shared" si="215"/>
        <v/>
      </c>
      <c r="IA21" s="354" t="str">
        <f t="shared" si="216"/>
        <v/>
      </c>
      <c r="IB21" s="354" t="str">
        <f t="shared" si="217"/>
        <v/>
      </c>
      <c r="IC21" s="354" t="str">
        <f t="shared" si="218"/>
        <v/>
      </c>
      <c r="ID21" s="355" t="str">
        <f t="shared" si="219"/>
        <v/>
      </c>
      <c r="IE21" s="355" t="str">
        <f t="shared" si="220"/>
        <v/>
      </c>
      <c r="IF21" s="355" t="str">
        <f t="shared" si="221"/>
        <v/>
      </c>
      <c r="IG21" s="355" t="str">
        <f t="shared" si="222"/>
        <v/>
      </c>
      <c r="IH21" s="355" t="str">
        <f t="shared" si="223"/>
        <v/>
      </c>
      <c r="II21" s="344" t="str">
        <f t="shared" si="224"/>
        <v/>
      </c>
      <c r="IJ21" s="344" t="str">
        <f t="shared" si="225"/>
        <v/>
      </c>
      <c r="IK21" s="344" t="str">
        <f t="shared" si="226"/>
        <v/>
      </c>
      <c r="IL21" s="344" t="str">
        <f t="shared" si="227"/>
        <v/>
      </c>
      <c r="IM21" s="344" t="str">
        <f t="shared" si="228"/>
        <v/>
      </c>
      <c r="IN21" s="344" t="str">
        <f t="shared" si="229"/>
        <v/>
      </c>
      <c r="IO21" s="344" t="str">
        <f t="shared" si="230"/>
        <v/>
      </c>
      <c r="IP21" s="344" t="str">
        <f t="shared" si="231"/>
        <v/>
      </c>
      <c r="IQ21" s="344" t="str">
        <f t="shared" si="232"/>
        <v/>
      </c>
      <c r="IR21" s="344" t="str">
        <f t="shared" si="233"/>
        <v/>
      </c>
      <c r="IS21" s="344" t="str">
        <f t="shared" si="234"/>
        <v/>
      </c>
      <c r="IT21" s="344" t="str">
        <f t="shared" si="235"/>
        <v/>
      </c>
      <c r="IU21" s="344" t="str">
        <f t="shared" si="236"/>
        <v/>
      </c>
      <c r="IV21" s="344" t="str">
        <f t="shared" si="237"/>
        <v/>
      </c>
      <c r="IW21" s="344" t="str">
        <f t="shared" si="238"/>
        <v/>
      </c>
      <c r="IX21" s="344" t="str">
        <f t="shared" si="239"/>
        <v/>
      </c>
      <c r="IY21" s="344" t="str">
        <f t="shared" si="240"/>
        <v/>
      </c>
      <c r="IZ21" s="344" t="str">
        <f t="shared" si="241"/>
        <v/>
      </c>
      <c r="JA21" s="344" t="str">
        <f t="shared" si="242"/>
        <v/>
      </c>
      <c r="JB21" s="344" t="str">
        <f t="shared" si="243"/>
        <v/>
      </c>
      <c r="JC21" s="353">
        <f t="shared" si="244"/>
        <v>0</v>
      </c>
      <c r="JD21" s="353">
        <f t="shared" si="245"/>
        <v>0</v>
      </c>
      <c r="JE21" s="353">
        <f t="shared" si="246"/>
        <v>0</v>
      </c>
      <c r="JF21" s="353">
        <f t="shared" si="247"/>
        <v>0</v>
      </c>
      <c r="JG21" s="353">
        <f t="shared" si="248"/>
        <v>0</v>
      </c>
      <c r="JH21" s="353">
        <f t="shared" si="249"/>
        <v>0</v>
      </c>
      <c r="JI21" s="353">
        <f t="shared" si="250"/>
        <v>0</v>
      </c>
      <c r="JJ21" s="353">
        <f t="shared" si="251"/>
        <v>0</v>
      </c>
      <c r="JK21" s="353">
        <f t="shared" si="252"/>
        <v>0</v>
      </c>
      <c r="JL21" s="353">
        <f t="shared" si="253"/>
        <v>0</v>
      </c>
      <c r="JM21" s="353">
        <f t="shared" si="254"/>
        <v>0</v>
      </c>
      <c r="JN21" s="353">
        <f t="shared" si="255"/>
        <v>0</v>
      </c>
      <c r="JO21" s="353">
        <f t="shared" si="256"/>
        <v>0</v>
      </c>
      <c r="JP21" s="353">
        <f t="shared" si="257"/>
        <v>0</v>
      </c>
      <c r="JQ21" s="353">
        <f t="shared" si="258"/>
        <v>0</v>
      </c>
    </row>
    <row r="22" spans="1:277" ht="12" customHeight="1">
      <c r="A22" s="70" t="str">
        <f t="shared" si="0"/>
        <v/>
      </c>
      <c r="B22" s="2628" t="s">
        <v>781</v>
      </c>
      <c r="C22" s="2629"/>
      <c r="D22" s="2630"/>
      <c r="E22" s="2631"/>
      <c r="F22" s="2631"/>
      <c r="G22" s="2631"/>
      <c r="H22" s="2631"/>
      <c r="I22" s="2632">
        <f>IF(C22="",0,HLOOKUP(C22,'Part V-Utility Allowances'!$I$11:$M$21,11))</f>
        <v>0</v>
      </c>
      <c r="J22" s="2633"/>
      <c r="K22" s="488">
        <f t="shared" si="1"/>
        <v>0</v>
      </c>
      <c r="L22" s="488">
        <f t="shared" si="2"/>
        <v>0</v>
      </c>
      <c r="M22" s="2634"/>
      <c r="N22" s="2634"/>
      <c r="O22" s="2634"/>
      <c r="P22" s="2635"/>
      <c r="Q22" s="2636" t="str">
        <f t="shared" si="3"/>
        <v/>
      </c>
      <c r="R22" s="2637" t="str">
        <f>IF(H22="","",IF(C22="Efficiency",Q22/($O$6*VLOOKUP(0,'DCA Underwriting Assumptions'!$J$143:$K$148,2,FALSE)),Q22/($O$6*VLOOKUP(C22,'DCA Underwriting Assumptions'!$J$143:$K$148,2,FALSE))))</f>
        <v/>
      </c>
      <c r="S22" s="2638"/>
      <c r="T22" s="2639"/>
      <c r="U22" s="2594"/>
      <c r="V22" s="2595"/>
      <c r="W22" s="102" t="str">
        <f t="shared" si="4"/>
        <v/>
      </c>
      <c r="X22" s="102" t="str">
        <f t="shared" si="5"/>
        <v/>
      </c>
      <c r="Y22" s="102" t="str">
        <f t="shared" si="6"/>
        <v/>
      </c>
      <c r="Z22" s="102" t="str">
        <f t="shared" si="7"/>
        <v/>
      </c>
      <c r="AA22" s="102" t="str">
        <f t="shared" si="8"/>
        <v/>
      </c>
      <c r="AB22" s="102" t="str">
        <f t="shared" si="9"/>
        <v/>
      </c>
      <c r="AC22" s="102" t="str">
        <f t="shared" si="10"/>
        <v/>
      </c>
      <c r="AD22" s="102" t="str">
        <f t="shared" si="11"/>
        <v/>
      </c>
      <c r="AE22" s="102" t="str">
        <f t="shared" si="12"/>
        <v/>
      </c>
      <c r="AF22" s="102" t="str">
        <f t="shared" si="13"/>
        <v/>
      </c>
      <c r="AG22" s="102" t="str">
        <f t="shared" si="14"/>
        <v/>
      </c>
      <c r="AH22" s="102" t="str">
        <f t="shared" si="15"/>
        <v/>
      </c>
      <c r="AI22" s="102" t="str">
        <f t="shared" si="16"/>
        <v/>
      </c>
      <c r="AJ22" s="102" t="str">
        <f t="shared" si="17"/>
        <v/>
      </c>
      <c r="AK22" s="102" t="str">
        <f t="shared" si="18"/>
        <v/>
      </c>
      <c r="AL22" s="102" t="str">
        <f t="shared" si="19"/>
        <v/>
      </c>
      <c r="AM22" s="102" t="str">
        <f t="shared" si="20"/>
        <v/>
      </c>
      <c r="AN22" s="102" t="str">
        <f t="shared" si="21"/>
        <v/>
      </c>
      <c r="AO22" s="102" t="str">
        <f t="shared" si="22"/>
        <v/>
      </c>
      <c r="AP22" s="102" t="str">
        <f t="shared" si="23"/>
        <v/>
      </c>
      <c r="AQ22" s="102" t="str">
        <f t="shared" si="24"/>
        <v/>
      </c>
      <c r="AR22" s="102" t="str">
        <f t="shared" si="25"/>
        <v/>
      </c>
      <c r="AS22" s="102" t="str">
        <f t="shared" si="26"/>
        <v/>
      </c>
      <c r="AT22" s="102" t="str">
        <f t="shared" si="27"/>
        <v/>
      </c>
      <c r="AU22" s="102" t="str">
        <f t="shared" si="28"/>
        <v/>
      </c>
      <c r="AV22" s="102" t="str">
        <f t="shared" si="29"/>
        <v/>
      </c>
      <c r="AW22" s="102" t="str">
        <f t="shared" si="30"/>
        <v/>
      </c>
      <c r="AX22" s="102" t="str">
        <f t="shared" si="31"/>
        <v/>
      </c>
      <c r="AY22" s="102" t="str">
        <f t="shared" si="32"/>
        <v/>
      </c>
      <c r="AZ22" s="102" t="str">
        <f t="shared" si="33"/>
        <v/>
      </c>
      <c r="BA22" s="102" t="str">
        <f t="shared" si="34"/>
        <v/>
      </c>
      <c r="BB22" s="102" t="str">
        <f t="shared" si="35"/>
        <v/>
      </c>
      <c r="BC22" s="102" t="str">
        <f t="shared" si="36"/>
        <v/>
      </c>
      <c r="BD22" s="102" t="str">
        <f t="shared" si="37"/>
        <v/>
      </c>
      <c r="BE22" s="102" t="str">
        <f t="shared" si="38"/>
        <v/>
      </c>
      <c r="BF22" s="102" t="str">
        <f t="shared" si="39"/>
        <v/>
      </c>
      <c r="BG22" s="102" t="str">
        <f t="shared" si="40"/>
        <v/>
      </c>
      <c r="BH22" s="102" t="str">
        <f t="shared" si="41"/>
        <v/>
      </c>
      <c r="BI22" s="102" t="str">
        <f t="shared" si="42"/>
        <v/>
      </c>
      <c r="BJ22" s="102" t="str">
        <f t="shared" si="43"/>
        <v/>
      </c>
      <c r="BK22" s="102" t="str">
        <f t="shared" si="44"/>
        <v/>
      </c>
      <c r="BL22" s="102" t="str">
        <f t="shared" si="45"/>
        <v/>
      </c>
      <c r="BM22" s="102" t="str">
        <f t="shared" si="46"/>
        <v/>
      </c>
      <c r="BN22" s="102" t="str">
        <f t="shared" si="47"/>
        <v/>
      </c>
      <c r="BO22" s="102" t="str">
        <f t="shared" si="48"/>
        <v/>
      </c>
      <c r="BP22" s="102" t="str">
        <f t="shared" si="49"/>
        <v/>
      </c>
      <c r="BQ22" s="102" t="str">
        <f t="shared" si="50"/>
        <v/>
      </c>
      <c r="BR22" s="102" t="str">
        <f t="shared" si="51"/>
        <v/>
      </c>
      <c r="BS22" s="102" t="str">
        <f t="shared" si="52"/>
        <v/>
      </c>
      <c r="BT22" s="102" t="str">
        <f t="shared" si="53"/>
        <v/>
      </c>
      <c r="BU22" s="102" t="str">
        <f t="shared" si="54"/>
        <v/>
      </c>
      <c r="BV22" s="102" t="str">
        <f t="shared" si="55"/>
        <v/>
      </c>
      <c r="BW22" s="102" t="str">
        <f t="shared" si="56"/>
        <v/>
      </c>
      <c r="BX22" s="102" t="str">
        <f t="shared" si="57"/>
        <v/>
      </c>
      <c r="BY22" s="102" t="str">
        <f t="shared" si="58"/>
        <v/>
      </c>
      <c r="BZ22" s="102" t="str">
        <f t="shared" si="59"/>
        <v/>
      </c>
      <c r="CA22" s="102" t="str">
        <f t="shared" si="60"/>
        <v/>
      </c>
      <c r="CB22" s="102" t="str">
        <f t="shared" si="61"/>
        <v/>
      </c>
      <c r="CC22" s="102" t="str">
        <f t="shared" si="62"/>
        <v/>
      </c>
      <c r="CD22" s="102" t="str">
        <f t="shared" si="63"/>
        <v/>
      </c>
      <c r="CE22" s="102" t="str">
        <f t="shared" si="64"/>
        <v/>
      </c>
      <c r="CF22" s="102" t="str">
        <f t="shared" si="65"/>
        <v/>
      </c>
      <c r="CG22" s="102" t="str">
        <f t="shared" si="66"/>
        <v/>
      </c>
      <c r="CH22" s="102" t="str">
        <f t="shared" si="67"/>
        <v/>
      </c>
      <c r="CI22" s="102" t="str">
        <f t="shared" si="68"/>
        <v/>
      </c>
      <c r="CJ22" s="102" t="str">
        <f t="shared" si="69"/>
        <v/>
      </c>
      <c r="CK22" s="102" t="str">
        <f t="shared" si="70"/>
        <v/>
      </c>
      <c r="CL22" s="102" t="str">
        <f t="shared" si="71"/>
        <v/>
      </c>
      <c r="CM22" s="102" t="str">
        <f t="shared" si="72"/>
        <v/>
      </c>
      <c r="CN22" s="102" t="str">
        <f t="shared" si="73"/>
        <v/>
      </c>
      <c r="CO22" s="102" t="str">
        <f t="shared" si="74"/>
        <v/>
      </c>
      <c r="CP22" s="102" t="str">
        <f t="shared" si="75"/>
        <v/>
      </c>
      <c r="CQ22" s="102" t="str">
        <f t="shared" si="76"/>
        <v/>
      </c>
      <c r="CR22" s="102" t="str">
        <f t="shared" si="77"/>
        <v/>
      </c>
      <c r="CS22" s="102" t="str">
        <f t="shared" si="78"/>
        <v/>
      </c>
      <c r="CT22" s="102" t="str">
        <f t="shared" si="79"/>
        <v/>
      </c>
      <c r="CU22" s="102" t="str">
        <f t="shared" si="80"/>
        <v/>
      </c>
      <c r="CV22" s="102" t="str">
        <f t="shared" si="81"/>
        <v/>
      </c>
      <c r="CW22" s="102" t="str">
        <f t="shared" si="82"/>
        <v/>
      </c>
      <c r="CX22" s="102" t="str">
        <f t="shared" si="83"/>
        <v/>
      </c>
      <c r="CY22" s="102" t="str">
        <f t="shared" si="84"/>
        <v/>
      </c>
      <c r="CZ22" s="102" t="str">
        <f t="shared" si="85"/>
        <v/>
      </c>
      <c r="DA22" s="102" t="str">
        <f t="shared" si="86"/>
        <v/>
      </c>
      <c r="DB22" s="102" t="str">
        <f t="shared" si="87"/>
        <v/>
      </c>
      <c r="DC22" s="102" t="str">
        <f t="shared" si="88"/>
        <v/>
      </c>
      <c r="DD22" s="102" t="str">
        <f t="shared" si="89"/>
        <v/>
      </c>
      <c r="DE22" s="102" t="str">
        <f t="shared" si="90"/>
        <v/>
      </c>
      <c r="DF22" s="102" t="str">
        <f t="shared" si="91"/>
        <v/>
      </c>
      <c r="DG22" s="102" t="str">
        <f t="shared" si="92"/>
        <v/>
      </c>
      <c r="DH22" s="102" t="str">
        <f t="shared" si="93"/>
        <v/>
      </c>
      <c r="DI22" s="102" t="str">
        <f t="shared" si="94"/>
        <v/>
      </c>
      <c r="DJ22" s="102" t="str">
        <f t="shared" si="95"/>
        <v/>
      </c>
      <c r="DK22" s="102" t="str">
        <f t="shared" si="96"/>
        <v/>
      </c>
      <c r="DL22" s="102" t="str">
        <f t="shared" si="97"/>
        <v/>
      </c>
      <c r="DM22" s="102" t="str">
        <f t="shared" si="98"/>
        <v/>
      </c>
      <c r="DN22" s="102" t="str">
        <f t="shared" si="99"/>
        <v/>
      </c>
      <c r="DO22" s="102" t="str">
        <f t="shared" si="100"/>
        <v/>
      </c>
      <c r="DP22" s="102" t="str">
        <f t="shared" si="101"/>
        <v/>
      </c>
      <c r="DQ22" s="102" t="str">
        <f t="shared" si="102"/>
        <v/>
      </c>
      <c r="DR22" s="102" t="str">
        <f t="shared" si="103"/>
        <v/>
      </c>
      <c r="DS22" s="102" t="str">
        <f t="shared" si="104"/>
        <v/>
      </c>
      <c r="DT22" s="102" t="str">
        <f t="shared" si="105"/>
        <v/>
      </c>
      <c r="DU22" s="102" t="str">
        <f t="shared" si="106"/>
        <v/>
      </c>
      <c r="DV22" s="102" t="str">
        <f t="shared" si="107"/>
        <v/>
      </c>
      <c r="DW22" s="102" t="str">
        <f t="shared" si="108"/>
        <v/>
      </c>
      <c r="DX22" s="102" t="str">
        <f t="shared" si="109"/>
        <v/>
      </c>
      <c r="DY22" s="102" t="str">
        <f t="shared" si="110"/>
        <v/>
      </c>
      <c r="DZ22" s="102" t="str">
        <f t="shared" si="111"/>
        <v/>
      </c>
      <c r="EA22" s="102" t="str">
        <f t="shared" si="112"/>
        <v/>
      </c>
      <c r="EB22" s="102" t="str">
        <f t="shared" si="113"/>
        <v/>
      </c>
      <c r="EC22" s="102" t="str">
        <f t="shared" si="114"/>
        <v/>
      </c>
      <c r="ED22" s="102" t="str">
        <f t="shared" si="115"/>
        <v/>
      </c>
      <c r="EE22" s="102" t="str">
        <f t="shared" si="116"/>
        <v/>
      </c>
      <c r="EF22" s="102" t="str">
        <f t="shared" si="117"/>
        <v/>
      </c>
      <c r="EG22" s="102" t="str">
        <f t="shared" si="118"/>
        <v/>
      </c>
      <c r="EH22" s="102" t="str">
        <f t="shared" si="119"/>
        <v/>
      </c>
      <c r="EI22" s="102" t="str">
        <f t="shared" si="120"/>
        <v/>
      </c>
      <c r="EJ22" s="102" t="str">
        <f t="shared" si="121"/>
        <v/>
      </c>
      <c r="EK22" s="102" t="str">
        <f t="shared" si="122"/>
        <v/>
      </c>
      <c r="EL22" s="102" t="str">
        <f t="shared" si="123"/>
        <v/>
      </c>
      <c r="EM22" s="102" t="str">
        <f t="shared" si="124"/>
        <v/>
      </c>
      <c r="EN22" s="102" t="str">
        <f t="shared" si="125"/>
        <v/>
      </c>
      <c r="EO22" s="102" t="str">
        <f t="shared" si="126"/>
        <v/>
      </c>
      <c r="EP22" s="102" t="str">
        <f t="shared" si="127"/>
        <v/>
      </c>
      <c r="EQ22" s="102" t="str">
        <f t="shared" si="128"/>
        <v/>
      </c>
      <c r="ER22" s="102" t="str">
        <f t="shared" si="129"/>
        <v/>
      </c>
      <c r="ES22" s="102" t="str">
        <f t="shared" si="130"/>
        <v/>
      </c>
      <c r="ET22" s="102" t="str">
        <f t="shared" si="131"/>
        <v/>
      </c>
      <c r="EU22" s="102" t="str">
        <f t="shared" si="132"/>
        <v/>
      </c>
      <c r="EV22" s="102" t="str">
        <f t="shared" si="133"/>
        <v/>
      </c>
      <c r="EW22" s="792" t="str">
        <f t="shared" si="134"/>
        <v/>
      </c>
      <c r="EX22" s="354" t="str">
        <f t="shared" si="135"/>
        <v/>
      </c>
      <c r="EY22" s="354" t="str">
        <f t="shared" si="136"/>
        <v/>
      </c>
      <c r="EZ22" s="354" t="str">
        <f t="shared" si="137"/>
        <v/>
      </c>
      <c r="FA22" s="354" t="str">
        <f t="shared" si="138"/>
        <v/>
      </c>
      <c r="FB22" s="354" t="str">
        <f t="shared" si="139"/>
        <v/>
      </c>
      <c r="FC22" s="354" t="str">
        <f t="shared" si="140"/>
        <v/>
      </c>
      <c r="FD22" s="354" t="str">
        <f t="shared" si="141"/>
        <v/>
      </c>
      <c r="FE22" s="354" t="str">
        <f t="shared" si="142"/>
        <v/>
      </c>
      <c r="FF22" s="354" t="str">
        <f t="shared" si="143"/>
        <v/>
      </c>
      <c r="FG22" s="354" t="str">
        <f t="shared" si="144"/>
        <v/>
      </c>
      <c r="FH22" s="354" t="str">
        <f t="shared" si="145"/>
        <v/>
      </c>
      <c r="FI22" s="354" t="str">
        <f t="shared" si="146"/>
        <v/>
      </c>
      <c r="FJ22" s="354" t="str">
        <f t="shared" si="147"/>
        <v/>
      </c>
      <c r="FK22" s="354" t="str">
        <f t="shared" si="148"/>
        <v/>
      </c>
      <c r="FL22" s="354" t="str">
        <f t="shared" si="149"/>
        <v/>
      </c>
      <c r="FM22" s="354" t="str">
        <f t="shared" si="150"/>
        <v/>
      </c>
      <c r="FN22" s="354" t="str">
        <f t="shared" si="151"/>
        <v/>
      </c>
      <c r="FO22" s="354" t="str">
        <f t="shared" si="152"/>
        <v/>
      </c>
      <c r="FP22" s="354" t="str">
        <f t="shared" si="153"/>
        <v/>
      </c>
      <c r="FQ22" s="354" t="str">
        <f t="shared" si="154"/>
        <v/>
      </c>
      <c r="FR22" s="354" t="str">
        <f t="shared" si="155"/>
        <v/>
      </c>
      <c r="FS22" s="354" t="str">
        <f t="shared" si="156"/>
        <v/>
      </c>
      <c r="FT22" s="354" t="str">
        <f t="shared" si="157"/>
        <v/>
      </c>
      <c r="FU22" s="354" t="str">
        <f t="shared" si="158"/>
        <v/>
      </c>
      <c r="FV22" s="354" t="str">
        <f t="shared" si="159"/>
        <v/>
      </c>
      <c r="FW22" s="354" t="str">
        <f t="shared" si="160"/>
        <v/>
      </c>
      <c r="FX22" s="354" t="str">
        <f t="shared" si="161"/>
        <v/>
      </c>
      <c r="FY22" s="354" t="str">
        <f t="shared" si="162"/>
        <v/>
      </c>
      <c r="FZ22" s="354" t="str">
        <f t="shared" si="163"/>
        <v/>
      </c>
      <c r="GA22" s="354" t="str">
        <f t="shared" si="164"/>
        <v/>
      </c>
      <c r="GB22" s="354" t="str">
        <f t="shared" si="165"/>
        <v/>
      </c>
      <c r="GC22" s="354" t="str">
        <f t="shared" si="166"/>
        <v/>
      </c>
      <c r="GD22" s="354" t="str">
        <f t="shared" si="167"/>
        <v/>
      </c>
      <c r="GE22" s="354" t="str">
        <f t="shared" si="168"/>
        <v/>
      </c>
      <c r="GF22" s="354" t="str">
        <f t="shared" si="169"/>
        <v/>
      </c>
      <c r="GG22" s="354" t="str">
        <f t="shared" si="170"/>
        <v/>
      </c>
      <c r="GH22" s="354" t="str">
        <f t="shared" si="171"/>
        <v/>
      </c>
      <c r="GI22" s="354" t="str">
        <f t="shared" si="172"/>
        <v/>
      </c>
      <c r="GJ22" s="354" t="str">
        <f t="shared" si="173"/>
        <v/>
      </c>
      <c r="GK22" s="354" t="str">
        <f t="shared" si="174"/>
        <v/>
      </c>
      <c r="GL22" s="354" t="str">
        <f t="shared" si="175"/>
        <v/>
      </c>
      <c r="GM22" s="354" t="str">
        <f t="shared" si="176"/>
        <v/>
      </c>
      <c r="GN22" s="354" t="str">
        <f t="shared" si="177"/>
        <v/>
      </c>
      <c r="GO22" s="354" t="str">
        <f t="shared" si="178"/>
        <v/>
      </c>
      <c r="GP22" s="354" t="str">
        <f t="shared" si="179"/>
        <v/>
      </c>
      <c r="GQ22" s="354" t="str">
        <f t="shared" si="180"/>
        <v/>
      </c>
      <c r="GR22" s="354" t="str">
        <f t="shared" si="181"/>
        <v/>
      </c>
      <c r="GS22" s="354" t="str">
        <f t="shared" si="182"/>
        <v/>
      </c>
      <c r="GT22" s="354" t="str">
        <f t="shared" si="183"/>
        <v/>
      </c>
      <c r="GU22" s="354" t="str">
        <f t="shared" si="184"/>
        <v/>
      </c>
      <c r="GV22" s="354" t="str">
        <f t="shared" si="185"/>
        <v/>
      </c>
      <c r="GW22" s="354" t="str">
        <f t="shared" si="186"/>
        <v/>
      </c>
      <c r="GX22" s="354" t="str">
        <f t="shared" si="187"/>
        <v/>
      </c>
      <c r="GY22" s="354" t="str">
        <f t="shared" si="188"/>
        <v/>
      </c>
      <c r="GZ22" s="354" t="str">
        <f t="shared" si="189"/>
        <v/>
      </c>
      <c r="HA22" s="354" t="str">
        <f t="shared" si="190"/>
        <v/>
      </c>
      <c r="HB22" s="354" t="str">
        <f t="shared" si="191"/>
        <v/>
      </c>
      <c r="HC22" s="354" t="str">
        <f t="shared" si="192"/>
        <v/>
      </c>
      <c r="HD22" s="354" t="str">
        <f t="shared" si="193"/>
        <v/>
      </c>
      <c r="HE22" s="354" t="str">
        <f t="shared" si="194"/>
        <v/>
      </c>
      <c r="HF22" s="354" t="str">
        <f t="shared" si="195"/>
        <v/>
      </c>
      <c r="HG22" s="354" t="str">
        <f t="shared" si="196"/>
        <v/>
      </c>
      <c r="HH22" s="354" t="str">
        <f t="shared" si="197"/>
        <v/>
      </c>
      <c r="HI22" s="354" t="str">
        <f t="shared" si="198"/>
        <v/>
      </c>
      <c r="HJ22" s="354" t="str">
        <f t="shared" si="199"/>
        <v/>
      </c>
      <c r="HK22" s="354" t="str">
        <f t="shared" si="200"/>
        <v/>
      </c>
      <c r="HL22" s="354" t="str">
        <f t="shared" si="201"/>
        <v/>
      </c>
      <c r="HM22" s="354" t="str">
        <f t="shared" si="202"/>
        <v/>
      </c>
      <c r="HN22" s="354" t="str">
        <f t="shared" si="203"/>
        <v/>
      </c>
      <c r="HO22" s="354" t="str">
        <f t="shared" si="204"/>
        <v/>
      </c>
      <c r="HP22" s="354" t="str">
        <f t="shared" si="205"/>
        <v/>
      </c>
      <c r="HQ22" s="354" t="str">
        <f t="shared" si="206"/>
        <v/>
      </c>
      <c r="HR22" s="354" t="str">
        <f t="shared" si="207"/>
        <v/>
      </c>
      <c r="HS22" s="354" t="str">
        <f t="shared" si="208"/>
        <v/>
      </c>
      <c r="HT22" s="354" t="str">
        <f t="shared" si="209"/>
        <v/>
      </c>
      <c r="HU22" s="354" t="str">
        <f t="shared" si="210"/>
        <v/>
      </c>
      <c r="HV22" s="354" t="str">
        <f t="shared" si="211"/>
        <v/>
      </c>
      <c r="HW22" s="354" t="str">
        <f t="shared" si="212"/>
        <v/>
      </c>
      <c r="HX22" s="354" t="str">
        <f t="shared" si="213"/>
        <v/>
      </c>
      <c r="HY22" s="354" t="str">
        <f t="shared" si="214"/>
        <v/>
      </c>
      <c r="HZ22" s="354" t="str">
        <f t="shared" si="215"/>
        <v/>
      </c>
      <c r="IA22" s="354" t="str">
        <f t="shared" si="216"/>
        <v/>
      </c>
      <c r="IB22" s="354" t="str">
        <f t="shared" si="217"/>
        <v/>
      </c>
      <c r="IC22" s="354" t="str">
        <f t="shared" si="218"/>
        <v/>
      </c>
      <c r="ID22" s="355" t="str">
        <f t="shared" si="219"/>
        <v/>
      </c>
      <c r="IE22" s="355" t="str">
        <f t="shared" si="220"/>
        <v/>
      </c>
      <c r="IF22" s="355" t="str">
        <f t="shared" si="221"/>
        <v/>
      </c>
      <c r="IG22" s="355" t="str">
        <f t="shared" si="222"/>
        <v/>
      </c>
      <c r="IH22" s="355" t="str">
        <f t="shared" si="223"/>
        <v/>
      </c>
      <c r="II22" s="344" t="str">
        <f t="shared" si="224"/>
        <v/>
      </c>
      <c r="IJ22" s="344" t="str">
        <f t="shared" si="225"/>
        <v/>
      </c>
      <c r="IK22" s="344" t="str">
        <f t="shared" si="226"/>
        <v/>
      </c>
      <c r="IL22" s="344" t="str">
        <f t="shared" si="227"/>
        <v/>
      </c>
      <c r="IM22" s="344" t="str">
        <f t="shared" si="228"/>
        <v/>
      </c>
      <c r="IN22" s="344" t="str">
        <f t="shared" si="229"/>
        <v/>
      </c>
      <c r="IO22" s="344" t="str">
        <f t="shared" si="230"/>
        <v/>
      </c>
      <c r="IP22" s="344" t="str">
        <f t="shared" si="231"/>
        <v/>
      </c>
      <c r="IQ22" s="344" t="str">
        <f t="shared" si="232"/>
        <v/>
      </c>
      <c r="IR22" s="344" t="str">
        <f t="shared" si="233"/>
        <v/>
      </c>
      <c r="IS22" s="344" t="str">
        <f t="shared" si="234"/>
        <v/>
      </c>
      <c r="IT22" s="344" t="str">
        <f t="shared" si="235"/>
        <v/>
      </c>
      <c r="IU22" s="344" t="str">
        <f t="shared" si="236"/>
        <v/>
      </c>
      <c r="IV22" s="344" t="str">
        <f t="shared" si="237"/>
        <v/>
      </c>
      <c r="IW22" s="344" t="str">
        <f t="shared" si="238"/>
        <v/>
      </c>
      <c r="IX22" s="344" t="str">
        <f t="shared" si="239"/>
        <v/>
      </c>
      <c r="IY22" s="344" t="str">
        <f t="shared" si="240"/>
        <v/>
      </c>
      <c r="IZ22" s="344" t="str">
        <f t="shared" si="241"/>
        <v/>
      </c>
      <c r="JA22" s="344" t="str">
        <f t="shared" si="242"/>
        <v/>
      </c>
      <c r="JB22" s="344" t="str">
        <f t="shared" si="243"/>
        <v/>
      </c>
      <c r="JC22" s="353">
        <f t="shared" si="244"/>
        <v>0</v>
      </c>
      <c r="JD22" s="353">
        <f t="shared" si="245"/>
        <v>0</v>
      </c>
      <c r="JE22" s="353">
        <f t="shared" si="246"/>
        <v>0</v>
      </c>
      <c r="JF22" s="353">
        <f t="shared" si="247"/>
        <v>0</v>
      </c>
      <c r="JG22" s="353">
        <f t="shared" si="248"/>
        <v>0</v>
      </c>
      <c r="JH22" s="353">
        <f t="shared" si="249"/>
        <v>0</v>
      </c>
      <c r="JI22" s="353">
        <f t="shared" si="250"/>
        <v>0</v>
      </c>
      <c r="JJ22" s="353">
        <f t="shared" si="251"/>
        <v>0</v>
      </c>
      <c r="JK22" s="353">
        <f t="shared" si="252"/>
        <v>0</v>
      </c>
      <c r="JL22" s="353">
        <f t="shared" si="253"/>
        <v>0</v>
      </c>
      <c r="JM22" s="353">
        <f t="shared" si="254"/>
        <v>0</v>
      </c>
      <c r="JN22" s="353">
        <f t="shared" si="255"/>
        <v>0</v>
      </c>
      <c r="JO22" s="353">
        <f t="shared" si="256"/>
        <v>0</v>
      </c>
      <c r="JP22" s="353">
        <f t="shared" si="257"/>
        <v>0</v>
      </c>
      <c r="JQ22" s="353">
        <f t="shared" si="258"/>
        <v>0</v>
      </c>
    </row>
    <row r="23" spans="1:277" ht="12" customHeight="1">
      <c r="A23" s="70" t="str">
        <f t="shared" si="0"/>
        <v/>
      </c>
      <c r="B23" s="2628" t="s">
        <v>781</v>
      </c>
      <c r="C23" s="2629"/>
      <c r="D23" s="2630"/>
      <c r="E23" s="2631"/>
      <c r="F23" s="2631"/>
      <c r="G23" s="2631"/>
      <c r="H23" s="2631"/>
      <c r="I23" s="2632">
        <f>IF(C23="",0,HLOOKUP(C23,'Part V-Utility Allowances'!$I$11:$M$21,11))</f>
        <v>0</v>
      </c>
      <c r="J23" s="2633"/>
      <c r="K23" s="488">
        <f t="shared" si="1"/>
        <v>0</v>
      </c>
      <c r="L23" s="488">
        <f t="shared" si="2"/>
        <v>0</v>
      </c>
      <c r="M23" s="2634"/>
      <c r="N23" s="2634"/>
      <c r="O23" s="2634"/>
      <c r="P23" s="2635"/>
      <c r="Q23" s="2636" t="str">
        <f t="shared" si="3"/>
        <v/>
      </c>
      <c r="R23" s="2637" t="str">
        <f>IF(H23="","",IF(C23="Efficiency",Q23/($O$6*VLOOKUP(0,'DCA Underwriting Assumptions'!$J$143:$K$148,2,FALSE)),Q23/($O$6*VLOOKUP(C23,'DCA Underwriting Assumptions'!$J$143:$K$148,2,FALSE))))</f>
        <v/>
      </c>
      <c r="S23" s="2638"/>
      <c r="T23" s="2639"/>
      <c r="U23" s="2594"/>
      <c r="V23" s="2595"/>
      <c r="W23" s="102" t="str">
        <f t="shared" si="4"/>
        <v/>
      </c>
      <c r="X23" s="102" t="str">
        <f t="shared" si="5"/>
        <v/>
      </c>
      <c r="Y23" s="102" t="str">
        <f t="shared" si="6"/>
        <v/>
      </c>
      <c r="Z23" s="102" t="str">
        <f t="shared" si="7"/>
        <v/>
      </c>
      <c r="AA23" s="102" t="str">
        <f t="shared" si="8"/>
        <v/>
      </c>
      <c r="AB23" s="102" t="str">
        <f t="shared" si="9"/>
        <v/>
      </c>
      <c r="AC23" s="102" t="str">
        <f t="shared" si="10"/>
        <v/>
      </c>
      <c r="AD23" s="102" t="str">
        <f t="shared" si="11"/>
        <v/>
      </c>
      <c r="AE23" s="102" t="str">
        <f t="shared" si="12"/>
        <v/>
      </c>
      <c r="AF23" s="102" t="str">
        <f t="shared" si="13"/>
        <v/>
      </c>
      <c r="AG23" s="102" t="str">
        <f t="shared" si="14"/>
        <v/>
      </c>
      <c r="AH23" s="102" t="str">
        <f t="shared" si="15"/>
        <v/>
      </c>
      <c r="AI23" s="102" t="str">
        <f t="shared" si="16"/>
        <v/>
      </c>
      <c r="AJ23" s="102" t="str">
        <f t="shared" si="17"/>
        <v/>
      </c>
      <c r="AK23" s="102" t="str">
        <f t="shared" si="18"/>
        <v/>
      </c>
      <c r="AL23" s="102" t="str">
        <f t="shared" si="19"/>
        <v/>
      </c>
      <c r="AM23" s="102" t="str">
        <f t="shared" si="20"/>
        <v/>
      </c>
      <c r="AN23" s="102" t="str">
        <f t="shared" si="21"/>
        <v/>
      </c>
      <c r="AO23" s="102" t="str">
        <f t="shared" si="22"/>
        <v/>
      </c>
      <c r="AP23" s="102" t="str">
        <f t="shared" si="23"/>
        <v/>
      </c>
      <c r="AQ23" s="102" t="str">
        <f t="shared" si="24"/>
        <v/>
      </c>
      <c r="AR23" s="102" t="str">
        <f t="shared" si="25"/>
        <v/>
      </c>
      <c r="AS23" s="102" t="str">
        <f t="shared" si="26"/>
        <v/>
      </c>
      <c r="AT23" s="102" t="str">
        <f t="shared" si="27"/>
        <v/>
      </c>
      <c r="AU23" s="102" t="str">
        <f t="shared" si="28"/>
        <v/>
      </c>
      <c r="AV23" s="102" t="str">
        <f t="shared" si="29"/>
        <v/>
      </c>
      <c r="AW23" s="102" t="str">
        <f t="shared" si="30"/>
        <v/>
      </c>
      <c r="AX23" s="102" t="str">
        <f t="shared" si="31"/>
        <v/>
      </c>
      <c r="AY23" s="102" t="str">
        <f t="shared" si="32"/>
        <v/>
      </c>
      <c r="AZ23" s="102" t="str">
        <f t="shared" si="33"/>
        <v/>
      </c>
      <c r="BA23" s="102" t="str">
        <f t="shared" si="34"/>
        <v/>
      </c>
      <c r="BB23" s="102" t="str">
        <f t="shared" si="35"/>
        <v/>
      </c>
      <c r="BC23" s="102" t="str">
        <f t="shared" si="36"/>
        <v/>
      </c>
      <c r="BD23" s="102" t="str">
        <f t="shared" si="37"/>
        <v/>
      </c>
      <c r="BE23" s="102" t="str">
        <f t="shared" si="38"/>
        <v/>
      </c>
      <c r="BF23" s="102" t="str">
        <f t="shared" si="39"/>
        <v/>
      </c>
      <c r="BG23" s="102" t="str">
        <f t="shared" si="40"/>
        <v/>
      </c>
      <c r="BH23" s="102" t="str">
        <f t="shared" si="41"/>
        <v/>
      </c>
      <c r="BI23" s="102" t="str">
        <f t="shared" si="42"/>
        <v/>
      </c>
      <c r="BJ23" s="102" t="str">
        <f t="shared" si="43"/>
        <v/>
      </c>
      <c r="BK23" s="102" t="str">
        <f t="shared" si="44"/>
        <v/>
      </c>
      <c r="BL23" s="102" t="str">
        <f t="shared" si="45"/>
        <v/>
      </c>
      <c r="BM23" s="102" t="str">
        <f t="shared" si="46"/>
        <v/>
      </c>
      <c r="BN23" s="102" t="str">
        <f t="shared" si="47"/>
        <v/>
      </c>
      <c r="BO23" s="102" t="str">
        <f t="shared" si="48"/>
        <v/>
      </c>
      <c r="BP23" s="102" t="str">
        <f t="shared" si="49"/>
        <v/>
      </c>
      <c r="BQ23" s="102" t="str">
        <f t="shared" si="50"/>
        <v/>
      </c>
      <c r="BR23" s="102" t="str">
        <f t="shared" si="51"/>
        <v/>
      </c>
      <c r="BS23" s="102" t="str">
        <f t="shared" si="52"/>
        <v/>
      </c>
      <c r="BT23" s="102" t="str">
        <f t="shared" si="53"/>
        <v/>
      </c>
      <c r="BU23" s="102" t="str">
        <f t="shared" si="54"/>
        <v/>
      </c>
      <c r="BV23" s="102" t="str">
        <f t="shared" si="55"/>
        <v/>
      </c>
      <c r="BW23" s="102" t="str">
        <f t="shared" si="56"/>
        <v/>
      </c>
      <c r="BX23" s="102" t="str">
        <f t="shared" si="57"/>
        <v/>
      </c>
      <c r="BY23" s="102" t="str">
        <f t="shared" si="58"/>
        <v/>
      </c>
      <c r="BZ23" s="102" t="str">
        <f t="shared" si="59"/>
        <v/>
      </c>
      <c r="CA23" s="102" t="str">
        <f t="shared" si="60"/>
        <v/>
      </c>
      <c r="CB23" s="102" t="str">
        <f t="shared" si="61"/>
        <v/>
      </c>
      <c r="CC23" s="102" t="str">
        <f t="shared" si="62"/>
        <v/>
      </c>
      <c r="CD23" s="102" t="str">
        <f t="shared" si="63"/>
        <v/>
      </c>
      <c r="CE23" s="102" t="str">
        <f t="shared" si="64"/>
        <v/>
      </c>
      <c r="CF23" s="102" t="str">
        <f t="shared" si="65"/>
        <v/>
      </c>
      <c r="CG23" s="102" t="str">
        <f t="shared" si="66"/>
        <v/>
      </c>
      <c r="CH23" s="102" t="str">
        <f t="shared" si="67"/>
        <v/>
      </c>
      <c r="CI23" s="102" t="str">
        <f t="shared" si="68"/>
        <v/>
      </c>
      <c r="CJ23" s="102" t="str">
        <f t="shared" si="69"/>
        <v/>
      </c>
      <c r="CK23" s="102" t="str">
        <f t="shared" si="70"/>
        <v/>
      </c>
      <c r="CL23" s="102" t="str">
        <f t="shared" si="71"/>
        <v/>
      </c>
      <c r="CM23" s="102" t="str">
        <f t="shared" si="72"/>
        <v/>
      </c>
      <c r="CN23" s="102" t="str">
        <f t="shared" si="73"/>
        <v/>
      </c>
      <c r="CO23" s="102" t="str">
        <f t="shared" si="74"/>
        <v/>
      </c>
      <c r="CP23" s="102" t="str">
        <f t="shared" si="75"/>
        <v/>
      </c>
      <c r="CQ23" s="102" t="str">
        <f t="shared" si="76"/>
        <v/>
      </c>
      <c r="CR23" s="102" t="str">
        <f t="shared" si="77"/>
        <v/>
      </c>
      <c r="CS23" s="102" t="str">
        <f t="shared" si="78"/>
        <v/>
      </c>
      <c r="CT23" s="102" t="str">
        <f t="shared" si="79"/>
        <v/>
      </c>
      <c r="CU23" s="102" t="str">
        <f t="shared" si="80"/>
        <v/>
      </c>
      <c r="CV23" s="102" t="str">
        <f t="shared" si="81"/>
        <v/>
      </c>
      <c r="CW23" s="102" t="str">
        <f t="shared" si="82"/>
        <v/>
      </c>
      <c r="CX23" s="102" t="str">
        <f t="shared" si="83"/>
        <v/>
      </c>
      <c r="CY23" s="102" t="str">
        <f t="shared" si="84"/>
        <v/>
      </c>
      <c r="CZ23" s="102" t="str">
        <f t="shared" si="85"/>
        <v/>
      </c>
      <c r="DA23" s="102" t="str">
        <f t="shared" si="86"/>
        <v/>
      </c>
      <c r="DB23" s="102" t="str">
        <f t="shared" si="87"/>
        <v/>
      </c>
      <c r="DC23" s="102" t="str">
        <f t="shared" si="88"/>
        <v/>
      </c>
      <c r="DD23" s="102" t="str">
        <f t="shared" si="89"/>
        <v/>
      </c>
      <c r="DE23" s="102" t="str">
        <f t="shared" si="90"/>
        <v/>
      </c>
      <c r="DF23" s="102" t="str">
        <f t="shared" si="91"/>
        <v/>
      </c>
      <c r="DG23" s="102" t="str">
        <f t="shared" si="92"/>
        <v/>
      </c>
      <c r="DH23" s="102" t="str">
        <f t="shared" si="93"/>
        <v/>
      </c>
      <c r="DI23" s="102" t="str">
        <f t="shared" si="94"/>
        <v/>
      </c>
      <c r="DJ23" s="102" t="str">
        <f t="shared" si="95"/>
        <v/>
      </c>
      <c r="DK23" s="102" t="str">
        <f t="shared" si="96"/>
        <v/>
      </c>
      <c r="DL23" s="102" t="str">
        <f t="shared" si="97"/>
        <v/>
      </c>
      <c r="DM23" s="102" t="str">
        <f t="shared" si="98"/>
        <v/>
      </c>
      <c r="DN23" s="102" t="str">
        <f t="shared" si="99"/>
        <v/>
      </c>
      <c r="DO23" s="102" t="str">
        <f t="shared" si="100"/>
        <v/>
      </c>
      <c r="DP23" s="102" t="str">
        <f t="shared" si="101"/>
        <v/>
      </c>
      <c r="DQ23" s="102" t="str">
        <f t="shared" si="102"/>
        <v/>
      </c>
      <c r="DR23" s="102" t="str">
        <f t="shared" si="103"/>
        <v/>
      </c>
      <c r="DS23" s="102" t="str">
        <f t="shared" si="104"/>
        <v/>
      </c>
      <c r="DT23" s="102" t="str">
        <f t="shared" si="105"/>
        <v/>
      </c>
      <c r="DU23" s="102" t="str">
        <f t="shared" si="106"/>
        <v/>
      </c>
      <c r="DV23" s="102" t="str">
        <f t="shared" si="107"/>
        <v/>
      </c>
      <c r="DW23" s="102" t="str">
        <f t="shared" si="108"/>
        <v/>
      </c>
      <c r="DX23" s="102" t="str">
        <f t="shared" si="109"/>
        <v/>
      </c>
      <c r="DY23" s="102" t="str">
        <f t="shared" si="110"/>
        <v/>
      </c>
      <c r="DZ23" s="102" t="str">
        <f t="shared" si="111"/>
        <v/>
      </c>
      <c r="EA23" s="102" t="str">
        <f t="shared" si="112"/>
        <v/>
      </c>
      <c r="EB23" s="102" t="str">
        <f t="shared" si="113"/>
        <v/>
      </c>
      <c r="EC23" s="102" t="str">
        <f t="shared" si="114"/>
        <v/>
      </c>
      <c r="ED23" s="102" t="str">
        <f t="shared" si="115"/>
        <v/>
      </c>
      <c r="EE23" s="102" t="str">
        <f t="shared" si="116"/>
        <v/>
      </c>
      <c r="EF23" s="102" t="str">
        <f t="shared" si="117"/>
        <v/>
      </c>
      <c r="EG23" s="102" t="str">
        <f t="shared" si="118"/>
        <v/>
      </c>
      <c r="EH23" s="102" t="str">
        <f t="shared" si="119"/>
        <v/>
      </c>
      <c r="EI23" s="102" t="str">
        <f t="shared" si="120"/>
        <v/>
      </c>
      <c r="EJ23" s="102" t="str">
        <f t="shared" si="121"/>
        <v/>
      </c>
      <c r="EK23" s="102" t="str">
        <f t="shared" si="122"/>
        <v/>
      </c>
      <c r="EL23" s="102" t="str">
        <f t="shared" si="123"/>
        <v/>
      </c>
      <c r="EM23" s="102" t="str">
        <f t="shared" si="124"/>
        <v/>
      </c>
      <c r="EN23" s="102" t="str">
        <f t="shared" si="125"/>
        <v/>
      </c>
      <c r="EO23" s="102" t="str">
        <f t="shared" si="126"/>
        <v/>
      </c>
      <c r="EP23" s="102" t="str">
        <f t="shared" si="127"/>
        <v/>
      </c>
      <c r="EQ23" s="102" t="str">
        <f t="shared" si="128"/>
        <v/>
      </c>
      <c r="ER23" s="102" t="str">
        <f t="shared" si="129"/>
        <v/>
      </c>
      <c r="ES23" s="102" t="str">
        <f t="shared" si="130"/>
        <v/>
      </c>
      <c r="ET23" s="102" t="str">
        <f t="shared" si="131"/>
        <v/>
      </c>
      <c r="EU23" s="102" t="str">
        <f t="shared" si="132"/>
        <v/>
      </c>
      <c r="EV23" s="102" t="str">
        <f t="shared" si="133"/>
        <v/>
      </c>
      <c r="EW23" s="792" t="str">
        <f t="shared" si="134"/>
        <v/>
      </c>
      <c r="EX23" s="354" t="str">
        <f t="shared" si="135"/>
        <v/>
      </c>
      <c r="EY23" s="354" t="str">
        <f t="shared" si="136"/>
        <v/>
      </c>
      <c r="EZ23" s="354" t="str">
        <f t="shared" si="137"/>
        <v/>
      </c>
      <c r="FA23" s="354" t="str">
        <f t="shared" si="138"/>
        <v/>
      </c>
      <c r="FB23" s="354" t="str">
        <f t="shared" si="139"/>
        <v/>
      </c>
      <c r="FC23" s="354" t="str">
        <f t="shared" si="140"/>
        <v/>
      </c>
      <c r="FD23" s="354" t="str">
        <f t="shared" si="141"/>
        <v/>
      </c>
      <c r="FE23" s="354" t="str">
        <f t="shared" si="142"/>
        <v/>
      </c>
      <c r="FF23" s="354" t="str">
        <f t="shared" si="143"/>
        <v/>
      </c>
      <c r="FG23" s="354" t="str">
        <f t="shared" si="144"/>
        <v/>
      </c>
      <c r="FH23" s="354" t="str">
        <f t="shared" si="145"/>
        <v/>
      </c>
      <c r="FI23" s="354" t="str">
        <f t="shared" si="146"/>
        <v/>
      </c>
      <c r="FJ23" s="354" t="str">
        <f t="shared" si="147"/>
        <v/>
      </c>
      <c r="FK23" s="354" t="str">
        <f t="shared" si="148"/>
        <v/>
      </c>
      <c r="FL23" s="354" t="str">
        <f t="shared" si="149"/>
        <v/>
      </c>
      <c r="FM23" s="354" t="str">
        <f t="shared" si="150"/>
        <v/>
      </c>
      <c r="FN23" s="354" t="str">
        <f t="shared" si="151"/>
        <v/>
      </c>
      <c r="FO23" s="354" t="str">
        <f t="shared" si="152"/>
        <v/>
      </c>
      <c r="FP23" s="354" t="str">
        <f t="shared" si="153"/>
        <v/>
      </c>
      <c r="FQ23" s="354" t="str">
        <f t="shared" si="154"/>
        <v/>
      </c>
      <c r="FR23" s="354" t="str">
        <f t="shared" si="155"/>
        <v/>
      </c>
      <c r="FS23" s="354" t="str">
        <f t="shared" si="156"/>
        <v/>
      </c>
      <c r="FT23" s="354" t="str">
        <f t="shared" si="157"/>
        <v/>
      </c>
      <c r="FU23" s="354" t="str">
        <f t="shared" si="158"/>
        <v/>
      </c>
      <c r="FV23" s="354" t="str">
        <f t="shared" si="159"/>
        <v/>
      </c>
      <c r="FW23" s="354" t="str">
        <f t="shared" si="160"/>
        <v/>
      </c>
      <c r="FX23" s="354" t="str">
        <f t="shared" si="161"/>
        <v/>
      </c>
      <c r="FY23" s="354" t="str">
        <f t="shared" si="162"/>
        <v/>
      </c>
      <c r="FZ23" s="354" t="str">
        <f t="shared" si="163"/>
        <v/>
      </c>
      <c r="GA23" s="354" t="str">
        <f t="shared" si="164"/>
        <v/>
      </c>
      <c r="GB23" s="354" t="str">
        <f t="shared" si="165"/>
        <v/>
      </c>
      <c r="GC23" s="354" t="str">
        <f t="shared" si="166"/>
        <v/>
      </c>
      <c r="GD23" s="354" t="str">
        <f t="shared" si="167"/>
        <v/>
      </c>
      <c r="GE23" s="354" t="str">
        <f t="shared" si="168"/>
        <v/>
      </c>
      <c r="GF23" s="354" t="str">
        <f t="shared" si="169"/>
        <v/>
      </c>
      <c r="GG23" s="354" t="str">
        <f t="shared" si="170"/>
        <v/>
      </c>
      <c r="GH23" s="354" t="str">
        <f t="shared" si="171"/>
        <v/>
      </c>
      <c r="GI23" s="354" t="str">
        <f t="shared" si="172"/>
        <v/>
      </c>
      <c r="GJ23" s="354" t="str">
        <f t="shared" si="173"/>
        <v/>
      </c>
      <c r="GK23" s="354" t="str">
        <f t="shared" si="174"/>
        <v/>
      </c>
      <c r="GL23" s="354" t="str">
        <f t="shared" si="175"/>
        <v/>
      </c>
      <c r="GM23" s="354" t="str">
        <f t="shared" si="176"/>
        <v/>
      </c>
      <c r="GN23" s="354" t="str">
        <f t="shared" si="177"/>
        <v/>
      </c>
      <c r="GO23" s="354" t="str">
        <f t="shared" si="178"/>
        <v/>
      </c>
      <c r="GP23" s="354" t="str">
        <f t="shared" si="179"/>
        <v/>
      </c>
      <c r="GQ23" s="354" t="str">
        <f t="shared" si="180"/>
        <v/>
      </c>
      <c r="GR23" s="354" t="str">
        <f t="shared" si="181"/>
        <v/>
      </c>
      <c r="GS23" s="354" t="str">
        <f t="shared" si="182"/>
        <v/>
      </c>
      <c r="GT23" s="354" t="str">
        <f t="shared" si="183"/>
        <v/>
      </c>
      <c r="GU23" s="354" t="str">
        <f t="shared" si="184"/>
        <v/>
      </c>
      <c r="GV23" s="354" t="str">
        <f t="shared" si="185"/>
        <v/>
      </c>
      <c r="GW23" s="354" t="str">
        <f t="shared" si="186"/>
        <v/>
      </c>
      <c r="GX23" s="354" t="str">
        <f t="shared" si="187"/>
        <v/>
      </c>
      <c r="GY23" s="354" t="str">
        <f t="shared" si="188"/>
        <v/>
      </c>
      <c r="GZ23" s="354" t="str">
        <f t="shared" si="189"/>
        <v/>
      </c>
      <c r="HA23" s="354" t="str">
        <f t="shared" si="190"/>
        <v/>
      </c>
      <c r="HB23" s="354" t="str">
        <f t="shared" si="191"/>
        <v/>
      </c>
      <c r="HC23" s="354" t="str">
        <f t="shared" si="192"/>
        <v/>
      </c>
      <c r="HD23" s="354" t="str">
        <f t="shared" si="193"/>
        <v/>
      </c>
      <c r="HE23" s="354" t="str">
        <f t="shared" si="194"/>
        <v/>
      </c>
      <c r="HF23" s="354" t="str">
        <f t="shared" si="195"/>
        <v/>
      </c>
      <c r="HG23" s="354" t="str">
        <f t="shared" si="196"/>
        <v/>
      </c>
      <c r="HH23" s="354" t="str">
        <f t="shared" si="197"/>
        <v/>
      </c>
      <c r="HI23" s="354" t="str">
        <f t="shared" si="198"/>
        <v/>
      </c>
      <c r="HJ23" s="354" t="str">
        <f t="shared" si="199"/>
        <v/>
      </c>
      <c r="HK23" s="354" t="str">
        <f t="shared" si="200"/>
        <v/>
      </c>
      <c r="HL23" s="354" t="str">
        <f t="shared" si="201"/>
        <v/>
      </c>
      <c r="HM23" s="354" t="str">
        <f t="shared" si="202"/>
        <v/>
      </c>
      <c r="HN23" s="354" t="str">
        <f t="shared" si="203"/>
        <v/>
      </c>
      <c r="HO23" s="354" t="str">
        <f t="shared" si="204"/>
        <v/>
      </c>
      <c r="HP23" s="354" t="str">
        <f t="shared" si="205"/>
        <v/>
      </c>
      <c r="HQ23" s="354" t="str">
        <f t="shared" si="206"/>
        <v/>
      </c>
      <c r="HR23" s="354" t="str">
        <f t="shared" si="207"/>
        <v/>
      </c>
      <c r="HS23" s="354" t="str">
        <f t="shared" si="208"/>
        <v/>
      </c>
      <c r="HT23" s="354" t="str">
        <f t="shared" si="209"/>
        <v/>
      </c>
      <c r="HU23" s="354" t="str">
        <f t="shared" si="210"/>
        <v/>
      </c>
      <c r="HV23" s="354" t="str">
        <f t="shared" si="211"/>
        <v/>
      </c>
      <c r="HW23" s="354" t="str">
        <f t="shared" si="212"/>
        <v/>
      </c>
      <c r="HX23" s="354" t="str">
        <f t="shared" si="213"/>
        <v/>
      </c>
      <c r="HY23" s="354" t="str">
        <f t="shared" si="214"/>
        <v/>
      </c>
      <c r="HZ23" s="354" t="str">
        <f t="shared" si="215"/>
        <v/>
      </c>
      <c r="IA23" s="354" t="str">
        <f t="shared" si="216"/>
        <v/>
      </c>
      <c r="IB23" s="354" t="str">
        <f t="shared" si="217"/>
        <v/>
      </c>
      <c r="IC23" s="354" t="str">
        <f t="shared" si="218"/>
        <v/>
      </c>
      <c r="ID23" s="355" t="str">
        <f t="shared" si="219"/>
        <v/>
      </c>
      <c r="IE23" s="355" t="str">
        <f t="shared" si="220"/>
        <v/>
      </c>
      <c r="IF23" s="355" t="str">
        <f t="shared" si="221"/>
        <v/>
      </c>
      <c r="IG23" s="355" t="str">
        <f t="shared" si="222"/>
        <v/>
      </c>
      <c r="IH23" s="355" t="str">
        <f t="shared" si="223"/>
        <v/>
      </c>
      <c r="II23" s="344" t="str">
        <f t="shared" si="224"/>
        <v/>
      </c>
      <c r="IJ23" s="344" t="str">
        <f t="shared" si="225"/>
        <v/>
      </c>
      <c r="IK23" s="344" t="str">
        <f t="shared" si="226"/>
        <v/>
      </c>
      <c r="IL23" s="344" t="str">
        <f t="shared" si="227"/>
        <v/>
      </c>
      <c r="IM23" s="344" t="str">
        <f t="shared" si="228"/>
        <v/>
      </c>
      <c r="IN23" s="344" t="str">
        <f t="shared" si="229"/>
        <v/>
      </c>
      <c r="IO23" s="344" t="str">
        <f t="shared" si="230"/>
        <v/>
      </c>
      <c r="IP23" s="344" t="str">
        <f t="shared" si="231"/>
        <v/>
      </c>
      <c r="IQ23" s="344" t="str">
        <f t="shared" si="232"/>
        <v/>
      </c>
      <c r="IR23" s="344" t="str">
        <f t="shared" si="233"/>
        <v/>
      </c>
      <c r="IS23" s="344" t="str">
        <f t="shared" si="234"/>
        <v/>
      </c>
      <c r="IT23" s="344" t="str">
        <f t="shared" si="235"/>
        <v/>
      </c>
      <c r="IU23" s="344" t="str">
        <f t="shared" si="236"/>
        <v/>
      </c>
      <c r="IV23" s="344" t="str">
        <f t="shared" si="237"/>
        <v/>
      </c>
      <c r="IW23" s="344" t="str">
        <f t="shared" si="238"/>
        <v/>
      </c>
      <c r="IX23" s="344" t="str">
        <f t="shared" si="239"/>
        <v/>
      </c>
      <c r="IY23" s="344" t="str">
        <f t="shared" si="240"/>
        <v/>
      </c>
      <c r="IZ23" s="344" t="str">
        <f t="shared" si="241"/>
        <v/>
      </c>
      <c r="JA23" s="344" t="str">
        <f t="shared" si="242"/>
        <v/>
      </c>
      <c r="JB23" s="344" t="str">
        <f t="shared" si="243"/>
        <v/>
      </c>
      <c r="JC23" s="353">
        <f t="shared" si="244"/>
        <v>0</v>
      </c>
      <c r="JD23" s="353">
        <f t="shared" si="245"/>
        <v>0</v>
      </c>
      <c r="JE23" s="353">
        <f t="shared" si="246"/>
        <v>0</v>
      </c>
      <c r="JF23" s="353">
        <f t="shared" si="247"/>
        <v>0</v>
      </c>
      <c r="JG23" s="353">
        <f t="shared" si="248"/>
        <v>0</v>
      </c>
      <c r="JH23" s="353">
        <f t="shared" si="249"/>
        <v>0</v>
      </c>
      <c r="JI23" s="353">
        <f t="shared" si="250"/>
        <v>0</v>
      </c>
      <c r="JJ23" s="353">
        <f t="shared" si="251"/>
        <v>0</v>
      </c>
      <c r="JK23" s="353">
        <f t="shared" si="252"/>
        <v>0</v>
      </c>
      <c r="JL23" s="353">
        <f t="shared" si="253"/>
        <v>0</v>
      </c>
      <c r="JM23" s="353">
        <f t="shared" si="254"/>
        <v>0</v>
      </c>
      <c r="JN23" s="353">
        <f t="shared" si="255"/>
        <v>0</v>
      </c>
      <c r="JO23" s="353">
        <f t="shared" si="256"/>
        <v>0</v>
      </c>
      <c r="JP23" s="353">
        <f t="shared" si="257"/>
        <v>0</v>
      </c>
      <c r="JQ23" s="353">
        <f t="shared" si="258"/>
        <v>0</v>
      </c>
    </row>
    <row r="24" spans="1:277" ht="12" customHeight="1">
      <c r="A24" s="70" t="str">
        <f t="shared" si="0"/>
        <v/>
      </c>
      <c r="B24" s="2628" t="s">
        <v>781</v>
      </c>
      <c r="C24" s="2629"/>
      <c r="D24" s="2630"/>
      <c r="E24" s="2631"/>
      <c r="F24" s="2631"/>
      <c r="G24" s="2631"/>
      <c r="H24" s="2631"/>
      <c r="I24" s="2632">
        <f>IF(C24="",0,HLOOKUP(C24,'Part V-Utility Allowances'!$I$11:$M$21,11))</f>
        <v>0</v>
      </c>
      <c r="J24" s="2633"/>
      <c r="K24" s="488">
        <f t="shared" si="1"/>
        <v>0</v>
      </c>
      <c r="L24" s="488">
        <f t="shared" si="2"/>
        <v>0</v>
      </c>
      <c r="M24" s="2634"/>
      <c r="N24" s="2634"/>
      <c r="O24" s="2634"/>
      <c r="P24" s="2635"/>
      <c r="Q24" s="2636" t="str">
        <f t="shared" si="3"/>
        <v/>
      </c>
      <c r="R24" s="2637" t="str">
        <f>IF(H24="","",IF(C24="Efficiency",Q24/($O$6*VLOOKUP(0,'DCA Underwriting Assumptions'!$J$143:$K$148,2,FALSE)),Q24/($O$6*VLOOKUP(C24,'DCA Underwriting Assumptions'!$J$143:$K$148,2,FALSE))))</f>
        <v/>
      </c>
      <c r="S24" s="2638"/>
      <c r="T24" s="2639"/>
      <c r="U24" s="2594"/>
      <c r="V24" s="2595"/>
      <c r="W24" s="102" t="str">
        <f t="shared" si="4"/>
        <v/>
      </c>
      <c r="X24" s="102" t="str">
        <f t="shared" si="5"/>
        <v/>
      </c>
      <c r="Y24" s="102" t="str">
        <f t="shared" si="6"/>
        <v/>
      </c>
      <c r="Z24" s="102" t="str">
        <f t="shared" si="7"/>
        <v/>
      </c>
      <c r="AA24" s="102" t="str">
        <f t="shared" si="8"/>
        <v/>
      </c>
      <c r="AB24" s="102" t="str">
        <f t="shared" si="9"/>
        <v/>
      </c>
      <c r="AC24" s="102" t="str">
        <f t="shared" si="10"/>
        <v/>
      </c>
      <c r="AD24" s="102" t="str">
        <f t="shared" si="11"/>
        <v/>
      </c>
      <c r="AE24" s="102" t="str">
        <f t="shared" si="12"/>
        <v/>
      </c>
      <c r="AF24" s="102" t="str">
        <f t="shared" si="13"/>
        <v/>
      </c>
      <c r="AG24" s="102" t="str">
        <f t="shared" si="14"/>
        <v/>
      </c>
      <c r="AH24" s="102" t="str">
        <f t="shared" si="15"/>
        <v/>
      </c>
      <c r="AI24" s="102" t="str">
        <f t="shared" si="16"/>
        <v/>
      </c>
      <c r="AJ24" s="102" t="str">
        <f t="shared" si="17"/>
        <v/>
      </c>
      <c r="AK24" s="102" t="str">
        <f t="shared" si="18"/>
        <v/>
      </c>
      <c r="AL24" s="102" t="str">
        <f t="shared" si="19"/>
        <v/>
      </c>
      <c r="AM24" s="102" t="str">
        <f t="shared" si="20"/>
        <v/>
      </c>
      <c r="AN24" s="102" t="str">
        <f t="shared" si="21"/>
        <v/>
      </c>
      <c r="AO24" s="102" t="str">
        <f t="shared" si="22"/>
        <v/>
      </c>
      <c r="AP24" s="102" t="str">
        <f t="shared" si="23"/>
        <v/>
      </c>
      <c r="AQ24" s="102" t="str">
        <f t="shared" si="24"/>
        <v/>
      </c>
      <c r="AR24" s="102" t="str">
        <f t="shared" si="25"/>
        <v/>
      </c>
      <c r="AS24" s="102" t="str">
        <f t="shared" si="26"/>
        <v/>
      </c>
      <c r="AT24" s="102" t="str">
        <f t="shared" si="27"/>
        <v/>
      </c>
      <c r="AU24" s="102" t="str">
        <f t="shared" si="28"/>
        <v/>
      </c>
      <c r="AV24" s="102" t="str">
        <f t="shared" si="29"/>
        <v/>
      </c>
      <c r="AW24" s="102" t="str">
        <f t="shared" si="30"/>
        <v/>
      </c>
      <c r="AX24" s="102" t="str">
        <f t="shared" si="31"/>
        <v/>
      </c>
      <c r="AY24" s="102" t="str">
        <f t="shared" si="32"/>
        <v/>
      </c>
      <c r="AZ24" s="102" t="str">
        <f t="shared" si="33"/>
        <v/>
      </c>
      <c r="BA24" s="102" t="str">
        <f t="shared" si="34"/>
        <v/>
      </c>
      <c r="BB24" s="102" t="str">
        <f t="shared" si="35"/>
        <v/>
      </c>
      <c r="BC24" s="102" t="str">
        <f t="shared" si="36"/>
        <v/>
      </c>
      <c r="BD24" s="102" t="str">
        <f t="shared" si="37"/>
        <v/>
      </c>
      <c r="BE24" s="102" t="str">
        <f t="shared" si="38"/>
        <v/>
      </c>
      <c r="BF24" s="102" t="str">
        <f t="shared" si="39"/>
        <v/>
      </c>
      <c r="BG24" s="102" t="str">
        <f t="shared" si="40"/>
        <v/>
      </c>
      <c r="BH24" s="102" t="str">
        <f t="shared" si="41"/>
        <v/>
      </c>
      <c r="BI24" s="102" t="str">
        <f t="shared" si="42"/>
        <v/>
      </c>
      <c r="BJ24" s="102" t="str">
        <f t="shared" si="43"/>
        <v/>
      </c>
      <c r="BK24" s="102" t="str">
        <f t="shared" si="44"/>
        <v/>
      </c>
      <c r="BL24" s="102" t="str">
        <f t="shared" si="45"/>
        <v/>
      </c>
      <c r="BM24" s="102" t="str">
        <f t="shared" si="46"/>
        <v/>
      </c>
      <c r="BN24" s="102" t="str">
        <f t="shared" si="47"/>
        <v/>
      </c>
      <c r="BO24" s="102" t="str">
        <f t="shared" si="48"/>
        <v/>
      </c>
      <c r="BP24" s="102" t="str">
        <f t="shared" si="49"/>
        <v/>
      </c>
      <c r="BQ24" s="102" t="str">
        <f t="shared" si="50"/>
        <v/>
      </c>
      <c r="BR24" s="102" t="str">
        <f t="shared" si="51"/>
        <v/>
      </c>
      <c r="BS24" s="102" t="str">
        <f t="shared" si="52"/>
        <v/>
      </c>
      <c r="BT24" s="102" t="str">
        <f t="shared" si="53"/>
        <v/>
      </c>
      <c r="BU24" s="102" t="str">
        <f t="shared" si="54"/>
        <v/>
      </c>
      <c r="BV24" s="102" t="str">
        <f t="shared" si="55"/>
        <v/>
      </c>
      <c r="BW24" s="102" t="str">
        <f t="shared" si="56"/>
        <v/>
      </c>
      <c r="BX24" s="102" t="str">
        <f t="shared" si="57"/>
        <v/>
      </c>
      <c r="BY24" s="102" t="str">
        <f t="shared" si="58"/>
        <v/>
      </c>
      <c r="BZ24" s="102" t="str">
        <f t="shared" si="59"/>
        <v/>
      </c>
      <c r="CA24" s="102" t="str">
        <f t="shared" si="60"/>
        <v/>
      </c>
      <c r="CB24" s="102" t="str">
        <f t="shared" si="61"/>
        <v/>
      </c>
      <c r="CC24" s="102" t="str">
        <f t="shared" si="62"/>
        <v/>
      </c>
      <c r="CD24" s="102" t="str">
        <f t="shared" si="63"/>
        <v/>
      </c>
      <c r="CE24" s="102" t="str">
        <f t="shared" si="64"/>
        <v/>
      </c>
      <c r="CF24" s="102" t="str">
        <f t="shared" si="65"/>
        <v/>
      </c>
      <c r="CG24" s="102" t="str">
        <f t="shared" si="66"/>
        <v/>
      </c>
      <c r="CH24" s="102" t="str">
        <f t="shared" si="67"/>
        <v/>
      </c>
      <c r="CI24" s="102" t="str">
        <f t="shared" si="68"/>
        <v/>
      </c>
      <c r="CJ24" s="102" t="str">
        <f t="shared" si="69"/>
        <v/>
      </c>
      <c r="CK24" s="102" t="str">
        <f t="shared" si="70"/>
        <v/>
      </c>
      <c r="CL24" s="102" t="str">
        <f t="shared" si="71"/>
        <v/>
      </c>
      <c r="CM24" s="102" t="str">
        <f t="shared" si="72"/>
        <v/>
      </c>
      <c r="CN24" s="102" t="str">
        <f t="shared" si="73"/>
        <v/>
      </c>
      <c r="CO24" s="102" t="str">
        <f t="shared" si="74"/>
        <v/>
      </c>
      <c r="CP24" s="102" t="str">
        <f t="shared" si="75"/>
        <v/>
      </c>
      <c r="CQ24" s="102" t="str">
        <f t="shared" si="76"/>
        <v/>
      </c>
      <c r="CR24" s="102" t="str">
        <f t="shared" si="77"/>
        <v/>
      </c>
      <c r="CS24" s="102" t="str">
        <f t="shared" si="78"/>
        <v/>
      </c>
      <c r="CT24" s="102" t="str">
        <f t="shared" si="79"/>
        <v/>
      </c>
      <c r="CU24" s="102" t="str">
        <f t="shared" si="80"/>
        <v/>
      </c>
      <c r="CV24" s="102" t="str">
        <f t="shared" si="81"/>
        <v/>
      </c>
      <c r="CW24" s="102" t="str">
        <f t="shared" si="82"/>
        <v/>
      </c>
      <c r="CX24" s="102" t="str">
        <f t="shared" si="83"/>
        <v/>
      </c>
      <c r="CY24" s="102" t="str">
        <f t="shared" si="84"/>
        <v/>
      </c>
      <c r="CZ24" s="102" t="str">
        <f t="shared" si="85"/>
        <v/>
      </c>
      <c r="DA24" s="102" t="str">
        <f t="shared" si="86"/>
        <v/>
      </c>
      <c r="DB24" s="102" t="str">
        <f t="shared" si="87"/>
        <v/>
      </c>
      <c r="DC24" s="102" t="str">
        <f t="shared" si="88"/>
        <v/>
      </c>
      <c r="DD24" s="102" t="str">
        <f t="shared" si="89"/>
        <v/>
      </c>
      <c r="DE24" s="102" t="str">
        <f t="shared" si="90"/>
        <v/>
      </c>
      <c r="DF24" s="102" t="str">
        <f t="shared" si="91"/>
        <v/>
      </c>
      <c r="DG24" s="102" t="str">
        <f t="shared" si="92"/>
        <v/>
      </c>
      <c r="DH24" s="102" t="str">
        <f t="shared" si="93"/>
        <v/>
      </c>
      <c r="DI24" s="102" t="str">
        <f t="shared" si="94"/>
        <v/>
      </c>
      <c r="DJ24" s="102" t="str">
        <f t="shared" si="95"/>
        <v/>
      </c>
      <c r="DK24" s="102" t="str">
        <f t="shared" si="96"/>
        <v/>
      </c>
      <c r="DL24" s="102" t="str">
        <f t="shared" si="97"/>
        <v/>
      </c>
      <c r="DM24" s="102" t="str">
        <f t="shared" si="98"/>
        <v/>
      </c>
      <c r="DN24" s="102" t="str">
        <f t="shared" si="99"/>
        <v/>
      </c>
      <c r="DO24" s="102" t="str">
        <f t="shared" si="100"/>
        <v/>
      </c>
      <c r="DP24" s="102" t="str">
        <f t="shared" si="101"/>
        <v/>
      </c>
      <c r="DQ24" s="102" t="str">
        <f t="shared" si="102"/>
        <v/>
      </c>
      <c r="DR24" s="102" t="str">
        <f t="shared" si="103"/>
        <v/>
      </c>
      <c r="DS24" s="102" t="str">
        <f t="shared" si="104"/>
        <v/>
      </c>
      <c r="DT24" s="102" t="str">
        <f t="shared" si="105"/>
        <v/>
      </c>
      <c r="DU24" s="102" t="str">
        <f t="shared" si="106"/>
        <v/>
      </c>
      <c r="DV24" s="102" t="str">
        <f t="shared" si="107"/>
        <v/>
      </c>
      <c r="DW24" s="102" t="str">
        <f t="shared" si="108"/>
        <v/>
      </c>
      <c r="DX24" s="102" t="str">
        <f t="shared" si="109"/>
        <v/>
      </c>
      <c r="DY24" s="102" t="str">
        <f t="shared" si="110"/>
        <v/>
      </c>
      <c r="DZ24" s="102" t="str">
        <f t="shared" si="111"/>
        <v/>
      </c>
      <c r="EA24" s="102" t="str">
        <f t="shared" si="112"/>
        <v/>
      </c>
      <c r="EB24" s="102" t="str">
        <f t="shared" si="113"/>
        <v/>
      </c>
      <c r="EC24" s="102" t="str">
        <f t="shared" si="114"/>
        <v/>
      </c>
      <c r="ED24" s="102" t="str">
        <f t="shared" si="115"/>
        <v/>
      </c>
      <c r="EE24" s="102" t="str">
        <f t="shared" si="116"/>
        <v/>
      </c>
      <c r="EF24" s="102" t="str">
        <f t="shared" si="117"/>
        <v/>
      </c>
      <c r="EG24" s="102" t="str">
        <f t="shared" si="118"/>
        <v/>
      </c>
      <c r="EH24" s="102" t="str">
        <f t="shared" si="119"/>
        <v/>
      </c>
      <c r="EI24" s="102" t="str">
        <f t="shared" si="120"/>
        <v/>
      </c>
      <c r="EJ24" s="102" t="str">
        <f t="shared" si="121"/>
        <v/>
      </c>
      <c r="EK24" s="102" t="str">
        <f t="shared" si="122"/>
        <v/>
      </c>
      <c r="EL24" s="102" t="str">
        <f t="shared" si="123"/>
        <v/>
      </c>
      <c r="EM24" s="102" t="str">
        <f t="shared" si="124"/>
        <v/>
      </c>
      <c r="EN24" s="102" t="str">
        <f t="shared" si="125"/>
        <v/>
      </c>
      <c r="EO24" s="102" t="str">
        <f t="shared" si="126"/>
        <v/>
      </c>
      <c r="EP24" s="102" t="str">
        <f t="shared" si="127"/>
        <v/>
      </c>
      <c r="EQ24" s="102" t="str">
        <f t="shared" si="128"/>
        <v/>
      </c>
      <c r="ER24" s="102" t="str">
        <f t="shared" si="129"/>
        <v/>
      </c>
      <c r="ES24" s="102" t="str">
        <f t="shared" si="130"/>
        <v/>
      </c>
      <c r="ET24" s="102" t="str">
        <f t="shared" si="131"/>
        <v/>
      </c>
      <c r="EU24" s="102" t="str">
        <f t="shared" si="132"/>
        <v/>
      </c>
      <c r="EV24" s="102" t="str">
        <f t="shared" si="133"/>
        <v/>
      </c>
      <c r="EW24" s="792" t="str">
        <f t="shared" si="134"/>
        <v/>
      </c>
      <c r="EX24" s="354" t="str">
        <f t="shared" si="135"/>
        <v/>
      </c>
      <c r="EY24" s="354" t="str">
        <f t="shared" si="136"/>
        <v/>
      </c>
      <c r="EZ24" s="354" t="str">
        <f t="shared" si="137"/>
        <v/>
      </c>
      <c r="FA24" s="354" t="str">
        <f t="shared" si="138"/>
        <v/>
      </c>
      <c r="FB24" s="354" t="str">
        <f t="shared" si="139"/>
        <v/>
      </c>
      <c r="FC24" s="354" t="str">
        <f t="shared" si="140"/>
        <v/>
      </c>
      <c r="FD24" s="354" t="str">
        <f t="shared" si="141"/>
        <v/>
      </c>
      <c r="FE24" s="354" t="str">
        <f t="shared" si="142"/>
        <v/>
      </c>
      <c r="FF24" s="354" t="str">
        <f t="shared" si="143"/>
        <v/>
      </c>
      <c r="FG24" s="354" t="str">
        <f t="shared" si="144"/>
        <v/>
      </c>
      <c r="FH24" s="354" t="str">
        <f t="shared" si="145"/>
        <v/>
      </c>
      <c r="FI24" s="354" t="str">
        <f t="shared" si="146"/>
        <v/>
      </c>
      <c r="FJ24" s="354" t="str">
        <f t="shared" si="147"/>
        <v/>
      </c>
      <c r="FK24" s="354" t="str">
        <f t="shared" si="148"/>
        <v/>
      </c>
      <c r="FL24" s="354" t="str">
        <f t="shared" si="149"/>
        <v/>
      </c>
      <c r="FM24" s="354" t="str">
        <f t="shared" si="150"/>
        <v/>
      </c>
      <c r="FN24" s="354" t="str">
        <f t="shared" si="151"/>
        <v/>
      </c>
      <c r="FO24" s="354" t="str">
        <f t="shared" si="152"/>
        <v/>
      </c>
      <c r="FP24" s="354" t="str">
        <f t="shared" si="153"/>
        <v/>
      </c>
      <c r="FQ24" s="354" t="str">
        <f t="shared" si="154"/>
        <v/>
      </c>
      <c r="FR24" s="354" t="str">
        <f t="shared" si="155"/>
        <v/>
      </c>
      <c r="FS24" s="354" t="str">
        <f t="shared" si="156"/>
        <v/>
      </c>
      <c r="FT24" s="354" t="str">
        <f t="shared" si="157"/>
        <v/>
      </c>
      <c r="FU24" s="354" t="str">
        <f t="shared" si="158"/>
        <v/>
      </c>
      <c r="FV24" s="354" t="str">
        <f t="shared" si="159"/>
        <v/>
      </c>
      <c r="FW24" s="354" t="str">
        <f t="shared" si="160"/>
        <v/>
      </c>
      <c r="FX24" s="354" t="str">
        <f t="shared" si="161"/>
        <v/>
      </c>
      <c r="FY24" s="354" t="str">
        <f t="shared" si="162"/>
        <v/>
      </c>
      <c r="FZ24" s="354" t="str">
        <f t="shared" si="163"/>
        <v/>
      </c>
      <c r="GA24" s="354" t="str">
        <f t="shared" si="164"/>
        <v/>
      </c>
      <c r="GB24" s="354" t="str">
        <f t="shared" si="165"/>
        <v/>
      </c>
      <c r="GC24" s="354" t="str">
        <f t="shared" si="166"/>
        <v/>
      </c>
      <c r="GD24" s="354" t="str">
        <f t="shared" si="167"/>
        <v/>
      </c>
      <c r="GE24" s="354" t="str">
        <f t="shared" si="168"/>
        <v/>
      </c>
      <c r="GF24" s="354" t="str">
        <f t="shared" si="169"/>
        <v/>
      </c>
      <c r="GG24" s="354" t="str">
        <f t="shared" si="170"/>
        <v/>
      </c>
      <c r="GH24" s="354" t="str">
        <f t="shared" si="171"/>
        <v/>
      </c>
      <c r="GI24" s="354" t="str">
        <f t="shared" si="172"/>
        <v/>
      </c>
      <c r="GJ24" s="354" t="str">
        <f t="shared" si="173"/>
        <v/>
      </c>
      <c r="GK24" s="354" t="str">
        <f t="shared" si="174"/>
        <v/>
      </c>
      <c r="GL24" s="354" t="str">
        <f t="shared" si="175"/>
        <v/>
      </c>
      <c r="GM24" s="354" t="str">
        <f t="shared" si="176"/>
        <v/>
      </c>
      <c r="GN24" s="354" t="str">
        <f t="shared" si="177"/>
        <v/>
      </c>
      <c r="GO24" s="354" t="str">
        <f t="shared" si="178"/>
        <v/>
      </c>
      <c r="GP24" s="354" t="str">
        <f t="shared" si="179"/>
        <v/>
      </c>
      <c r="GQ24" s="354" t="str">
        <f t="shared" si="180"/>
        <v/>
      </c>
      <c r="GR24" s="354" t="str">
        <f t="shared" si="181"/>
        <v/>
      </c>
      <c r="GS24" s="354" t="str">
        <f t="shared" si="182"/>
        <v/>
      </c>
      <c r="GT24" s="354" t="str">
        <f t="shared" si="183"/>
        <v/>
      </c>
      <c r="GU24" s="354" t="str">
        <f t="shared" si="184"/>
        <v/>
      </c>
      <c r="GV24" s="354" t="str">
        <f t="shared" si="185"/>
        <v/>
      </c>
      <c r="GW24" s="354" t="str">
        <f t="shared" si="186"/>
        <v/>
      </c>
      <c r="GX24" s="354" t="str">
        <f t="shared" si="187"/>
        <v/>
      </c>
      <c r="GY24" s="354" t="str">
        <f t="shared" si="188"/>
        <v/>
      </c>
      <c r="GZ24" s="354" t="str">
        <f t="shared" si="189"/>
        <v/>
      </c>
      <c r="HA24" s="354" t="str">
        <f t="shared" si="190"/>
        <v/>
      </c>
      <c r="HB24" s="354" t="str">
        <f t="shared" si="191"/>
        <v/>
      </c>
      <c r="HC24" s="354" t="str">
        <f t="shared" si="192"/>
        <v/>
      </c>
      <c r="HD24" s="354" t="str">
        <f t="shared" si="193"/>
        <v/>
      </c>
      <c r="HE24" s="354" t="str">
        <f t="shared" si="194"/>
        <v/>
      </c>
      <c r="HF24" s="354" t="str">
        <f t="shared" si="195"/>
        <v/>
      </c>
      <c r="HG24" s="354" t="str">
        <f t="shared" si="196"/>
        <v/>
      </c>
      <c r="HH24" s="354" t="str">
        <f t="shared" si="197"/>
        <v/>
      </c>
      <c r="HI24" s="354" t="str">
        <f t="shared" si="198"/>
        <v/>
      </c>
      <c r="HJ24" s="354" t="str">
        <f t="shared" si="199"/>
        <v/>
      </c>
      <c r="HK24" s="354" t="str">
        <f t="shared" si="200"/>
        <v/>
      </c>
      <c r="HL24" s="354" t="str">
        <f t="shared" si="201"/>
        <v/>
      </c>
      <c r="HM24" s="354" t="str">
        <f t="shared" si="202"/>
        <v/>
      </c>
      <c r="HN24" s="354" t="str">
        <f t="shared" si="203"/>
        <v/>
      </c>
      <c r="HO24" s="354" t="str">
        <f t="shared" si="204"/>
        <v/>
      </c>
      <c r="HP24" s="354" t="str">
        <f t="shared" si="205"/>
        <v/>
      </c>
      <c r="HQ24" s="354" t="str">
        <f t="shared" si="206"/>
        <v/>
      </c>
      <c r="HR24" s="354" t="str">
        <f t="shared" si="207"/>
        <v/>
      </c>
      <c r="HS24" s="354" t="str">
        <f t="shared" si="208"/>
        <v/>
      </c>
      <c r="HT24" s="354" t="str">
        <f t="shared" si="209"/>
        <v/>
      </c>
      <c r="HU24" s="354" t="str">
        <f t="shared" si="210"/>
        <v/>
      </c>
      <c r="HV24" s="354" t="str">
        <f t="shared" si="211"/>
        <v/>
      </c>
      <c r="HW24" s="354" t="str">
        <f t="shared" si="212"/>
        <v/>
      </c>
      <c r="HX24" s="354" t="str">
        <f t="shared" si="213"/>
        <v/>
      </c>
      <c r="HY24" s="354" t="str">
        <f t="shared" si="214"/>
        <v/>
      </c>
      <c r="HZ24" s="354" t="str">
        <f t="shared" si="215"/>
        <v/>
      </c>
      <c r="IA24" s="354" t="str">
        <f t="shared" si="216"/>
        <v/>
      </c>
      <c r="IB24" s="354" t="str">
        <f t="shared" si="217"/>
        <v/>
      </c>
      <c r="IC24" s="354" t="str">
        <f t="shared" si="218"/>
        <v/>
      </c>
      <c r="ID24" s="355" t="str">
        <f t="shared" si="219"/>
        <v/>
      </c>
      <c r="IE24" s="355" t="str">
        <f t="shared" si="220"/>
        <v/>
      </c>
      <c r="IF24" s="355" t="str">
        <f t="shared" si="221"/>
        <v/>
      </c>
      <c r="IG24" s="355" t="str">
        <f t="shared" si="222"/>
        <v/>
      </c>
      <c r="IH24" s="355" t="str">
        <f t="shared" si="223"/>
        <v/>
      </c>
      <c r="II24" s="344" t="str">
        <f t="shared" si="224"/>
        <v/>
      </c>
      <c r="IJ24" s="344" t="str">
        <f t="shared" si="225"/>
        <v/>
      </c>
      <c r="IK24" s="344" t="str">
        <f t="shared" si="226"/>
        <v/>
      </c>
      <c r="IL24" s="344" t="str">
        <f t="shared" si="227"/>
        <v/>
      </c>
      <c r="IM24" s="344" t="str">
        <f t="shared" si="228"/>
        <v/>
      </c>
      <c r="IN24" s="344" t="str">
        <f t="shared" si="229"/>
        <v/>
      </c>
      <c r="IO24" s="344" t="str">
        <f t="shared" si="230"/>
        <v/>
      </c>
      <c r="IP24" s="344" t="str">
        <f t="shared" si="231"/>
        <v/>
      </c>
      <c r="IQ24" s="344" t="str">
        <f t="shared" si="232"/>
        <v/>
      </c>
      <c r="IR24" s="344" t="str">
        <f t="shared" si="233"/>
        <v/>
      </c>
      <c r="IS24" s="344" t="str">
        <f t="shared" si="234"/>
        <v/>
      </c>
      <c r="IT24" s="344" t="str">
        <f t="shared" si="235"/>
        <v/>
      </c>
      <c r="IU24" s="344" t="str">
        <f t="shared" si="236"/>
        <v/>
      </c>
      <c r="IV24" s="344" t="str">
        <f t="shared" si="237"/>
        <v/>
      </c>
      <c r="IW24" s="344" t="str">
        <f t="shared" si="238"/>
        <v/>
      </c>
      <c r="IX24" s="344" t="str">
        <f t="shared" si="239"/>
        <v/>
      </c>
      <c r="IY24" s="344" t="str">
        <f t="shared" si="240"/>
        <v/>
      </c>
      <c r="IZ24" s="344" t="str">
        <f t="shared" si="241"/>
        <v/>
      </c>
      <c r="JA24" s="344" t="str">
        <f t="shared" si="242"/>
        <v/>
      </c>
      <c r="JB24" s="344" t="str">
        <f t="shared" si="243"/>
        <v/>
      </c>
      <c r="JC24" s="353">
        <f t="shared" si="244"/>
        <v>0</v>
      </c>
      <c r="JD24" s="353">
        <f t="shared" si="245"/>
        <v>0</v>
      </c>
      <c r="JE24" s="353">
        <f t="shared" si="246"/>
        <v>0</v>
      </c>
      <c r="JF24" s="353">
        <f t="shared" si="247"/>
        <v>0</v>
      </c>
      <c r="JG24" s="353">
        <f t="shared" si="248"/>
        <v>0</v>
      </c>
      <c r="JH24" s="353">
        <f t="shared" si="249"/>
        <v>0</v>
      </c>
      <c r="JI24" s="353">
        <f t="shared" si="250"/>
        <v>0</v>
      </c>
      <c r="JJ24" s="353">
        <f t="shared" si="251"/>
        <v>0</v>
      </c>
      <c r="JK24" s="353">
        <f t="shared" si="252"/>
        <v>0</v>
      </c>
      <c r="JL24" s="353">
        <f t="shared" si="253"/>
        <v>0</v>
      </c>
      <c r="JM24" s="353">
        <f t="shared" si="254"/>
        <v>0</v>
      </c>
      <c r="JN24" s="353">
        <f t="shared" si="255"/>
        <v>0</v>
      </c>
      <c r="JO24" s="353">
        <f t="shared" si="256"/>
        <v>0</v>
      </c>
      <c r="JP24" s="353">
        <f t="shared" si="257"/>
        <v>0</v>
      </c>
      <c r="JQ24" s="353">
        <f t="shared" si="258"/>
        <v>0</v>
      </c>
    </row>
    <row r="25" spans="1:277" ht="12" customHeight="1">
      <c r="A25" s="70" t="str">
        <f t="shared" si="0"/>
        <v/>
      </c>
      <c r="B25" s="2628" t="s">
        <v>781</v>
      </c>
      <c r="C25" s="2629"/>
      <c r="D25" s="2630"/>
      <c r="E25" s="2631"/>
      <c r="F25" s="2631"/>
      <c r="G25" s="2631"/>
      <c r="H25" s="2631"/>
      <c r="I25" s="2632">
        <f>IF(C25="",0,HLOOKUP(C25,'Part V-Utility Allowances'!$I$11:$M$21,11))</f>
        <v>0</v>
      </c>
      <c r="J25" s="2633"/>
      <c r="K25" s="488">
        <f t="shared" si="1"/>
        <v>0</v>
      </c>
      <c r="L25" s="488">
        <f t="shared" si="2"/>
        <v>0</v>
      </c>
      <c r="M25" s="2634"/>
      <c r="N25" s="2634"/>
      <c r="O25" s="2634"/>
      <c r="P25" s="2635"/>
      <c r="Q25" s="2636" t="str">
        <f t="shared" si="3"/>
        <v/>
      </c>
      <c r="R25" s="2637" t="str">
        <f>IF(H25="","",IF(C25="Efficiency",Q25/($O$6*VLOOKUP(0,'DCA Underwriting Assumptions'!$J$143:$K$148,2,FALSE)),Q25/($O$6*VLOOKUP(C25,'DCA Underwriting Assumptions'!$J$143:$K$148,2,FALSE))))</f>
        <v/>
      </c>
      <c r="S25" s="2638"/>
      <c r="T25" s="2639"/>
      <c r="U25" s="2594"/>
      <c r="V25" s="2595"/>
      <c r="W25" s="102" t="str">
        <f t="shared" si="4"/>
        <v/>
      </c>
      <c r="X25" s="102" t="str">
        <f t="shared" si="5"/>
        <v/>
      </c>
      <c r="Y25" s="102" t="str">
        <f t="shared" si="6"/>
        <v/>
      </c>
      <c r="Z25" s="102" t="str">
        <f t="shared" si="7"/>
        <v/>
      </c>
      <c r="AA25" s="102" t="str">
        <f t="shared" si="8"/>
        <v/>
      </c>
      <c r="AB25" s="102" t="str">
        <f t="shared" si="9"/>
        <v/>
      </c>
      <c r="AC25" s="102" t="str">
        <f t="shared" si="10"/>
        <v/>
      </c>
      <c r="AD25" s="102" t="str">
        <f t="shared" si="11"/>
        <v/>
      </c>
      <c r="AE25" s="102" t="str">
        <f t="shared" si="12"/>
        <v/>
      </c>
      <c r="AF25" s="102" t="str">
        <f t="shared" si="13"/>
        <v/>
      </c>
      <c r="AG25" s="102" t="str">
        <f t="shared" si="14"/>
        <v/>
      </c>
      <c r="AH25" s="102" t="str">
        <f t="shared" si="15"/>
        <v/>
      </c>
      <c r="AI25" s="102" t="str">
        <f t="shared" si="16"/>
        <v/>
      </c>
      <c r="AJ25" s="102" t="str">
        <f t="shared" si="17"/>
        <v/>
      </c>
      <c r="AK25" s="102" t="str">
        <f t="shared" si="18"/>
        <v/>
      </c>
      <c r="AL25" s="102" t="str">
        <f t="shared" si="19"/>
        <v/>
      </c>
      <c r="AM25" s="102" t="str">
        <f t="shared" si="20"/>
        <v/>
      </c>
      <c r="AN25" s="102" t="str">
        <f t="shared" si="21"/>
        <v/>
      </c>
      <c r="AO25" s="102" t="str">
        <f t="shared" si="22"/>
        <v/>
      </c>
      <c r="AP25" s="102" t="str">
        <f t="shared" si="23"/>
        <v/>
      </c>
      <c r="AQ25" s="102" t="str">
        <f t="shared" si="24"/>
        <v/>
      </c>
      <c r="AR25" s="102" t="str">
        <f t="shared" si="25"/>
        <v/>
      </c>
      <c r="AS25" s="102" t="str">
        <f t="shared" si="26"/>
        <v/>
      </c>
      <c r="AT25" s="102" t="str">
        <f t="shared" si="27"/>
        <v/>
      </c>
      <c r="AU25" s="102" t="str">
        <f t="shared" si="28"/>
        <v/>
      </c>
      <c r="AV25" s="102" t="str">
        <f t="shared" si="29"/>
        <v/>
      </c>
      <c r="AW25" s="102" t="str">
        <f t="shared" si="30"/>
        <v/>
      </c>
      <c r="AX25" s="102" t="str">
        <f t="shared" si="31"/>
        <v/>
      </c>
      <c r="AY25" s="102" t="str">
        <f t="shared" si="32"/>
        <v/>
      </c>
      <c r="AZ25" s="102" t="str">
        <f t="shared" si="33"/>
        <v/>
      </c>
      <c r="BA25" s="102" t="str">
        <f t="shared" si="34"/>
        <v/>
      </c>
      <c r="BB25" s="102" t="str">
        <f t="shared" si="35"/>
        <v/>
      </c>
      <c r="BC25" s="102" t="str">
        <f t="shared" si="36"/>
        <v/>
      </c>
      <c r="BD25" s="102" t="str">
        <f t="shared" si="37"/>
        <v/>
      </c>
      <c r="BE25" s="102" t="str">
        <f t="shared" si="38"/>
        <v/>
      </c>
      <c r="BF25" s="102" t="str">
        <f t="shared" si="39"/>
        <v/>
      </c>
      <c r="BG25" s="102" t="str">
        <f t="shared" si="40"/>
        <v/>
      </c>
      <c r="BH25" s="102" t="str">
        <f t="shared" si="41"/>
        <v/>
      </c>
      <c r="BI25" s="102" t="str">
        <f t="shared" si="42"/>
        <v/>
      </c>
      <c r="BJ25" s="102" t="str">
        <f t="shared" si="43"/>
        <v/>
      </c>
      <c r="BK25" s="102" t="str">
        <f t="shared" si="44"/>
        <v/>
      </c>
      <c r="BL25" s="102" t="str">
        <f t="shared" si="45"/>
        <v/>
      </c>
      <c r="BM25" s="102" t="str">
        <f t="shared" si="46"/>
        <v/>
      </c>
      <c r="BN25" s="102" t="str">
        <f t="shared" si="47"/>
        <v/>
      </c>
      <c r="BO25" s="102" t="str">
        <f t="shared" si="48"/>
        <v/>
      </c>
      <c r="BP25" s="102" t="str">
        <f t="shared" si="49"/>
        <v/>
      </c>
      <c r="BQ25" s="102" t="str">
        <f t="shared" si="50"/>
        <v/>
      </c>
      <c r="BR25" s="102" t="str">
        <f t="shared" si="51"/>
        <v/>
      </c>
      <c r="BS25" s="102" t="str">
        <f t="shared" si="52"/>
        <v/>
      </c>
      <c r="BT25" s="102" t="str">
        <f t="shared" si="53"/>
        <v/>
      </c>
      <c r="BU25" s="102" t="str">
        <f t="shared" si="54"/>
        <v/>
      </c>
      <c r="BV25" s="102" t="str">
        <f t="shared" si="55"/>
        <v/>
      </c>
      <c r="BW25" s="102" t="str">
        <f t="shared" si="56"/>
        <v/>
      </c>
      <c r="BX25" s="102" t="str">
        <f t="shared" si="57"/>
        <v/>
      </c>
      <c r="BY25" s="102" t="str">
        <f t="shared" si="58"/>
        <v/>
      </c>
      <c r="BZ25" s="102" t="str">
        <f t="shared" si="59"/>
        <v/>
      </c>
      <c r="CA25" s="102" t="str">
        <f t="shared" si="60"/>
        <v/>
      </c>
      <c r="CB25" s="102" t="str">
        <f t="shared" si="61"/>
        <v/>
      </c>
      <c r="CC25" s="102" t="str">
        <f t="shared" si="62"/>
        <v/>
      </c>
      <c r="CD25" s="102" t="str">
        <f t="shared" si="63"/>
        <v/>
      </c>
      <c r="CE25" s="102" t="str">
        <f t="shared" si="64"/>
        <v/>
      </c>
      <c r="CF25" s="102" t="str">
        <f t="shared" si="65"/>
        <v/>
      </c>
      <c r="CG25" s="102" t="str">
        <f t="shared" si="66"/>
        <v/>
      </c>
      <c r="CH25" s="102" t="str">
        <f t="shared" si="67"/>
        <v/>
      </c>
      <c r="CI25" s="102" t="str">
        <f t="shared" si="68"/>
        <v/>
      </c>
      <c r="CJ25" s="102" t="str">
        <f t="shared" si="69"/>
        <v/>
      </c>
      <c r="CK25" s="102" t="str">
        <f t="shared" si="70"/>
        <v/>
      </c>
      <c r="CL25" s="102" t="str">
        <f t="shared" si="71"/>
        <v/>
      </c>
      <c r="CM25" s="102" t="str">
        <f t="shared" si="72"/>
        <v/>
      </c>
      <c r="CN25" s="102" t="str">
        <f t="shared" si="73"/>
        <v/>
      </c>
      <c r="CO25" s="102" t="str">
        <f t="shared" si="74"/>
        <v/>
      </c>
      <c r="CP25" s="102" t="str">
        <f t="shared" si="75"/>
        <v/>
      </c>
      <c r="CQ25" s="102" t="str">
        <f t="shared" si="76"/>
        <v/>
      </c>
      <c r="CR25" s="102" t="str">
        <f t="shared" si="77"/>
        <v/>
      </c>
      <c r="CS25" s="102" t="str">
        <f t="shared" si="78"/>
        <v/>
      </c>
      <c r="CT25" s="102" t="str">
        <f t="shared" si="79"/>
        <v/>
      </c>
      <c r="CU25" s="102" t="str">
        <f t="shared" si="80"/>
        <v/>
      </c>
      <c r="CV25" s="102" t="str">
        <f t="shared" si="81"/>
        <v/>
      </c>
      <c r="CW25" s="102" t="str">
        <f t="shared" si="82"/>
        <v/>
      </c>
      <c r="CX25" s="102" t="str">
        <f t="shared" si="83"/>
        <v/>
      </c>
      <c r="CY25" s="102" t="str">
        <f t="shared" si="84"/>
        <v/>
      </c>
      <c r="CZ25" s="102" t="str">
        <f t="shared" si="85"/>
        <v/>
      </c>
      <c r="DA25" s="102" t="str">
        <f t="shared" si="86"/>
        <v/>
      </c>
      <c r="DB25" s="102" t="str">
        <f t="shared" si="87"/>
        <v/>
      </c>
      <c r="DC25" s="102" t="str">
        <f t="shared" si="88"/>
        <v/>
      </c>
      <c r="DD25" s="102" t="str">
        <f t="shared" si="89"/>
        <v/>
      </c>
      <c r="DE25" s="102" t="str">
        <f t="shared" si="90"/>
        <v/>
      </c>
      <c r="DF25" s="102" t="str">
        <f t="shared" si="91"/>
        <v/>
      </c>
      <c r="DG25" s="102" t="str">
        <f t="shared" si="92"/>
        <v/>
      </c>
      <c r="DH25" s="102" t="str">
        <f t="shared" si="93"/>
        <v/>
      </c>
      <c r="DI25" s="102" t="str">
        <f t="shared" si="94"/>
        <v/>
      </c>
      <c r="DJ25" s="102" t="str">
        <f t="shared" si="95"/>
        <v/>
      </c>
      <c r="DK25" s="102" t="str">
        <f t="shared" si="96"/>
        <v/>
      </c>
      <c r="DL25" s="102" t="str">
        <f t="shared" si="97"/>
        <v/>
      </c>
      <c r="DM25" s="102" t="str">
        <f t="shared" si="98"/>
        <v/>
      </c>
      <c r="DN25" s="102" t="str">
        <f t="shared" si="99"/>
        <v/>
      </c>
      <c r="DO25" s="102" t="str">
        <f t="shared" si="100"/>
        <v/>
      </c>
      <c r="DP25" s="102" t="str">
        <f t="shared" si="101"/>
        <v/>
      </c>
      <c r="DQ25" s="102" t="str">
        <f t="shared" si="102"/>
        <v/>
      </c>
      <c r="DR25" s="102" t="str">
        <f t="shared" si="103"/>
        <v/>
      </c>
      <c r="DS25" s="102" t="str">
        <f t="shared" si="104"/>
        <v/>
      </c>
      <c r="DT25" s="102" t="str">
        <f t="shared" si="105"/>
        <v/>
      </c>
      <c r="DU25" s="102" t="str">
        <f t="shared" si="106"/>
        <v/>
      </c>
      <c r="DV25" s="102" t="str">
        <f t="shared" si="107"/>
        <v/>
      </c>
      <c r="DW25" s="102" t="str">
        <f t="shared" si="108"/>
        <v/>
      </c>
      <c r="DX25" s="102" t="str">
        <f t="shared" si="109"/>
        <v/>
      </c>
      <c r="DY25" s="102" t="str">
        <f t="shared" si="110"/>
        <v/>
      </c>
      <c r="DZ25" s="102" t="str">
        <f t="shared" si="111"/>
        <v/>
      </c>
      <c r="EA25" s="102" t="str">
        <f t="shared" si="112"/>
        <v/>
      </c>
      <c r="EB25" s="102" t="str">
        <f t="shared" si="113"/>
        <v/>
      </c>
      <c r="EC25" s="102" t="str">
        <f t="shared" si="114"/>
        <v/>
      </c>
      <c r="ED25" s="102" t="str">
        <f t="shared" si="115"/>
        <v/>
      </c>
      <c r="EE25" s="102" t="str">
        <f t="shared" si="116"/>
        <v/>
      </c>
      <c r="EF25" s="102" t="str">
        <f t="shared" si="117"/>
        <v/>
      </c>
      <c r="EG25" s="102" t="str">
        <f t="shared" si="118"/>
        <v/>
      </c>
      <c r="EH25" s="102" t="str">
        <f t="shared" si="119"/>
        <v/>
      </c>
      <c r="EI25" s="102" t="str">
        <f t="shared" si="120"/>
        <v/>
      </c>
      <c r="EJ25" s="102" t="str">
        <f t="shared" si="121"/>
        <v/>
      </c>
      <c r="EK25" s="102" t="str">
        <f t="shared" si="122"/>
        <v/>
      </c>
      <c r="EL25" s="102" t="str">
        <f t="shared" si="123"/>
        <v/>
      </c>
      <c r="EM25" s="102" t="str">
        <f t="shared" si="124"/>
        <v/>
      </c>
      <c r="EN25" s="102" t="str">
        <f t="shared" si="125"/>
        <v/>
      </c>
      <c r="EO25" s="102" t="str">
        <f t="shared" si="126"/>
        <v/>
      </c>
      <c r="EP25" s="102" t="str">
        <f t="shared" si="127"/>
        <v/>
      </c>
      <c r="EQ25" s="102" t="str">
        <f t="shared" si="128"/>
        <v/>
      </c>
      <c r="ER25" s="102" t="str">
        <f t="shared" si="129"/>
        <v/>
      </c>
      <c r="ES25" s="102" t="str">
        <f t="shared" si="130"/>
        <v/>
      </c>
      <c r="ET25" s="102" t="str">
        <f t="shared" si="131"/>
        <v/>
      </c>
      <c r="EU25" s="102" t="str">
        <f t="shared" si="132"/>
        <v/>
      </c>
      <c r="EV25" s="102" t="str">
        <f t="shared" si="133"/>
        <v/>
      </c>
      <c r="EW25" s="792" t="str">
        <f t="shared" si="134"/>
        <v/>
      </c>
      <c r="EX25" s="354" t="str">
        <f t="shared" si="135"/>
        <v/>
      </c>
      <c r="EY25" s="354" t="str">
        <f t="shared" si="136"/>
        <v/>
      </c>
      <c r="EZ25" s="354" t="str">
        <f t="shared" si="137"/>
        <v/>
      </c>
      <c r="FA25" s="354" t="str">
        <f t="shared" si="138"/>
        <v/>
      </c>
      <c r="FB25" s="354" t="str">
        <f t="shared" si="139"/>
        <v/>
      </c>
      <c r="FC25" s="354" t="str">
        <f t="shared" si="140"/>
        <v/>
      </c>
      <c r="FD25" s="354" t="str">
        <f t="shared" si="141"/>
        <v/>
      </c>
      <c r="FE25" s="354" t="str">
        <f t="shared" si="142"/>
        <v/>
      </c>
      <c r="FF25" s="354" t="str">
        <f t="shared" si="143"/>
        <v/>
      </c>
      <c r="FG25" s="354" t="str">
        <f t="shared" si="144"/>
        <v/>
      </c>
      <c r="FH25" s="354" t="str">
        <f t="shared" si="145"/>
        <v/>
      </c>
      <c r="FI25" s="354" t="str">
        <f t="shared" si="146"/>
        <v/>
      </c>
      <c r="FJ25" s="354" t="str">
        <f t="shared" si="147"/>
        <v/>
      </c>
      <c r="FK25" s="354" t="str">
        <f t="shared" si="148"/>
        <v/>
      </c>
      <c r="FL25" s="354" t="str">
        <f t="shared" si="149"/>
        <v/>
      </c>
      <c r="FM25" s="354" t="str">
        <f t="shared" si="150"/>
        <v/>
      </c>
      <c r="FN25" s="354" t="str">
        <f t="shared" si="151"/>
        <v/>
      </c>
      <c r="FO25" s="354" t="str">
        <f t="shared" si="152"/>
        <v/>
      </c>
      <c r="FP25" s="354" t="str">
        <f t="shared" si="153"/>
        <v/>
      </c>
      <c r="FQ25" s="354" t="str">
        <f t="shared" si="154"/>
        <v/>
      </c>
      <c r="FR25" s="354" t="str">
        <f t="shared" si="155"/>
        <v/>
      </c>
      <c r="FS25" s="354" t="str">
        <f t="shared" si="156"/>
        <v/>
      </c>
      <c r="FT25" s="354" t="str">
        <f t="shared" si="157"/>
        <v/>
      </c>
      <c r="FU25" s="354" t="str">
        <f t="shared" si="158"/>
        <v/>
      </c>
      <c r="FV25" s="354" t="str">
        <f t="shared" si="159"/>
        <v/>
      </c>
      <c r="FW25" s="354" t="str">
        <f t="shared" si="160"/>
        <v/>
      </c>
      <c r="FX25" s="354" t="str">
        <f t="shared" si="161"/>
        <v/>
      </c>
      <c r="FY25" s="354" t="str">
        <f t="shared" si="162"/>
        <v/>
      </c>
      <c r="FZ25" s="354" t="str">
        <f t="shared" si="163"/>
        <v/>
      </c>
      <c r="GA25" s="354" t="str">
        <f t="shared" si="164"/>
        <v/>
      </c>
      <c r="GB25" s="354" t="str">
        <f t="shared" si="165"/>
        <v/>
      </c>
      <c r="GC25" s="354" t="str">
        <f t="shared" si="166"/>
        <v/>
      </c>
      <c r="GD25" s="354" t="str">
        <f t="shared" si="167"/>
        <v/>
      </c>
      <c r="GE25" s="354" t="str">
        <f t="shared" si="168"/>
        <v/>
      </c>
      <c r="GF25" s="354" t="str">
        <f t="shared" si="169"/>
        <v/>
      </c>
      <c r="GG25" s="354" t="str">
        <f t="shared" si="170"/>
        <v/>
      </c>
      <c r="GH25" s="354" t="str">
        <f t="shared" si="171"/>
        <v/>
      </c>
      <c r="GI25" s="354" t="str">
        <f t="shared" si="172"/>
        <v/>
      </c>
      <c r="GJ25" s="354" t="str">
        <f t="shared" si="173"/>
        <v/>
      </c>
      <c r="GK25" s="354" t="str">
        <f t="shared" si="174"/>
        <v/>
      </c>
      <c r="GL25" s="354" t="str">
        <f t="shared" si="175"/>
        <v/>
      </c>
      <c r="GM25" s="354" t="str">
        <f t="shared" si="176"/>
        <v/>
      </c>
      <c r="GN25" s="354" t="str">
        <f t="shared" si="177"/>
        <v/>
      </c>
      <c r="GO25" s="354" t="str">
        <f t="shared" si="178"/>
        <v/>
      </c>
      <c r="GP25" s="354" t="str">
        <f t="shared" si="179"/>
        <v/>
      </c>
      <c r="GQ25" s="354" t="str">
        <f t="shared" si="180"/>
        <v/>
      </c>
      <c r="GR25" s="354" t="str">
        <f t="shared" si="181"/>
        <v/>
      </c>
      <c r="GS25" s="354" t="str">
        <f t="shared" si="182"/>
        <v/>
      </c>
      <c r="GT25" s="354" t="str">
        <f t="shared" si="183"/>
        <v/>
      </c>
      <c r="GU25" s="354" t="str">
        <f t="shared" si="184"/>
        <v/>
      </c>
      <c r="GV25" s="354" t="str">
        <f t="shared" si="185"/>
        <v/>
      </c>
      <c r="GW25" s="354" t="str">
        <f t="shared" si="186"/>
        <v/>
      </c>
      <c r="GX25" s="354" t="str">
        <f t="shared" si="187"/>
        <v/>
      </c>
      <c r="GY25" s="354" t="str">
        <f t="shared" si="188"/>
        <v/>
      </c>
      <c r="GZ25" s="354" t="str">
        <f t="shared" si="189"/>
        <v/>
      </c>
      <c r="HA25" s="354" t="str">
        <f t="shared" si="190"/>
        <v/>
      </c>
      <c r="HB25" s="354" t="str">
        <f t="shared" si="191"/>
        <v/>
      </c>
      <c r="HC25" s="354" t="str">
        <f t="shared" si="192"/>
        <v/>
      </c>
      <c r="HD25" s="354" t="str">
        <f t="shared" si="193"/>
        <v/>
      </c>
      <c r="HE25" s="354" t="str">
        <f t="shared" si="194"/>
        <v/>
      </c>
      <c r="HF25" s="354" t="str">
        <f t="shared" si="195"/>
        <v/>
      </c>
      <c r="HG25" s="354" t="str">
        <f t="shared" si="196"/>
        <v/>
      </c>
      <c r="HH25" s="354" t="str">
        <f t="shared" si="197"/>
        <v/>
      </c>
      <c r="HI25" s="354" t="str">
        <f t="shared" si="198"/>
        <v/>
      </c>
      <c r="HJ25" s="354" t="str">
        <f t="shared" si="199"/>
        <v/>
      </c>
      <c r="HK25" s="354" t="str">
        <f t="shared" si="200"/>
        <v/>
      </c>
      <c r="HL25" s="354" t="str">
        <f t="shared" si="201"/>
        <v/>
      </c>
      <c r="HM25" s="354" t="str">
        <f t="shared" si="202"/>
        <v/>
      </c>
      <c r="HN25" s="354" t="str">
        <f t="shared" si="203"/>
        <v/>
      </c>
      <c r="HO25" s="354" t="str">
        <f t="shared" si="204"/>
        <v/>
      </c>
      <c r="HP25" s="354" t="str">
        <f t="shared" si="205"/>
        <v/>
      </c>
      <c r="HQ25" s="354" t="str">
        <f t="shared" si="206"/>
        <v/>
      </c>
      <c r="HR25" s="354" t="str">
        <f t="shared" si="207"/>
        <v/>
      </c>
      <c r="HS25" s="354" t="str">
        <f t="shared" si="208"/>
        <v/>
      </c>
      <c r="HT25" s="354" t="str">
        <f t="shared" si="209"/>
        <v/>
      </c>
      <c r="HU25" s="354" t="str">
        <f t="shared" si="210"/>
        <v/>
      </c>
      <c r="HV25" s="354" t="str">
        <f t="shared" si="211"/>
        <v/>
      </c>
      <c r="HW25" s="354" t="str">
        <f t="shared" si="212"/>
        <v/>
      </c>
      <c r="HX25" s="354" t="str">
        <f t="shared" si="213"/>
        <v/>
      </c>
      <c r="HY25" s="354" t="str">
        <f t="shared" si="214"/>
        <v/>
      </c>
      <c r="HZ25" s="354" t="str">
        <f t="shared" si="215"/>
        <v/>
      </c>
      <c r="IA25" s="354" t="str">
        <f t="shared" si="216"/>
        <v/>
      </c>
      <c r="IB25" s="354" t="str">
        <f t="shared" si="217"/>
        <v/>
      </c>
      <c r="IC25" s="354" t="str">
        <f t="shared" si="218"/>
        <v/>
      </c>
      <c r="ID25" s="355" t="str">
        <f t="shared" si="219"/>
        <v/>
      </c>
      <c r="IE25" s="355" t="str">
        <f t="shared" si="220"/>
        <v/>
      </c>
      <c r="IF25" s="355" t="str">
        <f t="shared" si="221"/>
        <v/>
      </c>
      <c r="IG25" s="355" t="str">
        <f t="shared" si="222"/>
        <v/>
      </c>
      <c r="IH25" s="355" t="str">
        <f t="shared" si="223"/>
        <v/>
      </c>
      <c r="II25" s="344" t="str">
        <f t="shared" si="224"/>
        <v/>
      </c>
      <c r="IJ25" s="344" t="str">
        <f t="shared" si="225"/>
        <v/>
      </c>
      <c r="IK25" s="344" t="str">
        <f t="shared" si="226"/>
        <v/>
      </c>
      <c r="IL25" s="344" t="str">
        <f t="shared" si="227"/>
        <v/>
      </c>
      <c r="IM25" s="344" t="str">
        <f t="shared" si="228"/>
        <v/>
      </c>
      <c r="IN25" s="344" t="str">
        <f t="shared" si="229"/>
        <v/>
      </c>
      <c r="IO25" s="344" t="str">
        <f t="shared" si="230"/>
        <v/>
      </c>
      <c r="IP25" s="344" t="str">
        <f t="shared" si="231"/>
        <v/>
      </c>
      <c r="IQ25" s="344" t="str">
        <f t="shared" si="232"/>
        <v/>
      </c>
      <c r="IR25" s="344" t="str">
        <f t="shared" si="233"/>
        <v/>
      </c>
      <c r="IS25" s="344" t="str">
        <f t="shared" si="234"/>
        <v/>
      </c>
      <c r="IT25" s="344" t="str">
        <f t="shared" si="235"/>
        <v/>
      </c>
      <c r="IU25" s="344" t="str">
        <f t="shared" si="236"/>
        <v/>
      </c>
      <c r="IV25" s="344" t="str">
        <f t="shared" si="237"/>
        <v/>
      </c>
      <c r="IW25" s="344" t="str">
        <f t="shared" si="238"/>
        <v/>
      </c>
      <c r="IX25" s="344" t="str">
        <f t="shared" si="239"/>
        <v/>
      </c>
      <c r="IY25" s="344" t="str">
        <f t="shared" si="240"/>
        <v/>
      </c>
      <c r="IZ25" s="344" t="str">
        <f t="shared" si="241"/>
        <v/>
      </c>
      <c r="JA25" s="344" t="str">
        <f t="shared" si="242"/>
        <v/>
      </c>
      <c r="JB25" s="344" t="str">
        <f t="shared" si="243"/>
        <v/>
      </c>
      <c r="JC25" s="353">
        <f t="shared" si="244"/>
        <v>0</v>
      </c>
      <c r="JD25" s="353">
        <f t="shared" si="245"/>
        <v>0</v>
      </c>
      <c r="JE25" s="353">
        <f t="shared" si="246"/>
        <v>0</v>
      </c>
      <c r="JF25" s="353">
        <f t="shared" si="247"/>
        <v>0</v>
      </c>
      <c r="JG25" s="353">
        <f t="shared" si="248"/>
        <v>0</v>
      </c>
      <c r="JH25" s="353">
        <f t="shared" si="249"/>
        <v>0</v>
      </c>
      <c r="JI25" s="353">
        <f t="shared" si="250"/>
        <v>0</v>
      </c>
      <c r="JJ25" s="353">
        <f t="shared" si="251"/>
        <v>0</v>
      </c>
      <c r="JK25" s="353">
        <f t="shared" si="252"/>
        <v>0</v>
      </c>
      <c r="JL25" s="353">
        <f t="shared" si="253"/>
        <v>0</v>
      </c>
      <c r="JM25" s="353">
        <f t="shared" si="254"/>
        <v>0</v>
      </c>
      <c r="JN25" s="353">
        <f t="shared" si="255"/>
        <v>0</v>
      </c>
      <c r="JO25" s="353">
        <f t="shared" si="256"/>
        <v>0</v>
      </c>
      <c r="JP25" s="353">
        <f t="shared" si="257"/>
        <v>0</v>
      </c>
      <c r="JQ25" s="353">
        <f t="shared" si="258"/>
        <v>0</v>
      </c>
    </row>
    <row r="26" spans="1:277" ht="12" customHeight="1">
      <c r="A26" s="70" t="str">
        <f t="shared" si="0"/>
        <v/>
      </c>
      <c r="B26" s="2628" t="s">
        <v>781</v>
      </c>
      <c r="C26" s="2629"/>
      <c r="D26" s="2630"/>
      <c r="E26" s="2631"/>
      <c r="F26" s="2631"/>
      <c r="G26" s="2631"/>
      <c r="H26" s="2631"/>
      <c r="I26" s="2632">
        <f>IF(C26="",0,HLOOKUP(C26,'Part V-Utility Allowances'!$I$11:$M$21,11))</f>
        <v>0</v>
      </c>
      <c r="J26" s="2633"/>
      <c r="K26" s="488">
        <f t="shared" si="1"/>
        <v>0</v>
      </c>
      <c r="L26" s="488">
        <f t="shared" si="2"/>
        <v>0</v>
      </c>
      <c r="M26" s="2634"/>
      <c r="N26" s="2634"/>
      <c r="O26" s="2634"/>
      <c r="P26" s="2635"/>
      <c r="Q26" s="2636" t="str">
        <f t="shared" si="3"/>
        <v/>
      </c>
      <c r="R26" s="2637" t="str">
        <f>IF(H26="","",IF(C26="Efficiency",Q26/($O$6*VLOOKUP(0,'DCA Underwriting Assumptions'!$J$143:$K$148,2,FALSE)),Q26/($O$6*VLOOKUP(C26,'DCA Underwriting Assumptions'!$J$143:$K$148,2,FALSE))))</f>
        <v/>
      </c>
      <c r="S26" s="2638"/>
      <c r="T26" s="2639"/>
      <c r="U26" s="2594"/>
      <c r="V26" s="2595"/>
      <c r="W26" s="102" t="str">
        <f t="shared" si="4"/>
        <v/>
      </c>
      <c r="X26" s="102" t="str">
        <f t="shared" si="5"/>
        <v/>
      </c>
      <c r="Y26" s="102" t="str">
        <f t="shared" si="6"/>
        <v/>
      </c>
      <c r="Z26" s="102" t="str">
        <f t="shared" si="7"/>
        <v/>
      </c>
      <c r="AA26" s="102" t="str">
        <f t="shared" si="8"/>
        <v/>
      </c>
      <c r="AB26" s="102" t="str">
        <f t="shared" si="9"/>
        <v/>
      </c>
      <c r="AC26" s="102" t="str">
        <f t="shared" si="10"/>
        <v/>
      </c>
      <c r="AD26" s="102" t="str">
        <f t="shared" si="11"/>
        <v/>
      </c>
      <c r="AE26" s="102" t="str">
        <f t="shared" si="12"/>
        <v/>
      </c>
      <c r="AF26" s="102" t="str">
        <f t="shared" si="13"/>
        <v/>
      </c>
      <c r="AG26" s="102" t="str">
        <f t="shared" si="14"/>
        <v/>
      </c>
      <c r="AH26" s="102" t="str">
        <f t="shared" si="15"/>
        <v/>
      </c>
      <c r="AI26" s="102" t="str">
        <f t="shared" si="16"/>
        <v/>
      </c>
      <c r="AJ26" s="102" t="str">
        <f t="shared" si="17"/>
        <v/>
      </c>
      <c r="AK26" s="102" t="str">
        <f t="shared" si="18"/>
        <v/>
      </c>
      <c r="AL26" s="102" t="str">
        <f t="shared" si="19"/>
        <v/>
      </c>
      <c r="AM26" s="102" t="str">
        <f t="shared" si="20"/>
        <v/>
      </c>
      <c r="AN26" s="102" t="str">
        <f t="shared" si="21"/>
        <v/>
      </c>
      <c r="AO26" s="102" t="str">
        <f t="shared" si="22"/>
        <v/>
      </c>
      <c r="AP26" s="102" t="str">
        <f t="shared" si="23"/>
        <v/>
      </c>
      <c r="AQ26" s="102" t="str">
        <f t="shared" si="24"/>
        <v/>
      </c>
      <c r="AR26" s="102" t="str">
        <f t="shared" si="25"/>
        <v/>
      </c>
      <c r="AS26" s="102" t="str">
        <f t="shared" si="26"/>
        <v/>
      </c>
      <c r="AT26" s="102" t="str">
        <f t="shared" si="27"/>
        <v/>
      </c>
      <c r="AU26" s="102" t="str">
        <f t="shared" si="28"/>
        <v/>
      </c>
      <c r="AV26" s="102" t="str">
        <f t="shared" si="29"/>
        <v/>
      </c>
      <c r="AW26" s="102" t="str">
        <f t="shared" si="30"/>
        <v/>
      </c>
      <c r="AX26" s="102" t="str">
        <f t="shared" si="31"/>
        <v/>
      </c>
      <c r="AY26" s="102" t="str">
        <f t="shared" si="32"/>
        <v/>
      </c>
      <c r="AZ26" s="102" t="str">
        <f t="shared" si="33"/>
        <v/>
      </c>
      <c r="BA26" s="102" t="str">
        <f t="shared" si="34"/>
        <v/>
      </c>
      <c r="BB26" s="102" t="str">
        <f t="shared" si="35"/>
        <v/>
      </c>
      <c r="BC26" s="102" t="str">
        <f t="shared" si="36"/>
        <v/>
      </c>
      <c r="BD26" s="102" t="str">
        <f t="shared" si="37"/>
        <v/>
      </c>
      <c r="BE26" s="102" t="str">
        <f t="shared" si="38"/>
        <v/>
      </c>
      <c r="BF26" s="102" t="str">
        <f t="shared" si="39"/>
        <v/>
      </c>
      <c r="BG26" s="102" t="str">
        <f t="shared" si="40"/>
        <v/>
      </c>
      <c r="BH26" s="102" t="str">
        <f t="shared" si="41"/>
        <v/>
      </c>
      <c r="BI26" s="102" t="str">
        <f t="shared" si="42"/>
        <v/>
      </c>
      <c r="BJ26" s="102" t="str">
        <f t="shared" si="43"/>
        <v/>
      </c>
      <c r="BK26" s="102" t="str">
        <f t="shared" si="44"/>
        <v/>
      </c>
      <c r="BL26" s="102" t="str">
        <f t="shared" si="45"/>
        <v/>
      </c>
      <c r="BM26" s="102" t="str">
        <f t="shared" si="46"/>
        <v/>
      </c>
      <c r="BN26" s="102" t="str">
        <f t="shared" si="47"/>
        <v/>
      </c>
      <c r="BO26" s="102" t="str">
        <f t="shared" si="48"/>
        <v/>
      </c>
      <c r="BP26" s="102" t="str">
        <f t="shared" si="49"/>
        <v/>
      </c>
      <c r="BQ26" s="102" t="str">
        <f t="shared" si="50"/>
        <v/>
      </c>
      <c r="BR26" s="102" t="str">
        <f t="shared" si="51"/>
        <v/>
      </c>
      <c r="BS26" s="102" t="str">
        <f t="shared" si="52"/>
        <v/>
      </c>
      <c r="BT26" s="102" t="str">
        <f t="shared" si="53"/>
        <v/>
      </c>
      <c r="BU26" s="102" t="str">
        <f t="shared" si="54"/>
        <v/>
      </c>
      <c r="BV26" s="102" t="str">
        <f t="shared" si="55"/>
        <v/>
      </c>
      <c r="BW26" s="102" t="str">
        <f t="shared" si="56"/>
        <v/>
      </c>
      <c r="BX26" s="102" t="str">
        <f t="shared" si="57"/>
        <v/>
      </c>
      <c r="BY26" s="102" t="str">
        <f t="shared" si="58"/>
        <v/>
      </c>
      <c r="BZ26" s="102" t="str">
        <f t="shared" si="59"/>
        <v/>
      </c>
      <c r="CA26" s="102" t="str">
        <f t="shared" si="60"/>
        <v/>
      </c>
      <c r="CB26" s="102" t="str">
        <f t="shared" si="61"/>
        <v/>
      </c>
      <c r="CC26" s="102" t="str">
        <f t="shared" si="62"/>
        <v/>
      </c>
      <c r="CD26" s="102" t="str">
        <f t="shared" si="63"/>
        <v/>
      </c>
      <c r="CE26" s="102" t="str">
        <f t="shared" si="64"/>
        <v/>
      </c>
      <c r="CF26" s="102" t="str">
        <f t="shared" si="65"/>
        <v/>
      </c>
      <c r="CG26" s="102" t="str">
        <f t="shared" si="66"/>
        <v/>
      </c>
      <c r="CH26" s="102" t="str">
        <f t="shared" si="67"/>
        <v/>
      </c>
      <c r="CI26" s="102" t="str">
        <f t="shared" si="68"/>
        <v/>
      </c>
      <c r="CJ26" s="102" t="str">
        <f t="shared" si="69"/>
        <v/>
      </c>
      <c r="CK26" s="102" t="str">
        <f t="shared" si="70"/>
        <v/>
      </c>
      <c r="CL26" s="102" t="str">
        <f t="shared" si="71"/>
        <v/>
      </c>
      <c r="CM26" s="102" t="str">
        <f t="shared" si="72"/>
        <v/>
      </c>
      <c r="CN26" s="102" t="str">
        <f t="shared" si="73"/>
        <v/>
      </c>
      <c r="CO26" s="102" t="str">
        <f t="shared" si="74"/>
        <v/>
      </c>
      <c r="CP26" s="102" t="str">
        <f t="shared" si="75"/>
        <v/>
      </c>
      <c r="CQ26" s="102" t="str">
        <f t="shared" si="76"/>
        <v/>
      </c>
      <c r="CR26" s="102" t="str">
        <f t="shared" si="77"/>
        <v/>
      </c>
      <c r="CS26" s="102" t="str">
        <f t="shared" si="78"/>
        <v/>
      </c>
      <c r="CT26" s="102" t="str">
        <f t="shared" si="79"/>
        <v/>
      </c>
      <c r="CU26" s="102" t="str">
        <f t="shared" si="80"/>
        <v/>
      </c>
      <c r="CV26" s="102" t="str">
        <f t="shared" si="81"/>
        <v/>
      </c>
      <c r="CW26" s="102" t="str">
        <f t="shared" si="82"/>
        <v/>
      </c>
      <c r="CX26" s="102" t="str">
        <f t="shared" si="83"/>
        <v/>
      </c>
      <c r="CY26" s="102" t="str">
        <f t="shared" si="84"/>
        <v/>
      </c>
      <c r="CZ26" s="102" t="str">
        <f t="shared" si="85"/>
        <v/>
      </c>
      <c r="DA26" s="102" t="str">
        <f t="shared" si="86"/>
        <v/>
      </c>
      <c r="DB26" s="102" t="str">
        <f t="shared" si="87"/>
        <v/>
      </c>
      <c r="DC26" s="102" t="str">
        <f t="shared" si="88"/>
        <v/>
      </c>
      <c r="DD26" s="102" t="str">
        <f t="shared" si="89"/>
        <v/>
      </c>
      <c r="DE26" s="102" t="str">
        <f t="shared" si="90"/>
        <v/>
      </c>
      <c r="DF26" s="102" t="str">
        <f t="shared" si="91"/>
        <v/>
      </c>
      <c r="DG26" s="102" t="str">
        <f t="shared" si="92"/>
        <v/>
      </c>
      <c r="DH26" s="102" t="str">
        <f t="shared" si="93"/>
        <v/>
      </c>
      <c r="DI26" s="102" t="str">
        <f t="shared" si="94"/>
        <v/>
      </c>
      <c r="DJ26" s="102" t="str">
        <f t="shared" si="95"/>
        <v/>
      </c>
      <c r="DK26" s="102" t="str">
        <f t="shared" si="96"/>
        <v/>
      </c>
      <c r="DL26" s="102" t="str">
        <f t="shared" si="97"/>
        <v/>
      </c>
      <c r="DM26" s="102" t="str">
        <f t="shared" si="98"/>
        <v/>
      </c>
      <c r="DN26" s="102" t="str">
        <f t="shared" si="99"/>
        <v/>
      </c>
      <c r="DO26" s="102" t="str">
        <f t="shared" si="100"/>
        <v/>
      </c>
      <c r="DP26" s="102" t="str">
        <f t="shared" si="101"/>
        <v/>
      </c>
      <c r="DQ26" s="102" t="str">
        <f t="shared" si="102"/>
        <v/>
      </c>
      <c r="DR26" s="102" t="str">
        <f t="shared" si="103"/>
        <v/>
      </c>
      <c r="DS26" s="102" t="str">
        <f t="shared" si="104"/>
        <v/>
      </c>
      <c r="DT26" s="102" t="str">
        <f t="shared" si="105"/>
        <v/>
      </c>
      <c r="DU26" s="102" t="str">
        <f t="shared" si="106"/>
        <v/>
      </c>
      <c r="DV26" s="102" t="str">
        <f t="shared" si="107"/>
        <v/>
      </c>
      <c r="DW26" s="102" t="str">
        <f t="shared" si="108"/>
        <v/>
      </c>
      <c r="DX26" s="102" t="str">
        <f t="shared" si="109"/>
        <v/>
      </c>
      <c r="DY26" s="102" t="str">
        <f t="shared" si="110"/>
        <v/>
      </c>
      <c r="DZ26" s="102" t="str">
        <f t="shared" si="111"/>
        <v/>
      </c>
      <c r="EA26" s="102" t="str">
        <f t="shared" si="112"/>
        <v/>
      </c>
      <c r="EB26" s="102" t="str">
        <f t="shared" si="113"/>
        <v/>
      </c>
      <c r="EC26" s="102" t="str">
        <f t="shared" si="114"/>
        <v/>
      </c>
      <c r="ED26" s="102" t="str">
        <f t="shared" si="115"/>
        <v/>
      </c>
      <c r="EE26" s="102" t="str">
        <f t="shared" si="116"/>
        <v/>
      </c>
      <c r="EF26" s="102" t="str">
        <f t="shared" si="117"/>
        <v/>
      </c>
      <c r="EG26" s="102" t="str">
        <f t="shared" si="118"/>
        <v/>
      </c>
      <c r="EH26" s="102" t="str">
        <f t="shared" si="119"/>
        <v/>
      </c>
      <c r="EI26" s="102" t="str">
        <f t="shared" si="120"/>
        <v/>
      </c>
      <c r="EJ26" s="102" t="str">
        <f t="shared" si="121"/>
        <v/>
      </c>
      <c r="EK26" s="102" t="str">
        <f t="shared" si="122"/>
        <v/>
      </c>
      <c r="EL26" s="102" t="str">
        <f t="shared" si="123"/>
        <v/>
      </c>
      <c r="EM26" s="102" t="str">
        <f t="shared" si="124"/>
        <v/>
      </c>
      <c r="EN26" s="102" t="str">
        <f t="shared" si="125"/>
        <v/>
      </c>
      <c r="EO26" s="102" t="str">
        <f t="shared" si="126"/>
        <v/>
      </c>
      <c r="EP26" s="102" t="str">
        <f t="shared" si="127"/>
        <v/>
      </c>
      <c r="EQ26" s="102" t="str">
        <f t="shared" si="128"/>
        <v/>
      </c>
      <c r="ER26" s="102" t="str">
        <f t="shared" si="129"/>
        <v/>
      </c>
      <c r="ES26" s="102" t="str">
        <f t="shared" si="130"/>
        <v/>
      </c>
      <c r="ET26" s="102" t="str">
        <f t="shared" si="131"/>
        <v/>
      </c>
      <c r="EU26" s="102" t="str">
        <f t="shared" si="132"/>
        <v/>
      </c>
      <c r="EV26" s="102" t="str">
        <f t="shared" si="133"/>
        <v/>
      </c>
      <c r="EW26" s="792" t="str">
        <f t="shared" si="134"/>
        <v/>
      </c>
      <c r="EX26" s="354" t="str">
        <f t="shared" si="135"/>
        <v/>
      </c>
      <c r="EY26" s="354" t="str">
        <f t="shared" si="136"/>
        <v/>
      </c>
      <c r="EZ26" s="354" t="str">
        <f t="shared" si="137"/>
        <v/>
      </c>
      <c r="FA26" s="354" t="str">
        <f t="shared" si="138"/>
        <v/>
      </c>
      <c r="FB26" s="354" t="str">
        <f t="shared" si="139"/>
        <v/>
      </c>
      <c r="FC26" s="354" t="str">
        <f t="shared" si="140"/>
        <v/>
      </c>
      <c r="FD26" s="354" t="str">
        <f t="shared" si="141"/>
        <v/>
      </c>
      <c r="FE26" s="354" t="str">
        <f t="shared" si="142"/>
        <v/>
      </c>
      <c r="FF26" s="354" t="str">
        <f t="shared" si="143"/>
        <v/>
      </c>
      <c r="FG26" s="354" t="str">
        <f t="shared" si="144"/>
        <v/>
      </c>
      <c r="FH26" s="354" t="str">
        <f t="shared" si="145"/>
        <v/>
      </c>
      <c r="FI26" s="354" t="str">
        <f t="shared" si="146"/>
        <v/>
      </c>
      <c r="FJ26" s="354" t="str">
        <f t="shared" si="147"/>
        <v/>
      </c>
      <c r="FK26" s="354" t="str">
        <f t="shared" si="148"/>
        <v/>
      </c>
      <c r="FL26" s="354" t="str">
        <f t="shared" si="149"/>
        <v/>
      </c>
      <c r="FM26" s="354" t="str">
        <f t="shared" si="150"/>
        <v/>
      </c>
      <c r="FN26" s="354" t="str">
        <f t="shared" si="151"/>
        <v/>
      </c>
      <c r="FO26" s="354" t="str">
        <f t="shared" si="152"/>
        <v/>
      </c>
      <c r="FP26" s="354" t="str">
        <f t="shared" si="153"/>
        <v/>
      </c>
      <c r="FQ26" s="354" t="str">
        <f t="shared" si="154"/>
        <v/>
      </c>
      <c r="FR26" s="354" t="str">
        <f t="shared" si="155"/>
        <v/>
      </c>
      <c r="FS26" s="354" t="str">
        <f t="shared" si="156"/>
        <v/>
      </c>
      <c r="FT26" s="354" t="str">
        <f t="shared" si="157"/>
        <v/>
      </c>
      <c r="FU26" s="354" t="str">
        <f t="shared" si="158"/>
        <v/>
      </c>
      <c r="FV26" s="354" t="str">
        <f t="shared" si="159"/>
        <v/>
      </c>
      <c r="FW26" s="354" t="str">
        <f t="shared" si="160"/>
        <v/>
      </c>
      <c r="FX26" s="354" t="str">
        <f t="shared" si="161"/>
        <v/>
      </c>
      <c r="FY26" s="354" t="str">
        <f t="shared" si="162"/>
        <v/>
      </c>
      <c r="FZ26" s="354" t="str">
        <f t="shared" si="163"/>
        <v/>
      </c>
      <c r="GA26" s="354" t="str">
        <f t="shared" si="164"/>
        <v/>
      </c>
      <c r="GB26" s="354" t="str">
        <f t="shared" si="165"/>
        <v/>
      </c>
      <c r="GC26" s="354" t="str">
        <f t="shared" si="166"/>
        <v/>
      </c>
      <c r="GD26" s="354" t="str">
        <f t="shared" si="167"/>
        <v/>
      </c>
      <c r="GE26" s="354" t="str">
        <f t="shared" si="168"/>
        <v/>
      </c>
      <c r="GF26" s="354" t="str">
        <f t="shared" si="169"/>
        <v/>
      </c>
      <c r="GG26" s="354" t="str">
        <f t="shared" si="170"/>
        <v/>
      </c>
      <c r="GH26" s="354" t="str">
        <f t="shared" si="171"/>
        <v/>
      </c>
      <c r="GI26" s="354" t="str">
        <f t="shared" si="172"/>
        <v/>
      </c>
      <c r="GJ26" s="354" t="str">
        <f t="shared" si="173"/>
        <v/>
      </c>
      <c r="GK26" s="354" t="str">
        <f t="shared" si="174"/>
        <v/>
      </c>
      <c r="GL26" s="354" t="str">
        <f t="shared" si="175"/>
        <v/>
      </c>
      <c r="GM26" s="354" t="str">
        <f t="shared" si="176"/>
        <v/>
      </c>
      <c r="GN26" s="354" t="str">
        <f t="shared" si="177"/>
        <v/>
      </c>
      <c r="GO26" s="354" t="str">
        <f t="shared" si="178"/>
        <v/>
      </c>
      <c r="GP26" s="354" t="str">
        <f t="shared" si="179"/>
        <v/>
      </c>
      <c r="GQ26" s="354" t="str">
        <f t="shared" si="180"/>
        <v/>
      </c>
      <c r="GR26" s="354" t="str">
        <f t="shared" si="181"/>
        <v/>
      </c>
      <c r="GS26" s="354" t="str">
        <f t="shared" si="182"/>
        <v/>
      </c>
      <c r="GT26" s="354" t="str">
        <f t="shared" si="183"/>
        <v/>
      </c>
      <c r="GU26" s="354" t="str">
        <f t="shared" si="184"/>
        <v/>
      </c>
      <c r="GV26" s="354" t="str">
        <f t="shared" si="185"/>
        <v/>
      </c>
      <c r="GW26" s="354" t="str">
        <f t="shared" si="186"/>
        <v/>
      </c>
      <c r="GX26" s="354" t="str">
        <f t="shared" si="187"/>
        <v/>
      </c>
      <c r="GY26" s="354" t="str">
        <f t="shared" si="188"/>
        <v/>
      </c>
      <c r="GZ26" s="354" t="str">
        <f t="shared" si="189"/>
        <v/>
      </c>
      <c r="HA26" s="354" t="str">
        <f t="shared" si="190"/>
        <v/>
      </c>
      <c r="HB26" s="354" t="str">
        <f t="shared" si="191"/>
        <v/>
      </c>
      <c r="HC26" s="354" t="str">
        <f t="shared" si="192"/>
        <v/>
      </c>
      <c r="HD26" s="354" t="str">
        <f t="shared" si="193"/>
        <v/>
      </c>
      <c r="HE26" s="354" t="str">
        <f t="shared" si="194"/>
        <v/>
      </c>
      <c r="HF26" s="354" t="str">
        <f t="shared" si="195"/>
        <v/>
      </c>
      <c r="HG26" s="354" t="str">
        <f t="shared" si="196"/>
        <v/>
      </c>
      <c r="HH26" s="354" t="str">
        <f t="shared" si="197"/>
        <v/>
      </c>
      <c r="HI26" s="354" t="str">
        <f t="shared" si="198"/>
        <v/>
      </c>
      <c r="HJ26" s="354" t="str">
        <f t="shared" si="199"/>
        <v/>
      </c>
      <c r="HK26" s="354" t="str">
        <f t="shared" si="200"/>
        <v/>
      </c>
      <c r="HL26" s="354" t="str">
        <f t="shared" si="201"/>
        <v/>
      </c>
      <c r="HM26" s="354" t="str">
        <f t="shared" si="202"/>
        <v/>
      </c>
      <c r="HN26" s="354" t="str">
        <f t="shared" si="203"/>
        <v/>
      </c>
      <c r="HO26" s="354" t="str">
        <f t="shared" si="204"/>
        <v/>
      </c>
      <c r="HP26" s="354" t="str">
        <f t="shared" si="205"/>
        <v/>
      </c>
      <c r="HQ26" s="354" t="str">
        <f t="shared" si="206"/>
        <v/>
      </c>
      <c r="HR26" s="354" t="str">
        <f t="shared" si="207"/>
        <v/>
      </c>
      <c r="HS26" s="354" t="str">
        <f t="shared" si="208"/>
        <v/>
      </c>
      <c r="HT26" s="354" t="str">
        <f t="shared" si="209"/>
        <v/>
      </c>
      <c r="HU26" s="354" t="str">
        <f t="shared" si="210"/>
        <v/>
      </c>
      <c r="HV26" s="354" t="str">
        <f t="shared" si="211"/>
        <v/>
      </c>
      <c r="HW26" s="354" t="str">
        <f t="shared" si="212"/>
        <v/>
      </c>
      <c r="HX26" s="354" t="str">
        <f t="shared" si="213"/>
        <v/>
      </c>
      <c r="HY26" s="354" t="str">
        <f t="shared" si="214"/>
        <v/>
      </c>
      <c r="HZ26" s="354" t="str">
        <f t="shared" si="215"/>
        <v/>
      </c>
      <c r="IA26" s="354" t="str">
        <f t="shared" si="216"/>
        <v/>
      </c>
      <c r="IB26" s="354" t="str">
        <f t="shared" si="217"/>
        <v/>
      </c>
      <c r="IC26" s="354" t="str">
        <f t="shared" si="218"/>
        <v/>
      </c>
      <c r="ID26" s="355" t="str">
        <f t="shared" si="219"/>
        <v/>
      </c>
      <c r="IE26" s="355" t="str">
        <f t="shared" si="220"/>
        <v/>
      </c>
      <c r="IF26" s="355" t="str">
        <f t="shared" si="221"/>
        <v/>
      </c>
      <c r="IG26" s="355" t="str">
        <f t="shared" si="222"/>
        <v/>
      </c>
      <c r="IH26" s="355" t="str">
        <f t="shared" si="223"/>
        <v/>
      </c>
      <c r="II26" s="344" t="str">
        <f t="shared" si="224"/>
        <v/>
      </c>
      <c r="IJ26" s="344" t="str">
        <f t="shared" si="225"/>
        <v/>
      </c>
      <c r="IK26" s="344" t="str">
        <f t="shared" si="226"/>
        <v/>
      </c>
      <c r="IL26" s="344" t="str">
        <f t="shared" si="227"/>
        <v/>
      </c>
      <c r="IM26" s="344" t="str">
        <f t="shared" si="228"/>
        <v/>
      </c>
      <c r="IN26" s="344" t="str">
        <f t="shared" si="229"/>
        <v/>
      </c>
      <c r="IO26" s="344" t="str">
        <f t="shared" si="230"/>
        <v/>
      </c>
      <c r="IP26" s="344" t="str">
        <f t="shared" si="231"/>
        <v/>
      </c>
      <c r="IQ26" s="344" t="str">
        <f t="shared" si="232"/>
        <v/>
      </c>
      <c r="IR26" s="344" t="str">
        <f t="shared" si="233"/>
        <v/>
      </c>
      <c r="IS26" s="344" t="str">
        <f t="shared" si="234"/>
        <v/>
      </c>
      <c r="IT26" s="344" t="str">
        <f t="shared" si="235"/>
        <v/>
      </c>
      <c r="IU26" s="344" t="str">
        <f t="shared" si="236"/>
        <v/>
      </c>
      <c r="IV26" s="344" t="str">
        <f t="shared" si="237"/>
        <v/>
      </c>
      <c r="IW26" s="344" t="str">
        <f t="shared" si="238"/>
        <v/>
      </c>
      <c r="IX26" s="344" t="str">
        <f t="shared" si="239"/>
        <v/>
      </c>
      <c r="IY26" s="344" t="str">
        <f t="shared" si="240"/>
        <v/>
      </c>
      <c r="IZ26" s="344" t="str">
        <f t="shared" si="241"/>
        <v/>
      </c>
      <c r="JA26" s="344" t="str">
        <f t="shared" si="242"/>
        <v/>
      </c>
      <c r="JB26" s="344" t="str">
        <f t="shared" si="243"/>
        <v/>
      </c>
      <c r="JC26" s="353">
        <f t="shared" si="244"/>
        <v>0</v>
      </c>
      <c r="JD26" s="353">
        <f t="shared" si="245"/>
        <v>0</v>
      </c>
      <c r="JE26" s="353">
        <f t="shared" si="246"/>
        <v>0</v>
      </c>
      <c r="JF26" s="353">
        <f t="shared" si="247"/>
        <v>0</v>
      </c>
      <c r="JG26" s="353">
        <f t="shared" si="248"/>
        <v>0</v>
      </c>
      <c r="JH26" s="353">
        <f t="shared" si="249"/>
        <v>0</v>
      </c>
      <c r="JI26" s="353">
        <f t="shared" si="250"/>
        <v>0</v>
      </c>
      <c r="JJ26" s="353">
        <f t="shared" si="251"/>
        <v>0</v>
      </c>
      <c r="JK26" s="353">
        <f t="shared" si="252"/>
        <v>0</v>
      </c>
      <c r="JL26" s="353">
        <f t="shared" si="253"/>
        <v>0</v>
      </c>
      <c r="JM26" s="353">
        <f t="shared" si="254"/>
        <v>0</v>
      </c>
      <c r="JN26" s="353">
        <f t="shared" si="255"/>
        <v>0</v>
      </c>
      <c r="JO26" s="353">
        <f t="shared" si="256"/>
        <v>0</v>
      </c>
      <c r="JP26" s="353">
        <f t="shared" si="257"/>
        <v>0</v>
      </c>
      <c r="JQ26" s="353">
        <f t="shared" si="258"/>
        <v>0</v>
      </c>
    </row>
    <row r="27" spans="1:277" ht="12" customHeight="1">
      <c r="A27" s="70" t="str">
        <f t="shared" si="0"/>
        <v/>
      </c>
      <c r="B27" s="2628" t="s">
        <v>781</v>
      </c>
      <c r="C27" s="2629"/>
      <c r="D27" s="2630"/>
      <c r="E27" s="2631"/>
      <c r="F27" s="2631"/>
      <c r="G27" s="2631"/>
      <c r="H27" s="2631"/>
      <c r="I27" s="2632">
        <f>IF(C27="",0,HLOOKUP(C27,'Part V-Utility Allowances'!$I$11:$M$21,11))</f>
        <v>0</v>
      </c>
      <c r="J27" s="2633"/>
      <c r="K27" s="488">
        <f t="shared" si="1"/>
        <v>0</v>
      </c>
      <c r="L27" s="488">
        <f t="shared" si="2"/>
        <v>0</v>
      </c>
      <c r="M27" s="2634"/>
      <c r="N27" s="2634"/>
      <c r="O27" s="2634"/>
      <c r="P27" s="2635"/>
      <c r="Q27" s="2636" t="str">
        <f t="shared" si="3"/>
        <v/>
      </c>
      <c r="R27" s="2637" t="str">
        <f>IF(H27="","",IF(C27="Efficiency",Q27/($O$6*VLOOKUP(0,'DCA Underwriting Assumptions'!$J$143:$K$148,2,FALSE)),Q27/($O$6*VLOOKUP(C27,'DCA Underwriting Assumptions'!$J$143:$K$148,2,FALSE))))</f>
        <v/>
      </c>
      <c r="S27" s="2638"/>
      <c r="T27" s="2639"/>
      <c r="U27" s="2594"/>
      <c r="V27" s="2595"/>
      <c r="W27" s="102" t="str">
        <f t="shared" si="4"/>
        <v/>
      </c>
      <c r="X27" s="102" t="str">
        <f t="shared" si="5"/>
        <v/>
      </c>
      <c r="Y27" s="102" t="str">
        <f t="shared" si="6"/>
        <v/>
      </c>
      <c r="Z27" s="102" t="str">
        <f t="shared" si="7"/>
        <v/>
      </c>
      <c r="AA27" s="102" t="str">
        <f t="shared" si="8"/>
        <v/>
      </c>
      <c r="AB27" s="102" t="str">
        <f t="shared" si="9"/>
        <v/>
      </c>
      <c r="AC27" s="102" t="str">
        <f t="shared" si="10"/>
        <v/>
      </c>
      <c r="AD27" s="102" t="str">
        <f t="shared" si="11"/>
        <v/>
      </c>
      <c r="AE27" s="102" t="str">
        <f t="shared" si="12"/>
        <v/>
      </c>
      <c r="AF27" s="102" t="str">
        <f t="shared" si="13"/>
        <v/>
      </c>
      <c r="AG27" s="102" t="str">
        <f t="shared" si="14"/>
        <v/>
      </c>
      <c r="AH27" s="102" t="str">
        <f t="shared" si="15"/>
        <v/>
      </c>
      <c r="AI27" s="102" t="str">
        <f t="shared" si="16"/>
        <v/>
      </c>
      <c r="AJ27" s="102" t="str">
        <f t="shared" si="17"/>
        <v/>
      </c>
      <c r="AK27" s="102" t="str">
        <f t="shared" si="18"/>
        <v/>
      </c>
      <c r="AL27" s="102" t="str">
        <f t="shared" si="19"/>
        <v/>
      </c>
      <c r="AM27" s="102" t="str">
        <f t="shared" si="20"/>
        <v/>
      </c>
      <c r="AN27" s="102" t="str">
        <f t="shared" si="21"/>
        <v/>
      </c>
      <c r="AO27" s="102" t="str">
        <f t="shared" si="22"/>
        <v/>
      </c>
      <c r="AP27" s="102" t="str">
        <f t="shared" si="23"/>
        <v/>
      </c>
      <c r="AQ27" s="102" t="str">
        <f t="shared" si="24"/>
        <v/>
      </c>
      <c r="AR27" s="102" t="str">
        <f t="shared" si="25"/>
        <v/>
      </c>
      <c r="AS27" s="102" t="str">
        <f t="shared" si="26"/>
        <v/>
      </c>
      <c r="AT27" s="102" t="str">
        <f t="shared" si="27"/>
        <v/>
      </c>
      <c r="AU27" s="102" t="str">
        <f t="shared" si="28"/>
        <v/>
      </c>
      <c r="AV27" s="102" t="str">
        <f t="shared" si="29"/>
        <v/>
      </c>
      <c r="AW27" s="102" t="str">
        <f t="shared" si="30"/>
        <v/>
      </c>
      <c r="AX27" s="102" t="str">
        <f t="shared" si="31"/>
        <v/>
      </c>
      <c r="AY27" s="102" t="str">
        <f t="shared" si="32"/>
        <v/>
      </c>
      <c r="AZ27" s="102" t="str">
        <f t="shared" si="33"/>
        <v/>
      </c>
      <c r="BA27" s="102" t="str">
        <f t="shared" si="34"/>
        <v/>
      </c>
      <c r="BB27" s="102" t="str">
        <f t="shared" si="35"/>
        <v/>
      </c>
      <c r="BC27" s="102" t="str">
        <f t="shared" si="36"/>
        <v/>
      </c>
      <c r="BD27" s="102" t="str">
        <f t="shared" si="37"/>
        <v/>
      </c>
      <c r="BE27" s="102" t="str">
        <f t="shared" si="38"/>
        <v/>
      </c>
      <c r="BF27" s="102" t="str">
        <f t="shared" si="39"/>
        <v/>
      </c>
      <c r="BG27" s="102" t="str">
        <f t="shared" si="40"/>
        <v/>
      </c>
      <c r="BH27" s="102" t="str">
        <f t="shared" si="41"/>
        <v/>
      </c>
      <c r="BI27" s="102" t="str">
        <f t="shared" si="42"/>
        <v/>
      </c>
      <c r="BJ27" s="102" t="str">
        <f t="shared" si="43"/>
        <v/>
      </c>
      <c r="BK27" s="102" t="str">
        <f t="shared" si="44"/>
        <v/>
      </c>
      <c r="BL27" s="102" t="str">
        <f t="shared" si="45"/>
        <v/>
      </c>
      <c r="BM27" s="102" t="str">
        <f t="shared" si="46"/>
        <v/>
      </c>
      <c r="BN27" s="102" t="str">
        <f t="shared" si="47"/>
        <v/>
      </c>
      <c r="BO27" s="102" t="str">
        <f t="shared" si="48"/>
        <v/>
      </c>
      <c r="BP27" s="102" t="str">
        <f t="shared" si="49"/>
        <v/>
      </c>
      <c r="BQ27" s="102" t="str">
        <f t="shared" si="50"/>
        <v/>
      </c>
      <c r="BR27" s="102" t="str">
        <f t="shared" si="51"/>
        <v/>
      </c>
      <c r="BS27" s="102" t="str">
        <f t="shared" si="52"/>
        <v/>
      </c>
      <c r="BT27" s="102" t="str">
        <f t="shared" si="53"/>
        <v/>
      </c>
      <c r="BU27" s="102" t="str">
        <f t="shared" si="54"/>
        <v/>
      </c>
      <c r="BV27" s="102" t="str">
        <f t="shared" si="55"/>
        <v/>
      </c>
      <c r="BW27" s="102" t="str">
        <f t="shared" si="56"/>
        <v/>
      </c>
      <c r="BX27" s="102" t="str">
        <f t="shared" si="57"/>
        <v/>
      </c>
      <c r="BY27" s="102" t="str">
        <f t="shared" si="58"/>
        <v/>
      </c>
      <c r="BZ27" s="102" t="str">
        <f t="shared" si="59"/>
        <v/>
      </c>
      <c r="CA27" s="102" t="str">
        <f t="shared" si="60"/>
        <v/>
      </c>
      <c r="CB27" s="102" t="str">
        <f t="shared" si="61"/>
        <v/>
      </c>
      <c r="CC27" s="102" t="str">
        <f t="shared" si="62"/>
        <v/>
      </c>
      <c r="CD27" s="102" t="str">
        <f t="shared" si="63"/>
        <v/>
      </c>
      <c r="CE27" s="102" t="str">
        <f t="shared" si="64"/>
        <v/>
      </c>
      <c r="CF27" s="102" t="str">
        <f t="shared" si="65"/>
        <v/>
      </c>
      <c r="CG27" s="102" t="str">
        <f t="shared" si="66"/>
        <v/>
      </c>
      <c r="CH27" s="102" t="str">
        <f t="shared" si="67"/>
        <v/>
      </c>
      <c r="CI27" s="102" t="str">
        <f t="shared" si="68"/>
        <v/>
      </c>
      <c r="CJ27" s="102" t="str">
        <f t="shared" si="69"/>
        <v/>
      </c>
      <c r="CK27" s="102" t="str">
        <f t="shared" si="70"/>
        <v/>
      </c>
      <c r="CL27" s="102" t="str">
        <f t="shared" si="71"/>
        <v/>
      </c>
      <c r="CM27" s="102" t="str">
        <f t="shared" si="72"/>
        <v/>
      </c>
      <c r="CN27" s="102" t="str">
        <f t="shared" si="73"/>
        <v/>
      </c>
      <c r="CO27" s="102" t="str">
        <f t="shared" si="74"/>
        <v/>
      </c>
      <c r="CP27" s="102" t="str">
        <f t="shared" si="75"/>
        <v/>
      </c>
      <c r="CQ27" s="102" t="str">
        <f t="shared" si="76"/>
        <v/>
      </c>
      <c r="CR27" s="102" t="str">
        <f t="shared" si="77"/>
        <v/>
      </c>
      <c r="CS27" s="102" t="str">
        <f t="shared" si="78"/>
        <v/>
      </c>
      <c r="CT27" s="102" t="str">
        <f t="shared" si="79"/>
        <v/>
      </c>
      <c r="CU27" s="102" t="str">
        <f t="shared" si="80"/>
        <v/>
      </c>
      <c r="CV27" s="102" t="str">
        <f t="shared" si="81"/>
        <v/>
      </c>
      <c r="CW27" s="102" t="str">
        <f t="shared" si="82"/>
        <v/>
      </c>
      <c r="CX27" s="102" t="str">
        <f t="shared" si="83"/>
        <v/>
      </c>
      <c r="CY27" s="102" t="str">
        <f t="shared" si="84"/>
        <v/>
      </c>
      <c r="CZ27" s="102" t="str">
        <f t="shared" si="85"/>
        <v/>
      </c>
      <c r="DA27" s="102" t="str">
        <f t="shared" si="86"/>
        <v/>
      </c>
      <c r="DB27" s="102" t="str">
        <f t="shared" si="87"/>
        <v/>
      </c>
      <c r="DC27" s="102" t="str">
        <f t="shared" si="88"/>
        <v/>
      </c>
      <c r="DD27" s="102" t="str">
        <f t="shared" si="89"/>
        <v/>
      </c>
      <c r="DE27" s="102" t="str">
        <f t="shared" si="90"/>
        <v/>
      </c>
      <c r="DF27" s="102" t="str">
        <f t="shared" si="91"/>
        <v/>
      </c>
      <c r="DG27" s="102" t="str">
        <f t="shared" si="92"/>
        <v/>
      </c>
      <c r="DH27" s="102" t="str">
        <f t="shared" si="93"/>
        <v/>
      </c>
      <c r="DI27" s="102" t="str">
        <f t="shared" si="94"/>
        <v/>
      </c>
      <c r="DJ27" s="102" t="str">
        <f t="shared" si="95"/>
        <v/>
      </c>
      <c r="DK27" s="102" t="str">
        <f t="shared" si="96"/>
        <v/>
      </c>
      <c r="DL27" s="102" t="str">
        <f t="shared" si="97"/>
        <v/>
      </c>
      <c r="DM27" s="102" t="str">
        <f t="shared" si="98"/>
        <v/>
      </c>
      <c r="DN27" s="102" t="str">
        <f t="shared" si="99"/>
        <v/>
      </c>
      <c r="DO27" s="102" t="str">
        <f t="shared" si="100"/>
        <v/>
      </c>
      <c r="DP27" s="102" t="str">
        <f t="shared" si="101"/>
        <v/>
      </c>
      <c r="DQ27" s="102" t="str">
        <f t="shared" si="102"/>
        <v/>
      </c>
      <c r="DR27" s="102" t="str">
        <f t="shared" si="103"/>
        <v/>
      </c>
      <c r="DS27" s="102" t="str">
        <f t="shared" si="104"/>
        <v/>
      </c>
      <c r="DT27" s="102" t="str">
        <f t="shared" si="105"/>
        <v/>
      </c>
      <c r="DU27" s="102" t="str">
        <f t="shared" si="106"/>
        <v/>
      </c>
      <c r="DV27" s="102" t="str">
        <f t="shared" si="107"/>
        <v/>
      </c>
      <c r="DW27" s="102" t="str">
        <f t="shared" si="108"/>
        <v/>
      </c>
      <c r="DX27" s="102" t="str">
        <f t="shared" si="109"/>
        <v/>
      </c>
      <c r="DY27" s="102" t="str">
        <f t="shared" si="110"/>
        <v/>
      </c>
      <c r="DZ27" s="102" t="str">
        <f t="shared" si="111"/>
        <v/>
      </c>
      <c r="EA27" s="102" t="str">
        <f t="shared" si="112"/>
        <v/>
      </c>
      <c r="EB27" s="102" t="str">
        <f t="shared" si="113"/>
        <v/>
      </c>
      <c r="EC27" s="102" t="str">
        <f t="shared" si="114"/>
        <v/>
      </c>
      <c r="ED27" s="102" t="str">
        <f t="shared" si="115"/>
        <v/>
      </c>
      <c r="EE27" s="102" t="str">
        <f t="shared" si="116"/>
        <v/>
      </c>
      <c r="EF27" s="102" t="str">
        <f t="shared" si="117"/>
        <v/>
      </c>
      <c r="EG27" s="102" t="str">
        <f t="shared" si="118"/>
        <v/>
      </c>
      <c r="EH27" s="102" t="str">
        <f t="shared" si="119"/>
        <v/>
      </c>
      <c r="EI27" s="102" t="str">
        <f t="shared" si="120"/>
        <v/>
      </c>
      <c r="EJ27" s="102" t="str">
        <f t="shared" si="121"/>
        <v/>
      </c>
      <c r="EK27" s="102" t="str">
        <f t="shared" si="122"/>
        <v/>
      </c>
      <c r="EL27" s="102" t="str">
        <f t="shared" si="123"/>
        <v/>
      </c>
      <c r="EM27" s="102" t="str">
        <f t="shared" si="124"/>
        <v/>
      </c>
      <c r="EN27" s="102" t="str">
        <f t="shared" si="125"/>
        <v/>
      </c>
      <c r="EO27" s="102" t="str">
        <f t="shared" si="126"/>
        <v/>
      </c>
      <c r="EP27" s="102" t="str">
        <f t="shared" si="127"/>
        <v/>
      </c>
      <c r="EQ27" s="102" t="str">
        <f t="shared" si="128"/>
        <v/>
      </c>
      <c r="ER27" s="102" t="str">
        <f t="shared" si="129"/>
        <v/>
      </c>
      <c r="ES27" s="102" t="str">
        <f t="shared" si="130"/>
        <v/>
      </c>
      <c r="ET27" s="102" t="str">
        <f t="shared" si="131"/>
        <v/>
      </c>
      <c r="EU27" s="102" t="str">
        <f t="shared" si="132"/>
        <v/>
      </c>
      <c r="EV27" s="102" t="str">
        <f t="shared" si="133"/>
        <v/>
      </c>
      <c r="EW27" s="792" t="str">
        <f t="shared" si="134"/>
        <v/>
      </c>
      <c r="EX27" s="354" t="str">
        <f t="shared" si="135"/>
        <v/>
      </c>
      <c r="EY27" s="354" t="str">
        <f t="shared" si="136"/>
        <v/>
      </c>
      <c r="EZ27" s="354" t="str">
        <f t="shared" si="137"/>
        <v/>
      </c>
      <c r="FA27" s="354" t="str">
        <f t="shared" si="138"/>
        <v/>
      </c>
      <c r="FB27" s="354" t="str">
        <f t="shared" si="139"/>
        <v/>
      </c>
      <c r="FC27" s="354" t="str">
        <f t="shared" si="140"/>
        <v/>
      </c>
      <c r="FD27" s="354" t="str">
        <f t="shared" si="141"/>
        <v/>
      </c>
      <c r="FE27" s="354" t="str">
        <f t="shared" si="142"/>
        <v/>
      </c>
      <c r="FF27" s="354" t="str">
        <f t="shared" si="143"/>
        <v/>
      </c>
      <c r="FG27" s="354" t="str">
        <f t="shared" si="144"/>
        <v/>
      </c>
      <c r="FH27" s="354" t="str">
        <f t="shared" si="145"/>
        <v/>
      </c>
      <c r="FI27" s="354" t="str">
        <f t="shared" si="146"/>
        <v/>
      </c>
      <c r="FJ27" s="354" t="str">
        <f t="shared" si="147"/>
        <v/>
      </c>
      <c r="FK27" s="354" t="str">
        <f t="shared" si="148"/>
        <v/>
      </c>
      <c r="FL27" s="354" t="str">
        <f t="shared" si="149"/>
        <v/>
      </c>
      <c r="FM27" s="354" t="str">
        <f t="shared" si="150"/>
        <v/>
      </c>
      <c r="FN27" s="354" t="str">
        <f t="shared" si="151"/>
        <v/>
      </c>
      <c r="FO27" s="354" t="str">
        <f t="shared" si="152"/>
        <v/>
      </c>
      <c r="FP27" s="354" t="str">
        <f t="shared" si="153"/>
        <v/>
      </c>
      <c r="FQ27" s="354" t="str">
        <f t="shared" si="154"/>
        <v/>
      </c>
      <c r="FR27" s="354" t="str">
        <f t="shared" si="155"/>
        <v/>
      </c>
      <c r="FS27" s="354" t="str">
        <f t="shared" si="156"/>
        <v/>
      </c>
      <c r="FT27" s="354" t="str">
        <f t="shared" si="157"/>
        <v/>
      </c>
      <c r="FU27" s="354" t="str">
        <f t="shared" si="158"/>
        <v/>
      </c>
      <c r="FV27" s="354" t="str">
        <f t="shared" si="159"/>
        <v/>
      </c>
      <c r="FW27" s="354" t="str">
        <f t="shared" si="160"/>
        <v/>
      </c>
      <c r="FX27" s="354" t="str">
        <f t="shared" si="161"/>
        <v/>
      </c>
      <c r="FY27" s="354" t="str">
        <f t="shared" si="162"/>
        <v/>
      </c>
      <c r="FZ27" s="354" t="str">
        <f t="shared" si="163"/>
        <v/>
      </c>
      <c r="GA27" s="354" t="str">
        <f t="shared" si="164"/>
        <v/>
      </c>
      <c r="GB27" s="354" t="str">
        <f t="shared" si="165"/>
        <v/>
      </c>
      <c r="GC27" s="354" t="str">
        <f t="shared" si="166"/>
        <v/>
      </c>
      <c r="GD27" s="354" t="str">
        <f t="shared" si="167"/>
        <v/>
      </c>
      <c r="GE27" s="354" t="str">
        <f t="shared" si="168"/>
        <v/>
      </c>
      <c r="GF27" s="354" t="str">
        <f t="shared" si="169"/>
        <v/>
      </c>
      <c r="GG27" s="354" t="str">
        <f t="shared" si="170"/>
        <v/>
      </c>
      <c r="GH27" s="354" t="str">
        <f t="shared" si="171"/>
        <v/>
      </c>
      <c r="GI27" s="354" t="str">
        <f t="shared" si="172"/>
        <v/>
      </c>
      <c r="GJ27" s="354" t="str">
        <f t="shared" si="173"/>
        <v/>
      </c>
      <c r="GK27" s="354" t="str">
        <f t="shared" si="174"/>
        <v/>
      </c>
      <c r="GL27" s="354" t="str">
        <f t="shared" si="175"/>
        <v/>
      </c>
      <c r="GM27" s="354" t="str">
        <f t="shared" si="176"/>
        <v/>
      </c>
      <c r="GN27" s="354" t="str">
        <f t="shared" si="177"/>
        <v/>
      </c>
      <c r="GO27" s="354" t="str">
        <f t="shared" si="178"/>
        <v/>
      </c>
      <c r="GP27" s="354" t="str">
        <f t="shared" si="179"/>
        <v/>
      </c>
      <c r="GQ27" s="354" t="str">
        <f t="shared" si="180"/>
        <v/>
      </c>
      <c r="GR27" s="354" t="str">
        <f t="shared" si="181"/>
        <v/>
      </c>
      <c r="GS27" s="354" t="str">
        <f t="shared" si="182"/>
        <v/>
      </c>
      <c r="GT27" s="354" t="str">
        <f t="shared" si="183"/>
        <v/>
      </c>
      <c r="GU27" s="354" t="str">
        <f t="shared" si="184"/>
        <v/>
      </c>
      <c r="GV27" s="354" t="str">
        <f t="shared" si="185"/>
        <v/>
      </c>
      <c r="GW27" s="354" t="str">
        <f t="shared" si="186"/>
        <v/>
      </c>
      <c r="GX27" s="354" t="str">
        <f t="shared" si="187"/>
        <v/>
      </c>
      <c r="GY27" s="354" t="str">
        <f t="shared" si="188"/>
        <v/>
      </c>
      <c r="GZ27" s="354" t="str">
        <f t="shared" si="189"/>
        <v/>
      </c>
      <c r="HA27" s="354" t="str">
        <f t="shared" si="190"/>
        <v/>
      </c>
      <c r="HB27" s="354" t="str">
        <f t="shared" si="191"/>
        <v/>
      </c>
      <c r="HC27" s="354" t="str">
        <f t="shared" si="192"/>
        <v/>
      </c>
      <c r="HD27" s="354" t="str">
        <f t="shared" si="193"/>
        <v/>
      </c>
      <c r="HE27" s="354" t="str">
        <f t="shared" si="194"/>
        <v/>
      </c>
      <c r="HF27" s="354" t="str">
        <f t="shared" si="195"/>
        <v/>
      </c>
      <c r="HG27" s="354" t="str">
        <f t="shared" si="196"/>
        <v/>
      </c>
      <c r="HH27" s="354" t="str">
        <f t="shared" si="197"/>
        <v/>
      </c>
      <c r="HI27" s="354" t="str">
        <f t="shared" si="198"/>
        <v/>
      </c>
      <c r="HJ27" s="354" t="str">
        <f t="shared" si="199"/>
        <v/>
      </c>
      <c r="HK27" s="354" t="str">
        <f t="shared" si="200"/>
        <v/>
      </c>
      <c r="HL27" s="354" t="str">
        <f t="shared" si="201"/>
        <v/>
      </c>
      <c r="HM27" s="354" t="str">
        <f t="shared" si="202"/>
        <v/>
      </c>
      <c r="HN27" s="354" t="str">
        <f t="shared" si="203"/>
        <v/>
      </c>
      <c r="HO27" s="354" t="str">
        <f t="shared" si="204"/>
        <v/>
      </c>
      <c r="HP27" s="354" t="str">
        <f t="shared" si="205"/>
        <v/>
      </c>
      <c r="HQ27" s="354" t="str">
        <f t="shared" si="206"/>
        <v/>
      </c>
      <c r="HR27" s="354" t="str">
        <f t="shared" si="207"/>
        <v/>
      </c>
      <c r="HS27" s="354" t="str">
        <f t="shared" si="208"/>
        <v/>
      </c>
      <c r="HT27" s="354" t="str">
        <f t="shared" si="209"/>
        <v/>
      </c>
      <c r="HU27" s="354" t="str">
        <f t="shared" si="210"/>
        <v/>
      </c>
      <c r="HV27" s="354" t="str">
        <f t="shared" si="211"/>
        <v/>
      </c>
      <c r="HW27" s="354" t="str">
        <f t="shared" si="212"/>
        <v/>
      </c>
      <c r="HX27" s="354" t="str">
        <f t="shared" si="213"/>
        <v/>
      </c>
      <c r="HY27" s="354" t="str">
        <f t="shared" si="214"/>
        <v/>
      </c>
      <c r="HZ27" s="354" t="str">
        <f t="shared" si="215"/>
        <v/>
      </c>
      <c r="IA27" s="354" t="str">
        <f t="shared" si="216"/>
        <v/>
      </c>
      <c r="IB27" s="354" t="str">
        <f t="shared" si="217"/>
        <v/>
      </c>
      <c r="IC27" s="354" t="str">
        <f t="shared" si="218"/>
        <v/>
      </c>
      <c r="ID27" s="355" t="str">
        <f t="shared" si="219"/>
        <v/>
      </c>
      <c r="IE27" s="355" t="str">
        <f t="shared" si="220"/>
        <v/>
      </c>
      <c r="IF27" s="355" t="str">
        <f t="shared" si="221"/>
        <v/>
      </c>
      <c r="IG27" s="355" t="str">
        <f t="shared" si="222"/>
        <v/>
      </c>
      <c r="IH27" s="355" t="str">
        <f t="shared" si="223"/>
        <v/>
      </c>
      <c r="II27" s="344" t="str">
        <f t="shared" si="224"/>
        <v/>
      </c>
      <c r="IJ27" s="344" t="str">
        <f t="shared" si="225"/>
        <v/>
      </c>
      <c r="IK27" s="344" t="str">
        <f t="shared" si="226"/>
        <v/>
      </c>
      <c r="IL27" s="344" t="str">
        <f t="shared" si="227"/>
        <v/>
      </c>
      <c r="IM27" s="344" t="str">
        <f t="shared" si="228"/>
        <v/>
      </c>
      <c r="IN27" s="344" t="str">
        <f t="shared" si="229"/>
        <v/>
      </c>
      <c r="IO27" s="344" t="str">
        <f t="shared" si="230"/>
        <v/>
      </c>
      <c r="IP27" s="344" t="str">
        <f t="shared" si="231"/>
        <v/>
      </c>
      <c r="IQ27" s="344" t="str">
        <f t="shared" si="232"/>
        <v/>
      </c>
      <c r="IR27" s="344" t="str">
        <f t="shared" si="233"/>
        <v/>
      </c>
      <c r="IS27" s="344" t="str">
        <f t="shared" si="234"/>
        <v/>
      </c>
      <c r="IT27" s="344" t="str">
        <f t="shared" si="235"/>
        <v/>
      </c>
      <c r="IU27" s="344" t="str">
        <f t="shared" si="236"/>
        <v/>
      </c>
      <c r="IV27" s="344" t="str">
        <f t="shared" si="237"/>
        <v/>
      </c>
      <c r="IW27" s="344" t="str">
        <f t="shared" si="238"/>
        <v/>
      </c>
      <c r="IX27" s="344" t="str">
        <f t="shared" si="239"/>
        <v/>
      </c>
      <c r="IY27" s="344" t="str">
        <f t="shared" si="240"/>
        <v/>
      </c>
      <c r="IZ27" s="344" t="str">
        <f t="shared" si="241"/>
        <v/>
      </c>
      <c r="JA27" s="344" t="str">
        <f t="shared" si="242"/>
        <v/>
      </c>
      <c r="JB27" s="344" t="str">
        <f t="shared" si="243"/>
        <v/>
      </c>
      <c r="JC27" s="353">
        <f t="shared" si="244"/>
        <v>0</v>
      </c>
      <c r="JD27" s="353">
        <f t="shared" si="245"/>
        <v>0</v>
      </c>
      <c r="JE27" s="353">
        <f t="shared" si="246"/>
        <v>0</v>
      </c>
      <c r="JF27" s="353">
        <f t="shared" si="247"/>
        <v>0</v>
      </c>
      <c r="JG27" s="353">
        <f t="shared" si="248"/>
        <v>0</v>
      </c>
      <c r="JH27" s="353">
        <f t="shared" si="249"/>
        <v>0</v>
      </c>
      <c r="JI27" s="353">
        <f t="shared" si="250"/>
        <v>0</v>
      </c>
      <c r="JJ27" s="353">
        <f t="shared" si="251"/>
        <v>0</v>
      </c>
      <c r="JK27" s="353">
        <f t="shared" si="252"/>
        <v>0</v>
      </c>
      <c r="JL27" s="353">
        <f t="shared" si="253"/>
        <v>0</v>
      </c>
      <c r="JM27" s="353">
        <f t="shared" si="254"/>
        <v>0</v>
      </c>
      <c r="JN27" s="353">
        <f t="shared" si="255"/>
        <v>0</v>
      </c>
      <c r="JO27" s="353">
        <f t="shared" si="256"/>
        <v>0</v>
      </c>
      <c r="JP27" s="353">
        <f t="shared" si="257"/>
        <v>0</v>
      </c>
      <c r="JQ27" s="353">
        <f t="shared" si="258"/>
        <v>0</v>
      </c>
    </row>
    <row r="28" spans="1:277" ht="12" customHeight="1">
      <c r="A28" s="70" t="str">
        <f t="shared" si="0"/>
        <v/>
      </c>
      <c r="B28" s="2628" t="s">
        <v>781</v>
      </c>
      <c r="C28" s="2629"/>
      <c r="D28" s="2630"/>
      <c r="E28" s="2631"/>
      <c r="F28" s="2631"/>
      <c r="G28" s="2631"/>
      <c r="H28" s="2631"/>
      <c r="I28" s="2632">
        <f>IF(C28="",0,HLOOKUP(C28,'Part V-Utility Allowances'!$I$11:$M$21,11))</f>
        <v>0</v>
      </c>
      <c r="J28" s="2633"/>
      <c r="K28" s="488">
        <f t="shared" si="1"/>
        <v>0</v>
      </c>
      <c r="L28" s="488">
        <f t="shared" si="2"/>
        <v>0</v>
      </c>
      <c r="M28" s="2634"/>
      <c r="N28" s="2634"/>
      <c r="O28" s="2634"/>
      <c r="P28" s="2635"/>
      <c r="Q28" s="2636" t="str">
        <f t="shared" si="3"/>
        <v/>
      </c>
      <c r="R28" s="2637" t="str">
        <f>IF(H28="","",IF(C28="Efficiency",Q28/($O$6*VLOOKUP(0,'DCA Underwriting Assumptions'!$J$143:$K$148,2,FALSE)),Q28/($O$6*VLOOKUP(C28,'DCA Underwriting Assumptions'!$J$143:$K$148,2,FALSE))))</f>
        <v/>
      </c>
      <c r="S28" s="2638"/>
      <c r="T28" s="2639"/>
      <c r="U28" s="2594"/>
      <c r="V28" s="2595"/>
      <c r="W28" s="102" t="str">
        <f t="shared" si="4"/>
        <v/>
      </c>
      <c r="X28" s="102" t="str">
        <f t="shared" si="5"/>
        <v/>
      </c>
      <c r="Y28" s="102" t="str">
        <f t="shared" si="6"/>
        <v/>
      </c>
      <c r="Z28" s="102" t="str">
        <f t="shared" si="7"/>
        <v/>
      </c>
      <c r="AA28" s="102" t="str">
        <f t="shared" si="8"/>
        <v/>
      </c>
      <c r="AB28" s="102" t="str">
        <f t="shared" si="9"/>
        <v/>
      </c>
      <c r="AC28" s="102" t="str">
        <f t="shared" si="10"/>
        <v/>
      </c>
      <c r="AD28" s="102" t="str">
        <f t="shared" si="11"/>
        <v/>
      </c>
      <c r="AE28" s="102" t="str">
        <f t="shared" si="12"/>
        <v/>
      </c>
      <c r="AF28" s="102" t="str">
        <f t="shared" si="13"/>
        <v/>
      </c>
      <c r="AG28" s="102" t="str">
        <f t="shared" si="14"/>
        <v/>
      </c>
      <c r="AH28" s="102" t="str">
        <f t="shared" si="15"/>
        <v/>
      </c>
      <c r="AI28" s="102" t="str">
        <f t="shared" si="16"/>
        <v/>
      </c>
      <c r="AJ28" s="102" t="str">
        <f t="shared" si="17"/>
        <v/>
      </c>
      <c r="AK28" s="102" t="str">
        <f t="shared" si="18"/>
        <v/>
      </c>
      <c r="AL28" s="102" t="str">
        <f t="shared" si="19"/>
        <v/>
      </c>
      <c r="AM28" s="102" t="str">
        <f t="shared" si="20"/>
        <v/>
      </c>
      <c r="AN28" s="102" t="str">
        <f t="shared" si="21"/>
        <v/>
      </c>
      <c r="AO28" s="102" t="str">
        <f t="shared" si="22"/>
        <v/>
      </c>
      <c r="AP28" s="102" t="str">
        <f t="shared" si="23"/>
        <v/>
      </c>
      <c r="AQ28" s="102" t="str">
        <f t="shared" si="24"/>
        <v/>
      </c>
      <c r="AR28" s="102" t="str">
        <f t="shared" si="25"/>
        <v/>
      </c>
      <c r="AS28" s="102" t="str">
        <f t="shared" si="26"/>
        <v/>
      </c>
      <c r="AT28" s="102" t="str">
        <f t="shared" si="27"/>
        <v/>
      </c>
      <c r="AU28" s="102" t="str">
        <f t="shared" si="28"/>
        <v/>
      </c>
      <c r="AV28" s="102" t="str">
        <f t="shared" si="29"/>
        <v/>
      </c>
      <c r="AW28" s="102" t="str">
        <f t="shared" si="30"/>
        <v/>
      </c>
      <c r="AX28" s="102" t="str">
        <f t="shared" si="31"/>
        <v/>
      </c>
      <c r="AY28" s="102" t="str">
        <f t="shared" si="32"/>
        <v/>
      </c>
      <c r="AZ28" s="102" t="str">
        <f t="shared" si="33"/>
        <v/>
      </c>
      <c r="BA28" s="102" t="str">
        <f t="shared" si="34"/>
        <v/>
      </c>
      <c r="BB28" s="102" t="str">
        <f t="shared" si="35"/>
        <v/>
      </c>
      <c r="BC28" s="102" t="str">
        <f t="shared" si="36"/>
        <v/>
      </c>
      <c r="BD28" s="102" t="str">
        <f t="shared" si="37"/>
        <v/>
      </c>
      <c r="BE28" s="102" t="str">
        <f t="shared" si="38"/>
        <v/>
      </c>
      <c r="BF28" s="102" t="str">
        <f t="shared" si="39"/>
        <v/>
      </c>
      <c r="BG28" s="102" t="str">
        <f t="shared" si="40"/>
        <v/>
      </c>
      <c r="BH28" s="102" t="str">
        <f t="shared" si="41"/>
        <v/>
      </c>
      <c r="BI28" s="102" t="str">
        <f t="shared" si="42"/>
        <v/>
      </c>
      <c r="BJ28" s="102" t="str">
        <f t="shared" si="43"/>
        <v/>
      </c>
      <c r="BK28" s="102" t="str">
        <f t="shared" si="44"/>
        <v/>
      </c>
      <c r="BL28" s="102" t="str">
        <f t="shared" si="45"/>
        <v/>
      </c>
      <c r="BM28" s="102" t="str">
        <f t="shared" si="46"/>
        <v/>
      </c>
      <c r="BN28" s="102" t="str">
        <f t="shared" si="47"/>
        <v/>
      </c>
      <c r="BO28" s="102" t="str">
        <f t="shared" si="48"/>
        <v/>
      </c>
      <c r="BP28" s="102" t="str">
        <f t="shared" si="49"/>
        <v/>
      </c>
      <c r="BQ28" s="102" t="str">
        <f t="shared" si="50"/>
        <v/>
      </c>
      <c r="BR28" s="102" t="str">
        <f t="shared" si="51"/>
        <v/>
      </c>
      <c r="BS28" s="102" t="str">
        <f t="shared" si="52"/>
        <v/>
      </c>
      <c r="BT28" s="102" t="str">
        <f t="shared" si="53"/>
        <v/>
      </c>
      <c r="BU28" s="102" t="str">
        <f t="shared" si="54"/>
        <v/>
      </c>
      <c r="BV28" s="102" t="str">
        <f t="shared" si="55"/>
        <v/>
      </c>
      <c r="BW28" s="102" t="str">
        <f t="shared" si="56"/>
        <v/>
      </c>
      <c r="BX28" s="102" t="str">
        <f t="shared" si="57"/>
        <v/>
      </c>
      <c r="BY28" s="102" t="str">
        <f t="shared" si="58"/>
        <v/>
      </c>
      <c r="BZ28" s="102" t="str">
        <f t="shared" si="59"/>
        <v/>
      </c>
      <c r="CA28" s="102" t="str">
        <f t="shared" si="60"/>
        <v/>
      </c>
      <c r="CB28" s="102" t="str">
        <f t="shared" si="61"/>
        <v/>
      </c>
      <c r="CC28" s="102" t="str">
        <f t="shared" si="62"/>
        <v/>
      </c>
      <c r="CD28" s="102" t="str">
        <f t="shared" si="63"/>
        <v/>
      </c>
      <c r="CE28" s="102" t="str">
        <f t="shared" si="64"/>
        <v/>
      </c>
      <c r="CF28" s="102" t="str">
        <f t="shared" si="65"/>
        <v/>
      </c>
      <c r="CG28" s="102" t="str">
        <f t="shared" si="66"/>
        <v/>
      </c>
      <c r="CH28" s="102" t="str">
        <f t="shared" si="67"/>
        <v/>
      </c>
      <c r="CI28" s="102" t="str">
        <f t="shared" si="68"/>
        <v/>
      </c>
      <c r="CJ28" s="102" t="str">
        <f t="shared" si="69"/>
        <v/>
      </c>
      <c r="CK28" s="102" t="str">
        <f t="shared" si="70"/>
        <v/>
      </c>
      <c r="CL28" s="102" t="str">
        <f t="shared" si="71"/>
        <v/>
      </c>
      <c r="CM28" s="102" t="str">
        <f t="shared" si="72"/>
        <v/>
      </c>
      <c r="CN28" s="102" t="str">
        <f t="shared" si="73"/>
        <v/>
      </c>
      <c r="CO28" s="102" t="str">
        <f t="shared" si="74"/>
        <v/>
      </c>
      <c r="CP28" s="102" t="str">
        <f t="shared" si="75"/>
        <v/>
      </c>
      <c r="CQ28" s="102" t="str">
        <f t="shared" si="76"/>
        <v/>
      </c>
      <c r="CR28" s="102" t="str">
        <f t="shared" si="77"/>
        <v/>
      </c>
      <c r="CS28" s="102" t="str">
        <f t="shared" si="78"/>
        <v/>
      </c>
      <c r="CT28" s="102" t="str">
        <f t="shared" si="79"/>
        <v/>
      </c>
      <c r="CU28" s="102" t="str">
        <f t="shared" si="80"/>
        <v/>
      </c>
      <c r="CV28" s="102" t="str">
        <f t="shared" si="81"/>
        <v/>
      </c>
      <c r="CW28" s="102" t="str">
        <f t="shared" si="82"/>
        <v/>
      </c>
      <c r="CX28" s="102" t="str">
        <f t="shared" si="83"/>
        <v/>
      </c>
      <c r="CY28" s="102" t="str">
        <f t="shared" si="84"/>
        <v/>
      </c>
      <c r="CZ28" s="102" t="str">
        <f t="shared" si="85"/>
        <v/>
      </c>
      <c r="DA28" s="102" t="str">
        <f t="shared" si="86"/>
        <v/>
      </c>
      <c r="DB28" s="102" t="str">
        <f t="shared" si="87"/>
        <v/>
      </c>
      <c r="DC28" s="102" t="str">
        <f t="shared" si="88"/>
        <v/>
      </c>
      <c r="DD28" s="102" t="str">
        <f t="shared" si="89"/>
        <v/>
      </c>
      <c r="DE28" s="102" t="str">
        <f t="shared" si="90"/>
        <v/>
      </c>
      <c r="DF28" s="102" t="str">
        <f t="shared" si="91"/>
        <v/>
      </c>
      <c r="DG28" s="102" t="str">
        <f t="shared" si="92"/>
        <v/>
      </c>
      <c r="DH28" s="102" t="str">
        <f t="shared" si="93"/>
        <v/>
      </c>
      <c r="DI28" s="102" t="str">
        <f t="shared" si="94"/>
        <v/>
      </c>
      <c r="DJ28" s="102" t="str">
        <f t="shared" si="95"/>
        <v/>
      </c>
      <c r="DK28" s="102" t="str">
        <f t="shared" si="96"/>
        <v/>
      </c>
      <c r="DL28" s="102" t="str">
        <f t="shared" si="97"/>
        <v/>
      </c>
      <c r="DM28" s="102" t="str">
        <f t="shared" si="98"/>
        <v/>
      </c>
      <c r="DN28" s="102" t="str">
        <f t="shared" si="99"/>
        <v/>
      </c>
      <c r="DO28" s="102" t="str">
        <f t="shared" si="100"/>
        <v/>
      </c>
      <c r="DP28" s="102" t="str">
        <f t="shared" si="101"/>
        <v/>
      </c>
      <c r="DQ28" s="102" t="str">
        <f t="shared" si="102"/>
        <v/>
      </c>
      <c r="DR28" s="102" t="str">
        <f t="shared" si="103"/>
        <v/>
      </c>
      <c r="DS28" s="102" t="str">
        <f t="shared" si="104"/>
        <v/>
      </c>
      <c r="DT28" s="102" t="str">
        <f t="shared" si="105"/>
        <v/>
      </c>
      <c r="DU28" s="102" t="str">
        <f t="shared" si="106"/>
        <v/>
      </c>
      <c r="DV28" s="102" t="str">
        <f t="shared" si="107"/>
        <v/>
      </c>
      <c r="DW28" s="102" t="str">
        <f t="shared" si="108"/>
        <v/>
      </c>
      <c r="DX28" s="102" t="str">
        <f t="shared" si="109"/>
        <v/>
      </c>
      <c r="DY28" s="102" t="str">
        <f t="shared" si="110"/>
        <v/>
      </c>
      <c r="DZ28" s="102" t="str">
        <f t="shared" si="111"/>
        <v/>
      </c>
      <c r="EA28" s="102" t="str">
        <f t="shared" si="112"/>
        <v/>
      </c>
      <c r="EB28" s="102" t="str">
        <f t="shared" si="113"/>
        <v/>
      </c>
      <c r="EC28" s="102" t="str">
        <f t="shared" si="114"/>
        <v/>
      </c>
      <c r="ED28" s="102" t="str">
        <f t="shared" si="115"/>
        <v/>
      </c>
      <c r="EE28" s="102" t="str">
        <f t="shared" si="116"/>
        <v/>
      </c>
      <c r="EF28" s="102" t="str">
        <f t="shared" si="117"/>
        <v/>
      </c>
      <c r="EG28" s="102" t="str">
        <f t="shared" si="118"/>
        <v/>
      </c>
      <c r="EH28" s="102" t="str">
        <f t="shared" si="119"/>
        <v/>
      </c>
      <c r="EI28" s="102" t="str">
        <f t="shared" si="120"/>
        <v/>
      </c>
      <c r="EJ28" s="102" t="str">
        <f t="shared" si="121"/>
        <v/>
      </c>
      <c r="EK28" s="102" t="str">
        <f t="shared" si="122"/>
        <v/>
      </c>
      <c r="EL28" s="102" t="str">
        <f t="shared" si="123"/>
        <v/>
      </c>
      <c r="EM28" s="102" t="str">
        <f t="shared" si="124"/>
        <v/>
      </c>
      <c r="EN28" s="102" t="str">
        <f t="shared" si="125"/>
        <v/>
      </c>
      <c r="EO28" s="102" t="str">
        <f t="shared" si="126"/>
        <v/>
      </c>
      <c r="EP28" s="102" t="str">
        <f t="shared" si="127"/>
        <v/>
      </c>
      <c r="EQ28" s="102" t="str">
        <f t="shared" si="128"/>
        <v/>
      </c>
      <c r="ER28" s="102" t="str">
        <f t="shared" si="129"/>
        <v/>
      </c>
      <c r="ES28" s="102" t="str">
        <f t="shared" si="130"/>
        <v/>
      </c>
      <c r="ET28" s="102" t="str">
        <f t="shared" si="131"/>
        <v/>
      </c>
      <c r="EU28" s="102" t="str">
        <f t="shared" si="132"/>
        <v/>
      </c>
      <c r="EV28" s="102" t="str">
        <f t="shared" si="133"/>
        <v/>
      </c>
      <c r="EW28" s="792" t="str">
        <f t="shared" si="134"/>
        <v/>
      </c>
      <c r="EX28" s="354" t="str">
        <f t="shared" si="135"/>
        <v/>
      </c>
      <c r="EY28" s="354" t="str">
        <f t="shared" si="136"/>
        <v/>
      </c>
      <c r="EZ28" s="354" t="str">
        <f t="shared" si="137"/>
        <v/>
      </c>
      <c r="FA28" s="354" t="str">
        <f t="shared" si="138"/>
        <v/>
      </c>
      <c r="FB28" s="354" t="str">
        <f t="shared" si="139"/>
        <v/>
      </c>
      <c r="FC28" s="354" t="str">
        <f t="shared" si="140"/>
        <v/>
      </c>
      <c r="FD28" s="354" t="str">
        <f t="shared" si="141"/>
        <v/>
      </c>
      <c r="FE28" s="354" t="str">
        <f t="shared" si="142"/>
        <v/>
      </c>
      <c r="FF28" s="354" t="str">
        <f t="shared" si="143"/>
        <v/>
      </c>
      <c r="FG28" s="354" t="str">
        <f t="shared" si="144"/>
        <v/>
      </c>
      <c r="FH28" s="354" t="str">
        <f t="shared" si="145"/>
        <v/>
      </c>
      <c r="FI28" s="354" t="str">
        <f t="shared" si="146"/>
        <v/>
      </c>
      <c r="FJ28" s="354" t="str">
        <f t="shared" si="147"/>
        <v/>
      </c>
      <c r="FK28" s="354" t="str">
        <f t="shared" si="148"/>
        <v/>
      </c>
      <c r="FL28" s="354" t="str">
        <f t="shared" si="149"/>
        <v/>
      </c>
      <c r="FM28" s="354" t="str">
        <f t="shared" si="150"/>
        <v/>
      </c>
      <c r="FN28" s="354" t="str">
        <f t="shared" si="151"/>
        <v/>
      </c>
      <c r="FO28" s="354" t="str">
        <f t="shared" si="152"/>
        <v/>
      </c>
      <c r="FP28" s="354" t="str">
        <f t="shared" si="153"/>
        <v/>
      </c>
      <c r="FQ28" s="354" t="str">
        <f t="shared" si="154"/>
        <v/>
      </c>
      <c r="FR28" s="354" t="str">
        <f t="shared" si="155"/>
        <v/>
      </c>
      <c r="FS28" s="354" t="str">
        <f t="shared" si="156"/>
        <v/>
      </c>
      <c r="FT28" s="354" t="str">
        <f t="shared" si="157"/>
        <v/>
      </c>
      <c r="FU28" s="354" t="str">
        <f t="shared" si="158"/>
        <v/>
      </c>
      <c r="FV28" s="354" t="str">
        <f t="shared" si="159"/>
        <v/>
      </c>
      <c r="FW28" s="354" t="str">
        <f t="shared" si="160"/>
        <v/>
      </c>
      <c r="FX28" s="354" t="str">
        <f t="shared" si="161"/>
        <v/>
      </c>
      <c r="FY28" s="354" t="str">
        <f t="shared" si="162"/>
        <v/>
      </c>
      <c r="FZ28" s="354" t="str">
        <f t="shared" si="163"/>
        <v/>
      </c>
      <c r="GA28" s="354" t="str">
        <f t="shared" si="164"/>
        <v/>
      </c>
      <c r="GB28" s="354" t="str">
        <f t="shared" si="165"/>
        <v/>
      </c>
      <c r="GC28" s="354" t="str">
        <f t="shared" si="166"/>
        <v/>
      </c>
      <c r="GD28" s="354" t="str">
        <f t="shared" si="167"/>
        <v/>
      </c>
      <c r="GE28" s="354" t="str">
        <f t="shared" si="168"/>
        <v/>
      </c>
      <c r="GF28" s="354" t="str">
        <f t="shared" si="169"/>
        <v/>
      </c>
      <c r="GG28" s="354" t="str">
        <f t="shared" si="170"/>
        <v/>
      </c>
      <c r="GH28" s="354" t="str">
        <f t="shared" si="171"/>
        <v/>
      </c>
      <c r="GI28" s="354" t="str">
        <f t="shared" si="172"/>
        <v/>
      </c>
      <c r="GJ28" s="354" t="str">
        <f t="shared" si="173"/>
        <v/>
      </c>
      <c r="GK28" s="354" t="str">
        <f t="shared" si="174"/>
        <v/>
      </c>
      <c r="GL28" s="354" t="str">
        <f t="shared" si="175"/>
        <v/>
      </c>
      <c r="GM28" s="354" t="str">
        <f t="shared" si="176"/>
        <v/>
      </c>
      <c r="GN28" s="354" t="str">
        <f t="shared" si="177"/>
        <v/>
      </c>
      <c r="GO28" s="354" t="str">
        <f t="shared" si="178"/>
        <v/>
      </c>
      <c r="GP28" s="354" t="str">
        <f t="shared" si="179"/>
        <v/>
      </c>
      <c r="GQ28" s="354" t="str">
        <f t="shared" si="180"/>
        <v/>
      </c>
      <c r="GR28" s="354" t="str">
        <f t="shared" si="181"/>
        <v/>
      </c>
      <c r="GS28" s="354" t="str">
        <f t="shared" si="182"/>
        <v/>
      </c>
      <c r="GT28" s="354" t="str">
        <f t="shared" si="183"/>
        <v/>
      </c>
      <c r="GU28" s="354" t="str">
        <f t="shared" si="184"/>
        <v/>
      </c>
      <c r="GV28" s="354" t="str">
        <f t="shared" si="185"/>
        <v/>
      </c>
      <c r="GW28" s="354" t="str">
        <f t="shared" si="186"/>
        <v/>
      </c>
      <c r="GX28" s="354" t="str">
        <f t="shared" si="187"/>
        <v/>
      </c>
      <c r="GY28" s="354" t="str">
        <f t="shared" si="188"/>
        <v/>
      </c>
      <c r="GZ28" s="354" t="str">
        <f t="shared" si="189"/>
        <v/>
      </c>
      <c r="HA28" s="354" t="str">
        <f t="shared" si="190"/>
        <v/>
      </c>
      <c r="HB28" s="354" t="str">
        <f t="shared" si="191"/>
        <v/>
      </c>
      <c r="HC28" s="354" t="str">
        <f t="shared" si="192"/>
        <v/>
      </c>
      <c r="HD28" s="354" t="str">
        <f t="shared" si="193"/>
        <v/>
      </c>
      <c r="HE28" s="354" t="str">
        <f t="shared" si="194"/>
        <v/>
      </c>
      <c r="HF28" s="354" t="str">
        <f t="shared" si="195"/>
        <v/>
      </c>
      <c r="HG28" s="354" t="str">
        <f t="shared" si="196"/>
        <v/>
      </c>
      <c r="HH28" s="354" t="str">
        <f t="shared" si="197"/>
        <v/>
      </c>
      <c r="HI28" s="354" t="str">
        <f t="shared" si="198"/>
        <v/>
      </c>
      <c r="HJ28" s="354" t="str">
        <f t="shared" si="199"/>
        <v/>
      </c>
      <c r="HK28" s="354" t="str">
        <f t="shared" si="200"/>
        <v/>
      </c>
      <c r="HL28" s="354" t="str">
        <f t="shared" si="201"/>
        <v/>
      </c>
      <c r="HM28" s="354" t="str">
        <f t="shared" si="202"/>
        <v/>
      </c>
      <c r="HN28" s="354" t="str">
        <f t="shared" si="203"/>
        <v/>
      </c>
      <c r="HO28" s="354" t="str">
        <f t="shared" si="204"/>
        <v/>
      </c>
      <c r="HP28" s="354" t="str">
        <f t="shared" si="205"/>
        <v/>
      </c>
      <c r="HQ28" s="354" t="str">
        <f t="shared" si="206"/>
        <v/>
      </c>
      <c r="HR28" s="354" t="str">
        <f t="shared" si="207"/>
        <v/>
      </c>
      <c r="HS28" s="354" t="str">
        <f t="shared" si="208"/>
        <v/>
      </c>
      <c r="HT28" s="354" t="str">
        <f t="shared" si="209"/>
        <v/>
      </c>
      <c r="HU28" s="354" t="str">
        <f t="shared" si="210"/>
        <v/>
      </c>
      <c r="HV28" s="354" t="str">
        <f t="shared" si="211"/>
        <v/>
      </c>
      <c r="HW28" s="354" t="str">
        <f t="shared" si="212"/>
        <v/>
      </c>
      <c r="HX28" s="354" t="str">
        <f t="shared" si="213"/>
        <v/>
      </c>
      <c r="HY28" s="354" t="str">
        <f t="shared" si="214"/>
        <v/>
      </c>
      <c r="HZ28" s="354" t="str">
        <f t="shared" si="215"/>
        <v/>
      </c>
      <c r="IA28" s="354" t="str">
        <f t="shared" si="216"/>
        <v/>
      </c>
      <c r="IB28" s="354" t="str">
        <f t="shared" si="217"/>
        <v/>
      </c>
      <c r="IC28" s="354" t="str">
        <f t="shared" si="218"/>
        <v/>
      </c>
      <c r="ID28" s="355" t="str">
        <f t="shared" si="219"/>
        <v/>
      </c>
      <c r="IE28" s="355" t="str">
        <f t="shared" si="220"/>
        <v/>
      </c>
      <c r="IF28" s="355" t="str">
        <f t="shared" si="221"/>
        <v/>
      </c>
      <c r="IG28" s="355" t="str">
        <f t="shared" si="222"/>
        <v/>
      </c>
      <c r="IH28" s="355" t="str">
        <f t="shared" si="223"/>
        <v/>
      </c>
      <c r="II28" s="344" t="str">
        <f t="shared" si="224"/>
        <v/>
      </c>
      <c r="IJ28" s="344" t="str">
        <f t="shared" si="225"/>
        <v/>
      </c>
      <c r="IK28" s="344" t="str">
        <f t="shared" si="226"/>
        <v/>
      </c>
      <c r="IL28" s="344" t="str">
        <f t="shared" si="227"/>
        <v/>
      </c>
      <c r="IM28" s="344" t="str">
        <f t="shared" si="228"/>
        <v/>
      </c>
      <c r="IN28" s="344" t="str">
        <f t="shared" si="229"/>
        <v/>
      </c>
      <c r="IO28" s="344" t="str">
        <f t="shared" si="230"/>
        <v/>
      </c>
      <c r="IP28" s="344" t="str">
        <f t="shared" si="231"/>
        <v/>
      </c>
      <c r="IQ28" s="344" t="str">
        <f t="shared" si="232"/>
        <v/>
      </c>
      <c r="IR28" s="344" t="str">
        <f t="shared" si="233"/>
        <v/>
      </c>
      <c r="IS28" s="344" t="str">
        <f t="shared" si="234"/>
        <v/>
      </c>
      <c r="IT28" s="344" t="str">
        <f t="shared" si="235"/>
        <v/>
      </c>
      <c r="IU28" s="344" t="str">
        <f t="shared" si="236"/>
        <v/>
      </c>
      <c r="IV28" s="344" t="str">
        <f t="shared" si="237"/>
        <v/>
      </c>
      <c r="IW28" s="344" t="str">
        <f t="shared" si="238"/>
        <v/>
      </c>
      <c r="IX28" s="344" t="str">
        <f t="shared" si="239"/>
        <v/>
      </c>
      <c r="IY28" s="344" t="str">
        <f t="shared" si="240"/>
        <v/>
      </c>
      <c r="IZ28" s="344" t="str">
        <f t="shared" si="241"/>
        <v/>
      </c>
      <c r="JA28" s="344" t="str">
        <f t="shared" si="242"/>
        <v/>
      </c>
      <c r="JB28" s="344" t="str">
        <f t="shared" si="243"/>
        <v/>
      </c>
      <c r="JC28" s="353">
        <f t="shared" si="244"/>
        <v>0</v>
      </c>
      <c r="JD28" s="353">
        <f t="shared" si="245"/>
        <v>0</v>
      </c>
      <c r="JE28" s="353">
        <f t="shared" si="246"/>
        <v>0</v>
      </c>
      <c r="JF28" s="353">
        <f t="shared" si="247"/>
        <v>0</v>
      </c>
      <c r="JG28" s="353">
        <f t="shared" si="248"/>
        <v>0</v>
      </c>
      <c r="JH28" s="353">
        <f t="shared" si="249"/>
        <v>0</v>
      </c>
      <c r="JI28" s="353">
        <f t="shared" si="250"/>
        <v>0</v>
      </c>
      <c r="JJ28" s="353">
        <f t="shared" si="251"/>
        <v>0</v>
      </c>
      <c r="JK28" s="353">
        <f t="shared" si="252"/>
        <v>0</v>
      </c>
      <c r="JL28" s="353">
        <f t="shared" si="253"/>
        <v>0</v>
      </c>
      <c r="JM28" s="353">
        <f t="shared" si="254"/>
        <v>0</v>
      </c>
      <c r="JN28" s="353">
        <f t="shared" si="255"/>
        <v>0</v>
      </c>
      <c r="JO28" s="353">
        <f t="shared" si="256"/>
        <v>0</v>
      </c>
      <c r="JP28" s="353">
        <f t="shared" si="257"/>
        <v>0</v>
      </c>
      <c r="JQ28" s="353">
        <f t="shared" si="258"/>
        <v>0</v>
      </c>
    </row>
    <row r="29" spans="1:277" ht="12" customHeight="1">
      <c r="A29" s="70" t="str">
        <f t="shared" si="0"/>
        <v/>
      </c>
      <c r="B29" s="2628" t="s">
        <v>781</v>
      </c>
      <c r="C29" s="2629"/>
      <c r="D29" s="2630"/>
      <c r="E29" s="2631"/>
      <c r="F29" s="2631"/>
      <c r="G29" s="2631"/>
      <c r="H29" s="2631"/>
      <c r="I29" s="2632">
        <f>IF(C29="",0,HLOOKUP(C29,'Part V-Utility Allowances'!$I$11:$M$21,11))</f>
        <v>0</v>
      </c>
      <c r="J29" s="2633"/>
      <c r="K29" s="488">
        <f t="shared" si="1"/>
        <v>0</v>
      </c>
      <c r="L29" s="488">
        <f t="shared" si="2"/>
        <v>0</v>
      </c>
      <c r="M29" s="2634"/>
      <c r="N29" s="2634"/>
      <c r="O29" s="2634"/>
      <c r="P29" s="2635"/>
      <c r="Q29" s="2636" t="str">
        <f t="shared" si="3"/>
        <v/>
      </c>
      <c r="R29" s="2637" t="str">
        <f>IF(H29="","",IF(C29="Efficiency",Q29/($O$6*VLOOKUP(0,'DCA Underwriting Assumptions'!$J$143:$K$148,2,FALSE)),Q29/($O$6*VLOOKUP(C29,'DCA Underwriting Assumptions'!$J$143:$K$148,2,FALSE))))</f>
        <v/>
      </c>
      <c r="S29" s="2638"/>
      <c r="T29" s="2639"/>
      <c r="U29" s="2594"/>
      <c r="V29" s="2595"/>
      <c r="W29" s="102" t="str">
        <f t="shared" si="4"/>
        <v/>
      </c>
      <c r="X29" s="102" t="str">
        <f t="shared" si="5"/>
        <v/>
      </c>
      <c r="Y29" s="102" t="str">
        <f t="shared" si="6"/>
        <v/>
      </c>
      <c r="Z29" s="102" t="str">
        <f t="shared" si="7"/>
        <v/>
      </c>
      <c r="AA29" s="102" t="str">
        <f t="shared" si="8"/>
        <v/>
      </c>
      <c r="AB29" s="102" t="str">
        <f t="shared" si="9"/>
        <v/>
      </c>
      <c r="AC29" s="102" t="str">
        <f t="shared" si="10"/>
        <v/>
      </c>
      <c r="AD29" s="102" t="str">
        <f t="shared" si="11"/>
        <v/>
      </c>
      <c r="AE29" s="102" t="str">
        <f t="shared" si="12"/>
        <v/>
      </c>
      <c r="AF29" s="102" t="str">
        <f t="shared" si="13"/>
        <v/>
      </c>
      <c r="AG29" s="102" t="str">
        <f t="shared" si="14"/>
        <v/>
      </c>
      <c r="AH29" s="102" t="str">
        <f t="shared" si="15"/>
        <v/>
      </c>
      <c r="AI29" s="102" t="str">
        <f t="shared" si="16"/>
        <v/>
      </c>
      <c r="AJ29" s="102" t="str">
        <f t="shared" si="17"/>
        <v/>
      </c>
      <c r="AK29" s="102" t="str">
        <f t="shared" si="18"/>
        <v/>
      </c>
      <c r="AL29" s="102" t="str">
        <f t="shared" si="19"/>
        <v/>
      </c>
      <c r="AM29" s="102" t="str">
        <f t="shared" si="20"/>
        <v/>
      </c>
      <c r="AN29" s="102" t="str">
        <f t="shared" si="21"/>
        <v/>
      </c>
      <c r="AO29" s="102" t="str">
        <f t="shared" si="22"/>
        <v/>
      </c>
      <c r="AP29" s="102" t="str">
        <f t="shared" si="23"/>
        <v/>
      </c>
      <c r="AQ29" s="102" t="str">
        <f t="shared" si="24"/>
        <v/>
      </c>
      <c r="AR29" s="102" t="str">
        <f t="shared" si="25"/>
        <v/>
      </c>
      <c r="AS29" s="102" t="str">
        <f t="shared" si="26"/>
        <v/>
      </c>
      <c r="AT29" s="102" t="str">
        <f t="shared" si="27"/>
        <v/>
      </c>
      <c r="AU29" s="102" t="str">
        <f t="shared" si="28"/>
        <v/>
      </c>
      <c r="AV29" s="102" t="str">
        <f t="shared" si="29"/>
        <v/>
      </c>
      <c r="AW29" s="102" t="str">
        <f t="shared" si="30"/>
        <v/>
      </c>
      <c r="AX29" s="102" t="str">
        <f t="shared" si="31"/>
        <v/>
      </c>
      <c r="AY29" s="102" t="str">
        <f t="shared" si="32"/>
        <v/>
      </c>
      <c r="AZ29" s="102" t="str">
        <f t="shared" si="33"/>
        <v/>
      </c>
      <c r="BA29" s="102" t="str">
        <f t="shared" si="34"/>
        <v/>
      </c>
      <c r="BB29" s="102" t="str">
        <f t="shared" si="35"/>
        <v/>
      </c>
      <c r="BC29" s="102" t="str">
        <f t="shared" si="36"/>
        <v/>
      </c>
      <c r="BD29" s="102" t="str">
        <f t="shared" si="37"/>
        <v/>
      </c>
      <c r="BE29" s="102" t="str">
        <f t="shared" si="38"/>
        <v/>
      </c>
      <c r="BF29" s="102" t="str">
        <f t="shared" si="39"/>
        <v/>
      </c>
      <c r="BG29" s="102" t="str">
        <f t="shared" si="40"/>
        <v/>
      </c>
      <c r="BH29" s="102" t="str">
        <f t="shared" si="41"/>
        <v/>
      </c>
      <c r="BI29" s="102" t="str">
        <f t="shared" si="42"/>
        <v/>
      </c>
      <c r="BJ29" s="102" t="str">
        <f t="shared" si="43"/>
        <v/>
      </c>
      <c r="BK29" s="102" t="str">
        <f t="shared" si="44"/>
        <v/>
      </c>
      <c r="BL29" s="102" t="str">
        <f t="shared" si="45"/>
        <v/>
      </c>
      <c r="BM29" s="102" t="str">
        <f t="shared" si="46"/>
        <v/>
      </c>
      <c r="BN29" s="102" t="str">
        <f t="shared" si="47"/>
        <v/>
      </c>
      <c r="BO29" s="102" t="str">
        <f t="shared" si="48"/>
        <v/>
      </c>
      <c r="BP29" s="102" t="str">
        <f t="shared" si="49"/>
        <v/>
      </c>
      <c r="BQ29" s="102" t="str">
        <f t="shared" si="50"/>
        <v/>
      </c>
      <c r="BR29" s="102" t="str">
        <f t="shared" si="51"/>
        <v/>
      </c>
      <c r="BS29" s="102" t="str">
        <f t="shared" si="52"/>
        <v/>
      </c>
      <c r="BT29" s="102" t="str">
        <f t="shared" si="53"/>
        <v/>
      </c>
      <c r="BU29" s="102" t="str">
        <f t="shared" si="54"/>
        <v/>
      </c>
      <c r="BV29" s="102" t="str">
        <f t="shared" si="55"/>
        <v/>
      </c>
      <c r="BW29" s="102" t="str">
        <f t="shared" si="56"/>
        <v/>
      </c>
      <c r="BX29" s="102" t="str">
        <f t="shared" si="57"/>
        <v/>
      </c>
      <c r="BY29" s="102" t="str">
        <f t="shared" si="58"/>
        <v/>
      </c>
      <c r="BZ29" s="102" t="str">
        <f t="shared" si="59"/>
        <v/>
      </c>
      <c r="CA29" s="102" t="str">
        <f t="shared" si="60"/>
        <v/>
      </c>
      <c r="CB29" s="102" t="str">
        <f t="shared" si="61"/>
        <v/>
      </c>
      <c r="CC29" s="102" t="str">
        <f t="shared" si="62"/>
        <v/>
      </c>
      <c r="CD29" s="102" t="str">
        <f t="shared" si="63"/>
        <v/>
      </c>
      <c r="CE29" s="102" t="str">
        <f t="shared" si="64"/>
        <v/>
      </c>
      <c r="CF29" s="102" t="str">
        <f t="shared" si="65"/>
        <v/>
      </c>
      <c r="CG29" s="102" t="str">
        <f t="shared" si="66"/>
        <v/>
      </c>
      <c r="CH29" s="102" t="str">
        <f t="shared" si="67"/>
        <v/>
      </c>
      <c r="CI29" s="102" t="str">
        <f t="shared" si="68"/>
        <v/>
      </c>
      <c r="CJ29" s="102" t="str">
        <f t="shared" si="69"/>
        <v/>
      </c>
      <c r="CK29" s="102" t="str">
        <f t="shared" si="70"/>
        <v/>
      </c>
      <c r="CL29" s="102" t="str">
        <f t="shared" si="71"/>
        <v/>
      </c>
      <c r="CM29" s="102" t="str">
        <f t="shared" si="72"/>
        <v/>
      </c>
      <c r="CN29" s="102" t="str">
        <f t="shared" si="73"/>
        <v/>
      </c>
      <c r="CO29" s="102" t="str">
        <f t="shared" si="74"/>
        <v/>
      </c>
      <c r="CP29" s="102" t="str">
        <f t="shared" si="75"/>
        <v/>
      </c>
      <c r="CQ29" s="102" t="str">
        <f t="shared" si="76"/>
        <v/>
      </c>
      <c r="CR29" s="102" t="str">
        <f t="shared" si="77"/>
        <v/>
      </c>
      <c r="CS29" s="102" t="str">
        <f t="shared" si="78"/>
        <v/>
      </c>
      <c r="CT29" s="102" t="str">
        <f t="shared" si="79"/>
        <v/>
      </c>
      <c r="CU29" s="102" t="str">
        <f t="shared" si="80"/>
        <v/>
      </c>
      <c r="CV29" s="102" t="str">
        <f t="shared" si="81"/>
        <v/>
      </c>
      <c r="CW29" s="102" t="str">
        <f t="shared" si="82"/>
        <v/>
      </c>
      <c r="CX29" s="102" t="str">
        <f t="shared" si="83"/>
        <v/>
      </c>
      <c r="CY29" s="102" t="str">
        <f t="shared" si="84"/>
        <v/>
      </c>
      <c r="CZ29" s="102" t="str">
        <f t="shared" si="85"/>
        <v/>
      </c>
      <c r="DA29" s="102" t="str">
        <f t="shared" si="86"/>
        <v/>
      </c>
      <c r="DB29" s="102" t="str">
        <f t="shared" si="87"/>
        <v/>
      </c>
      <c r="DC29" s="102" t="str">
        <f t="shared" si="88"/>
        <v/>
      </c>
      <c r="DD29" s="102" t="str">
        <f t="shared" si="89"/>
        <v/>
      </c>
      <c r="DE29" s="102" t="str">
        <f t="shared" si="90"/>
        <v/>
      </c>
      <c r="DF29" s="102" t="str">
        <f t="shared" si="91"/>
        <v/>
      </c>
      <c r="DG29" s="102" t="str">
        <f t="shared" si="92"/>
        <v/>
      </c>
      <c r="DH29" s="102" t="str">
        <f t="shared" si="93"/>
        <v/>
      </c>
      <c r="DI29" s="102" t="str">
        <f t="shared" si="94"/>
        <v/>
      </c>
      <c r="DJ29" s="102" t="str">
        <f t="shared" si="95"/>
        <v/>
      </c>
      <c r="DK29" s="102" t="str">
        <f t="shared" si="96"/>
        <v/>
      </c>
      <c r="DL29" s="102" t="str">
        <f t="shared" si="97"/>
        <v/>
      </c>
      <c r="DM29" s="102" t="str">
        <f t="shared" si="98"/>
        <v/>
      </c>
      <c r="DN29" s="102" t="str">
        <f t="shared" si="99"/>
        <v/>
      </c>
      <c r="DO29" s="102" t="str">
        <f t="shared" si="100"/>
        <v/>
      </c>
      <c r="DP29" s="102" t="str">
        <f t="shared" si="101"/>
        <v/>
      </c>
      <c r="DQ29" s="102" t="str">
        <f t="shared" si="102"/>
        <v/>
      </c>
      <c r="DR29" s="102" t="str">
        <f t="shared" si="103"/>
        <v/>
      </c>
      <c r="DS29" s="102" t="str">
        <f t="shared" si="104"/>
        <v/>
      </c>
      <c r="DT29" s="102" t="str">
        <f t="shared" si="105"/>
        <v/>
      </c>
      <c r="DU29" s="102" t="str">
        <f t="shared" si="106"/>
        <v/>
      </c>
      <c r="DV29" s="102" t="str">
        <f t="shared" si="107"/>
        <v/>
      </c>
      <c r="DW29" s="102" t="str">
        <f t="shared" si="108"/>
        <v/>
      </c>
      <c r="DX29" s="102" t="str">
        <f t="shared" si="109"/>
        <v/>
      </c>
      <c r="DY29" s="102" t="str">
        <f t="shared" si="110"/>
        <v/>
      </c>
      <c r="DZ29" s="102" t="str">
        <f t="shared" si="111"/>
        <v/>
      </c>
      <c r="EA29" s="102" t="str">
        <f t="shared" si="112"/>
        <v/>
      </c>
      <c r="EB29" s="102" t="str">
        <f t="shared" si="113"/>
        <v/>
      </c>
      <c r="EC29" s="102" t="str">
        <f t="shared" si="114"/>
        <v/>
      </c>
      <c r="ED29" s="102" t="str">
        <f t="shared" si="115"/>
        <v/>
      </c>
      <c r="EE29" s="102" t="str">
        <f t="shared" si="116"/>
        <v/>
      </c>
      <c r="EF29" s="102" t="str">
        <f t="shared" si="117"/>
        <v/>
      </c>
      <c r="EG29" s="102" t="str">
        <f t="shared" si="118"/>
        <v/>
      </c>
      <c r="EH29" s="102" t="str">
        <f t="shared" si="119"/>
        <v/>
      </c>
      <c r="EI29" s="102" t="str">
        <f t="shared" si="120"/>
        <v/>
      </c>
      <c r="EJ29" s="102" t="str">
        <f t="shared" si="121"/>
        <v/>
      </c>
      <c r="EK29" s="102" t="str">
        <f t="shared" si="122"/>
        <v/>
      </c>
      <c r="EL29" s="102" t="str">
        <f t="shared" si="123"/>
        <v/>
      </c>
      <c r="EM29" s="102" t="str">
        <f t="shared" si="124"/>
        <v/>
      </c>
      <c r="EN29" s="102" t="str">
        <f t="shared" si="125"/>
        <v/>
      </c>
      <c r="EO29" s="102" t="str">
        <f t="shared" si="126"/>
        <v/>
      </c>
      <c r="EP29" s="102" t="str">
        <f t="shared" si="127"/>
        <v/>
      </c>
      <c r="EQ29" s="102" t="str">
        <f t="shared" si="128"/>
        <v/>
      </c>
      <c r="ER29" s="102" t="str">
        <f t="shared" si="129"/>
        <v/>
      </c>
      <c r="ES29" s="102" t="str">
        <f t="shared" si="130"/>
        <v/>
      </c>
      <c r="ET29" s="102" t="str">
        <f t="shared" si="131"/>
        <v/>
      </c>
      <c r="EU29" s="102" t="str">
        <f t="shared" si="132"/>
        <v/>
      </c>
      <c r="EV29" s="102" t="str">
        <f t="shared" si="133"/>
        <v/>
      </c>
      <c r="EW29" s="792" t="str">
        <f t="shared" si="134"/>
        <v/>
      </c>
      <c r="EX29" s="354" t="str">
        <f t="shared" si="135"/>
        <v/>
      </c>
      <c r="EY29" s="354" t="str">
        <f t="shared" si="136"/>
        <v/>
      </c>
      <c r="EZ29" s="354" t="str">
        <f t="shared" si="137"/>
        <v/>
      </c>
      <c r="FA29" s="354" t="str">
        <f t="shared" si="138"/>
        <v/>
      </c>
      <c r="FB29" s="354" t="str">
        <f t="shared" si="139"/>
        <v/>
      </c>
      <c r="FC29" s="354" t="str">
        <f t="shared" si="140"/>
        <v/>
      </c>
      <c r="FD29" s="354" t="str">
        <f t="shared" si="141"/>
        <v/>
      </c>
      <c r="FE29" s="354" t="str">
        <f t="shared" si="142"/>
        <v/>
      </c>
      <c r="FF29" s="354" t="str">
        <f t="shared" si="143"/>
        <v/>
      </c>
      <c r="FG29" s="354" t="str">
        <f t="shared" si="144"/>
        <v/>
      </c>
      <c r="FH29" s="354" t="str">
        <f t="shared" si="145"/>
        <v/>
      </c>
      <c r="FI29" s="354" t="str">
        <f t="shared" si="146"/>
        <v/>
      </c>
      <c r="FJ29" s="354" t="str">
        <f t="shared" si="147"/>
        <v/>
      </c>
      <c r="FK29" s="354" t="str">
        <f t="shared" si="148"/>
        <v/>
      </c>
      <c r="FL29" s="354" t="str">
        <f t="shared" si="149"/>
        <v/>
      </c>
      <c r="FM29" s="354" t="str">
        <f t="shared" si="150"/>
        <v/>
      </c>
      <c r="FN29" s="354" t="str">
        <f t="shared" si="151"/>
        <v/>
      </c>
      <c r="FO29" s="354" t="str">
        <f t="shared" si="152"/>
        <v/>
      </c>
      <c r="FP29" s="354" t="str">
        <f t="shared" si="153"/>
        <v/>
      </c>
      <c r="FQ29" s="354" t="str">
        <f t="shared" si="154"/>
        <v/>
      </c>
      <c r="FR29" s="354" t="str">
        <f t="shared" si="155"/>
        <v/>
      </c>
      <c r="FS29" s="354" t="str">
        <f t="shared" si="156"/>
        <v/>
      </c>
      <c r="FT29" s="354" t="str">
        <f t="shared" si="157"/>
        <v/>
      </c>
      <c r="FU29" s="354" t="str">
        <f t="shared" si="158"/>
        <v/>
      </c>
      <c r="FV29" s="354" t="str">
        <f t="shared" si="159"/>
        <v/>
      </c>
      <c r="FW29" s="354" t="str">
        <f t="shared" si="160"/>
        <v/>
      </c>
      <c r="FX29" s="354" t="str">
        <f t="shared" si="161"/>
        <v/>
      </c>
      <c r="FY29" s="354" t="str">
        <f t="shared" si="162"/>
        <v/>
      </c>
      <c r="FZ29" s="354" t="str">
        <f t="shared" si="163"/>
        <v/>
      </c>
      <c r="GA29" s="354" t="str">
        <f t="shared" si="164"/>
        <v/>
      </c>
      <c r="GB29" s="354" t="str">
        <f t="shared" si="165"/>
        <v/>
      </c>
      <c r="GC29" s="354" t="str">
        <f t="shared" si="166"/>
        <v/>
      </c>
      <c r="GD29" s="354" t="str">
        <f t="shared" si="167"/>
        <v/>
      </c>
      <c r="GE29" s="354" t="str">
        <f t="shared" si="168"/>
        <v/>
      </c>
      <c r="GF29" s="354" t="str">
        <f t="shared" si="169"/>
        <v/>
      </c>
      <c r="GG29" s="354" t="str">
        <f t="shared" si="170"/>
        <v/>
      </c>
      <c r="GH29" s="354" t="str">
        <f t="shared" si="171"/>
        <v/>
      </c>
      <c r="GI29" s="354" t="str">
        <f t="shared" si="172"/>
        <v/>
      </c>
      <c r="GJ29" s="354" t="str">
        <f t="shared" si="173"/>
        <v/>
      </c>
      <c r="GK29" s="354" t="str">
        <f t="shared" si="174"/>
        <v/>
      </c>
      <c r="GL29" s="354" t="str">
        <f t="shared" si="175"/>
        <v/>
      </c>
      <c r="GM29" s="354" t="str">
        <f t="shared" si="176"/>
        <v/>
      </c>
      <c r="GN29" s="354" t="str">
        <f t="shared" si="177"/>
        <v/>
      </c>
      <c r="GO29" s="354" t="str">
        <f t="shared" si="178"/>
        <v/>
      </c>
      <c r="GP29" s="354" t="str">
        <f t="shared" si="179"/>
        <v/>
      </c>
      <c r="GQ29" s="354" t="str">
        <f t="shared" si="180"/>
        <v/>
      </c>
      <c r="GR29" s="354" t="str">
        <f t="shared" si="181"/>
        <v/>
      </c>
      <c r="GS29" s="354" t="str">
        <f t="shared" si="182"/>
        <v/>
      </c>
      <c r="GT29" s="354" t="str">
        <f t="shared" si="183"/>
        <v/>
      </c>
      <c r="GU29" s="354" t="str">
        <f t="shared" si="184"/>
        <v/>
      </c>
      <c r="GV29" s="354" t="str">
        <f t="shared" si="185"/>
        <v/>
      </c>
      <c r="GW29" s="354" t="str">
        <f t="shared" si="186"/>
        <v/>
      </c>
      <c r="GX29" s="354" t="str">
        <f t="shared" si="187"/>
        <v/>
      </c>
      <c r="GY29" s="354" t="str">
        <f t="shared" si="188"/>
        <v/>
      </c>
      <c r="GZ29" s="354" t="str">
        <f t="shared" si="189"/>
        <v/>
      </c>
      <c r="HA29" s="354" t="str">
        <f t="shared" si="190"/>
        <v/>
      </c>
      <c r="HB29" s="354" t="str">
        <f t="shared" si="191"/>
        <v/>
      </c>
      <c r="HC29" s="354" t="str">
        <f t="shared" si="192"/>
        <v/>
      </c>
      <c r="HD29" s="354" t="str">
        <f t="shared" si="193"/>
        <v/>
      </c>
      <c r="HE29" s="354" t="str">
        <f t="shared" si="194"/>
        <v/>
      </c>
      <c r="HF29" s="354" t="str">
        <f t="shared" si="195"/>
        <v/>
      </c>
      <c r="HG29" s="354" t="str">
        <f t="shared" si="196"/>
        <v/>
      </c>
      <c r="HH29" s="354" t="str">
        <f t="shared" si="197"/>
        <v/>
      </c>
      <c r="HI29" s="354" t="str">
        <f t="shared" si="198"/>
        <v/>
      </c>
      <c r="HJ29" s="354" t="str">
        <f t="shared" si="199"/>
        <v/>
      </c>
      <c r="HK29" s="354" t="str">
        <f t="shared" si="200"/>
        <v/>
      </c>
      <c r="HL29" s="354" t="str">
        <f t="shared" si="201"/>
        <v/>
      </c>
      <c r="HM29" s="354" t="str">
        <f t="shared" si="202"/>
        <v/>
      </c>
      <c r="HN29" s="354" t="str">
        <f t="shared" si="203"/>
        <v/>
      </c>
      <c r="HO29" s="354" t="str">
        <f t="shared" si="204"/>
        <v/>
      </c>
      <c r="HP29" s="354" t="str">
        <f t="shared" si="205"/>
        <v/>
      </c>
      <c r="HQ29" s="354" t="str">
        <f t="shared" si="206"/>
        <v/>
      </c>
      <c r="HR29" s="354" t="str">
        <f t="shared" si="207"/>
        <v/>
      </c>
      <c r="HS29" s="354" t="str">
        <f t="shared" si="208"/>
        <v/>
      </c>
      <c r="HT29" s="354" t="str">
        <f t="shared" si="209"/>
        <v/>
      </c>
      <c r="HU29" s="354" t="str">
        <f t="shared" si="210"/>
        <v/>
      </c>
      <c r="HV29" s="354" t="str">
        <f t="shared" si="211"/>
        <v/>
      </c>
      <c r="HW29" s="354" t="str">
        <f t="shared" si="212"/>
        <v/>
      </c>
      <c r="HX29" s="354" t="str">
        <f t="shared" si="213"/>
        <v/>
      </c>
      <c r="HY29" s="354" t="str">
        <f t="shared" si="214"/>
        <v/>
      </c>
      <c r="HZ29" s="354" t="str">
        <f t="shared" si="215"/>
        <v/>
      </c>
      <c r="IA29" s="354" t="str">
        <f t="shared" si="216"/>
        <v/>
      </c>
      <c r="IB29" s="354" t="str">
        <f t="shared" si="217"/>
        <v/>
      </c>
      <c r="IC29" s="354" t="str">
        <f t="shared" si="218"/>
        <v/>
      </c>
      <c r="ID29" s="355" t="str">
        <f t="shared" si="219"/>
        <v/>
      </c>
      <c r="IE29" s="355" t="str">
        <f t="shared" si="220"/>
        <v/>
      </c>
      <c r="IF29" s="355" t="str">
        <f t="shared" si="221"/>
        <v/>
      </c>
      <c r="IG29" s="355" t="str">
        <f t="shared" si="222"/>
        <v/>
      </c>
      <c r="IH29" s="355" t="str">
        <f t="shared" si="223"/>
        <v/>
      </c>
      <c r="II29" s="344" t="str">
        <f t="shared" si="224"/>
        <v/>
      </c>
      <c r="IJ29" s="344" t="str">
        <f t="shared" si="225"/>
        <v/>
      </c>
      <c r="IK29" s="344" t="str">
        <f t="shared" si="226"/>
        <v/>
      </c>
      <c r="IL29" s="344" t="str">
        <f t="shared" si="227"/>
        <v/>
      </c>
      <c r="IM29" s="344" t="str">
        <f t="shared" si="228"/>
        <v/>
      </c>
      <c r="IN29" s="344" t="str">
        <f t="shared" si="229"/>
        <v/>
      </c>
      <c r="IO29" s="344" t="str">
        <f t="shared" si="230"/>
        <v/>
      </c>
      <c r="IP29" s="344" t="str">
        <f t="shared" si="231"/>
        <v/>
      </c>
      <c r="IQ29" s="344" t="str">
        <f t="shared" si="232"/>
        <v/>
      </c>
      <c r="IR29" s="344" t="str">
        <f t="shared" si="233"/>
        <v/>
      </c>
      <c r="IS29" s="344" t="str">
        <f t="shared" si="234"/>
        <v/>
      </c>
      <c r="IT29" s="344" t="str">
        <f t="shared" si="235"/>
        <v/>
      </c>
      <c r="IU29" s="344" t="str">
        <f t="shared" si="236"/>
        <v/>
      </c>
      <c r="IV29" s="344" t="str">
        <f t="shared" si="237"/>
        <v/>
      </c>
      <c r="IW29" s="344" t="str">
        <f t="shared" si="238"/>
        <v/>
      </c>
      <c r="IX29" s="344" t="str">
        <f t="shared" si="239"/>
        <v/>
      </c>
      <c r="IY29" s="344" t="str">
        <f t="shared" si="240"/>
        <v/>
      </c>
      <c r="IZ29" s="344" t="str">
        <f t="shared" si="241"/>
        <v/>
      </c>
      <c r="JA29" s="344" t="str">
        <f t="shared" si="242"/>
        <v/>
      </c>
      <c r="JB29" s="344" t="str">
        <f t="shared" si="243"/>
        <v/>
      </c>
      <c r="JC29" s="353">
        <f t="shared" si="244"/>
        <v>0</v>
      </c>
      <c r="JD29" s="353">
        <f t="shared" si="245"/>
        <v>0</v>
      </c>
      <c r="JE29" s="353">
        <f t="shared" si="246"/>
        <v>0</v>
      </c>
      <c r="JF29" s="353">
        <f t="shared" si="247"/>
        <v>0</v>
      </c>
      <c r="JG29" s="353">
        <f t="shared" si="248"/>
        <v>0</v>
      </c>
      <c r="JH29" s="353">
        <f t="shared" si="249"/>
        <v>0</v>
      </c>
      <c r="JI29" s="353">
        <f t="shared" si="250"/>
        <v>0</v>
      </c>
      <c r="JJ29" s="353">
        <f t="shared" si="251"/>
        <v>0</v>
      </c>
      <c r="JK29" s="353">
        <f t="shared" si="252"/>
        <v>0</v>
      </c>
      <c r="JL29" s="353">
        <f t="shared" si="253"/>
        <v>0</v>
      </c>
      <c r="JM29" s="353">
        <f t="shared" si="254"/>
        <v>0</v>
      </c>
      <c r="JN29" s="353">
        <f t="shared" si="255"/>
        <v>0</v>
      </c>
      <c r="JO29" s="353">
        <f t="shared" si="256"/>
        <v>0</v>
      </c>
      <c r="JP29" s="353">
        <f t="shared" si="257"/>
        <v>0</v>
      </c>
      <c r="JQ29" s="353">
        <f t="shared" si="258"/>
        <v>0</v>
      </c>
    </row>
    <row r="30" spans="1:277" ht="12" customHeight="1">
      <c r="A30" s="70" t="str">
        <f t="shared" si="0"/>
        <v/>
      </c>
      <c r="B30" s="2628" t="s">
        <v>781</v>
      </c>
      <c r="C30" s="2629"/>
      <c r="D30" s="2630"/>
      <c r="E30" s="2631"/>
      <c r="F30" s="2631"/>
      <c r="G30" s="2631"/>
      <c r="H30" s="2631"/>
      <c r="I30" s="2632">
        <f>IF(C30="",0,HLOOKUP(C30,'Part V-Utility Allowances'!$I$11:$M$21,11))</f>
        <v>0</v>
      </c>
      <c r="J30" s="2633"/>
      <c r="K30" s="488">
        <f t="shared" si="1"/>
        <v>0</v>
      </c>
      <c r="L30" s="488">
        <f t="shared" si="2"/>
        <v>0</v>
      </c>
      <c r="M30" s="2634"/>
      <c r="N30" s="2634"/>
      <c r="O30" s="2634"/>
      <c r="P30" s="2635"/>
      <c r="Q30" s="2636" t="str">
        <f t="shared" si="3"/>
        <v/>
      </c>
      <c r="R30" s="2637" t="str">
        <f>IF(H30="","",IF(C30="Efficiency",Q30/($O$6*VLOOKUP(0,'DCA Underwriting Assumptions'!$J$143:$K$148,2,FALSE)),Q30/($O$6*VLOOKUP(C30,'DCA Underwriting Assumptions'!$J$143:$K$148,2,FALSE))))</f>
        <v/>
      </c>
      <c r="S30" s="2638"/>
      <c r="T30" s="2639"/>
      <c r="U30" s="2594"/>
      <c r="V30" s="2595"/>
      <c r="W30" s="102" t="str">
        <f t="shared" si="4"/>
        <v/>
      </c>
      <c r="X30" s="102" t="str">
        <f t="shared" si="5"/>
        <v/>
      </c>
      <c r="Y30" s="102" t="str">
        <f t="shared" si="6"/>
        <v/>
      </c>
      <c r="Z30" s="102" t="str">
        <f t="shared" si="7"/>
        <v/>
      </c>
      <c r="AA30" s="102" t="str">
        <f t="shared" si="8"/>
        <v/>
      </c>
      <c r="AB30" s="102" t="str">
        <f t="shared" si="9"/>
        <v/>
      </c>
      <c r="AC30" s="102" t="str">
        <f t="shared" si="10"/>
        <v/>
      </c>
      <c r="AD30" s="102" t="str">
        <f t="shared" si="11"/>
        <v/>
      </c>
      <c r="AE30" s="102" t="str">
        <f t="shared" si="12"/>
        <v/>
      </c>
      <c r="AF30" s="102" t="str">
        <f t="shared" si="13"/>
        <v/>
      </c>
      <c r="AG30" s="102" t="str">
        <f t="shared" si="14"/>
        <v/>
      </c>
      <c r="AH30" s="102" t="str">
        <f t="shared" si="15"/>
        <v/>
      </c>
      <c r="AI30" s="102" t="str">
        <f t="shared" si="16"/>
        <v/>
      </c>
      <c r="AJ30" s="102" t="str">
        <f t="shared" si="17"/>
        <v/>
      </c>
      <c r="AK30" s="102" t="str">
        <f t="shared" si="18"/>
        <v/>
      </c>
      <c r="AL30" s="102" t="str">
        <f t="shared" si="19"/>
        <v/>
      </c>
      <c r="AM30" s="102" t="str">
        <f t="shared" si="20"/>
        <v/>
      </c>
      <c r="AN30" s="102" t="str">
        <f t="shared" si="21"/>
        <v/>
      </c>
      <c r="AO30" s="102" t="str">
        <f t="shared" si="22"/>
        <v/>
      </c>
      <c r="AP30" s="102" t="str">
        <f t="shared" si="23"/>
        <v/>
      </c>
      <c r="AQ30" s="102" t="str">
        <f t="shared" si="24"/>
        <v/>
      </c>
      <c r="AR30" s="102" t="str">
        <f t="shared" si="25"/>
        <v/>
      </c>
      <c r="AS30" s="102" t="str">
        <f t="shared" si="26"/>
        <v/>
      </c>
      <c r="AT30" s="102" t="str">
        <f t="shared" si="27"/>
        <v/>
      </c>
      <c r="AU30" s="102" t="str">
        <f t="shared" si="28"/>
        <v/>
      </c>
      <c r="AV30" s="102" t="str">
        <f t="shared" si="29"/>
        <v/>
      </c>
      <c r="AW30" s="102" t="str">
        <f t="shared" si="30"/>
        <v/>
      </c>
      <c r="AX30" s="102" t="str">
        <f t="shared" si="31"/>
        <v/>
      </c>
      <c r="AY30" s="102" t="str">
        <f t="shared" si="32"/>
        <v/>
      </c>
      <c r="AZ30" s="102" t="str">
        <f t="shared" si="33"/>
        <v/>
      </c>
      <c r="BA30" s="102" t="str">
        <f t="shared" si="34"/>
        <v/>
      </c>
      <c r="BB30" s="102" t="str">
        <f t="shared" si="35"/>
        <v/>
      </c>
      <c r="BC30" s="102" t="str">
        <f t="shared" si="36"/>
        <v/>
      </c>
      <c r="BD30" s="102" t="str">
        <f t="shared" si="37"/>
        <v/>
      </c>
      <c r="BE30" s="102" t="str">
        <f t="shared" si="38"/>
        <v/>
      </c>
      <c r="BF30" s="102" t="str">
        <f t="shared" si="39"/>
        <v/>
      </c>
      <c r="BG30" s="102" t="str">
        <f t="shared" si="40"/>
        <v/>
      </c>
      <c r="BH30" s="102" t="str">
        <f t="shared" si="41"/>
        <v/>
      </c>
      <c r="BI30" s="102" t="str">
        <f t="shared" si="42"/>
        <v/>
      </c>
      <c r="BJ30" s="102" t="str">
        <f t="shared" si="43"/>
        <v/>
      </c>
      <c r="BK30" s="102" t="str">
        <f t="shared" si="44"/>
        <v/>
      </c>
      <c r="BL30" s="102" t="str">
        <f t="shared" si="45"/>
        <v/>
      </c>
      <c r="BM30" s="102" t="str">
        <f t="shared" si="46"/>
        <v/>
      </c>
      <c r="BN30" s="102" t="str">
        <f t="shared" si="47"/>
        <v/>
      </c>
      <c r="BO30" s="102" t="str">
        <f t="shared" si="48"/>
        <v/>
      </c>
      <c r="BP30" s="102" t="str">
        <f t="shared" si="49"/>
        <v/>
      </c>
      <c r="BQ30" s="102" t="str">
        <f t="shared" si="50"/>
        <v/>
      </c>
      <c r="BR30" s="102" t="str">
        <f t="shared" si="51"/>
        <v/>
      </c>
      <c r="BS30" s="102" t="str">
        <f t="shared" si="52"/>
        <v/>
      </c>
      <c r="BT30" s="102" t="str">
        <f t="shared" si="53"/>
        <v/>
      </c>
      <c r="BU30" s="102" t="str">
        <f t="shared" si="54"/>
        <v/>
      </c>
      <c r="BV30" s="102" t="str">
        <f t="shared" si="55"/>
        <v/>
      </c>
      <c r="BW30" s="102" t="str">
        <f t="shared" si="56"/>
        <v/>
      </c>
      <c r="BX30" s="102" t="str">
        <f t="shared" si="57"/>
        <v/>
      </c>
      <c r="BY30" s="102" t="str">
        <f t="shared" si="58"/>
        <v/>
      </c>
      <c r="BZ30" s="102" t="str">
        <f t="shared" si="59"/>
        <v/>
      </c>
      <c r="CA30" s="102" t="str">
        <f t="shared" si="60"/>
        <v/>
      </c>
      <c r="CB30" s="102" t="str">
        <f t="shared" si="61"/>
        <v/>
      </c>
      <c r="CC30" s="102" t="str">
        <f t="shared" si="62"/>
        <v/>
      </c>
      <c r="CD30" s="102" t="str">
        <f t="shared" si="63"/>
        <v/>
      </c>
      <c r="CE30" s="102" t="str">
        <f t="shared" si="64"/>
        <v/>
      </c>
      <c r="CF30" s="102" t="str">
        <f t="shared" si="65"/>
        <v/>
      </c>
      <c r="CG30" s="102" t="str">
        <f t="shared" si="66"/>
        <v/>
      </c>
      <c r="CH30" s="102" t="str">
        <f t="shared" si="67"/>
        <v/>
      </c>
      <c r="CI30" s="102" t="str">
        <f t="shared" si="68"/>
        <v/>
      </c>
      <c r="CJ30" s="102" t="str">
        <f t="shared" si="69"/>
        <v/>
      </c>
      <c r="CK30" s="102" t="str">
        <f t="shared" si="70"/>
        <v/>
      </c>
      <c r="CL30" s="102" t="str">
        <f t="shared" si="71"/>
        <v/>
      </c>
      <c r="CM30" s="102" t="str">
        <f t="shared" si="72"/>
        <v/>
      </c>
      <c r="CN30" s="102" t="str">
        <f t="shared" si="73"/>
        <v/>
      </c>
      <c r="CO30" s="102" t="str">
        <f t="shared" si="74"/>
        <v/>
      </c>
      <c r="CP30" s="102" t="str">
        <f t="shared" si="75"/>
        <v/>
      </c>
      <c r="CQ30" s="102" t="str">
        <f t="shared" si="76"/>
        <v/>
      </c>
      <c r="CR30" s="102" t="str">
        <f t="shared" si="77"/>
        <v/>
      </c>
      <c r="CS30" s="102" t="str">
        <f t="shared" si="78"/>
        <v/>
      </c>
      <c r="CT30" s="102" t="str">
        <f t="shared" si="79"/>
        <v/>
      </c>
      <c r="CU30" s="102" t="str">
        <f t="shared" si="80"/>
        <v/>
      </c>
      <c r="CV30" s="102" t="str">
        <f t="shared" si="81"/>
        <v/>
      </c>
      <c r="CW30" s="102" t="str">
        <f t="shared" si="82"/>
        <v/>
      </c>
      <c r="CX30" s="102" t="str">
        <f t="shared" si="83"/>
        <v/>
      </c>
      <c r="CY30" s="102" t="str">
        <f t="shared" si="84"/>
        <v/>
      </c>
      <c r="CZ30" s="102" t="str">
        <f t="shared" si="85"/>
        <v/>
      </c>
      <c r="DA30" s="102" t="str">
        <f t="shared" si="86"/>
        <v/>
      </c>
      <c r="DB30" s="102" t="str">
        <f t="shared" si="87"/>
        <v/>
      </c>
      <c r="DC30" s="102" t="str">
        <f t="shared" si="88"/>
        <v/>
      </c>
      <c r="DD30" s="102" t="str">
        <f t="shared" si="89"/>
        <v/>
      </c>
      <c r="DE30" s="102" t="str">
        <f t="shared" si="90"/>
        <v/>
      </c>
      <c r="DF30" s="102" t="str">
        <f t="shared" si="91"/>
        <v/>
      </c>
      <c r="DG30" s="102" t="str">
        <f t="shared" si="92"/>
        <v/>
      </c>
      <c r="DH30" s="102" t="str">
        <f t="shared" si="93"/>
        <v/>
      </c>
      <c r="DI30" s="102" t="str">
        <f t="shared" si="94"/>
        <v/>
      </c>
      <c r="DJ30" s="102" t="str">
        <f t="shared" si="95"/>
        <v/>
      </c>
      <c r="DK30" s="102" t="str">
        <f t="shared" si="96"/>
        <v/>
      </c>
      <c r="DL30" s="102" t="str">
        <f t="shared" si="97"/>
        <v/>
      </c>
      <c r="DM30" s="102" t="str">
        <f t="shared" si="98"/>
        <v/>
      </c>
      <c r="DN30" s="102" t="str">
        <f t="shared" si="99"/>
        <v/>
      </c>
      <c r="DO30" s="102" t="str">
        <f t="shared" si="100"/>
        <v/>
      </c>
      <c r="DP30" s="102" t="str">
        <f t="shared" si="101"/>
        <v/>
      </c>
      <c r="DQ30" s="102" t="str">
        <f t="shared" si="102"/>
        <v/>
      </c>
      <c r="DR30" s="102" t="str">
        <f t="shared" si="103"/>
        <v/>
      </c>
      <c r="DS30" s="102" t="str">
        <f t="shared" si="104"/>
        <v/>
      </c>
      <c r="DT30" s="102" t="str">
        <f t="shared" si="105"/>
        <v/>
      </c>
      <c r="DU30" s="102" t="str">
        <f t="shared" si="106"/>
        <v/>
      </c>
      <c r="DV30" s="102" t="str">
        <f t="shared" si="107"/>
        <v/>
      </c>
      <c r="DW30" s="102" t="str">
        <f t="shared" si="108"/>
        <v/>
      </c>
      <c r="DX30" s="102" t="str">
        <f t="shared" si="109"/>
        <v/>
      </c>
      <c r="DY30" s="102" t="str">
        <f t="shared" si="110"/>
        <v/>
      </c>
      <c r="DZ30" s="102" t="str">
        <f t="shared" si="111"/>
        <v/>
      </c>
      <c r="EA30" s="102" t="str">
        <f t="shared" si="112"/>
        <v/>
      </c>
      <c r="EB30" s="102" t="str">
        <f t="shared" si="113"/>
        <v/>
      </c>
      <c r="EC30" s="102" t="str">
        <f t="shared" si="114"/>
        <v/>
      </c>
      <c r="ED30" s="102" t="str">
        <f t="shared" si="115"/>
        <v/>
      </c>
      <c r="EE30" s="102" t="str">
        <f t="shared" si="116"/>
        <v/>
      </c>
      <c r="EF30" s="102" t="str">
        <f t="shared" si="117"/>
        <v/>
      </c>
      <c r="EG30" s="102" t="str">
        <f t="shared" si="118"/>
        <v/>
      </c>
      <c r="EH30" s="102" t="str">
        <f t="shared" si="119"/>
        <v/>
      </c>
      <c r="EI30" s="102" t="str">
        <f t="shared" si="120"/>
        <v/>
      </c>
      <c r="EJ30" s="102" t="str">
        <f t="shared" si="121"/>
        <v/>
      </c>
      <c r="EK30" s="102" t="str">
        <f t="shared" si="122"/>
        <v/>
      </c>
      <c r="EL30" s="102" t="str">
        <f t="shared" si="123"/>
        <v/>
      </c>
      <c r="EM30" s="102" t="str">
        <f t="shared" si="124"/>
        <v/>
      </c>
      <c r="EN30" s="102" t="str">
        <f t="shared" si="125"/>
        <v/>
      </c>
      <c r="EO30" s="102" t="str">
        <f t="shared" si="126"/>
        <v/>
      </c>
      <c r="EP30" s="102" t="str">
        <f t="shared" si="127"/>
        <v/>
      </c>
      <c r="EQ30" s="102" t="str">
        <f t="shared" si="128"/>
        <v/>
      </c>
      <c r="ER30" s="102" t="str">
        <f t="shared" si="129"/>
        <v/>
      </c>
      <c r="ES30" s="102" t="str">
        <f t="shared" si="130"/>
        <v/>
      </c>
      <c r="ET30" s="102" t="str">
        <f t="shared" si="131"/>
        <v/>
      </c>
      <c r="EU30" s="102" t="str">
        <f t="shared" si="132"/>
        <v/>
      </c>
      <c r="EV30" s="102" t="str">
        <f t="shared" si="133"/>
        <v/>
      </c>
      <c r="EW30" s="792" t="str">
        <f t="shared" si="134"/>
        <v/>
      </c>
      <c r="EX30" s="354" t="str">
        <f t="shared" si="135"/>
        <v/>
      </c>
      <c r="EY30" s="354" t="str">
        <f t="shared" si="136"/>
        <v/>
      </c>
      <c r="EZ30" s="354" t="str">
        <f t="shared" si="137"/>
        <v/>
      </c>
      <c r="FA30" s="354" t="str">
        <f t="shared" si="138"/>
        <v/>
      </c>
      <c r="FB30" s="354" t="str">
        <f t="shared" si="139"/>
        <v/>
      </c>
      <c r="FC30" s="354" t="str">
        <f t="shared" si="140"/>
        <v/>
      </c>
      <c r="FD30" s="354" t="str">
        <f t="shared" si="141"/>
        <v/>
      </c>
      <c r="FE30" s="354" t="str">
        <f t="shared" si="142"/>
        <v/>
      </c>
      <c r="FF30" s="354" t="str">
        <f t="shared" si="143"/>
        <v/>
      </c>
      <c r="FG30" s="354" t="str">
        <f t="shared" si="144"/>
        <v/>
      </c>
      <c r="FH30" s="354" t="str">
        <f t="shared" si="145"/>
        <v/>
      </c>
      <c r="FI30" s="354" t="str">
        <f t="shared" si="146"/>
        <v/>
      </c>
      <c r="FJ30" s="354" t="str">
        <f t="shared" si="147"/>
        <v/>
      </c>
      <c r="FK30" s="354" t="str">
        <f t="shared" si="148"/>
        <v/>
      </c>
      <c r="FL30" s="354" t="str">
        <f t="shared" si="149"/>
        <v/>
      </c>
      <c r="FM30" s="354" t="str">
        <f t="shared" si="150"/>
        <v/>
      </c>
      <c r="FN30" s="354" t="str">
        <f t="shared" si="151"/>
        <v/>
      </c>
      <c r="FO30" s="354" t="str">
        <f t="shared" si="152"/>
        <v/>
      </c>
      <c r="FP30" s="354" t="str">
        <f t="shared" si="153"/>
        <v/>
      </c>
      <c r="FQ30" s="354" t="str">
        <f t="shared" si="154"/>
        <v/>
      </c>
      <c r="FR30" s="354" t="str">
        <f t="shared" si="155"/>
        <v/>
      </c>
      <c r="FS30" s="354" t="str">
        <f t="shared" si="156"/>
        <v/>
      </c>
      <c r="FT30" s="354" t="str">
        <f t="shared" si="157"/>
        <v/>
      </c>
      <c r="FU30" s="354" t="str">
        <f t="shared" si="158"/>
        <v/>
      </c>
      <c r="FV30" s="354" t="str">
        <f t="shared" si="159"/>
        <v/>
      </c>
      <c r="FW30" s="354" t="str">
        <f t="shared" si="160"/>
        <v/>
      </c>
      <c r="FX30" s="354" t="str">
        <f t="shared" si="161"/>
        <v/>
      </c>
      <c r="FY30" s="354" t="str">
        <f t="shared" si="162"/>
        <v/>
      </c>
      <c r="FZ30" s="354" t="str">
        <f t="shared" si="163"/>
        <v/>
      </c>
      <c r="GA30" s="354" t="str">
        <f t="shared" si="164"/>
        <v/>
      </c>
      <c r="GB30" s="354" t="str">
        <f t="shared" si="165"/>
        <v/>
      </c>
      <c r="GC30" s="354" t="str">
        <f t="shared" si="166"/>
        <v/>
      </c>
      <c r="GD30" s="354" t="str">
        <f t="shared" si="167"/>
        <v/>
      </c>
      <c r="GE30" s="354" t="str">
        <f t="shared" si="168"/>
        <v/>
      </c>
      <c r="GF30" s="354" t="str">
        <f t="shared" si="169"/>
        <v/>
      </c>
      <c r="GG30" s="354" t="str">
        <f t="shared" si="170"/>
        <v/>
      </c>
      <c r="GH30" s="354" t="str">
        <f t="shared" si="171"/>
        <v/>
      </c>
      <c r="GI30" s="354" t="str">
        <f t="shared" si="172"/>
        <v/>
      </c>
      <c r="GJ30" s="354" t="str">
        <f t="shared" si="173"/>
        <v/>
      </c>
      <c r="GK30" s="354" t="str">
        <f t="shared" si="174"/>
        <v/>
      </c>
      <c r="GL30" s="354" t="str">
        <f t="shared" si="175"/>
        <v/>
      </c>
      <c r="GM30" s="354" t="str">
        <f t="shared" si="176"/>
        <v/>
      </c>
      <c r="GN30" s="354" t="str">
        <f t="shared" si="177"/>
        <v/>
      </c>
      <c r="GO30" s="354" t="str">
        <f t="shared" si="178"/>
        <v/>
      </c>
      <c r="GP30" s="354" t="str">
        <f t="shared" si="179"/>
        <v/>
      </c>
      <c r="GQ30" s="354" t="str">
        <f t="shared" si="180"/>
        <v/>
      </c>
      <c r="GR30" s="354" t="str">
        <f t="shared" si="181"/>
        <v/>
      </c>
      <c r="GS30" s="354" t="str">
        <f t="shared" si="182"/>
        <v/>
      </c>
      <c r="GT30" s="354" t="str">
        <f t="shared" si="183"/>
        <v/>
      </c>
      <c r="GU30" s="354" t="str">
        <f t="shared" si="184"/>
        <v/>
      </c>
      <c r="GV30" s="354" t="str">
        <f t="shared" si="185"/>
        <v/>
      </c>
      <c r="GW30" s="354" t="str">
        <f t="shared" si="186"/>
        <v/>
      </c>
      <c r="GX30" s="354" t="str">
        <f t="shared" si="187"/>
        <v/>
      </c>
      <c r="GY30" s="354" t="str">
        <f t="shared" si="188"/>
        <v/>
      </c>
      <c r="GZ30" s="354" t="str">
        <f t="shared" si="189"/>
        <v/>
      </c>
      <c r="HA30" s="354" t="str">
        <f t="shared" si="190"/>
        <v/>
      </c>
      <c r="HB30" s="354" t="str">
        <f t="shared" si="191"/>
        <v/>
      </c>
      <c r="HC30" s="354" t="str">
        <f t="shared" si="192"/>
        <v/>
      </c>
      <c r="HD30" s="354" t="str">
        <f t="shared" si="193"/>
        <v/>
      </c>
      <c r="HE30" s="354" t="str">
        <f t="shared" si="194"/>
        <v/>
      </c>
      <c r="HF30" s="354" t="str">
        <f t="shared" si="195"/>
        <v/>
      </c>
      <c r="HG30" s="354" t="str">
        <f t="shared" si="196"/>
        <v/>
      </c>
      <c r="HH30" s="354" t="str">
        <f t="shared" si="197"/>
        <v/>
      </c>
      <c r="HI30" s="354" t="str">
        <f t="shared" si="198"/>
        <v/>
      </c>
      <c r="HJ30" s="354" t="str">
        <f t="shared" si="199"/>
        <v/>
      </c>
      <c r="HK30" s="354" t="str">
        <f t="shared" si="200"/>
        <v/>
      </c>
      <c r="HL30" s="354" t="str">
        <f t="shared" si="201"/>
        <v/>
      </c>
      <c r="HM30" s="354" t="str">
        <f t="shared" si="202"/>
        <v/>
      </c>
      <c r="HN30" s="354" t="str">
        <f t="shared" si="203"/>
        <v/>
      </c>
      <c r="HO30" s="354" t="str">
        <f t="shared" si="204"/>
        <v/>
      </c>
      <c r="HP30" s="354" t="str">
        <f t="shared" si="205"/>
        <v/>
      </c>
      <c r="HQ30" s="354" t="str">
        <f t="shared" si="206"/>
        <v/>
      </c>
      <c r="HR30" s="354" t="str">
        <f t="shared" si="207"/>
        <v/>
      </c>
      <c r="HS30" s="354" t="str">
        <f t="shared" si="208"/>
        <v/>
      </c>
      <c r="HT30" s="354" t="str">
        <f t="shared" si="209"/>
        <v/>
      </c>
      <c r="HU30" s="354" t="str">
        <f t="shared" si="210"/>
        <v/>
      </c>
      <c r="HV30" s="354" t="str">
        <f t="shared" si="211"/>
        <v/>
      </c>
      <c r="HW30" s="354" t="str">
        <f t="shared" si="212"/>
        <v/>
      </c>
      <c r="HX30" s="354" t="str">
        <f t="shared" si="213"/>
        <v/>
      </c>
      <c r="HY30" s="354" t="str">
        <f t="shared" si="214"/>
        <v/>
      </c>
      <c r="HZ30" s="354" t="str">
        <f t="shared" si="215"/>
        <v/>
      </c>
      <c r="IA30" s="354" t="str">
        <f t="shared" si="216"/>
        <v/>
      </c>
      <c r="IB30" s="354" t="str">
        <f t="shared" si="217"/>
        <v/>
      </c>
      <c r="IC30" s="354" t="str">
        <f t="shared" si="218"/>
        <v/>
      </c>
      <c r="ID30" s="355" t="str">
        <f t="shared" si="219"/>
        <v/>
      </c>
      <c r="IE30" s="355" t="str">
        <f t="shared" si="220"/>
        <v/>
      </c>
      <c r="IF30" s="355" t="str">
        <f t="shared" si="221"/>
        <v/>
      </c>
      <c r="IG30" s="355" t="str">
        <f t="shared" si="222"/>
        <v/>
      </c>
      <c r="IH30" s="355" t="str">
        <f t="shared" si="223"/>
        <v/>
      </c>
      <c r="II30" s="344" t="str">
        <f t="shared" si="224"/>
        <v/>
      </c>
      <c r="IJ30" s="344" t="str">
        <f t="shared" si="225"/>
        <v/>
      </c>
      <c r="IK30" s="344" t="str">
        <f t="shared" si="226"/>
        <v/>
      </c>
      <c r="IL30" s="344" t="str">
        <f t="shared" si="227"/>
        <v/>
      </c>
      <c r="IM30" s="344" t="str">
        <f t="shared" si="228"/>
        <v/>
      </c>
      <c r="IN30" s="344" t="str">
        <f t="shared" si="229"/>
        <v/>
      </c>
      <c r="IO30" s="344" t="str">
        <f t="shared" si="230"/>
        <v/>
      </c>
      <c r="IP30" s="344" t="str">
        <f t="shared" si="231"/>
        <v/>
      </c>
      <c r="IQ30" s="344" t="str">
        <f t="shared" si="232"/>
        <v/>
      </c>
      <c r="IR30" s="344" t="str">
        <f t="shared" si="233"/>
        <v/>
      </c>
      <c r="IS30" s="344" t="str">
        <f t="shared" si="234"/>
        <v/>
      </c>
      <c r="IT30" s="344" t="str">
        <f t="shared" si="235"/>
        <v/>
      </c>
      <c r="IU30" s="344" t="str">
        <f t="shared" si="236"/>
        <v/>
      </c>
      <c r="IV30" s="344" t="str">
        <f t="shared" si="237"/>
        <v/>
      </c>
      <c r="IW30" s="344" t="str">
        <f t="shared" si="238"/>
        <v/>
      </c>
      <c r="IX30" s="344" t="str">
        <f t="shared" si="239"/>
        <v/>
      </c>
      <c r="IY30" s="344" t="str">
        <f t="shared" si="240"/>
        <v/>
      </c>
      <c r="IZ30" s="344" t="str">
        <f t="shared" si="241"/>
        <v/>
      </c>
      <c r="JA30" s="344" t="str">
        <f t="shared" si="242"/>
        <v/>
      </c>
      <c r="JB30" s="344" t="str">
        <f t="shared" si="243"/>
        <v/>
      </c>
      <c r="JC30" s="353">
        <f t="shared" si="244"/>
        <v>0</v>
      </c>
      <c r="JD30" s="353">
        <f t="shared" si="245"/>
        <v>0</v>
      </c>
      <c r="JE30" s="353">
        <f t="shared" si="246"/>
        <v>0</v>
      </c>
      <c r="JF30" s="353">
        <f t="shared" si="247"/>
        <v>0</v>
      </c>
      <c r="JG30" s="353">
        <f t="shared" si="248"/>
        <v>0</v>
      </c>
      <c r="JH30" s="353">
        <f t="shared" si="249"/>
        <v>0</v>
      </c>
      <c r="JI30" s="353">
        <f t="shared" si="250"/>
        <v>0</v>
      </c>
      <c r="JJ30" s="353">
        <f t="shared" si="251"/>
        <v>0</v>
      </c>
      <c r="JK30" s="353">
        <f t="shared" si="252"/>
        <v>0</v>
      </c>
      <c r="JL30" s="353">
        <f t="shared" si="253"/>
        <v>0</v>
      </c>
      <c r="JM30" s="353">
        <f t="shared" si="254"/>
        <v>0</v>
      </c>
      <c r="JN30" s="353">
        <f t="shared" si="255"/>
        <v>0</v>
      </c>
      <c r="JO30" s="353">
        <f t="shared" si="256"/>
        <v>0</v>
      </c>
      <c r="JP30" s="353">
        <f t="shared" si="257"/>
        <v>0</v>
      </c>
      <c r="JQ30" s="353">
        <f t="shared" si="258"/>
        <v>0</v>
      </c>
    </row>
    <row r="31" spans="1:277" ht="12" customHeight="1">
      <c r="A31" s="70" t="str">
        <f t="shared" si="0"/>
        <v/>
      </c>
      <c r="B31" s="2628" t="s">
        <v>781</v>
      </c>
      <c r="C31" s="2629"/>
      <c r="D31" s="2630"/>
      <c r="E31" s="2631"/>
      <c r="F31" s="2631"/>
      <c r="G31" s="2631"/>
      <c r="H31" s="2631"/>
      <c r="I31" s="2632">
        <f>IF(C31="",0,HLOOKUP(C31,'Part V-Utility Allowances'!$I$11:$M$21,11))</f>
        <v>0</v>
      </c>
      <c r="J31" s="2633"/>
      <c r="K31" s="488">
        <f t="shared" si="1"/>
        <v>0</v>
      </c>
      <c r="L31" s="488">
        <f t="shared" si="2"/>
        <v>0</v>
      </c>
      <c r="M31" s="2634"/>
      <c r="N31" s="2634"/>
      <c r="O31" s="2634"/>
      <c r="P31" s="2635"/>
      <c r="Q31" s="2636" t="str">
        <f t="shared" si="3"/>
        <v/>
      </c>
      <c r="R31" s="2637" t="str">
        <f>IF(H31="","",IF(C31="Efficiency",Q31/($O$6*VLOOKUP(0,'DCA Underwriting Assumptions'!$J$143:$K$148,2,FALSE)),Q31/($O$6*VLOOKUP(C31,'DCA Underwriting Assumptions'!$J$143:$K$148,2,FALSE))))</f>
        <v/>
      </c>
      <c r="S31" s="2638"/>
      <c r="T31" s="2639"/>
      <c r="U31" s="2594"/>
      <c r="V31" s="2595"/>
      <c r="W31" s="102" t="str">
        <f t="shared" si="4"/>
        <v/>
      </c>
      <c r="X31" s="102" t="str">
        <f t="shared" si="5"/>
        <v/>
      </c>
      <c r="Y31" s="102" t="str">
        <f t="shared" si="6"/>
        <v/>
      </c>
      <c r="Z31" s="102" t="str">
        <f t="shared" si="7"/>
        <v/>
      </c>
      <c r="AA31" s="102" t="str">
        <f t="shared" si="8"/>
        <v/>
      </c>
      <c r="AB31" s="102" t="str">
        <f t="shared" si="9"/>
        <v/>
      </c>
      <c r="AC31" s="102" t="str">
        <f t="shared" si="10"/>
        <v/>
      </c>
      <c r="AD31" s="102" t="str">
        <f t="shared" si="11"/>
        <v/>
      </c>
      <c r="AE31" s="102" t="str">
        <f t="shared" si="12"/>
        <v/>
      </c>
      <c r="AF31" s="102" t="str">
        <f t="shared" si="13"/>
        <v/>
      </c>
      <c r="AG31" s="102" t="str">
        <f t="shared" si="14"/>
        <v/>
      </c>
      <c r="AH31" s="102" t="str">
        <f t="shared" si="15"/>
        <v/>
      </c>
      <c r="AI31" s="102" t="str">
        <f t="shared" si="16"/>
        <v/>
      </c>
      <c r="AJ31" s="102" t="str">
        <f t="shared" si="17"/>
        <v/>
      </c>
      <c r="AK31" s="102" t="str">
        <f t="shared" si="18"/>
        <v/>
      </c>
      <c r="AL31" s="102" t="str">
        <f t="shared" si="19"/>
        <v/>
      </c>
      <c r="AM31" s="102" t="str">
        <f t="shared" si="20"/>
        <v/>
      </c>
      <c r="AN31" s="102" t="str">
        <f t="shared" si="21"/>
        <v/>
      </c>
      <c r="AO31" s="102" t="str">
        <f t="shared" si="22"/>
        <v/>
      </c>
      <c r="AP31" s="102" t="str">
        <f t="shared" si="23"/>
        <v/>
      </c>
      <c r="AQ31" s="102" t="str">
        <f t="shared" si="24"/>
        <v/>
      </c>
      <c r="AR31" s="102" t="str">
        <f t="shared" si="25"/>
        <v/>
      </c>
      <c r="AS31" s="102" t="str">
        <f t="shared" si="26"/>
        <v/>
      </c>
      <c r="AT31" s="102" t="str">
        <f t="shared" si="27"/>
        <v/>
      </c>
      <c r="AU31" s="102" t="str">
        <f t="shared" si="28"/>
        <v/>
      </c>
      <c r="AV31" s="102" t="str">
        <f t="shared" si="29"/>
        <v/>
      </c>
      <c r="AW31" s="102" t="str">
        <f t="shared" si="30"/>
        <v/>
      </c>
      <c r="AX31" s="102" t="str">
        <f t="shared" si="31"/>
        <v/>
      </c>
      <c r="AY31" s="102" t="str">
        <f t="shared" si="32"/>
        <v/>
      </c>
      <c r="AZ31" s="102" t="str">
        <f t="shared" si="33"/>
        <v/>
      </c>
      <c r="BA31" s="102" t="str">
        <f t="shared" si="34"/>
        <v/>
      </c>
      <c r="BB31" s="102" t="str">
        <f t="shared" si="35"/>
        <v/>
      </c>
      <c r="BC31" s="102" t="str">
        <f t="shared" si="36"/>
        <v/>
      </c>
      <c r="BD31" s="102" t="str">
        <f t="shared" si="37"/>
        <v/>
      </c>
      <c r="BE31" s="102" t="str">
        <f t="shared" si="38"/>
        <v/>
      </c>
      <c r="BF31" s="102" t="str">
        <f t="shared" si="39"/>
        <v/>
      </c>
      <c r="BG31" s="102" t="str">
        <f t="shared" si="40"/>
        <v/>
      </c>
      <c r="BH31" s="102" t="str">
        <f t="shared" si="41"/>
        <v/>
      </c>
      <c r="BI31" s="102" t="str">
        <f t="shared" si="42"/>
        <v/>
      </c>
      <c r="BJ31" s="102" t="str">
        <f t="shared" si="43"/>
        <v/>
      </c>
      <c r="BK31" s="102" t="str">
        <f t="shared" si="44"/>
        <v/>
      </c>
      <c r="BL31" s="102" t="str">
        <f t="shared" si="45"/>
        <v/>
      </c>
      <c r="BM31" s="102" t="str">
        <f t="shared" si="46"/>
        <v/>
      </c>
      <c r="BN31" s="102" t="str">
        <f t="shared" si="47"/>
        <v/>
      </c>
      <c r="BO31" s="102" t="str">
        <f t="shared" si="48"/>
        <v/>
      </c>
      <c r="BP31" s="102" t="str">
        <f t="shared" si="49"/>
        <v/>
      </c>
      <c r="BQ31" s="102" t="str">
        <f t="shared" si="50"/>
        <v/>
      </c>
      <c r="BR31" s="102" t="str">
        <f t="shared" si="51"/>
        <v/>
      </c>
      <c r="BS31" s="102" t="str">
        <f t="shared" si="52"/>
        <v/>
      </c>
      <c r="BT31" s="102" t="str">
        <f t="shared" si="53"/>
        <v/>
      </c>
      <c r="BU31" s="102" t="str">
        <f t="shared" si="54"/>
        <v/>
      </c>
      <c r="BV31" s="102" t="str">
        <f t="shared" si="55"/>
        <v/>
      </c>
      <c r="BW31" s="102" t="str">
        <f t="shared" si="56"/>
        <v/>
      </c>
      <c r="BX31" s="102" t="str">
        <f t="shared" si="57"/>
        <v/>
      </c>
      <c r="BY31" s="102" t="str">
        <f t="shared" si="58"/>
        <v/>
      </c>
      <c r="BZ31" s="102" t="str">
        <f t="shared" si="59"/>
        <v/>
      </c>
      <c r="CA31" s="102" t="str">
        <f t="shared" si="60"/>
        <v/>
      </c>
      <c r="CB31" s="102" t="str">
        <f t="shared" si="61"/>
        <v/>
      </c>
      <c r="CC31" s="102" t="str">
        <f t="shared" si="62"/>
        <v/>
      </c>
      <c r="CD31" s="102" t="str">
        <f t="shared" si="63"/>
        <v/>
      </c>
      <c r="CE31" s="102" t="str">
        <f t="shared" si="64"/>
        <v/>
      </c>
      <c r="CF31" s="102" t="str">
        <f t="shared" si="65"/>
        <v/>
      </c>
      <c r="CG31" s="102" t="str">
        <f t="shared" si="66"/>
        <v/>
      </c>
      <c r="CH31" s="102" t="str">
        <f t="shared" si="67"/>
        <v/>
      </c>
      <c r="CI31" s="102" t="str">
        <f t="shared" si="68"/>
        <v/>
      </c>
      <c r="CJ31" s="102" t="str">
        <f t="shared" si="69"/>
        <v/>
      </c>
      <c r="CK31" s="102" t="str">
        <f t="shared" si="70"/>
        <v/>
      </c>
      <c r="CL31" s="102" t="str">
        <f t="shared" si="71"/>
        <v/>
      </c>
      <c r="CM31" s="102" t="str">
        <f t="shared" si="72"/>
        <v/>
      </c>
      <c r="CN31" s="102" t="str">
        <f t="shared" si="73"/>
        <v/>
      </c>
      <c r="CO31" s="102" t="str">
        <f t="shared" si="74"/>
        <v/>
      </c>
      <c r="CP31" s="102" t="str">
        <f t="shared" si="75"/>
        <v/>
      </c>
      <c r="CQ31" s="102" t="str">
        <f t="shared" si="76"/>
        <v/>
      </c>
      <c r="CR31" s="102" t="str">
        <f t="shared" si="77"/>
        <v/>
      </c>
      <c r="CS31" s="102" t="str">
        <f t="shared" si="78"/>
        <v/>
      </c>
      <c r="CT31" s="102" t="str">
        <f t="shared" si="79"/>
        <v/>
      </c>
      <c r="CU31" s="102" t="str">
        <f t="shared" si="80"/>
        <v/>
      </c>
      <c r="CV31" s="102" t="str">
        <f t="shared" si="81"/>
        <v/>
      </c>
      <c r="CW31" s="102" t="str">
        <f t="shared" si="82"/>
        <v/>
      </c>
      <c r="CX31" s="102" t="str">
        <f t="shared" si="83"/>
        <v/>
      </c>
      <c r="CY31" s="102" t="str">
        <f t="shared" si="84"/>
        <v/>
      </c>
      <c r="CZ31" s="102" t="str">
        <f t="shared" si="85"/>
        <v/>
      </c>
      <c r="DA31" s="102" t="str">
        <f t="shared" si="86"/>
        <v/>
      </c>
      <c r="DB31" s="102" t="str">
        <f t="shared" si="87"/>
        <v/>
      </c>
      <c r="DC31" s="102" t="str">
        <f t="shared" si="88"/>
        <v/>
      </c>
      <c r="DD31" s="102" t="str">
        <f t="shared" si="89"/>
        <v/>
      </c>
      <c r="DE31" s="102" t="str">
        <f t="shared" si="90"/>
        <v/>
      </c>
      <c r="DF31" s="102" t="str">
        <f t="shared" si="91"/>
        <v/>
      </c>
      <c r="DG31" s="102" t="str">
        <f t="shared" si="92"/>
        <v/>
      </c>
      <c r="DH31" s="102" t="str">
        <f t="shared" si="93"/>
        <v/>
      </c>
      <c r="DI31" s="102" t="str">
        <f t="shared" si="94"/>
        <v/>
      </c>
      <c r="DJ31" s="102" t="str">
        <f t="shared" si="95"/>
        <v/>
      </c>
      <c r="DK31" s="102" t="str">
        <f t="shared" si="96"/>
        <v/>
      </c>
      <c r="DL31" s="102" t="str">
        <f t="shared" si="97"/>
        <v/>
      </c>
      <c r="DM31" s="102" t="str">
        <f t="shared" si="98"/>
        <v/>
      </c>
      <c r="DN31" s="102" t="str">
        <f t="shared" si="99"/>
        <v/>
      </c>
      <c r="DO31" s="102" t="str">
        <f t="shared" si="100"/>
        <v/>
      </c>
      <c r="DP31" s="102" t="str">
        <f t="shared" si="101"/>
        <v/>
      </c>
      <c r="DQ31" s="102" t="str">
        <f t="shared" si="102"/>
        <v/>
      </c>
      <c r="DR31" s="102" t="str">
        <f t="shared" si="103"/>
        <v/>
      </c>
      <c r="DS31" s="102" t="str">
        <f t="shared" si="104"/>
        <v/>
      </c>
      <c r="DT31" s="102" t="str">
        <f t="shared" si="105"/>
        <v/>
      </c>
      <c r="DU31" s="102" t="str">
        <f t="shared" si="106"/>
        <v/>
      </c>
      <c r="DV31" s="102" t="str">
        <f t="shared" si="107"/>
        <v/>
      </c>
      <c r="DW31" s="102" t="str">
        <f t="shared" si="108"/>
        <v/>
      </c>
      <c r="DX31" s="102" t="str">
        <f t="shared" si="109"/>
        <v/>
      </c>
      <c r="DY31" s="102" t="str">
        <f t="shared" si="110"/>
        <v/>
      </c>
      <c r="DZ31" s="102" t="str">
        <f t="shared" si="111"/>
        <v/>
      </c>
      <c r="EA31" s="102" t="str">
        <f t="shared" si="112"/>
        <v/>
      </c>
      <c r="EB31" s="102" t="str">
        <f t="shared" si="113"/>
        <v/>
      </c>
      <c r="EC31" s="102" t="str">
        <f t="shared" si="114"/>
        <v/>
      </c>
      <c r="ED31" s="102" t="str">
        <f t="shared" si="115"/>
        <v/>
      </c>
      <c r="EE31" s="102" t="str">
        <f t="shared" si="116"/>
        <v/>
      </c>
      <c r="EF31" s="102" t="str">
        <f t="shared" si="117"/>
        <v/>
      </c>
      <c r="EG31" s="102" t="str">
        <f t="shared" si="118"/>
        <v/>
      </c>
      <c r="EH31" s="102" t="str">
        <f t="shared" si="119"/>
        <v/>
      </c>
      <c r="EI31" s="102" t="str">
        <f t="shared" si="120"/>
        <v/>
      </c>
      <c r="EJ31" s="102" t="str">
        <f t="shared" si="121"/>
        <v/>
      </c>
      <c r="EK31" s="102" t="str">
        <f t="shared" si="122"/>
        <v/>
      </c>
      <c r="EL31" s="102" t="str">
        <f t="shared" si="123"/>
        <v/>
      </c>
      <c r="EM31" s="102" t="str">
        <f t="shared" si="124"/>
        <v/>
      </c>
      <c r="EN31" s="102" t="str">
        <f t="shared" si="125"/>
        <v/>
      </c>
      <c r="EO31" s="102" t="str">
        <f t="shared" si="126"/>
        <v/>
      </c>
      <c r="EP31" s="102" t="str">
        <f t="shared" si="127"/>
        <v/>
      </c>
      <c r="EQ31" s="102" t="str">
        <f t="shared" si="128"/>
        <v/>
      </c>
      <c r="ER31" s="102" t="str">
        <f t="shared" si="129"/>
        <v/>
      </c>
      <c r="ES31" s="102" t="str">
        <f t="shared" si="130"/>
        <v/>
      </c>
      <c r="ET31" s="102" t="str">
        <f t="shared" si="131"/>
        <v/>
      </c>
      <c r="EU31" s="102" t="str">
        <f t="shared" si="132"/>
        <v/>
      </c>
      <c r="EV31" s="102" t="str">
        <f t="shared" si="133"/>
        <v/>
      </c>
      <c r="EW31" s="792" t="str">
        <f t="shared" si="134"/>
        <v/>
      </c>
      <c r="EX31" s="354" t="str">
        <f t="shared" si="135"/>
        <v/>
      </c>
      <c r="EY31" s="354" t="str">
        <f t="shared" si="136"/>
        <v/>
      </c>
      <c r="EZ31" s="354" t="str">
        <f t="shared" si="137"/>
        <v/>
      </c>
      <c r="FA31" s="354" t="str">
        <f t="shared" si="138"/>
        <v/>
      </c>
      <c r="FB31" s="354" t="str">
        <f t="shared" si="139"/>
        <v/>
      </c>
      <c r="FC31" s="354" t="str">
        <f t="shared" si="140"/>
        <v/>
      </c>
      <c r="FD31" s="354" t="str">
        <f t="shared" si="141"/>
        <v/>
      </c>
      <c r="FE31" s="354" t="str">
        <f t="shared" si="142"/>
        <v/>
      </c>
      <c r="FF31" s="354" t="str">
        <f t="shared" si="143"/>
        <v/>
      </c>
      <c r="FG31" s="354" t="str">
        <f t="shared" si="144"/>
        <v/>
      </c>
      <c r="FH31" s="354" t="str">
        <f t="shared" si="145"/>
        <v/>
      </c>
      <c r="FI31" s="354" t="str">
        <f t="shared" si="146"/>
        <v/>
      </c>
      <c r="FJ31" s="354" t="str">
        <f t="shared" si="147"/>
        <v/>
      </c>
      <c r="FK31" s="354" t="str">
        <f t="shared" si="148"/>
        <v/>
      </c>
      <c r="FL31" s="354" t="str">
        <f t="shared" si="149"/>
        <v/>
      </c>
      <c r="FM31" s="354" t="str">
        <f t="shared" si="150"/>
        <v/>
      </c>
      <c r="FN31" s="354" t="str">
        <f t="shared" si="151"/>
        <v/>
      </c>
      <c r="FO31" s="354" t="str">
        <f t="shared" si="152"/>
        <v/>
      </c>
      <c r="FP31" s="354" t="str">
        <f t="shared" si="153"/>
        <v/>
      </c>
      <c r="FQ31" s="354" t="str">
        <f t="shared" si="154"/>
        <v/>
      </c>
      <c r="FR31" s="354" t="str">
        <f t="shared" si="155"/>
        <v/>
      </c>
      <c r="FS31" s="354" t="str">
        <f t="shared" si="156"/>
        <v/>
      </c>
      <c r="FT31" s="354" t="str">
        <f t="shared" si="157"/>
        <v/>
      </c>
      <c r="FU31" s="354" t="str">
        <f t="shared" si="158"/>
        <v/>
      </c>
      <c r="FV31" s="354" t="str">
        <f t="shared" si="159"/>
        <v/>
      </c>
      <c r="FW31" s="354" t="str">
        <f t="shared" si="160"/>
        <v/>
      </c>
      <c r="FX31" s="354" t="str">
        <f t="shared" si="161"/>
        <v/>
      </c>
      <c r="FY31" s="354" t="str">
        <f t="shared" si="162"/>
        <v/>
      </c>
      <c r="FZ31" s="354" t="str">
        <f t="shared" si="163"/>
        <v/>
      </c>
      <c r="GA31" s="354" t="str">
        <f t="shared" si="164"/>
        <v/>
      </c>
      <c r="GB31" s="354" t="str">
        <f t="shared" si="165"/>
        <v/>
      </c>
      <c r="GC31" s="354" t="str">
        <f t="shared" si="166"/>
        <v/>
      </c>
      <c r="GD31" s="354" t="str">
        <f t="shared" si="167"/>
        <v/>
      </c>
      <c r="GE31" s="354" t="str">
        <f t="shared" si="168"/>
        <v/>
      </c>
      <c r="GF31" s="354" t="str">
        <f t="shared" si="169"/>
        <v/>
      </c>
      <c r="GG31" s="354" t="str">
        <f t="shared" si="170"/>
        <v/>
      </c>
      <c r="GH31" s="354" t="str">
        <f t="shared" si="171"/>
        <v/>
      </c>
      <c r="GI31" s="354" t="str">
        <f t="shared" si="172"/>
        <v/>
      </c>
      <c r="GJ31" s="354" t="str">
        <f t="shared" si="173"/>
        <v/>
      </c>
      <c r="GK31" s="354" t="str">
        <f t="shared" si="174"/>
        <v/>
      </c>
      <c r="GL31" s="354" t="str">
        <f t="shared" si="175"/>
        <v/>
      </c>
      <c r="GM31" s="354" t="str">
        <f t="shared" si="176"/>
        <v/>
      </c>
      <c r="GN31" s="354" t="str">
        <f t="shared" si="177"/>
        <v/>
      </c>
      <c r="GO31" s="354" t="str">
        <f t="shared" si="178"/>
        <v/>
      </c>
      <c r="GP31" s="354" t="str">
        <f t="shared" si="179"/>
        <v/>
      </c>
      <c r="GQ31" s="354" t="str">
        <f t="shared" si="180"/>
        <v/>
      </c>
      <c r="GR31" s="354" t="str">
        <f t="shared" si="181"/>
        <v/>
      </c>
      <c r="GS31" s="354" t="str">
        <f t="shared" si="182"/>
        <v/>
      </c>
      <c r="GT31" s="354" t="str">
        <f t="shared" si="183"/>
        <v/>
      </c>
      <c r="GU31" s="354" t="str">
        <f t="shared" si="184"/>
        <v/>
      </c>
      <c r="GV31" s="354" t="str">
        <f t="shared" si="185"/>
        <v/>
      </c>
      <c r="GW31" s="354" t="str">
        <f t="shared" si="186"/>
        <v/>
      </c>
      <c r="GX31" s="354" t="str">
        <f t="shared" si="187"/>
        <v/>
      </c>
      <c r="GY31" s="354" t="str">
        <f t="shared" si="188"/>
        <v/>
      </c>
      <c r="GZ31" s="354" t="str">
        <f t="shared" si="189"/>
        <v/>
      </c>
      <c r="HA31" s="354" t="str">
        <f t="shared" si="190"/>
        <v/>
      </c>
      <c r="HB31" s="354" t="str">
        <f t="shared" si="191"/>
        <v/>
      </c>
      <c r="HC31" s="354" t="str">
        <f t="shared" si="192"/>
        <v/>
      </c>
      <c r="HD31" s="354" t="str">
        <f t="shared" si="193"/>
        <v/>
      </c>
      <c r="HE31" s="354" t="str">
        <f t="shared" si="194"/>
        <v/>
      </c>
      <c r="HF31" s="354" t="str">
        <f t="shared" si="195"/>
        <v/>
      </c>
      <c r="HG31" s="354" t="str">
        <f t="shared" si="196"/>
        <v/>
      </c>
      <c r="HH31" s="354" t="str">
        <f t="shared" si="197"/>
        <v/>
      </c>
      <c r="HI31" s="354" t="str">
        <f t="shared" si="198"/>
        <v/>
      </c>
      <c r="HJ31" s="354" t="str">
        <f t="shared" si="199"/>
        <v/>
      </c>
      <c r="HK31" s="354" t="str">
        <f t="shared" si="200"/>
        <v/>
      </c>
      <c r="HL31" s="354" t="str">
        <f t="shared" si="201"/>
        <v/>
      </c>
      <c r="HM31" s="354" t="str">
        <f t="shared" si="202"/>
        <v/>
      </c>
      <c r="HN31" s="354" t="str">
        <f t="shared" si="203"/>
        <v/>
      </c>
      <c r="HO31" s="354" t="str">
        <f t="shared" si="204"/>
        <v/>
      </c>
      <c r="HP31" s="354" t="str">
        <f t="shared" si="205"/>
        <v/>
      </c>
      <c r="HQ31" s="354" t="str">
        <f t="shared" si="206"/>
        <v/>
      </c>
      <c r="HR31" s="354" t="str">
        <f t="shared" si="207"/>
        <v/>
      </c>
      <c r="HS31" s="354" t="str">
        <f t="shared" si="208"/>
        <v/>
      </c>
      <c r="HT31" s="354" t="str">
        <f t="shared" si="209"/>
        <v/>
      </c>
      <c r="HU31" s="354" t="str">
        <f t="shared" si="210"/>
        <v/>
      </c>
      <c r="HV31" s="354" t="str">
        <f t="shared" si="211"/>
        <v/>
      </c>
      <c r="HW31" s="354" t="str">
        <f t="shared" si="212"/>
        <v/>
      </c>
      <c r="HX31" s="354" t="str">
        <f t="shared" si="213"/>
        <v/>
      </c>
      <c r="HY31" s="354" t="str">
        <f t="shared" si="214"/>
        <v/>
      </c>
      <c r="HZ31" s="354" t="str">
        <f t="shared" si="215"/>
        <v/>
      </c>
      <c r="IA31" s="354" t="str">
        <f t="shared" si="216"/>
        <v/>
      </c>
      <c r="IB31" s="354" t="str">
        <f t="shared" si="217"/>
        <v/>
      </c>
      <c r="IC31" s="354" t="str">
        <f t="shared" si="218"/>
        <v/>
      </c>
      <c r="ID31" s="355" t="str">
        <f t="shared" si="219"/>
        <v/>
      </c>
      <c r="IE31" s="355" t="str">
        <f t="shared" si="220"/>
        <v/>
      </c>
      <c r="IF31" s="355" t="str">
        <f t="shared" si="221"/>
        <v/>
      </c>
      <c r="IG31" s="355" t="str">
        <f t="shared" si="222"/>
        <v/>
      </c>
      <c r="IH31" s="355" t="str">
        <f t="shared" si="223"/>
        <v/>
      </c>
      <c r="II31" s="344" t="str">
        <f t="shared" si="224"/>
        <v/>
      </c>
      <c r="IJ31" s="344" t="str">
        <f t="shared" si="225"/>
        <v/>
      </c>
      <c r="IK31" s="344" t="str">
        <f t="shared" si="226"/>
        <v/>
      </c>
      <c r="IL31" s="344" t="str">
        <f t="shared" si="227"/>
        <v/>
      </c>
      <c r="IM31" s="344" t="str">
        <f t="shared" si="228"/>
        <v/>
      </c>
      <c r="IN31" s="344" t="str">
        <f t="shared" si="229"/>
        <v/>
      </c>
      <c r="IO31" s="344" t="str">
        <f t="shared" si="230"/>
        <v/>
      </c>
      <c r="IP31" s="344" t="str">
        <f t="shared" si="231"/>
        <v/>
      </c>
      <c r="IQ31" s="344" t="str">
        <f t="shared" si="232"/>
        <v/>
      </c>
      <c r="IR31" s="344" t="str">
        <f t="shared" si="233"/>
        <v/>
      </c>
      <c r="IS31" s="344" t="str">
        <f t="shared" si="234"/>
        <v/>
      </c>
      <c r="IT31" s="344" t="str">
        <f t="shared" si="235"/>
        <v/>
      </c>
      <c r="IU31" s="344" t="str">
        <f t="shared" si="236"/>
        <v/>
      </c>
      <c r="IV31" s="344" t="str">
        <f t="shared" si="237"/>
        <v/>
      </c>
      <c r="IW31" s="344" t="str">
        <f t="shared" si="238"/>
        <v/>
      </c>
      <c r="IX31" s="344" t="str">
        <f t="shared" si="239"/>
        <v/>
      </c>
      <c r="IY31" s="344" t="str">
        <f t="shared" si="240"/>
        <v/>
      </c>
      <c r="IZ31" s="344" t="str">
        <f t="shared" si="241"/>
        <v/>
      </c>
      <c r="JA31" s="344" t="str">
        <f t="shared" si="242"/>
        <v/>
      </c>
      <c r="JB31" s="344" t="str">
        <f t="shared" si="243"/>
        <v/>
      </c>
      <c r="JC31" s="353">
        <f t="shared" si="244"/>
        <v>0</v>
      </c>
      <c r="JD31" s="353">
        <f t="shared" si="245"/>
        <v>0</v>
      </c>
      <c r="JE31" s="353">
        <f t="shared" si="246"/>
        <v>0</v>
      </c>
      <c r="JF31" s="353">
        <f t="shared" si="247"/>
        <v>0</v>
      </c>
      <c r="JG31" s="353">
        <f t="shared" si="248"/>
        <v>0</v>
      </c>
      <c r="JH31" s="353">
        <f t="shared" si="249"/>
        <v>0</v>
      </c>
      <c r="JI31" s="353">
        <f t="shared" si="250"/>
        <v>0</v>
      </c>
      <c r="JJ31" s="353">
        <f t="shared" si="251"/>
        <v>0</v>
      </c>
      <c r="JK31" s="353">
        <f t="shared" si="252"/>
        <v>0</v>
      </c>
      <c r="JL31" s="353">
        <f t="shared" si="253"/>
        <v>0</v>
      </c>
      <c r="JM31" s="353">
        <f t="shared" si="254"/>
        <v>0</v>
      </c>
      <c r="JN31" s="353">
        <f t="shared" si="255"/>
        <v>0</v>
      </c>
      <c r="JO31" s="353">
        <f t="shared" si="256"/>
        <v>0</v>
      </c>
      <c r="JP31" s="353">
        <f t="shared" si="257"/>
        <v>0</v>
      </c>
      <c r="JQ31" s="353">
        <f t="shared" si="258"/>
        <v>0</v>
      </c>
    </row>
    <row r="32" spans="1:277" ht="12" customHeight="1">
      <c r="A32" s="70" t="str">
        <f t="shared" si="0"/>
        <v/>
      </c>
      <c r="B32" s="2628" t="s">
        <v>781</v>
      </c>
      <c r="C32" s="2629"/>
      <c r="D32" s="2630"/>
      <c r="E32" s="2631"/>
      <c r="F32" s="2631"/>
      <c r="G32" s="2631"/>
      <c r="H32" s="2631"/>
      <c r="I32" s="2632">
        <f>IF(C32="",0,HLOOKUP(C32,'Part V-Utility Allowances'!$I$11:$M$21,11))</f>
        <v>0</v>
      </c>
      <c r="J32" s="2633"/>
      <c r="K32" s="488">
        <f t="shared" si="1"/>
        <v>0</v>
      </c>
      <c r="L32" s="488">
        <f t="shared" si="2"/>
        <v>0</v>
      </c>
      <c r="M32" s="2634"/>
      <c r="N32" s="2634"/>
      <c r="O32" s="2634"/>
      <c r="P32" s="2635"/>
      <c r="Q32" s="2636" t="str">
        <f t="shared" si="3"/>
        <v/>
      </c>
      <c r="R32" s="2637" t="str">
        <f>IF(H32="","",IF(C32="Efficiency",Q32/($O$6*VLOOKUP(0,'DCA Underwriting Assumptions'!$J$143:$K$148,2,FALSE)),Q32/($O$6*VLOOKUP(C32,'DCA Underwriting Assumptions'!$J$143:$K$148,2,FALSE))))</f>
        <v/>
      </c>
      <c r="S32" s="2638"/>
      <c r="T32" s="2639"/>
      <c r="U32" s="2594"/>
      <c r="V32" s="2595"/>
      <c r="W32" s="102" t="str">
        <f t="shared" si="4"/>
        <v/>
      </c>
      <c r="X32" s="102" t="str">
        <f t="shared" si="5"/>
        <v/>
      </c>
      <c r="Y32" s="102" t="str">
        <f t="shared" si="6"/>
        <v/>
      </c>
      <c r="Z32" s="102" t="str">
        <f t="shared" si="7"/>
        <v/>
      </c>
      <c r="AA32" s="102" t="str">
        <f t="shared" si="8"/>
        <v/>
      </c>
      <c r="AB32" s="102" t="str">
        <f t="shared" si="9"/>
        <v/>
      </c>
      <c r="AC32" s="102" t="str">
        <f t="shared" si="10"/>
        <v/>
      </c>
      <c r="AD32" s="102" t="str">
        <f t="shared" si="11"/>
        <v/>
      </c>
      <c r="AE32" s="102" t="str">
        <f t="shared" si="12"/>
        <v/>
      </c>
      <c r="AF32" s="102" t="str">
        <f t="shared" si="13"/>
        <v/>
      </c>
      <c r="AG32" s="102" t="str">
        <f t="shared" si="14"/>
        <v/>
      </c>
      <c r="AH32" s="102" t="str">
        <f t="shared" si="15"/>
        <v/>
      </c>
      <c r="AI32" s="102" t="str">
        <f t="shared" si="16"/>
        <v/>
      </c>
      <c r="AJ32" s="102" t="str">
        <f t="shared" si="17"/>
        <v/>
      </c>
      <c r="AK32" s="102" t="str">
        <f t="shared" si="18"/>
        <v/>
      </c>
      <c r="AL32" s="102" t="str">
        <f t="shared" si="19"/>
        <v/>
      </c>
      <c r="AM32" s="102" t="str">
        <f t="shared" si="20"/>
        <v/>
      </c>
      <c r="AN32" s="102" t="str">
        <f t="shared" si="21"/>
        <v/>
      </c>
      <c r="AO32" s="102" t="str">
        <f t="shared" si="22"/>
        <v/>
      </c>
      <c r="AP32" s="102" t="str">
        <f t="shared" si="23"/>
        <v/>
      </c>
      <c r="AQ32" s="102" t="str">
        <f t="shared" si="24"/>
        <v/>
      </c>
      <c r="AR32" s="102" t="str">
        <f t="shared" si="25"/>
        <v/>
      </c>
      <c r="AS32" s="102" t="str">
        <f t="shared" si="26"/>
        <v/>
      </c>
      <c r="AT32" s="102" t="str">
        <f t="shared" si="27"/>
        <v/>
      </c>
      <c r="AU32" s="102" t="str">
        <f t="shared" si="28"/>
        <v/>
      </c>
      <c r="AV32" s="102" t="str">
        <f t="shared" si="29"/>
        <v/>
      </c>
      <c r="AW32" s="102" t="str">
        <f t="shared" si="30"/>
        <v/>
      </c>
      <c r="AX32" s="102" t="str">
        <f t="shared" si="31"/>
        <v/>
      </c>
      <c r="AY32" s="102" t="str">
        <f t="shared" si="32"/>
        <v/>
      </c>
      <c r="AZ32" s="102" t="str">
        <f t="shared" si="33"/>
        <v/>
      </c>
      <c r="BA32" s="102" t="str">
        <f t="shared" si="34"/>
        <v/>
      </c>
      <c r="BB32" s="102" t="str">
        <f t="shared" si="35"/>
        <v/>
      </c>
      <c r="BC32" s="102" t="str">
        <f t="shared" si="36"/>
        <v/>
      </c>
      <c r="BD32" s="102" t="str">
        <f t="shared" si="37"/>
        <v/>
      </c>
      <c r="BE32" s="102" t="str">
        <f t="shared" si="38"/>
        <v/>
      </c>
      <c r="BF32" s="102" t="str">
        <f t="shared" si="39"/>
        <v/>
      </c>
      <c r="BG32" s="102" t="str">
        <f t="shared" si="40"/>
        <v/>
      </c>
      <c r="BH32" s="102" t="str">
        <f t="shared" si="41"/>
        <v/>
      </c>
      <c r="BI32" s="102" t="str">
        <f t="shared" si="42"/>
        <v/>
      </c>
      <c r="BJ32" s="102" t="str">
        <f t="shared" si="43"/>
        <v/>
      </c>
      <c r="BK32" s="102" t="str">
        <f t="shared" si="44"/>
        <v/>
      </c>
      <c r="BL32" s="102" t="str">
        <f t="shared" si="45"/>
        <v/>
      </c>
      <c r="BM32" s="102" t="str">
        <f t="shared" si="46"/>
        <v/>
      </c>
      <c r="BN32" s="102" t="str">
        <f t="shared" si="47"/>
        <v/>
      </c>
      <c r="BO32" s="102" t="str">
        <f t="shared" si="48"/>
        <v/>
      </c>
      <c r="BP32" s="102" t="str">
        <f t="shared" si="49"/>
        <v/>
      </c>
      <c r="BQ32" s="102" t="str">
        <f t="shared" si="50"/>
        <v/>
      </c>
      <c r="BR32" s="102" t="str">
        <f t="shared" si="51"/>
        <v/>
      </c>
      <c r="BS32" s="102" t="str">
        <f t="shared" si="52"/>
        <v/>
      </c>
      <c r="BT32" s="102" t="str">
        <f t="shared" si="53"/>
        <v/>
      </c>
      <c r="BU32" s="102" t="str">
        <f t="shared" si="54"/>
        <v/>
      </c>
      <c r="BV32" s="102" t="str">
        <f t="shared" si="55"/>
        <v/>
      </c>
      <c r="BW32" s="102" t="str">
        <f t="shared" si="56"/>
        <v/>
      </c>
      <c r="BX32" s="102" t="str">
        <f t="shared" si="57"/>
        <v/>
      </c>
      <c r="BY32" s="102" t="str">
        <f t="shared" si="58"/>
        <v/>
      </c>
      <c r="BZ32" s="102" t="str">
        <f t="shared" si="59"/>
        <v/>
      </c>
      <c r="CA32" s="102" t="str">
        <f t="shared" si="60"/>
        <v/>
      </c>
      <c r="CB32" s="102" t="str">
        <f t="shared" si="61"/>
        <v/>
      </c>
      <c r="CC32" s="102" t="str">
        <f t="shared" si="62"/>
        <v/>
      </c>
      <c r="CD32" s="102" t="str">
        <f t="shared" si="63"/>
        <v/>
      </c>
      <c r="CE32" s="102" t="str">
        <f t="shared" si="64"/>
        <v/>
      </c>
      <c r="CF32" s="102" t="str">
        <f t="shared" si="65"/>
        <v/>
      </c>
      <c r="CG32" s="102" t="str">
        <f t="shared" si="66"/>
        <v/>
      </c>
      <c r="CH32" s="102" t="str">
        <f t="shared" si="67"/>
        <v/>
      </c>
      <c r="CI32" s="102" t="str">
        <f t="shared" si="68"/>
        <v/>
      </c>
      <c r="CJ32" s="102" t="str">
        <f t="shared" si="69"/>
        <v/>
      </c>
      <c r="CK32" s="102" t="str">
        <f t="shared" si="70"/>
        <v/>
      </c>
      <c r="CL32" s="102" t="str">
        <f t="shared" si="71"/>
        <v/>
      </c>
      <c r="CM32" s="102" t="str">
        <f t="shared" si="72"/>
        <v/>
      </c>
      <c r="CN32" s="102" t="str">
        <f t="shared" si="73"/>
        <v/>
      </c>
      <c r="CO32" s="102" t="str">
        <f t="shared" si="74"/>
        <v/>
      </c>
      <c r="CP32" s="102" t="str">
        <f t="shared" si="75"/>
        <v/>
      </c>
      <c r="CQ32" s="102" t="str">
        <f t="shared" si="76"/>
        <v/>
      </c>
      <c r="CR32" s="102" t="str">
        <f t="shared" si="77"/>
        <v/>
      </c>
      <c r="CS32" s="102" t="str">
        <f t="shared" si="78"/>
        <v/>
      </c>
      <c r="CT32" s="102" t="str">
        <f t="shared" si="79"/>
        <v/>
      </c>
      <c r="CU32" s="102" t="str">
        <f t="shared" si="80"/>
        <v/>
      </c>
      <c r="CV32" s="102" t="str">
        <f t="shared" si="81"/>
        <v/>
      </c>
      <c r="CW32" s="102" t="str">
        <f t="shared" si="82"/>
        <v/>
      </c>
      <c r="CX32" s="102" t="str">
        <f t="shared" si="83"/>
        <v/>
      </c>
      <c r="CY32" s="102" t="str">
        <f t="shared" si="84"/>
        <v/>
      </c>
      <c r="CZ32" s="102" t="str">
        <f t="shared" si="85"/>
        <v/>
      </c>
      <c r="DA32" s="102" t="str">
        <f t="shared" si="86"/>
        <v/>
      </c>
      <c r="DB32" s="102" t="str">
        <f t="shared" si="87"/>
        <v/>
      </c>
      <c r="DC32" s="102" t="str">
        <f t="shared" si="88"/>
        <v/>
      </c>
      <c r="DD32" s="102" t="str">
        <f t="shared" si="89"/>
        <v/>
      </c>
      <c r="DE32" s="102" t="str">
        <f t="shared" si="90"/>
        <v/>
      </c>
      <c r="DF32" s="102" t="str">
        <f t="shared" si="91"/>
        <v/>
      </c>
      <c r="DG32" s="102" t="str">
        <f t="shared" si="92"/>
        <v/>
      </c>
      <c r="DH32" s="102" t="str">
        <f t="shared" si="93"/>
        <v/>
      </c>
      <c r="DI32" s="102" t="str">
        <f t="shared" si="94"/>
        <v/>
      </c>
      <c r="DJ32" s="102" t="str">
        <f t="shared" si="95"/>
        <v/>
      </c>
      <c r="DK32" s="102" t="str">
        <f t="shared" si="96"/>
        <v/>
      </c>
      <c r="DL32" s="102" t="str">
        <f t="shared" si="97"/>
        <v/>
      </c>
      <c r="DM32" s="102" t="str">
        <f t="shared" si="98"/>
        <v/>
      </c>
      <c r="DN32" s="102" t="str">
        <f t="shared" si="99"/>
        <v/>
      </c>
      <c r="DO32" s="102" t="str">
        <f t="shared" si="100"/>
        <v/>
      </c>
      <c r="DP32" s="102" t="str">
        <f t="shared" si="101"/>
        <v/>
      </c>
      <c r="DQ32" s="102" t="str">
        <f t="shared" si="102"/>
        <v/>
      </c>
      <c r="DR32" s="102" t="str">
        <f t="shared" si="103"/>
        <v/>
      </c>
      <c r="DS32" s="102" t="str">
        <f t="shared" si="104"/>
        <v/>
      </c>
      <c r="DT32" s="102" t="str">
        <f t="shared" si="105"/>
        <v/>
      </c>
      <c r="DU32" s="102" t="str">
        <f t="shared" si="106"/>
        <v/>
      </c>
      <c r="DV32" s="102" t="str">
        <f t="shared" si="107"/>
        <v/>
      </c>
      <c r="DW32" s="102" t="str">
        <f t="shared" si="108"/>
        <v/>
      </c>
      <c r="DX32" s="102" t="str">
        <f t="shared" si="109"/>
        <v/>
      </c>
      <c r="DY32" s="102" t="str">
        <f t="shared" si="110"/>
        <v/>
      </c>
      <c r="DZ32" s="102" t="str">
        <f t="shared" si="111"/>
        <v/>
      </c>
      <c r="EA32" s="102" t="str">
        <f t="shared" si="112"/>
        <v/>
      </c>
      <c r="EB32" s="102" t="str">
        <f t="shared" si="113"/>
        <v/>
      </c>
      <c r="EC32" s="102" t="str">
        <f t="shared" si="114"/>
        <v/>
      </c>
      <c r="ED32" s="102" t="str">
        <f t="shared" si="115"/>
        <v/>
      </c>
      <c r="EE32" s="102" t="str">
        <f t="shared" si="116"/>
        <v/>
      </c>
      <c r="EF32" s="102" t="str">
        <f t="shared" si="117"/>
        <v/>
      </c>
      <c r="EG32" s="102" t="str">
        <f t="shared" si="118"/>
        <v/>
      </c>
      <c r="EH32" s="102" t="str">
        <f t="shared" si="119"/>
        <v/>
      </c>
      <c r="EI32" s="102" t="str">
        <f t="shared" si="120"/>
        <v/>
      </c>
      <c r="EJ32" s="102" t="str">
        <f t="shared" si="121"/>
        <v/>
      </c>
      <c r="EK32" s="102" t="str">
        <f t="shared" si="122"/>
        <v/>
      </c>
      <c r="EL32" s="102" t="str">
        <f t="shared" si="123"/>
        <v/>
      </c>
      <c r="EM32" s="102" t="str">
        <f t="shared" si="124"/>
        <v/>
      </c>
      <c r="EN32" s="102" t="str">
        <f t="shared" si="125"/>
        <v/>
      </c>
      <c r="EO32" s="102" t="str">
        <f t="shared" si="126"/>
        <v/>
      </c>
      <c r="EP32" s="102" t="str">
        <f t="shared" si="127"/>
        <v/>
      </c>
      <c r="EQ32" s="102" t="str">
        <f t="shared" si="128"/>
        <v/>
      </c>
      <c r="ER32" s="102" t="str">
        <f t="shared" si="129"/>
        <v/>
      </c>
      <c r="ES32" s="102" t="str">
        <f t="shared" si="130"/>
        <v/>
      </c>
      <c r="ET32" s="102" t="str">
        <f t="shared" si="131"/>
        <v/>
      </c>
      <c r="EU32" s="102" t="str">
        <f t="shared" si="132"/>
        <v/>
      </c>
      <c r="EV32" s="102" t="str">
        <f t="shared" si="133"/>
        <v/>
      </c>
      <c r="EW32" s="792" t="str">
        <f t="shared" si="134"/>
        <v/>
      </c>
      <c r="EX32" s="354" t="str">
        <f t="shared" si="135"/>
        <v/>
      </c>
      <c r="EY32" s="354" t="str">
        <f t="shared" si="136"/>
        <v/>
      </c>
      <c r="EZ32" s="354" t="str">
        <f t="shared" si="137"/>
        <v/>
      </c>
      <c r="FA32" s="354" t="str">
        <f t="shared" si="138"/>
        <v/>
      </c>
      <c r="FB32" s="354" t="str">
        <f t="shared" si="139"/>
        <v/>
      </c>
      <c r="FC32" s="354" t="str">
        <f t="shared" si="140"/>
        <v/>
      </c>
      <c r="FD32" s="354" t="str">
        <f t="shared" si="141"/>
        <v/>
      </c>
      <c r="FE32" s="354" t="str">
        <f t="shared" si="142"/>
        <v/>
      </c>
      <c r="FF32" s="354" t="str">
        <f t="shared" si="143"/>
        <v/>
      </c>
      <c r="FG32" s="354" t="str">
        <f t="shared" si="144"/>
        <v/>
      </c>
      <c r="FH32" s="354" t="str">
        <f t="shared" si="145"/>
        <v/>
      </c>
      <c r="FI32" s="354" t="str">
        <f t="shared" si="146"/>
        <v/>
      </c>
      <c r="FJ32" s="354" t="str">
        <f t="shared" si="147"/>
        <v/>
      </c>
      <c r="FK32" s="354" t="str">
        <f t="shared" si="148"/>
        <v/>
      </c>
      <c r="FL32" s="354" t="str">
        <f t="shared" si="149"/>
        <v/>
      </c>
      <c r="FM32" s="354" t="str">
        <f t="shared" si="150"/>
        <v/>
      </c>
      <c r="FN32" s="354" t="str">
        <f t="shared" si="151"/>
        <v/>
      </c>
      <c r="FO32" s="354" t="str">
        <f t="shared" si="152"/>
        <v/>
      </c>
      <c r="FP32" s="354" t="str">
        <f t="shared" si="153"/>
        <v/>
      </c>
      <c r="FQ32" s="354" t="str">
        <f t="shared" si="154"/>
        <v/>
      </c>
      <c r="FR32" s="354" t="str">
        <f t="shared" si="155"/>
        <v/>
      </c>
      <c r="FS32" s="354" t="str">
        <f t="shared" si="156"/>
        <v/>
      </c>
      <c r="FT32" s="354" t="str">
        <f t="shared" si="157"/>
        <v/>
      </c>
      <c r="FU32" s="354" t="str">
        <f t="shared" si="158"/>
        <v/>
      </c>
      <c r="FV32" s="354" t="str">
        <f t="shared" si="159"/>
        <v/>
      </c>
      <c r="FW32" s="354" t="str">
        <f t="shared" si="160"/>
        <v/>
      </c>
      <c r="FX32" s="354" t="str">
        <f t="shared" si="161"/>
        <v/>
      </c>
      <c r="FY32" s="354" t="str">
        <f t="shared" si="162"/>
        <v/>
      </c>
      <c r="FZ32" s="354" t="str">
        <f t="shared" si="163"/>
        <v/>
      </c>
      <c r="GA32" s="354" t="str">
        <f t="shared" si="164"/>
        <v/>
      </c>
      <c r="GB32" s="354" t="str">
        <f t="shared" si="165"/>
        <v/>
      </c>
      <c r="GC32" s="354" t="str">
        <f t="shared" si="166"/>
        <v/>
      </c>
      <c r="GD32" s="354" t="str">
        <f t="shared" si="167"/>
        <v/>
      </c>
      <c r="GE32" s="354" t="str">
        <f t="shared" si="168"/>
        <v/>
      </c>
      <c r="GF32" s="354" t="str">
        <f t="shared" si="169"/>
        <v/>
      </c>
      <c r="GG32" s="354" t="str">
        <f t="shared" si="170"/>
        <v/>
      </c>
      <c r="GH32" s="354" t="str">
        <f t="shared" si="171"/>
        <v/>
      </c>
      <c r="GI32" s="354" t="str">
        <f t="shared" si="172"/>
        <v/>
      </c>
      <c r="GJ32" s="354" t="str">
        <f t="shared" si="173"/>
        <v/>
      </c>
      <c r="GK32" s="354" t="str">
        <f t="shared" si="174"/>
        <v/>
      </c>
      <c r="GL32" s="354" t="str">
        <f t="shared" si="175"/>
        <v/>
      </c>
      <c r="GM32" s="354" t="str">
        <f t="shared" si="176"/>
        <v/>
      </c>
      <c r="GN32" s="354" t="str">
        <f t="shared" si="177"/>
        <v/>
      </c>
      <c r="GO32" s="354" t="str">
        <f t="shared" si="178"/>
        <v/>
      </c>
      <c r="GP32" s="354" t="str">
        <f t="shared" si="179"/>
        <v/>
      </c>
      <c r="GQ32" s="354" t="str">
        <f t="shared" si="180"/>
        <v/>
      </c>
      <c r="GR32" s="354" t="str">
        <f t="shared" si="181"/>
        <v/>
      </c>
      <c r="GS32" s="354" t="str">
        <f t="shared" si="182"/>
        <v/>
      </c>
      <c r="GT32" s="354" t="str">
        <f t="shared" si="183"/>
        <v/>
      </c>
      <c r="GU32" s="354" t="str">
        <f t="shared" si="184"/>
        <v/>
      </c>
      <c r="GV32" s="354" t="str">
        <f t="shared" si="185"/>
        <v/>
      </c>
      <c r="GW32" s="354" t="str">
        <f t="shared" si="186"/>
        <v/>
      </c>
      <c r="GX32" s="354" t="str">
        <f t="shared" si="187"/>
        <v/>
      </c>
      <c r="GY32" s="354" t="str">
        <f t="shared" si="188"/>
        <v/>
      </c>
      <c r="GZ32" s="354" t="str">
        <f t="shared" si="189"/>
        <v/>
      </c>
      <c r="HA32" s="354" t="str">
        <f t="shared" si="190"/>
        <v/>
      </c>
      <c r="HB32" s="354" t="str">
        <f t="shared" si="191"/>
        <v/>
      </c>
      <c r="HC32" s="354" t="str">
        <f t="shared" si="192"/>
        <v/>
      </c>
      <c r="HD32" s="354" t="str">
        <f t="shared" si="193"/>
        <v/>
      </c>
      <c r="HE32" s="354" t="str">
        <f t="shared" si="194"/>
        <v/>
      </c>
      <c r="HF32" s="354" t="str">
        <f t="shared" si="195"/>
        <v/>
      </c>
      <c r="HG32" s="354" t="str">
        <f t="shared" si="196"/>
        <v/>
      </c>
      <c r="HH32" s="354" t="str">
        <f t="shared" si="197"/>
        <v/>
      </c>
      <c r="HI32" s="354" t="str">
        <f t="shared" si="198"/>
        <v/>
      </c>
      <c r="HJ32" s="354" t="str">
        <f t="shared" si="199"/>
        <v/>
      </c>
      <c r="HK32" s="354" t="str">
        <f t="shared" si="200"/>
        <v/>
      </c>
      <c r="HL32" s="354" t="str">
        <f t="shared" si="201"/>
        <v/>
      </c>
      <c r="HM32" s="354" t="str">
        <f t="shared" si="202"/>
        <v/>
      </c>
      <c r="HN32" s="354" t="str">
        <f t="shared" si="203"/>
        <v/>
      </c>
      <c r="HO32" s="354" t="str">
        <f t="shared" si="204"/>
        <v/>
      </c>
      <c r="HP32" s="354" t="str">
        <f t="shared" si="205"/>
        <v/>
      </c>
      <c r="HQ32" s="354" t="str">
        <f t="shared" si="206"/>
        <v/>
      </c>
      <c r="HR32" s="354" t="str">
        <f t="shared" si="207"/>
        <v/>
      </c>
      <c r="HS32" s="354" t="str">
        <f t="shared" si="208"/>
        <v/>
      </c>
      <c r="HT32" s="354" t="str">
        <f t="shared" si="209"/>
        <v/>
      </c>
      <c r="HU32" s="354" t="str">
        <f t="shared" si="210"/>
        <v/>
      </c>
      <c r="HV32" s="354" t="str">
        <f t="shared" si="211"/>
        <v/>
      </c>
      <c r="HW32" s="354" t="str">
        <f t="shared" si="212"/>
        <v/>
      </c>
      <c r="HX32" s="354" t="str">
        <f t="shared" si="213"/>
        <v/>
      </c>
      <c r="HY32" s="354" t="str">
        <f t="shared" si="214"/>
        <v/>
      </c>
      <c r="HZ32" s="354" t="str">
        <f t="shared" si="215"/>
        <v/>
      </c>
      <c r="IA32" s="354" t="str">
        <f t="shared" si="216"/>
        <v/>
      </c>
      <c r="IB32" s="354" t="str">
        <f t="shared" si="217"/>
        <v/>
      </c>
      <c r="IC32" s="354" t="str">
        <f t="shared" si="218"/>
        <v/>
      </c>
      <c r="ID32" s="355" t="str">
        <f t="shared" si="219"/>
        <v/>
      </c>
      <c r="IE32" s="355" t="str">
        <f t="shared" si="220"/>
        <v/>
      </c>
      <c r="IF32" s="355" t="str">
        <f t="shared" si="221"/>
        <v/>
      </c>
      <c r="IG32" s="355" t="str">
        <f t="shared" si="222"/>
        <v/>
      </c>
      <c r="IH32" s="355" t="str">
        <f t="shared" si="223"/>
        <v/>
      </c>
      <c r="II32" s="344" t="str">
        <f t="shared" si="224"/>
        <v/>
      </c>
      <c r="IJ32" s="344" t="str">
        <f t="shared" si="225"/>
        <v/>
      </c>
      <c r="IK32" s="344" t="str">
        <f t="shared" si="226"/>
        <v/>
      </c>
      <c r="IL32" s="344" t="str">
        <f t="shared" si="227"/>
        <v/>
      </c>
      <c r="IM32" s="344" t="str">
        <f t="shared" si="228"/>
        <v/>
      </c>
      <c r="IN32" s="344" t="str">
        <f t="shared" si="229"/>
        <v/>
      </c>
      <c r="IO32" s="344" t="str">
        <f t="shared" si="230"/>
        <v/>
      </c>
      <c r="IP32" s="344" t="str">
        <f t="shared" si="231"/>
        <v/>
      </c>
      <c r="IQ32" s="344" t="str">
        <f t="shared" si="232"/>
        <v/>
      </c>
      <c r="IR32" s="344" t="str">
        <f t="shared" si="233"/>
        <v/>
      </c>
      <c r="IS32" s="344" t="str">
        <f t="shared" si="234"/>
        <v/>
      </c>
      <c r="IT32" s="344" t="str">
        <f t="shared" si="235"/>
        <v/>
      </c>
      <c r="IU32" s="344" t="str">
        <f t="shared" si="236"/>
        <v/>
      </c>
      <c r="IV32" s="344" t="str">
        <f t="shared" si="237"/>
        <v/>
      </c>
      <c r="IW32" s="344" t="str">
        <f t="shared" si="238"/>
        <v/>
      </c>
      <c r="IX32" s="344" t="str">
        <f t="shared" si="239"/>
        <v/>
      </c>
      <c r="IY32" s="344" t="str">
        <f t="shared" si="240"/>
        <v/>
      </c>
      <c r="IZ32" s="344" t="str">
        <f t="shared" si="241"/>
        <v/>
      </c>
      <c r="JA32" s="344" t="str">
        <f t="shared" si="242"/>
        <v/>
      </c>
      <c r="JB32" s="344" t="str">
        <f t="shared" si="243"/>
        <v/>
      </c>
      <c r="JC32" s="353">
        <f t="shared" si="244"/>
        <v>0</v>
      </c>
      <c r="JD32" s="353">
        <f t="shared" si="245"/>
        <v>0</v>
      </c>
      <c r="JE32" s="353">
        <f t="shared" si="246"/>
        <v>0</v>
      </c>
      <c r="JF32" s="353">
        <f t="shared" si="247"/>
        <v>0</v>
      </c>
      <c r="JG32" s="353">
        <f t="shared" si="248"/>
        <v>0</v>
      </c>
      <c r="JH32" s="353">
        <f t="shared" si="249"/>
        <v>0</v>
      </c>
      <c r="JI32" s="353">
        <f t="shared" si="250"/>
        <v>0</v>
      </c>
      <c r="JJ32" s="353">
        <f t="shared" si="251"/>
        <v>0</v>
      </c>
      <c r="JK32" s="353">
        <f t="shared" si="252"/>
        <v>0</v>
      </c>
      <c r="JL32" s="353">
        <f t="shared" si="253"/>
        <v>0</v>
      </c>
      <c r="JM32" s="353">
        <f t="shared" si="254"/>
        <v>0</v>
      </c>
      <c r="JN32" s="353">
        <f t="shared" si="255"/>
        <v>0</v>
      </c>
      <c r="JO32" s="353">
        <f t="shared" si="256"/>
        <v>0</v>
      </c>
      <c r="JP32" s="353">
        <f t="shared" si="257"/>
        <v>0</v>
      </c>
      <c r="JQ32" s="353">
        <f t="shared" si="258"/>
        <v>0</v>
      </c>
    </row>
    <row r="33" spans="1:296" ht="12" customHeight="1">
      <c r="A33" s="70" t="str">
        <f t="shared" si="0"/>
        <v/>
      </c>
      <c r="B33" s="2628" t="s">
        <v>781</v>
      </c>
      <c r="C33" s="2629"/>
      <c r="D33" s="2630"/>
      <c r="E33" s="2631"/>
      <c r="F33" s="2631"/>
      <c r="G33" s="2631"/>
      <c r="H33" s="2631"/>
      <c r="I33" s="2632">
        <f>IF(C33="",0,HLOOKUP(C33,'Part V-Utility Allowances'!$I$11:$M$21,11))</f>
        <v>0</v>
      </c>
      <c r="J33" s="2633"/>
      <c r="K33" s="488">
        <f t="shared" si="1"/>
        <v>0</v>
      </c>
      <c r="L33" s="488">
        <f t="shared" si="2"/>
        <v>0</v>
      </c>
      <c r="M33" s="2634"/>
      <c r="N33" s="2634"/>
      <c r="O33" s="2634"/>
      <c r="P33" s="2635"/>
      <c r="Q33" s="2636" t="str">
        <f t="shared" si="3"/>
        <v/>
      </c>
      <c r="R33" s="2637" t="str">
        <f>IF(H33="","",IF(C33="Efficiency",Q33/($O$6*VLOOKUP(0,'DCA Underwriting Assumptions'!$J$143:$K$148,2,FALSE)),Q33/($O$6*VLOOKUP(C33,'DCA Underwriting Assumptions'!$J$143:$K$148,2,FALSE))))</f>
        <v/>
      </c>
      <c r="S33" s="2638"/>
      <c r="T33" s="2639"/>
      <c r="U33" s="2594"/>
      <c r="V33" s="2595"/>
      <c r="W33" s="102" t="str">
        <f t="shared" si="4"/>
        <v/>
      </c>
      <c r="X33" s="102" t="str">
        <f t="shared" si="5"/>
        <v/>
      </c>
      <c r="Y33" s="102" t="str">
        <f t="shared" si="6"/>
        <v/>
      </c>
      <c r="Z33" s="102" t="str">
        <f t="shared" si="7"/>
        <v/>
      </c>
      <c r="AA33" s="102" t="str">
        <f t="shared" si="8"/>
        <v/>
      </c>
      <c r="AB33" s="102" t="str">
        <f t="shared" si="9"/>
        <v/>
      </c>
      <c r="AC33" s="102" t="str">
        <f t="shared" si="10"/>
        <v/>
      </c>
      <c r="AD33" s="102" t="str">
        <f t="shared" si="11"/>
        <v/>
      </c>
      <c r="AE33" s="102" t="str">
        <f t="shared" si="12"/>
        <v/>
      </c>
      <c r="AF33" s="102" t="str">
        <f t="shared" si="13"/>
        <v/>
      </c>
      <c r="AG33" s="102" t="str">
        <f t="shared" si="14"/>
        <v/>
      </c>
      <c r="AH33" s="102" t="str">
        <f t="shared" si="15"/>
        <v/>
      </c>
      <c r="AI33" s="102" t="str">
        <f t="shared" si="16"/>
        <v/>
      </c>
      <c r="AJ33" s="102" t="str">
        <f t="shared" si="17"/>
        <v/>
      </c>
      <c r="AK33" s="102" t="str">
        <f t="shared" si="18"/>
        <v/>
      </c>
      <c r="AL33" s="102" t="str">
        <f t="shared" si="19"/>
        <v/>
      </c>
      <c r="AM33" s="102" t="str">
        <f t="shared" si="20"/>
        <v/>
      </c>
      <c r="AN33" s="102" t="str">
        <f t="shared" si="21"/>
        <v/>
      </c>
      <c r="AO33" s="102" t="str">
        <f t="shared" si="22"/>
        <v/>
      </c>
      <c r="AP33" s="102" t="str">
        <f t="shared" si="23"/>
        <v/>
      </c>
      <c r="AQ33" s="102" t="str">
        <f t="shared" si="24"/>
        <v/>
      </c>
      <c r="AR33" s="102" t="str">
        <f t="shared" si="25"/>
        <v/>
      </c>
      <c r="AS33" s="102" t="str">
        <f t="shared" si="26"/>
        <v/>
      </c>
      <c r="AT33" s="102" t="str">
        <f t="shared" si="27"/>
        <v/>
      </c>
      <c r="AU33" s="102" t="str">
        <f t="shared" si="28"/>
        <v/>
      </c>
      <c r="AV33" s="102" t="str">
        <f t="shared" si="29"/>
        <v/>
      </c>
      <c r="AW33" s="102" t="str">
        <f t="shared" si="30"/>
        <v/>
      </c>
      <c r="AX33" s="102" t="str">
        <f t="shared" si="31"/>
        <v/>
      </c>
      <c r="AY33" s="102" t="str">
        <f t="shared" si="32"/>
        <v/>
      </c>
      <c r="AZ33" s="102" t="str">
        <f t="shared" si="33"/>
        <v/>
      </c>
      <c r="BA33" s="102" t="str">
        <f t="shared" si="34"/>
        <v/>
      </c>
      <c r="BB33" s="102" t="str">
        <f t="shared" si="35"/>
        <v/>
      </c>
      <c r="BC33" s="102" t="str">
        <f t="shared" si="36"/>
        <v/>
      </c>
      <c r="BD33" s="102" t="str">
        <f t="shared" si="37"/>
        <v/>
      </c>
      <c r="BE33" s="102" t="str">
        <f t="shared" si="38"/>
        <v/>
      </c>
      <c r="BF33" s="102" t="str">
        <f t="shared" si="39"/>
        <v/>
      </c>
      <c r="BG33" s="102" t="str">
        <f t="shared" si="40"/>
        <v/>
      </c>
      <c r="BH33" s="102" t="str">
        <f t="shared" si="41"/>
        <v/>
      </c>
      <c r="BI33" s="102" t="str">
        <f t="shared" si="42"/>
        <v/>
      </c>
      <c r="BJ33" s="102" t="str">
        <f t="shared" si="43"/>
        <v/>
      </c>
      <c r="BK33" s="102" t="str">
        <f t="shared" si="44"/>
        <v/>
      </c>
      <c r="BL33" s="102" t="str">
        <f t="shared" si="45"/>
        <v/>
      </c>
      <c r="BM33" s="102" t="str">
        <f t="shared" si="46"/>
        <v/>
      </c>
      <c r="BN33" s="102" t="str">
        <f t="shared" si="47"/>
        <v/>
      </c>
      <c r="BO33" s="102" t="str">
        <f t="shared" si="48"/>
        <v/>
      </c>
      <c r="BP33" s="102" t="str">
        <f t="shared" si="49"/>
        <v/>
      </c>
      <c r="BQ33" s="102" t="str">
        <f t="shared" si="50"/>
        <v/>
      </c>
      <c r="BR33" s="102" t="str">
        <f t="shared" si="51"/>
        <v/>
      </c>
      <c r="BS33" s="102" t="str">
        <f t="shared" si="52"/>
        <v/>
      </c>
      <c r="BT33" s="102" t="str">
        <f t="shared" si="53"/>
        <v/>
      </c>
      <c r="BU33" s="102" t="str">
        <f t="shared" si="54"/>
        <v/>
      </c>
      <c r="BV33" s="102" t="str">
        <f t="shared" si="55"/>
        <v/>
      </c>
      <c r="BW33" s="102" t="str">
        <f t="shared" si="56"/>
        <v/>
      </c>
      <c r="BX33" s="102" t="str">
        <f t="shared" si="57"/>
        <v/>
      </c>
      <c r="BY33" s="102" t="str">
        <f t="shared" si="58"/>
        <v/>
      </c>
      <c r="BZ33" s="102" t="str">
        <f t="shared" si="59"/>
        <v/>
      </c>
      <c r="CA33" s="102" t="str">
        <f t="shared" si="60"/>
        <v/>
      </c>
      <c r="CB33" s="102" t="str">
        <f t="shared" si="61"/>
        <v/>
      </c>
      <c r="CC33" s="102" t="str">
        <f t="shared" si="62"/>
        <v/>
      </c>
      <c r="CD33" s="102" t="str">
        <f t="shared" si="63"/>
        <v/>
      </c>
      <c r="CE33" s="102" t="str">
        <f t="shared" si="64"/>
        <v/>
      </c>
      <c r="CF33" s="102" t="str">
        <f t="shared" si="65"/>
        <v/>
      </c>
      <c r="CG33" s="102" t="str">
        <f t="shared" si="66"/>
        <v/>
      </c>
      <c r="CH33" s="102" t="str">
        <f t="shared" si="67"/>
        <v/>
      </c>
      <c r="CI33" s="102" t="str">
        <f t="shared" si="68"/>
        <v/>
      </c>
      <c r="CJ33" s="102" t="str">
        <f t="shared" si="69"/>
        <v/>
      </c>
      <c r="CK33" s="102" t="str">
        <f t="shared" si="70"/>
        <v/>
      </c>
      <c r="CL33" s="102" t="str">
        <f t="shared" si="71"/>
        <v/>
      </c>
      <c r="CM33" s="102" t="str">
        <f t="shared" si="72"/>
        <v/>
      </c>
      <c r="CN33" s="102" t="str">
        <f t="shared" si="73"/>
        <v/>
      </c>
      <c r="CO33" s="102" t="str">
        <f t="shared" si="74"/>
        <v/>
      </c>
      <c r="CP33" s="102" t="str">
        <f t="shared" si="75"/>
        <v/>
      </c>
      <c r="CQ33" s="102" t="str">
        <f t="shared" si="76"/>
        <v/>
      </c>
      <c r="CR33" s="102" t="str">
        <f t="shared" si="77"/>
        <v/>
      </c>
      <c r="CS33" s="102" t="str">
        <f t="shared" si="78"/>
        <v/>
      </c>
      <c r="CT33" s="102" t="str">
        <f t="shared" si="79"/>
        <v/>
      </c>
      <c r="CU33" s="102" t="str">
        <f t="shared" si="80"/>
        <v/>
      </c>
      <c r="CV33" s="102" t="str">
        <f t="shared" si="81"/>
        <v/>
      </c>
      <c r="CW33" s="102" t="str">
        <f t="shared" si="82"/>
        <v/>
      </c>
      <c r="CX33" s="102" t="str">
        <f t="shared" si="83"/>
        <v/>
      </c>
      <c r="CY33" s="102" t="str">
        <f t="shared" si="84"/>
        <v/>
      </c>
      <c r="CZ33" s="102" t="str">
        <f t="shared" si="85"/>
        <v/>
      </c>
      <c r="DA33" s="102" t="str">
        <f t="shared" si="86"/>
        <v/>
      </c>
      <c r="DB33" s="102" t="str">
        <f t="shared" si="87"/>
        <v/>
      </c>
      <c r="DC33" s="102" t="str">
        <f t="shared" si="88"/>
        <v/>
      </c>
      <c r="DD33" s="102" t="str">
        <f t="shared" si="89"/>
        <v/>
      </c>
      <c r="DE33" s="102" t="str">
        <f t="shared" si="90"/>
        <v/>
      </c>
      <c r="DF33" s="102" t="str">
        <f t="shared" si="91"/>
        <v/>
      </c>
      <c r="DG33" s="102" t="str">
        <f t="shared" si="92"/>
        <v/>
      </c>
      <c r="DH33" s="102" t="str">
        <f t="shared" si="93"/>
        <v/>
      </c>
      <c r="DI33" s="102" t="str">
        <f t="shared" si="94"/>
        <v/>
      </c>
      <c r="DJ33" s="102" t="str">
        <f t="shared" si="95"/>
        <v/>
      </c>
      <c r="DK33" s="102" t="str">
        <f t="shared" si="96"/>
        <v/>
      </c>
      <c r="DL33" s="102" t="str">
        <f t="shared" si="97"/>
        <v/>
      </c>
      <c r="DM33" s="102" t="str">
        <f t="shared" si="98"/>
        <v/>
      </c>
      <c r="DN33" s="102" t="str">
        <f t="shared" si="99"/>
        <v/>
      </c>
      <c r="DO33" s="102" t="str">
        <f t="shared" si="100"/>
        <v/>
      </c>
      <c r="DP33" s="102" t="str">
        <f t="shared" si="101"/>
        <v/>
      </c>
      <c r="DQ33" s="102" t="str">
        <f t="shared" si="102"/>
        <v/>
      </c>
      <c r="DR33" s="102" t="str">
        <f t="shared" si="103"/>
        <v/>
      </c>
      <c r="DS33" s="102" t="str">
        <f t="shared" si="104"/>
        <v/>
      </c>
      <c r="DT33" s="102" t="str">
        <f t="shared" si="105"/>
        <v/>
      </c>
      <c r="DU33" s="102" t="str">
        <f t="shared" si="106"/>
        <v/>
      </c>
      <c r="DV33" s="102" t="str">
        <f t="shared" si="107"/>
        <v/>
      </c>
      <c r="DW33" s="102" t="str">
        <f t="shared" si="108"/>
        <v/>
      </c>
      <c r="DX33" s="102" t="str">
        <f t="shared" si="109"/>
        <v/>
      </c>
      <c r="DY33" s="102" t="str">
        <f t="shared" si="110"/>
        <v/>
      </c>
      <c r="DZ33" s="102" t="str">
        <f t="shared" si="111"/>
        <v/>
      </c>
      <c r="EA33" s="102" t="str">
        <f t="shared" si="112"/>
        <v/>
      </c>
      <c r="EB33" s="102" t="str">
        <f t="shared" si="113"/>
        <v/>
      </c>
      <c r="EC33" s="102" t="str">
        <f t="shared" si="114"/>
        <v/>
      </c>
      <c r="ED33" s="102" t="str">
        <f t="shared" si="115"/>
        <v/>
      </c>
      <c r="EE33" s="102" t="str">
        <f t="shared" si="116"/>
        <v/>
      </c>
      <c r="EF33" s="102" t="str">
        <f t="shared" si="117"/>
        <v/>
      </c>
      <c r="EG33" s="102" t="str">
        <f t="shared" si="118"/>
        <v/>
      </c>
      <c r="EH33" s="102" t="str">
        <f t="shared" si="119"/>
        <v/>
      </c>
      <c r="EI33" s="102" t="str">
        <f t="shared" si="120"/>
        <v/>
      </c>
      <c r="EJ33" s="102" t="str">
        <f t="shared" si="121"/>
        <v/>
      </c>
      <c r="EK33" s="102" t="str">
        <f t="shared" si="122"/>
        <v/>
      </c>
      <c r="EL33" s="102" t="str">
        <f t="shared" si="123"/>
        <v/>
      </c>
      <c r="EM33" s="102" t="str">
        <f t="shared" si="124"/>
        <v/>
      </c>
      <c r="EN33" s="102" t="str">
        <f t="shared" si="125"/>
        <v/>
      </c>
      <c r="EO33" s="102" t="str">
        <f t="shared" si="126"/>
        <v/>
      </c>
      <c r="EP33" s="102" t="str">
        <f t="shared" si="127"/>
        <v/>
      </c>
      <c r="EQ33" s="102" t="str">
        <f t="shared" si="128"/>
        <v/>
      </c>
      <c r="ER33" s="102" t="str">
        <f t="shared" si="129"/>
        <v/>
      </c>
      <c r="ES33" s="102" t="str">
        <f t="shared" si="130"/>
        <v/>
      </c>
      <c r="ET33" s="102" t="str">
        <f t="shared" si="131"/>
        <v/>
      </c>
      <c r="EU33" s="102" t="str">
        <f t="shared" si="132"/>
        <v/>
      </c>
      <c r="EV33" s="102" t="str">
        <f t="shared" si="133"/>
        <v/>
      </c>
      <c r="EW33" s="792" t="str">
        <f t="shared" si="134"/>
        <v/>
      </c>
      <c r="EX33" s="354" t="str">
        <f t="shared" si="135"/>
        <v/>
      </c>
      <c r="EY33" s="354" t="str">
        <f t="shared" si="136"/>
        <v/>
      </c>
      <c r="EZ33" s="354" t="str">
        <f t="shared" si="137"/>
        <v/>
      </c>
      <c r="FA33" s="354" t="str">
        <f t="shared" si="138"/>
        <v/>
      </c>
      <c r="FB33" s="354" t="str">
        <f t="shared" si="139"/>
        <v/>
      </c>
      <c r="FC33" s="354" t="str">
        <f t="shared" si="140"/>
        <v/>
      </c>
      <c r="FD33" s="354" t="str">
        <f t="shared" si="141"/>
        <v/>
      </c>
      <c r="FE33" s="354" t="str">
        <f t="shared" si="142"/>
        <v/>
      </c>
      <c r="FF33" s="354" t="str">
        <f t="shared" si="143"/>
        <v/>
      </c>
      <c r="FG33" s="354" t="str">
        <f t="shared" si="144"/>
        <v/>
      </c>
      <c r="FH33" s="354" t="str">
        <f t="shared" si="145"/>
        <v/>
      </c>
      <c r="FI33" s="354" t="str">
        <f t="shared" si="146"/>
        <v/>
      </c>
      <c r="FJ33" s="354" t="str">
        <f t="shared" si="147"/>
        <v/>
      </c>
      <c r="FK33" s="354" t="str">
        <f t="shared" si="148"/>
        <v/>
      </c>
      <c r="FL33" s="354" t="str">
        <f t="shared" si="149"/>
        <v/>
      </c>
      <c r="FM33" s="354" t="str">
        <f t="shared" si="150"/>
        <v/>
      </c>
      <c r="FN33" s="354" t="str">
        <f t="shared" si="151"/>
        <v/>
      </c>
      <c r="FO33" s="354" t="str">
        <f t="shared" si="152"/>
        <v/>
      </c>
      <c r="FP33" s="354" t="str">
        <f t="shared" si="153"/>
        <v/>
      </c>
      <c r="FQ33" s="354" t="str">
        <f t="shared" si="154"/>
        <v/>
      </c>
      <c r="FR33" s="354" t="str">
        <f t="shared" si="155"/>
        <v/>
      </c>
      <c r="FS33" s="354" t="str">
        <f t="shared" si="156"/>
        <v/>
      </c>
      <c r="FT33" s="354" t="str">
        <f t="shared" si="157"/>
        <v/>
      </c>
      <c r="FU33" s="354" t="str">
        <f t="shared" si="158"/>
        <v/>
      </c>
      <c r="FV33" s="354" t="str">
        <f t="shared" si="159"/>
        <v/>
      </c>
      <c r="FW33" s="354" t="str">
        <f t="shared" si="160"/>
        <v/>
      </c>
      <c r="FX33" s="354" t="str">
        <f t="shared" si="161"/>
        <v/>
      </c>
      <c r="FY33" s="354" t="str">
        <f t="shared" si="162"/>
        <v/>
      </c>
      <c r="FZ33" s="354" t="str">
        <f t="shared" si="163"/>
        <v/>
      </c>
      <c r="GA33" s="354" t="str">
        <f t="shared" si="164"/>
        <v/>
      </c>
      <c r="GB33" s="354" t="str">
        <f t="shared" si="165"/>
        <v/>
      </c>
      <c r="GC33" s="354" t="str">
        <f t="shared" si="166"/>
        <v/>
      </c>
      <c r="GD33" s="354" t="str">
        <f t="shared" si="167"/>
        <v/>
      </c>
      <c r="GE33" s="354" t="str">
        <f t="shared" si="168"/>
        <v/>
      </c>
      <c r="GF33" s="354" t="str">
        <f t="shared" si="169"/>
        <v/>
      </c>
      <c r="GG33" s="354" t="str">
        <f t="shared" si="170"/>
        <v/>
      </c>
      <c r="GH33" s="354" t="str">
        <f t="shared" si="171"/>
        <v/>
      </c>
      <c r="GI33" s="354" t="str">
        <f t="shared" si="172"/>
        <v/>
      </c>
      <c r="GJ33" s="354" t="str">
        <f t="shared" si="173"/>
        <v/>
      </c>
      <c r="GK33" s="354" t="str">
        <f t="shared" si="174"/>
        <v/>
      </c>
      <c r="GL33" s="354" t="str">
        <f t="shared" si="175"/>
        <v/>
      </c>
      <c r="GM33" s="354" t="str">
        <f t="shared" si="176"/>
        <v/>
      </c>
      <c r="GN33" s="354" t="str">
        <f t="shared" si="177"/>
        <v/>
      </c>
      <c r="GO33" s="354" t="str">
        <f t="shared" si="178"/>
        <v/>
      </c>
      <c r="GP33" s="354" t="str">
        <f t="shared" si="179"/>
        <v/>
      </c>
      <c r="GQ33" s="354" t="str">
        <f t="shared" si="180"/>
        <v/>
      </c>
      <c r="GR33" s="354" t="str">
        <f t="shared" si="181"/>
        <v/>
      </c>
      <c r="GS33" s="354" t="str">
        <f t="shared" si="182"/>
        <v/>
      </c>
      <c r="GT33" s="354" t="str">
        <f t="shared" si="183"/>
        <v/>
      </c>
      <c r="GU33" s="354" t="str">
        <f t="shared" si="184"/>
        <v/>
      </c>
      <c r="GV33" s="354" t="str">
        <f t="shared" si="185"/>
        <v/>
      </c>
      <c r="GW33" s="354" t="str">
        <f t="shared" si="186"/>
        <v/>
      </c>
      <c r="GX33" s="354" t="str">
        <f t="shared" si="187"/>
        <v/>
      </c>
      <c r="GY33" s="354" t="str">
        <f t="shared" si="188"/>
        <v/>
      </c>
      <c r="GZ33" s="354" t="str">
        <f t="shared" si="189"/>
        <v/>
      </c>
      <c r="HA33" s="354" t="str">
        <f t="shared" si="190"/>
        <v/>
      </c>
      <c r="HB33" s="354" t="str">
        <f t="shared" si="191"/>
        <v/>
      </c>
      <c r="HC33" s="354" t="str">
        <f t="shared" si="192"/>
        <v/>
      </c>
      <c r="HD33" s="354" t="str">
        <f t="shared" si="193"/>
        <v/>
      </c>
      <c r="HE33" s="354" t="str">
        <f t="shared" si="194"/>
        <v/>
      </c>
      <c r="HF33" s="354" t="str">
        <f t="shared" si="195"/>
        <v/>
      </c>
      <c r="HG33" s="354" t="str">
        <f t="shared" si="196"/>
        <v/>
      </c>
      <c r="HH33" s="354" t="str">
        <f t="shared" si="197"/>
        <v/>
      </c>
      <c r="HI33" s="354" t="str">
        <f t="shared" si="198"/>
        <v/>
      </c>
      <c r="HJ33" s="354" t="str">
        <f t="shared" si="199"/>
        <v/>
      </c>
      <c r="HK33" s="354" t="str">
        <f t="shared" si="200"/>
        <v/>
      </c>
      <c r="HL33" s="354" t="str">
        <f t="shared" si="201"/>
        <v/>
      </c>
      <c r="HM33" s="354" t="str">
        <f t="shared" si="202"/>
        <v/>
      </c>
      <c r="HN33" s="354" t="str">
        <f t="shared" si="203"/>
        <v/>
      </c>
      <c r="HO33" s="354" t="str">
        <f t="shared" si="204"/>
        <v/>
      </c>
      <c r="HP33" s="354" t="str">
        <f t="shared" si="205"/>
        <v/>
      </c>
      <c r="HQ33" s="354" t="str">
        <f t="shared" si="206"/>
        <v/>
      </c>
      <c r="HR33" s="354" t="str">
        <f t="shared" si="207"/>
        <v/>
      </c>
      <c r="HS33" s="354" t="str">
        <f t="shared" si="208"/>
        <v/>
      </c>
      <c r="HT33" s="354" t="str">
        <f t="shared" si="209"/>
        <v/>
      </c>
      <c r="HU33" s="354" t="str">
        <f t="shared" si="210"/>
        <v/>
      </c>
      <c r="HV33" s="354" t="str">
        <f t="shared" si="211"/>
        <v/>
      </c>
      <c r="HW33" s="354" t="str">
        <f t="shared" si="212"/>
        <v/>
      </c>
      <c r="HX33" s="354" t="str">
        <f t="shared" si="213"/>
        <v/>
      </c>
      <c r="HY33" s="354" t="str">
        <f t="shared" si="214"/>
        <v/>
      </c>
      <c r="HZ33" s="354" t="str">
        <f t="shared" si="215"/>
        <v/>
      </c>
      <c r="IA33" s="354" t="str">
        <f t="shared" si="216"/>
        <v/>
      </c>
      <c r="IB33" s="354" t="str">
        <f t="shared" si="217"/>
        <v/>
      </c>
      <c r="IC33" s="354" t="str">
        <f t="shared" si="218"/>
        <v/>
      </c>
      <c r="ID33" s="355" t="str">
        <f t="shared" si="219"/>
        <v/>
      </c>
      <c r="IE33" s="355" t="str">
        <f t="shared" si="220"/>
        <v/>
      </c>
      <c r="IF33" s="355" t="str">
        <f t="shared" si="221"/>
        <v/>
      </c>
      <c r="IG33" s="355" t="str">
        <f t="shared" si="222"/>
        <v/>
      </c>
      <c r="IH33" s="355" t="str">
        <f t="shared" si="223"/>
        <v/>
      </c>
      <c r="II33" s="344" t="str">
        <f t="shared" si="224"/>
        <v/>
      </c>
      <c r="IJ33" s="344" t="str">
        <f t="shared" si="225"/>
        <v/>
      </c>
      <c r="IK33" s="344" t="str">
        <f t="shared" si="226"/>
        <v/>
      </c>
      <c r="IL33" s="344" t="str">
        <f t="shared" si="227"/>
        <v/>
      </c>
      <c r="IM33" s="344" t="str">
        <f t="shared" si="228"/>
        <v/>
      </c>
      <c r="IN33" s="344" t="str">
        <f t="shared" si="229"/>
        <v/>
      </c>
      <c r="IO33" s="344" t="str">
        <f t="shared" si="230"/>
        <v/>
      </c>
      <c r="IP33" s="344" t="str">
        <f t="shared" si="231"/>
        <v/>
      </c>
      <c r="IQ33" s="344" t="str">
        <f t="shared" si="232"/>
        <v/>
      </c>
      <c r="IR33" s="344" t="str">
        <f t="shared" si="233"/>
        <v/>
      </c>
      <c r="IS33" s="344" t="str">
        <f t="shared" si="234"/>
        <v/>
      </c>
      <c r="IT33" s="344" t="str">
        <f t="shared" si="235"/>
        <v/>
      </c>
      <c r="IU33" s="344" t="str">
        <f t="shared" si="236"/>
        <v/>
      </c>
      <c r="IV33" s="344" t="str">
        <f t="shared" si="237"/>
        <v/>
      </c>
      <c r="IW33" s="344" t="str">
        <f t="shared" si="238"/>
        <v/>
      </c>
      <c r="IX33" s="344" t="str">
        <f t="shared" si="239"/>
        <v/>
      </c>
      <c r="IY33" s="344" t="str">
        <f t="shared" si="240"/>
        <v/>
      </c>
      <c r="IZ33" s="344" t="str">
        <f t="shared" si="241"/>
        <v/>
      </c>
      <c r="JA33" s="344" t="str">
        <f t="shared" si="242"/>
        <v/>
      </c>
      <c r="JB33" s="344" t="str">
        <f t="shared" si="243"/>
        <v/>
      </c>
      <c r="JC33" s="353">
        <f t="shared" si="244"/>
        <v>0</v>
      </c>
      <c r="JD33" s="353">
        <f t="shared" si="245"/>
        <v>0</v>
      </c>
      <c r="JE33" s="353">
        <f t="shared" si="246"/>
        <v>0</v>
      </c>
      <c r="JF33" s="353">
        <f t="shared" si="247"/>
        <v>0</v>
      </c>
      <c r="JG33" s="353">
        <f t="shared" si="248"/>
        <v>0</v>
      </c>
      <c r="JH33" s="353">
        <f t="shared" si="249"/>
        <v>0</v>
      </c>
      <c r="JI33" s="353">
        <f t="shared" si="250"/>
        <v>0</v>
      </c>
      <c r="JJ33" s="353">
        <f t="shared" si="251"/>
        <v>0</v>
      </c>
      <c r="JK33" s="353">
        <f t="shared" si="252"/>
        <v>0</v>
      </c>
      <c r="JL33" s="353">
        <f t="shared" si="253"/>
        <v>0</v>
      </c>
      <c r="JM33" s="353">
        <f t="shared" si="254"/>
        <v>0</v>
      </c>
      <c r="JN33" s="353">
        <f t="shared" si="255"/>
        <v>0</v>
      </c>
      <c r="JO33" s="353">
        <f t="shared" si="256"/>
        <v>0</v>
      </c>
      <c r="JP33" s="353">
        <f t="shared" si="257"/>
        <v>0</v>
      </c>
      <c r="JQ33" s="353">
        <f t="shared" si="258"/>
        <v>0</v>
      </c>
    </row>
    <row r="34" spans="1:296" ht="12" customHeight="1">
      <c r="A34" s="70" t="str">
        <f t="shared" si="0"/>
        <v/>
      </c>
      <c r="B34" s="2628" t="s">
        <v>781</v>
      </c>
      <c r="C34" s="2629"/>
      <c r="D34" s="2630"/>
      <c r="E34" s="2631"/>
      <c r="F34" s="2631"/>
      <c r="G34" s="2631"/>
      <c r="H34" s="2631"/>
      <c r="I34" s="2632">
        <f>IF(C34="",0,HLOOKUP(C34,'Part V-Utility Allowances'!$I$11:$M$21,11))</f>
        <v>0</v>
      </c>
      <c r="J34" s="2633"/>
      <c r="K34" s="488">
        <f t="shared" si="1"/>
        <v>0</v>
      </c>
      <c r="L34" s="488">
        <f t="shared" si="2"/>
        <v>0</v>
      </c>
      <c r="M34" s="2634"/>
      <c r="N34" s="2634"/>
      <c r="O34" s="2634"/>
      <c r="P34" s="2635"/>
      <c r="Q34" s="2636" t="str">
        <f t="shared" si="3"/>
        <v/>
      </c>
      <c r="R34" s="2637" t="str">
        <f>IF(H34="","",IF(C34="Efficiency",Q34/($O$6*VLOOKUP(0,'DCA Underwriting Assumptions'!$J$143:$K$148,2,FALSE)),Q34/($O$6*VLOOKUP(C34,'DCA Underwriting Assumptions'!$J$143:$K$148,2,FALSE))))</f>
        <v/>
      </c>
      <c r="S34" s="2638"/>
      <c r="T34" s="2639"/>
      <c r="U34" s="2594"/>
      <c r="V34" s="2595"/>
      <c r="W34" s="102" t="str">
        <f t="shared" si="4"/>
        <v/>
      </c>
      <c r="X34" s="102" t="str">
        <f t="shared" si="5"/>
        <v/>
      </c>
      <c r="Y34" s="102" t="str">
        <f t="shared" si="6"/>
        <v/>
      </c>
      <c r="Z34" s="102" t="str">
        <f t="shared" si="7"/>
        <v/>
      </c>
      <c r="AA34" s="102" t="str">
        <f t="shared" si="8"/>
        <v/>
      </c>
      <c r="AB34" s="102" t="str">
        <f t="shared" si="9"/>
        <v/>
      </c>
      <c r="AC34" s="102" t="str">
        <f t="shared" si="10"/>
        <v/>
      </c>
      <c r="AD34" s="102" t="str">
        <f t="shared" si="11"/>
        <v/>
      </c>
      <c r="AE34" s="102" t="str">
        <f t="shared" si="12"/>
        <v/>
      </c>
      <c r="AF34" s="102" t="str">
        <f t="shared" si="13"/>
        <v/>
      </c>
      <c r="AG34" s="102" t="str">
        <f t="shared" si="14"/>
        <v/>
      </c>
      <c r="AH34" s="102" t="str">
        <f t="shared" si="15"/>
        <v/>
      </c>
      <c r="AI34" s="102" t="str">
        <f t="shared" si="16"/>
        <v/>
      </c>
      <c r="AJ34" s="102" t="str">
        <f t="shared" si="17"/>
        <v/>
      </c>
      <c r="AK34" s="102" t="str">
        <f t="shared" si="18"/>
        <v/>
      </c>
      <c r="AL34" s="102" t="str">
        <f t="shared" si="19"/>
        <v/>
      </c>
      <c r="AM34" s="102" t="str">
        <f t="shared" si="20"/>
        <v/>
      </c>
      <c r="AN34" s="102" t="str">
        <f t="shared" si="21"/>
        <v/>
      </c>
      <c r="AO34" s="102" t="str">
        <f t="shared" si="22"/>
        <v/>
      </c>
      <c r="AP34" s="102" t="str">
        <f t="shared" si="23"/>
        <v/>
      </c>
      <c r="AQ34" s="102" t="str">
        <f t="shared" si="24"/>
        <v/>
      </c>
      <c r="AR34" s="102" t="str">
        <f t="shared" si="25"/>
        <v/>
      </c>
      <c r="AS34" s="102" t="str">
        <f t="shared" si="26"/>
        <v/>
      </c>
      <c r="AT34" s="102" t="str">
        <f t="shared" si="27"/>
        <v/>
      </c>
      <c r="AU34" s="102" t="str">
        <f t="shared" si="28"/>
        <v/>
      </c>
      <c r="AV34" s="102" t="str">
        <f t="shared" si="29"/>
        <v/>
      </c>
      <c r="AW34" s="102" t="str">
        <f t="shared" si="30"/>
        <v/>
      </c>
      <c r="AX34" s="102" t="str">
        <f t="shared" si="31"/>
        <v/>
      </c>
      <c r="AY34" s="102" t="str">
        <f t="shared" si="32"/>
        <v/>
      </c>
      <c r="AZ34" s="102" t="str">
        <f t="shared" si="33"/>
        <v/>
      </c>
      <c r="BA34" s="102" t="str">
        <f t="shared" si="34"/>
        <v/>
      </c>
      <c r="BB34" s="102" t="str">
        <f t="shared" si="35"/>
        <v/>
      </c>
      <c r="BC34" s="102" t="str">
        <f t="shared" si="36"/>
        <v/>
      </c>
      <c r="BD34" s="102" t="str">
        <f t="shared" si="37"/>
        <v/>
      </c>
      <c r="BE34" s="102" t="str">
        <f t="shared" si="38"/>
        <v/>
      </c>
      <c r="BF34" s="102" t="str">
        <f t="shared" si="39"/>
        <v/>
      </c>
      <c r="BG34" s="102" t="str">
        <f t="shared" si="40"/>
        <v/>
      </c>
      <c r="BH34" s="102" t="str">
        <f t="shared" si="41"/>
        <v/>
      </c>
      <c r="BI34" s="102" t="str">
        <f t="shared" si="42"/>
        <v/>
      </c>
      <c r="BJ34" s="102" t="str">
        <f t="shared" si="43"/>
        <v/>
      </c>
      <c r="BK34" s="102" t="str">
        <f t="shared" si="44"/>
        <v/>
      </c>
      <c r="BL34" s="102" t="str">
        <f t="shared" si="45"/>
        <v/>
      </c>
      <c r="BM34" s="102" t="str">
        <f t="shared" si="46"/>
        <v/>
      </c>
      <c r="BN34" s="102" t="str">
        <f t="shared" si="47"/>
        <v/>
      </c>
      <c r="BO34" s="102" t="str">
        <f t="shared" si="48"/>
        <v/>
      </c>
      <c r="BP34" s="102" t="str">
        <f t="shared" si="49"/>
        <v/>
      </c>
      <c r="BQ34" s="102" t="str">
        <f t="shared" si="50"/>
        <v/>
      </c>
      <c r="BR34" s="102" t="str">
        <f t="shared" si="51"/>
        <v/>
      </c>
      <c r="BS34" s="102" t="str">
        <f t="shared" si="52"/>
        <v/>
      </c>
      <c r="BT34" s="102" t="str">
        <f t="shared" si="53"/>
        <v/>
      </c>
      <c r="BU34" s="102" t="str">
        <f t="shared" si="54"/>
        <v/>
      </c>
      <c r="BV34" s="102" t="str">
        <f t="shared" si="55"/>
        <v/>
      </c>
      <c r="BW34" s="102" t="str">
        <f t="shared" si="56"/>
        <v/>
      </c>
      <c r="BX34" s="102" t="str">
        <f t="shared" si="57"/>
        <v/>
      </c>
      <c r="BY34" s="102" t="str">
        <f t="shared" si="58"/>
        <v/>
      </c>
      <c r="BZ34" s="102" t="str">
        <f t="shared" si="59"/>
        <v/>
      </c>
      <c r="CA34" s="102" t="str">
        <f t="shared" si="60"/>
        <v/>
      </c>
      <c r="CB34" s="102" t="str">
        <f t="shared" si="61"/>
        <v/>
      </c>
      <c r="CC34" s="102" t="str">
        <f t="shared" si="62"/>
        <v/>
      </c>
      <c r="CD34" s="102" t="str">
        <f t="shared" si="63"/>
        <v/>
      </c>
      <c r="CE34" s="102" t="str">
        <f t="shared" si="64"/>
        <v/>
      </c>
      <c r="CF34" s="102" t="str">
        <f t="shared" si="65"/>
        <v/>
      </c>
      <c r="CG34" s="102" t="str">
        <f t="shared" si="66"/>
        <v/>
      </c>
      <c r="CH34" s="102" t="str">
        <f t="shared" si="67"/>
        <v/>
      </c>
      <c r="CI34" s="102" t="str">
        <f t="shared" si="68"/>
        <v/>
      </c>
      <c r="CJ34" s="102" t="str">
        <f t="shared" si="69"/>
        <v/>
      </c>
      <c r="CK34" s="102" t="str">
        <f t="shared" si="70"/>
        <v/>
      </c>
      <c r="CL34" s="102" t="str">
        <f t="shared" si="71"/>
        <v/>
      </c>
      <c r="CM34" s="102" t="str">
        <f t="shared" si="72"/>
        <v/>
      </c>
      <c r="CN34" s="102" t="str">
        <f t="shared" si="73"/>
        <v/>
      </c>
      <c r="CO34" s="102" t="str">
        <f t="shared" si="74"/>
        <v/>
      </c>
      <c r="CP34" s="102" t="str">
        <f t="shared" si="75"/>
        <v/>
      </c>
      <c r="CQ34" s="102" t="str">
        <f t="shared" si="76"/>
        <v/>
      </c>
      <c r="CR34" s="102" t="str">
        <f t="shared" si="77"/>
        <v/>
      </c>
      <c r="CS34" s="102" t="str">
        <f t="shared" si="78"/>
        <v/>
      </c>
      <c r="CT34" s="102" t="str">
        <f t="shared" si="79"/>
        <v/>
      </c>
      <c r="CU34" s="102" t="str">
        <f t="shared" si="80"/>
        <v/>
      </c>
      <c r="CV34" s="102" t="str">
        <f t="shared" si="81"/>
        <v/>
      </c>
      <c r="CW34" s="102" t="str">
        <f t="shared" si="82"/>
        <v/>
      </c>
      <c r="CX34" s="102" t="str">
        <f t="shared" si="83"/>
        <v/>
      </c>
      <c r="CY34" s="102" t="str">
        <f t="shared" si="84"/>
        <v/>
      </c>
      <c r="CZ34" s="102" t="str">
        <f t="shared" si="85"/>
        <v/>
      </c>
      <c r="DA34" s="102" t="str">
        <f t="shared" si="86"/>
        <v/>
      </c>
      <c r="DB34" s="102" t="str">
        <f t="shared" si="87"/>
        <v/>
      </c>
      <c r="DC34" s="102" t="str">
        <f t="shared" si="88"/>
        <v/>
      </c>
      <c r="DD34" s="102" t="str">
        <f t="shared" si="89"/>
        <v/>
      </c>
      <c r="DE34" s="102" t="str">
        <f t="shared" si="90"/>
        <v/>
      </c>
      <c r="DF34" s="102" t="str">
        <f t="shared" si="91"/>
        <v/>
      </c>
      <c r="DG34" s="102" t="str">
        <f t="shared" si="92"/>
        <v/>
      </c>
      <c r="DH34" s="102" t="str">
        <f t="shared" si="93"/>
        <v/>
      </c>
      <c r="DI34" s="102" t="str">
        <f t="shared" si="94"/>
        <v/>
      </c>
      <c r="DJ34" s="102" t="str">
        <f t="shared" si="95"/>
        <v/>
      </c>
      <c r="DK34" s="102" t="str">
        <f t="shared" si="96"/>
        <v/>
      </c>
      <c r="DL34" s="102" t="str">
        <f t="shared" si="97"/>
        <v/>
      </c>
      <c r="DM34" s="102" t="str">
        <f t="shared" si="98"/>
        <v/>
      </c>
      <c r="DN34" s="102" t="str">
        <f t="shared" si="99"/>
        <v/>
      </c>
      <c r="DO34" s="102" t="str">
        <f t="shared" si="100"/>
        <v/>
      </c>
      <c r="DP34" s="102" t="str">
        <f t="shared" si="101"/>
        <v/>
      </c>
      <c r="DQ34" s="102" t="str">
        <f t="shared" si="102"/>
        <v/>
      </c>
      <c r="DR34" s="102" t="str">
        <f t="shared" si="103"/>
        <v/>
      </c>
      <c r="DS34" s="102" t="str">
        <f t="shared" si="104"/>
        <v/>
      </c>
      <c r="DT34" s="102" t="str">
        <f t="shared" si="105"/>
        <v/>
      </c>
      <c r="DU34" s="102" t="str">
        <f t="shared" si="106"/>
        <v/>
      </c>
      <c r="DV34" s="102" t="str">
        <f t="shared" si="107"/>
        <v/>
      </c>
      <c r="DW34" s="102" t="str">
        <f t="shared" si="108"/>
        <v/>
      </c>
      <c r="DX34" s="102" t="str">
        <f t="shared" si="109"/>
        <v/>
      </c>
      <c r="DY34" s="102" t="str">
        <f t="shared" si="110"/>
        <v/>
      </c>
      <c r="DZ34" s="102" t="str">
        <f t="shared" si="111"/>
        <v/>
      </c>
      <c r="EA34" s="102" t="str">
        <f t="shared" si="112"/>
        <v/>
      </c>
      <c r="EB34" s="102" t="str">
        <f t="shared" si="113"/>
        <v/>
      </c>
      <c r="EC34" s="102" t="str">
        <f t="shared" si="114"/>
        <v/>
      </c>
      <c r="ED34" s="102" t="str">
        <f t="shared" si="115"/>
        <v/>
      </c>
      <c r="EE34" s="102" t="str">
        <f t="shared" si="116"/>
        <v/>
      </c>
      <c r="EF34" s="102" t="str">
        <f t="shared" si="117"/>
        <v/>
      </c>
      <c r="EG34" s="102" t="str">
        <f t="shared" si="118"/>
        <v/>
      </c>
      <c r="EH34" s="102" t="str">
        <f t="shared" si="119"/>
        <v/>
      </c>
      <c r="EI34" s="102" t="str">
        <f t="shared" si="120"/>
        <v/>
      </c>
      <c r="EJ34" s="102" t="str">
        <f t="shared" si="121"/>
        <v/>
      </c>
      <c r="EK34" s="102" t="str">
        <f t="shared" si="122"/>
        <v/>
      </c>
      <c r="EL34" s="102" t="str">
        <f t="shared" si="123"/>
        <v/>
      </c>
      <c r="EM34" s="102" t="str">
        <f t="shared" si="124"/>
        <v/>
      </c>
      <c r="EN34" s="102" t="str">
        <f t="shared" si="125"/>
        <v/>
      </c>
      <c r="EO34" s="102" t="str">
        <f t="shared" si="126"/>
        <v/>
      </c>
      <c r="EP34" s="102" t="str">
        <f t="shared" si="127"/>
        <v/>
      </c>
      <c r="EQ34" s="102" t="str">
        <f t="shared" si="128"/>
        <v/>
      </c>
      <c r="ER34" s="102" t="str">
        <f t="shared" si="129"/>
        <v/>
      </c>
      <c r="ES34" s="102" t="str">
        <f t="shared" si="130"/>
        <v/>
      </c>
      <c r="ET34" s="102" t="str">
        <f t="shared" si="131"/>
        <v/>
      </c>
      <c r="EU34" s="102" t="str">
        <f t="shared" si="132"/>
        <v/>
      </c>
      <c r="EV34" s="102" t="str">
        <f t="shared" si="133"/>
        <v/>
      </c>
      <c r="EW34" s="792" t="str">
        <f t="shared" si="134"/>
        <v/>
      </c>
      <c r="EX34" s="354" t="str">
        <f t="shared" si="135"/>
        <v/>
      </c>
      <c r="EY34" s="354" t="str">
        <f t="shared" si="136"/>
        <v/>
      </c>
      <c r="EZ34" s="354" t="str">
        <f t="shared" si="137"/>
        <v/>
      </c>
      <c r="FA34" s="354" t="str">
        <f t="shared" si="138"/>
        <v/>
      </c>
      <c r="FB34" s="354" t="str">
        <f t="shared" si="139"/>
        <v/>
      </c>
      <c r="FC34" s="354" t="str">
        <f t="shared" si="140"/>
        <v/>
      </c>
      <c r="FD34" s="354" t="str">
        <f t="shared" si="141"/>
        <v/>
      </c>
      <c r="FE34" s="354" t="str">
        <f t="shared" si="142"/>
        <v/>
      </c>
      <c r="FF34" s="354" t="str">
        <f t="shared" si="143"/>
        <v/>
      </c>
      <c r="FG34" s="354" t="str">
        <f t="shared" si="144"/>
        <v/>
      </c>
      <c r="FH34" s="354" t="str">
        <f t="shared" si="145"/>
        <v/>
      </c>
      <c r="FI34" s="354" t="str">
        <f t="shared" si="146"/>
        <v/>
      </c>
      <c r="FJ34" s="354" t="str">
        <f t="shared" si="147"/>
        <v/>
      </c>
      <c r="FK34" s="354" t="str">
        <f t="shared" si="148"/>
        <v/>
      </c>
      <c r="FL34" s="354" t="str">
        <f t="shared" si="149"/>
        <v/>
      </c>
      <c r="FM34" s="354" t="str">
        <f t="shared" si="150"/>
        <v/>
      </c>
      <c r="FN34" s="354" t="str">
        <f t="shared" si="151"/>
        <v/>
      </c>
      <c r="FO34" s="354" t="str">
        <f t="shared" si="152"/>
        <v/>
      </c>
      <c r="FP34" s="354" t="str">
        <f t="shared" si="153"/>
        <v/>
      </c>
      <c r="FQ34" s="354" t="str">
        <f t="shared" si="154"/>
        <v/>
      </c>
      <c r="FR34" s="354" t="str">
        <f t="shared" si="155"/>
        <v/>
      </c>
      <c r="FS34" s="354" t="str">
        <f t="shared" si="156"/>
        <v/>
      </c>
      <c r="FT34" s="354" t="str">
        <f t="shared" si="157"/>
        <v/>
      </c>
      <c r="FU34" s="354" t="str">
        <f t="shared" si="158"/>
        <v/>
      </c>
      <c r="FV34" s="354" t="str">
        <f t="shared" si="159"/>
        <v/>
      </c>
      <c r="FW34" s="354" t="str">
        <f t="shared" si="160"/>
        <v/>
      </c>
      <c r="FX34" s="354" t="str">
        <f t="shared" si="161"/>
        <v/>
      </c>
      <c r="FY34" s="354" t="str">
        <f t="shared" si="162"/>
        <v/>
      </c>
      <c r="FZ34" s="354" t="str">
        <f t="shared" si="163"/>
        <v/>
      </c>
      <c r="GA34" s="354" t="str">
        <f t="shared" si="164"/>
        <v/>
      </c>
      <c r="GB34" s="354" t="str">
        <f t="shared" si="165"/>
        <v/>
      </c>
      <c r="GC34" s="354" t="str">
        <f t="shared" si="166"/>
        <v/>
      </c>
      <c r="GD34" s="354" t="str">
        <f t="shared" si="167"/>
        <v/>
      </c>
      <c r="GE34" s="354" t="str">
        <f t="shared" si="168"/>
        <v/>
      </c>
      <c r="GF34" s="354" t="str">
        <f t="shared" si="169"/>
        <v/>
      </c>
      <c r="GG34" s="354" t="str">
        <f t="shared" si="170"/>
        <v/>
      </c>
      <c r="GH34" s="354" t="str">
        <f t="shared" si="171"/>
        <v/>
      </c>
      <c r="GI34" s="354" t="str">
        <f t="shared" si="172"/>
        <v/>
      </c>
      <c r="GJ34" s="354" t="str">
        <f t="shared" si="173"/>
        <v/>
      </c>
      <c r="GK34" s="354" t="str">
        <f t="shared" si="174"/>
        <v/>
      </c>
      <c r="GL34" s="354" t="str">
        <f t="shared" si="175"/>
        <v/>
      </c>
      <c r="GM34" s="354" t="str">
        <f t="shared" si="176"/>
        <v/>
      </c>
      <c r="GN34" s="354" t="str">
        <f t="shared" si="177"/>
        <v/>
      </c>
      <c r="GO34" s="354" t="str">
        <f t="shared" si="178"/>
        <v/>
      </c>
      <c r="GP34" s="354" t="str">
        <f t="shared" si="179"/>
        <v/>
      </c>
      <c r="GQ34" s="354" t="str">
        <f t="shared" si="180"/>
        <v/>
      </c>
      <c r="GR34" s="354" t="str">
        <f t="shared" si="181"/>
        <v/>
      </c>
      <c r="GS34" s="354" t="str">
        <f t="shared" si="182"/>
        <v/>
      </c>
      <c r="GT34" s="354" t="str">
        <f t="shared" si="183"/>
        <v/>
      </c>
      <c r="GU34" s="354" t="str">
        <f t="shared" si="184"/>
        <v/>
      </c>
      <c r="GV34" s="354" t="str">
        <f t="shared" si="185"/>
        <v/>
      </c>
      <c r="GW34" s="354" t="str">
        <f t="shared" si="186"/>
        <v/>
      </c>
      <c r="GX34" s="354" t="str">
        <f t="shared" si="187"/>
        <v/>
      </c>
      <c r="GY34" s="354" t="str">
        <f t="shared" si="188"/>
        <v/>
      </c>
      <c r="GZ34" s="354" t="str">
        <f t="shared" si="189"/>
        <v/>
      </c>
      <c r="HA34" s="354" t="str">
        <f t="shared" si="190"/>
        <v/>
      </c>
      <c r="HB34" s="354" t="str">
        <f t="shared" si="191"/>
        <v/>
      </c>
      <c r="HC34" s="354" t="str">
        <f t="shared" si="192"/>
        <v/>
      </c>
      <c r="HD34" s="354" t="str">
        <f t="shared" si="193"/>
        <v/>
      </c>
      <c r="HE34" s="354" t="str">
        <f t="shared" si="194"/>
        <v/>
      </c>
      <c r="HF34" s="354" t="str">
        <f t="shared" si="195"/>
        <v/>
      </c>
      <c r="HG34" s="354" t="str">
        <f t="shared" si="196"/>
        <v/>
      </c>
      <c r="HH34" s="354" t="str">
        <f t="shared" si="197"/>
        <v/>
      </c>
      <c r="HI34" s="354" t="str">
        <f t="shared" si="198"/>
        <v/>
      </c>
      <c r="HJ34" s="354" t="str">
        <f t="shared" si="199"/>
        <v/>
      </c>
      <c r="HK34" s="354" t="str">
        <f t="shared" si="200"/>
        <v/>
      </c>
      <c r="HL34" s="354" t="str">
        <f t="shared" si="201"/>
        <v/>
      </c>
      <c r="HM34" s="354" t="str">
        <f t="shared" si="202"/>
        <v/>
      </c>
      <c r="HN34" s="354" t="str">
        <f t="shared" si="203"/>
        <v/>
      </c>
      <c r="HO34" s="354" t="str">
        <f t="shared" si="204"/>
        <v/>
      </c>
      <c r="HP34" s="354" t="str">
        <f t="shared" si="205"/>
        <v/>
      </c>
      <c r="HQ34" s="354" t="str">
        <f t="shared" si="206"/>
        <v/>
      </c>
      <c r="HR34" s="354" t="str">
        <f t="shared" si="207"/>
        <v/>
      </c>
      <c r="HS34" s="354" t="str">
        <f t="shared" si="208"/>
        <v/>
      </c>
      <c r="HT34" s="354" t="str">
        <f t="shared" si="209"/>
        <v/>
      </c>
      <c r="HU34" s="354" t="str">
        <f t="shared" si="210"/>
        <v/>
      </c>
      <c r="HV34" s="354" t="str">
        <f t="shared" si="211"/>
        <v/>
      </c>
      <c r="HW34" s="354" t="str">
        <f t="shared" si="212"/>
        <v/>
      </c>
      <c r="HX34" s="354" t="str">
        <f t="shared" si="213"/>
        <v/>
      </c>
      <c r="HY34" s="354" t="str">
        <f t="shared" si="214"/>
        <v/>
      </c>
      <c r="HZ34" s="354" t="str">
        <f t="shared" si="215"/>
        <v/>
      </c>
      <c r="IA34" s="354" t="str">
        <f t="shared" si="216"/>
        <v/>
      </c>
      <c r="IB34" s="354" t="str">
        <f t="shared" si="217"/>
        <v/>
      </c>
      <c r="IC34" s="354" t="str">
        <f t="shared" si="218"/>
        <v/>
      </c>
      <c r="ID34" s="355" t="str">
        <f t="shared" si="219"/>
        <v/>
      </c>
      <c r="IE34" s="355" t="str">
        <f t="shared" si="220"/>
        <v/>
      </c>
      <c r="IF34" s="355" t="str">
        <f t="shared" si="221"/>
        <v/>
      </c>
      <c r="IG34" s="355" t="str">
        <f t="shared" si="222"/>
        <v/>
      </c>
      <c r="IH34" s="355" t="str">
        <f t="shared" si="223"/>
        <v/>
      </c>
      <c r="II34" s="344" t="str">
        <f t="shared" si="224"/>
        <v/>
      </c>
      <c r="IJ34" s="344" t="str">
        <f t="shared" si="225"/>
        <v/>
      </c>
      <c r="IK34" s="344" t="str">
        <f t="shared" si="226"/>
        <v/>
      </c>
      <c r="IL34" s="344" t="str">
        <f t="shared" si="227"/>
        <v/>
      </c>
      <c r="IM34" s="344" t="str">
        <f t="shared" si="228"/>
        <v/>
      </c>
      <c r="IN34" s="344" t="str">
        <f t="shared" si="229"/>
        <v/>
      </c>
      <c r="IO34" s="344" t="str">
        <f t="shared" si="230"/>
        <v/>
      </c>
      <c r="IP34" s="344" t="str">
        <f t="shared" si="231"/>
        <v/>
      </c>
      <c r="IQ34" s="344" t="str">
        <f t="shared" si="232"/>
        <v/>
      </c>
      <c r="IR34" s="344" t="str">
        <f t="shared" si="233"/>
        <v/>
      </c>
      <c r="IS34" s="344" t="str">
        <f t="shared" si="234"/>
        <v/>
      </c>
      <c r="IT34" s="344" t="str">
        <f t="shared" si="235"/>
        <v/>
      </c>
      <c r="IU34" s="344" t="str">
        <f t="shared" si="236"/>
        <v/>
      </c>
      <c r="IV34" s="344" t="str">
        <f t="shared" si="237"/>
        <v/>
      </c>
      <c r="IW34" s="344" t="str">
        <f t="shared" si="238"/>
        <v/>
      </c>
      <c r="IX34" s="344" t="str">
        <f t="shared" si="239"/>
        <v/>
      </c>
      <c r="IY34" s="344" t="str">
        <f t="shared" si="240"/>
        <v/>
      </c>
      <c r="IZ34" s="344" t="str">
        <f t="shared" si="241"/>
        <v/>
      </c>
      <c r="JA34" s="344" t="str">
        <f t="shared" si="242"/>
        <v/>
      </c>
      <c r="JB34" s="344" t="str">
        <f t="shared" si="243"/>
        <v/>
      </c>
      <c r="JC34" s="353">
        <f t="shared" si="244"/>
        <v>0</v>
      </c>
      <c r="JD34" s="353">
        <f t="shared" si="245"/>
        <v>0</v>
      </c>
      <c r="JE34" s="353">
        <f t="shared" si="246"/>
        <v>0</v>
      </c>
      <c r="JF34" s="353">
        <f t="shared" si="247"/>
        <v>0</v>
      </c>
      <c r="JG34" s="353">
        <f t="shared" si="248"/>
        <v>0</v>
      </c>
      <c r="JH34" s="353">
        <f t="shared" si="249"/>
        <v>0</v>
      </c>
      <c r="JI34" s="353">
        <f t="shared" si="250"/>
        <v>0</v>
      </c>
      <c r="JJ34" s="353">
        <f t="shared" si="251"/>
        <v>0</v>
      </c>
      <c r="JK34" s="353">
        <f t="shared" si="252"/>
        <v>0</v>
      </c>
      <c r="JL34" s="353">
        <f t="shared" si="253"/>
        <v>0</v>
      </c>
      <c r="JM34" s="353">
        <f t="shared" si="254"/>
        <v>0</v>
      </c>
      <c r="JN34" s="353">
        <f t="shared" si="255"/>
        <v>0</v>
      </c>
      <c r="JO34" s="353">
        <f t="shared" si="256"/>
        <v>0</v>
      </c>
      <c r="JP34" s="353">
        <f t="shared" si="257"/>
        <v>0</v>
      </c>
      <c r="JQ34" s="353">
        <f t="shared" si="258"/>
        <v>0</v>
      </c>
    </row>
    <row r="35" spans="1:296" ht="12" customHeight="1">
      <c r="A35" s="70" t="str">
        <f t="shared" si="0"/>
        <v/>
      </c>
      <c r="B35" s="2628" t="s">
        <v>781</v>
      </c>
      <c r="C35" s="2629"/>
      <c r="D35" s="2630"/>
      <c r="E35" s="2631"/>
      <c r="F35" s="2631"/>
      <c r="G35" s="2631"/>
      <c r="H35" s="2631"/>
      <c r="I35" s="2632">
        <f>IF(C35="",0,HLOOKUP(C35,'Part V-Utility Allowances'!$I$11:$M$21,11))</f>
        <v>0</v>
      </c>
      <c r="J35" s="2633"/>
      <c r="K35" s="488">
        <f t="shared" si="1"/>
        <v>0</v>
      </c>
      <c r="L35" s="488">
        <f t="shared" si="2"/>
        <v>0</v>
      </c>
      <c r="M35" s="2634"/>
      <c r="N35" s="2634"/>
      <c r="O35" s="2634"/>
      <c r="P35" s="2635"/>
      <c r="Q35" s="2636" t="str">
        <f t="shared" si="3"/>
        <v/>
      </c>
      <c r="R35" s="2637" t="str">
        <f>IF(H35="","",IF(C35="Efficiency",Q35/($O$6*VLOOKUP(0,'DCA Underwriting Assumptions'!$J$143:$K$148,2,FALSE)),Q35/($O$6*VLOOKUP(C35,'DCA Underwriting Assumptions'!$J$143:$K$148,2,FALSE))))</f>
        <v/>
      </c>
      <c r="S35" s="2638"/>
      <c r="T35" s="2639"/>
      <c r="U35" s="2594"/>
      <c r="V35" s="2595"/>
      <c r="W35" s="102" t="str">
        <f t="shared" si="4"/>
        <v/>
      </c>
      <c r="X35" s="102" t="str">
        <f t="shared" si="5"/>
        <v/>
      </c>
      <c r="Y35" s="102" t="str">
        <f t="shared" si="6"/>
        <v/>
      </c>
      <c r="Z35" s="102" t="str">
        <f t="shared" si="7"/>
        <v/>
      </c>
      <c r="AA35" s="102" t="str">
        <f t="shared" si="8"/>
        <v/>
      </c>
      <c r="AB35" s="102" t="str">
        <f t="shared" si="9"/>
        <v/>
      </c>
      <c r="AC35" s="102" t="str">
        <f t="shared" si="10"/>
        <v/>
      </c>
      <c r="AD35" s="102" t="str">
        <f t="shared" si="11"/>
        <v/>
      </c>
      <c r="AE35" s="102" t="str">
        <f t="shared" si="12"/>
        <v/>
      </c>
      <c r="AF35" s="102" t="str">
        <f t="shared" si="13"/>
        <v/>
      </c>
      <c r="AG35" s="102" t="str">
        <f t="shared" si="14"/>
        <v/>
      </c>
      <c r="AH35" s="102" t="str">
        <f t="shared" si="15"/>
        <v/>
      </c>
      <c r="AI35" s="102" t="str">
        <f t="shared" si="16"/>
        <v/>
      </c>
      <c r="AJ35" s="102" t="str">
        <f t="shared" si="17"/>
        <v/>
      </c>
      <c r="AK35" s="102" t="str">
        <f t="shared" si="18"/>
        <v/>
      </c>
      <c r="AL35" s="102" t="str">
        <f t="shared" si="19"/>
        <v/>
      </c>
      <c r="AM35" s="102" t="str">
        <f t="shared" si="20"/>
        <v/>
      </c>
      <c r="AN35" s="102" t="str">
        <f t="shared" si="21"/>
        <v/>
      </c>
      <c r="AO35" s="102" t="str">
        <f t="shared" si="22"/>
        <v/>
      </c>
      <c r="AP35" s="102" t="str">
        <f t="shared" si="23"/>
        <v/>
      </c>
      <c r="AQ35" s="102" t="str">
        <f t="shared" si="24"/>
        <v/>
      </c>
      <c r="AR35" s="102" t="str">
        <f t="shared" si="25"/>
        <v/>
      </c>
      <c r="AS35" s="102" t="str">
        <f t="shared" si="26"/>
        <v/>
      </c>
      <c r="AT35" s="102" t="str">
        <f t="shared" si="27"/>
        <v/>
      </c>
      <c r="AU35" s="102" t="str">
        <f t="shared" si="28"/>
        <v/>
      </c>
      <c r="AV35" s="102" t="str">
        <f t="shared" si="29"/>
        <v/>
      </c>
      <c r="AW35" s="102" t="str">
        <f t="shared" si="30"/>
        <v/>
      </c>
      <c r="AX35" s="102" t="str">
        <f t="shared" si="31"/>
        <v/>
      </c>
      <c r="AY35" s="102" t="str">
        <f t="shared" si="32"/>
        <v/>
      </c>
      <c r="AZ35" s="102" t="str">
        <f t="shared" si="33"/>
        <v/>
      </c>
      <c r="BA35" s="102" t="str">
        <f t="shared" si="34"/>
        <v/>
      </c>
      <c r="BB35" s="102" t="str">
        <f t="shared" si="35"/>
        <v/>
      </c>
      <c r="BC35" s="102" t="str">
        <f t="shared" si="36"/>
        <v/>
      </c>
      <c r="BD35" s="102" t="str">
        <f t="shared" si="37"/>
        <v/>
      </c>
      <c r="BE35" s="102" t="str">
        <f t="shared" si="38"/>
        <v/>
      </c>
      <c r="BF35" s="102" t="str">
        <f t="shared" si="39"/>
        <v/>
      </c>
      <c r="BG35" s="102" t="str">
        <f t="shared" si="40"/>
        <v/>
      </c>
      <c r="BH35" s="102" t="str">
        <f t="shared" si="41"/>
        <v/>
      </c>
      <c r="BI35" s="102" t="str">
        <f t="shared" si="42"/>
        <v/>
      </c>
      <c r="BJ35" s="102" t="str">
        <f t="shared" si="43"/>
        <v/>
      </c>
      <c r="BK35" s="102" t="str">
        <f t="shared" si="44"/>
        <v/>
      </c>
      <c r="BL35" s="102" t="str">
        <f t="shared" si="45"/>
        <v/>
      </c>
      <c r="BM35" s="102" t="str">
        <f t="shared" si="46"/>
        <v/>
      </c>
      <c r="BN35" s="102" t="str">
        <f t="shared" si="47"/>
        <v/>
      </c>
      <c r="BO35" s="102" t="str">
        <f t="shared" si="48"/>
        <v/>
      </c>
      <c r="BP35" s="102" t="str">
        <f t="shared" si="49"/>
        <v/>
      </c>
      <c r="BQ35" s="102" t="str">
        <f t="shared" si="50"/>
        <v/>
      </c>
      <c r="BR35" s="102" t="str">
        <f t="shared" si="51"/>
        <v/>
      </c>
      <c r="BS35" s="102" t="str">
        <f t="shared" si="52"/>
        <v/>
      </c>
      <c r="BT35" s="102" t="str">
        <f t="shared" si="53"/>
        <v/>
      </c>
      <c r="BU35" s="102" t="str">
        <f t="shared" si="54"/>
        <v/>
      </c>
      <c r="BV35" s="102" t="str">
        <f t="shared" si="55"/>
        <v/>
      </c>
      <c r="BW35" s="102" t="str">
        <f t="shared" si="56"/>
        <v/>
      </c>
      <c r="BX35" s="102" t="str">
        <f t="shared" si="57"/>
        <v/>
      </c>
      <c r="BY35" s="102" t="str">
        <f t="shared" si="58"/>
        <v/>
      </c>
      <c r="BZ35" s="102" t="str">
        <f t="shared" si="59"/>
        <v/>
      </c>
      <c r="CA35" s="102" t="str">
        <f t="shared" si="60"/>
        <v/>
      </c>
      <c r="CB35" s="102" t="str">
        <f t="shared" si="61"/>
        <v/>
      </c>
      <c r="CC35" s="102" t="str">
        <f t="shared" si="62"/>
        <v/>
      </c>
      <c r="CD35" s="102" t="str">
        <f t="shared" si="63"/>
        <v/>
      </c>
      <c r="CE35" s="102" t="str">
        <f t="shared" si="64"/>
        <v/>
      </c>
      <c r="CF35" s="102" t="str">
        <f t="shared" si="65"/>
        <v/>
      </c>
      <c r="CG35" s="102" t="str">
        <f t="shared" si="66"/>
        <v/>
      </c>
      <c r="CH35" s="102" t="str">
        <f t="shared" si="67"/>
        <v/>
      </c>
      <c r="CI35" s="102" t="str">
        <f t="shared" si="68"/>
        <v/>
      </c>
      <c r="CJ35" s="102" t="str">
        <f t="shared" si="69"/>
        <v/>
      </c>
      <c r="CK35" s="102" t="str">
        <f t="shared" si="70"/>
        <v/>
      </c>
      <c r="CL35" s="102" t="str">
        <f t="shared" si="71"/>
        <v/>
      </c>
      <c r="CM35" s="102" t="str">
        <f t="shared" si="72"/>
        <v/>
      </c>
      <c r="CN35" s="102" t="str">
        <f t="shared" si="73"/>
        <v/>
      </c>
      <c r="CO35" s="102" t="str">
        <f t="shared" si="74"/>
        <v/>
      </c>
      <c r="CP35" s="102" t="str">
        <f t="shared" si="75"/>
        <v/>
      </c>
      <c r="CQ35" s="102" t="str">
        <f t="shared" si="76"/>
        <v/>
      </c>
      <c r="CR35" s="102" t="str">
        <f t="shared" si="77"/>
        <v/>
      </c>
      <c r="CS35" s="102" t="str">
        <f t="shared" si="78"/>
        <v/>
      </c>
      <c r="CT35" s="102" t="str">
        <f t="shared" si="79"/>
        <v/>
      </c>
      <c r="CU35" s="102" t="str">
        <f t="shared" si="80"/>
        <v/>
      </c>
      <c r="CV35" s="102" t="str">
        <f t="shared" si="81"/>
        <v/>
      </c>
      <c r="CW35" s="102" t="str">
        <f t="shared" si="82"/>
        <v/>
      </c>
      <c r="CX35" s="102" t="str">
        <f t="shared" si="83"/>
        <v/>
      </c>
      <c r="CY35" s="102" t="str">
        <f t="shared" si="84"/>
        <v/>
      </c>
      <c r="CZ35" s="102" t="str">
        <f t="shared" si="85"/>
        <v/>
      </c>
      <c r="DA35" s="102" t="str">
        <f t="shared" si="86"/>
        <v/>
      </c>
      <c r="DB35" s="102" t="str">
        <f t="shared" si="87"/>
        <v/>
      </c>
      <c r="DC35" s="102" t="str">
        <f t="shared" si="88"/>
        <v/>
      </c>
      <c r="DD35" s="102" t="str">
        <f t="shared" si="89"/>
        <v/>
      </c>
      <c r="DE35" s="102" t="str">
        <f t="shared" si="90"/>
        <v/>
      </c>
      <c r="DF35" s="102" t="str">
        <f t="shared" si="91"/>
        <v/>
      </c>
      <c r="DG35" s="102" t="str">
        <f t="shared" si="92"/>
        <v/>
      </c>
      <c r="DH35" s="102" t="str">
        <f t="shared" si="93"/>
        <v/>
      </c>
      <c r="DI35" s="102" t="str">
        <f t="shared" si="94"/>
        <v/>
      </c>
      <c r="DJ35" s="102" t="str">
        <f t="shared" si="95"/>
        <v/>
      </c>
      <c r="DK35" s="102" t="str">
        <f t="shared" si="96"/>
        <v/>
      </c>
      <c r="DL35" s="102" t="str">
        <f t="shared" si="97"/>
        <v/>
      </c>
      <c r="DM35" s="102" t="str">
        <f t="shared" si="98"/>
        <v/>
      </c>
      <c r="DN35" s="102" t="str">
        <f t="shared" si="99"/>
        <v/>
      </c>
      <c r="DO35" s="102" t="str">
        <f t="shared" si="100"/>
        <v/>
      </c>
      <c r="DP35" s="102" t="str">
        <f t="shared" si="101"/>
        <v/>
      </c>
      <c r="DQ35" s="102" t="str">
        <f t="shared" si="102"/>
        <v/>
      </c>
      <c r="DR35" s="102" t="str">
        <f t="shared" si="103"/>
        <v/>
      </c>
      <c r="DS35" s="102" t="str">
        <f t="shared" si="104"/>
        <v/>
      </c>
      <c r="DT35" s="102" t="str">
        <f t="shared" si="105"/>
        <v/>
      </c>
      <c r="DU35" s="102" t="str">
        <f t="shared" si="106"/>
        <v/>
      </c>
      <c r="DV35" s="102" t="str">
        <f t="shared" si="107"/>
        <v/>
      </c>
      <c r="DW35" s="102" t="str">
        <f t="shared" si="108"/>
        <v/>
      </c>
      <c r="DX35" s="102" t="str">
        <f t="shared" si="109"/>
        <v/>
      </c>
      <c r="DY35" s="102" t="str">
        <f t="shared" si="110"/>
        <v/>
      </c>
      <c r="DZ35" s="102" t="str">
        <f t="shared" si="111"/>
        <v/>
      </c>
      <c r="EA35" s="102" t="str">
        <f t="shared" si="112"/>
        <v/>
      </c>
      <c r="EB35" s="102" t="str">
        <f t="shared" si="113"/>
        <v/>
      </c>
      <c r="EC35" s="102" t="str">
        <f t="shared" si="114"/>
        <v/>
      </c>
      <c r="ED35" s="102" t="str">
        <f t="shared" si="115"/>
        <v/>
      </c>
      <c r="EE35" s="102" t="str">
        <f t="shared" si="116"/>
        <v/>
      </c>
      <c r="EF35" s="102" t="str">
        <f t="shared" si="117"/>
        <v/>
      </c>
      <c r="EG35" s="102" t="str">
        <f t="shared" si="118"/>
        <v/>
      </c>
      <c r="EH35" s="102" t="str">
        <f t="shared" si="119"/>
        <v/>
      </c>
      <c r="EI35" s="102" t="str">
        <f t="shared" si="120"/>
        <v/>
      </c>
      <c r="EJ35" s="102" t="str">
        <f t="shared" si="121"/>
        <v/>
      </c>
      <c r="EK35" s="102" t="str">
        <f t="shared" si="122"/>
        <v/>
      </c>
      <c r="EL35" s="102" t="str">
        <f t="shared" si="123"/>
        <v/>
      </c>
      <c r="EM35" s="102" t="str">
        <f t="shared" si="124"/>
        <v/>
      </c>
      <c r="EN35" s="102" t="str">
        <f t="shared" si="125"/>
        <v/>
      </c>
      <c r="EO35" s="102" t="str">
        <f t="shared" si="126"/>
        <v/>
      </c>
      <c r="EP35" s="102" t="str">
        <f t="shared" si="127"/>
        <v/>
      </c>
      <c r="EQ35" s="102" t="str">
        <f t="shared" si="128"/>
        <v/>
      </c>
      <c r="ER35" s="102" t="str">
        <f t="shared" si="129"/>
        <v/>
      </c>
      <c r="ES35" s="102" t="str">
        <f t="shared" si="130"/>
        <v/>
      </c>
      <c r="ET35" s="102" t="str">
        <f t="shared" si="131"/>
        <v/>
      </c>
      <c r="EU35" s="102" t="str">
        <f t="shared" si="132"/>
        <v/>
      </c>
      <c r="EV35" s="102" t="str">
        <f t="shared" si="133"/>
        <v/>
      </c>
      <c r="EW35" s="792" t="str">
        <f t="shared" si="134"/>
        <v/>
      </c>
      <c r="EX35" s="354" t="str">
        <f t="shared" si="135"/>
        <v/>
      </c>
      <c r="EY35" s="354" t="str">
        <f t="shared" si="136"/>
        <v/>
      </c>
      <c r="EZ35" s="354" t="str">
        <f t="shared" si="137"/>
        <v/>
      </c>
      <c r="FA35" s="354" t="str">
        <f t="shared" si="138"/>
        <v/>
      </c>
      <c r="FB35" s="354" t="str">
        <f t="shared" si="139"/>
        <v/>
      </c>
      <c r="FC35" s="354" t="str">
        <f t="shared" si="140"/>
        <v/>
      </c>
      <c r="FD35" s="354" t="str">
        <f t="shared" si="141"/>
        <v/>
      </c>
      <c r="FE35" s="354" t="str">
        <f t="shared" si="142"/>
        <v/>
      </c>
      <c r="FF35" s="354" t="str">
        <f t="shared" si="143"/>
        <v/>
      </c>
      <c r="FG35" s="354" t="str">
        <f t="shared" si="144"/>
        <v/>
      </c>
      <c r="FH35" s="354" t="str">
        <f t="shared" si="145"/>
        <v/>
      </c>
      <c r="FI35" s="354" t="str">
        <f t="shared" si="146"/>
        <v/>
      </c>
      <c r="FJ35" s="354" t="str">
        <f t="shared" si="147"/>
        <v/>
      </c>
      <c r="FK35" s="354" t="str">
        <f t="shared" si="148"/>
        <v/>
      </c>
      <c r="FL35" s="354" t="str">
        <f t="shared" si="149"/>
        <v/>
      </c>
      <c r="FM35" s="354" t="str">
        <f t="shared" si="150"/>
        <v/>
      </c>
      <c r="FN35" s="354" t="str">
        <f t="shared" si="151"/>
        <v/>
      </c>
      <c r="FO35" s="354" t="str">
        <f t="shared" si="152"/>
        <v/>
      </c>
      <c r="FP35" s="354" t="str">
        <f t="shared" si="153"/>
        <v/>
      </c>
      <c r="FQ35" s="354" t="str">
        <f t="shared" si="154"/>
        <v/>
      </c>
      <c r="FR35" s="354" t="str">
        <f t="shared" si="155"/>
        <v/>
      </c>
      <c r="FS35" s="354" t="str">
        <f t="shared" si="156"/>
        <v/>
      </c>
      <c r="FT35" s="354" t="str">
        <f t="shared" si="157"/>
        <v/>
      </c>
      <c r="FU35" s="354" t="str">
        <f t="shared" si="158"/>
        <v/>
      </c>
      <c r="FV35" s="354" t="str">
        <f t="shared" si="159"/>
        <v/>
      </c>
      <c r="FW35" s="354" t="str">
        <f t="shared" si="160"/>
        <v/>
      </c>
      <c r="FX35" s="354" t="str">
        <f t="shared" si="161"/>
        <v/>
      </c>
      <c r="FY35" s="354" t="str">
        <f t="shared" si="162"/>
        <v/>
      </c>
      <c r="FZ35" s="354" t="str">
        <f t="shared" si="163"/>
        <v/>
      </c>
      <c r="GA35" s="354" t="str">
        <f t="shared" si="164"/>
        <v/>
      </c>
      <c r="GB35" s="354" t="str">
        <f t="shared" si="165"/>
        <v/>
      </c>
      <c r="GC35" s="354" t="str">
        <f t="shared" si="166"/>
        <v/>
      </c>
      <c r="GD35" s="354" t="str">
        <f t="shared" si="167"/>
        <v/>
      </c>
      <c r="GE35" s="354" t="str">
        <f t="shared" si="168"/>
        <v/>
      </c>
      <c r="GF35" s="354" t="str">
        <f t="shared" si="169"/>
        <v/>
      </c>
      <c r="GG35" s="354" t="str">
        <f t="shared" si="170"/>
        <v/>
      </c>
      <c r="GH35" s="354" t="str">
        <f t="shared" si="171"/>
        <v/>
      </c>
      <c r="GI35" s="354" t="str">
        <f t="shared" si="172"/>
        <v/>
      </c>
      <c r="GJ35" s="354" t="str">
        <f t="shared" si="173"/>
        <v/>
      </c>
      <c r="GK35" s="354" t="str">
        <f t="shared" si="174"/>
        <v/>
      </c>
      <c r="GL35" s="354" t="str">
        <f t="shared" si="175"/>
        <v/>
      </c>
      <c r="GM35" s="354" t="str">
        <f t="shared" si="176"/>
        <v/>
      </c>
      <c r="GN35" s="354" t="str">
        <f t="shared" si="177"/>
        <v/>
      </c>
      <c r="GO35" s="354" t="str">
        <f t="shared" si="178"/>
        <v/>
      </c>
      <c r="GP35" s="354" t="str">
        <f t="shared" si="179"/>
        <v/>
      </c>
      <c r="GQ35" s="354" t="str">
        <f t="shared" si="180"/>
        <v/>
      </c>
      <c r="GR35" s="354" t="str">
        <f t="shared" si="181"/>
        <v/>
      </c>
      <c r="GS35" s="354" t="str">
        <f t="shared" si="182"/>
        <v/>
      </c>
      <c r="GT35" s="354" t="str">
        <f t="shared" si="183"/>
        <v/>
      </c>
      <c r="GU35" s="354" t="str">
        <f t="shared" si="184"/>
        <v/>
      </c>
      <c r="GV35" s="354" t="str">
        <f t="shared" si="185"/>
        <v/>
      </c>
      <c r="GW35" s="354" t="str">
        <f t="shared" si="186"/>
        <v/>
      </c>
      <c r="GX35" s="354" t="str">
        <f t="shared" si="187"/>
        <v/>
      </c>
      <c r="GY35" s="354" t="str">
        <f t="shared" si="188"/>
        <v/>
      </c>
      <c r="GZ35" s="354" t="str">
        <f t="shared" si="189"/>
        <v/>
      </c>
      <c r="HA35" s="354" t="str">
        <f t="shared" si="190"/>
        <v/>
      </c>
      <c r="HB35" s="354" t="str">
        <f t="shared" si="191"/>
        <v/>
      </c>
      <c r="HC35" s="354" t="str">
        <f t="shared" si="192"/>
        <v/>
      </c>
      <c r="HD35" s="354" t="str">
        <f t="shared" si="193"/>
        <v/>
      </c>
      <c r="HE35" s="354" t="str">
        <f t="shared" si="194"/>
        <v/>
      </c>
      <c r="HF35" s="354" t="str">
        <f t="shared" si="195"/>
        <v/>
      </c>
      <c r="HG35" s="354" t="str">
        <f t="shared" si="196"/>
        <v/>
      </c>
      <c r="HH35" s="354" t="str">
        <f t="shared" si="197"/>
        <v/>
      </c>
      <c r="HI35" s="354" t="str">
        <f t="shared" si="198"/>
        <v/>
      </c>
      <c r="HJ35" s="354" t="str">
        <f t="shared" si="199"/>
        <v/>
      </c>
      <c r="HK35" s="354" t="str">
        <f t="shared" si="200"/>
        <v/>
      </c>
      <c r="HL35" s="354" t="str">
        <f t="shared" si="201"/>
        <v/>
      </c>
      <c r="HM35" s="354" t="str">
        <f t="shared" si="202"/>
        <v/>
      </c>
      <c r="HN35" s="354" t="str">
        <f t="shared" si="203"/>
        <v/>
      </c>
      <c r="HO35" s="354" t="str">
        <f t="shared" si="204"/>
        <v/>
      </c>
      <c r="HP35" s="354" t="str">
        <f t="shared" si="205"/>
        <v/>
      </c>
      <c r="HQ35" s="354" t="str">
        <f t="shared" si="206"/>
        <v/>
      </c>
      <c r="HR35" s="354" t="str">
        <f t="shared" si="207"/>
        <v/>
      </c>
      <c r="HS35" s="354" t="str">
        <f t="shared" si="208"/>
        <v/>
      </c>
      <c r="HT35" s="354" t="str">
        <f t="shared" si="209"/>
        <v/>
      </c>
      <c r="HU35" s="354" t="str">
        <f t="shared" si="210"/>
        <v/>
      </c>
      <c r="HV35" s="354" t="str">
        <f t="shared" si="211"/>
        <v/>
      </c>
      <c r="HW35" s="354" t="str">
        <f t="shared" si="212"/>
        <v/>
      </c>
      <c r="HX35" s="354" t="str">
        <f t="shared" si="213"/>
        <v/>
      </c>
      <c r="HY35" s="354" t="str">
        <f t="shared" si="214"/>
        <v/>
      </c>
      <c r="HZ35" s="354" t="str">
        <f t="shared" si="215"/>
        <v/>
      </c>
      <c r="IA35" s="354" t="str">
        <f t="shared" si="216"/>
        <v/>
      </c>
      <c r="IB35" s="354" t="str">
        <f t="shared" si="217"/>
        <v/>
      </c>
      <c r="IC35" s="354" t="str">
        <f t="shared" si="218"/>
        <v/>
      </c>
      <c r="ID35" s="355" t="str">
        <f t="shared" si="219"/>
        <v/>
      </c>
      <c r="IE35" s="355" t="str">
        <f t="shared" si="220"/>
        <v/>
      </c>
      <c r="IF35" s="355" t="str">
        <f t="shared" si="221"/>
        <v/>
      </c>
      <c r="IG35" s="355" t="str">
        <f t="shared" si="222"/>
        <v/>
      </c>
      <c r="IH35" s="355" t="str">
        <f t="shared" si="223"/>
        <v/>
      </c>
      <c r="II35" s="344" t="str">
        <f t="shared" si="224"/>
        <v/>
      </c>
      <c r="IJ35" s="344" t="str">
        <f t="shared" si="225"/>
        <v/>
      </c>
      <c r="IK35" s="344" t="str">
        <f t="shared" si="226"/>
        <v/>
      </c>
      <c r="IL35" s="344" t="str">
        <f t="shared" si="227"/>
        <v/>
      </c>
      <c r="IM35" s="344" t="str">
        <f t="shared" si="228"/>
        <v/>
      </c>
      <c r="IN35" s="344" t="str">
        <f t="shared" si="229"/>
        <v/>
      </c>
      <c r="IO35" s="344" t="str">
        <f t="shared" si="230"/>
        <v/>
      </c>
      <c r="IP35" s="344" t="str">
        <f t="shared" si="231"/>
        <v/>
      </c>
      <c r="IQ35" s="344" t="str">
        <f t="shared" si="232"/>
        <v/>
      </c>
      <c r="IR35" s="344" t="str">
        <f t="shared" si="233"/>
        <v/>
      </c>
      <c r="IS35" s="344" t="str">
        <f t="shared" si="234"/>
        <v/>
      </c>
      <c r="IT35" s="344" t="str">
        <f t="shared" si="235"/>
        <v/>
      </c>
      <c r="IU35" s="344" t="str">
        <f t="shared" si="236"/>
        <v/>
      </c>
      <c r="IV35" s="344" t="str">
        <f t="shared" si="237"/>
        <v/>
      </c>
      <c r="IW35" s="344" t="str">
        <f t="shared" si="238"/>
        <v/>
      </c>
      <c r="IX35" s="344" t="str">
        <f t="shared" si="239"/>
        <v/>
      </c>
      <c r="IY35" s="344" t="str">
        <f t="shared" si="240"/>
        <v/>
      </c>
      <c r="IZ35" s="344" t="str">
        <f t="shared" si="241"/>
        <v/>
      </c>
      <c r="JA35" s="344" t="str">
        <f t="shared" si="242"/>
        <v/>
      </c>
      <c r="JB35" s="344" t="str">
        <f t="shared" si="243"/>
        <v/>
      </c>
      <c r="JC35" s="353">
        <f t="shared" si="244"/>
        <v>0</v>
      </c>
      <c r="JD35" s="353">
        <f t="shared" si="245"/>
        <v>0</v>
      </c>
      <c r="JE35" s="353">
        <f t="shared" si="246"/>
        <v>0</v>
      </c>
      <c r="JF35" s="353">
        <f t="shared" si="247"/>
        <v>0</v>
      </c>
      <c r="JG35" s="353">
        <f t="shared" si="248"/>
        <v>0</v>
      </c>
      <c r="JH35" s="353">
        <f t="shared" si="249"/>
        <v>0</v>
      </c>
      <c r="JI35" s="353">
        <f t="shared" si="250"/>
        <v>0</v>
      </c>
      <c r="JJ35" s="353">
        <f t="shared" si="251"/>
        <v>0</v>
      </c>
      <c r="JK35" s="353">
        <f t="shared" si="252"/>
        <v>0</v>
      </c>
      <c r="JL35" s="353">
        <f t="shared" si="253"/>
        <v>0</v>
      </c>
      <c r="JM35" s="353">
        <f t="shared" si="254"/>
        <v>0</v>
      </c>
      <c r="JN35" s="353">
        <f t="shared" si="255"/>
        <v>0</v>
      </c>
      <c r="JO35" s="353">
        <f t="shared" si="256"/>
        <v>0</v>
      </c>
      <c r="JP35" s="353">
        <f t="shared" si="257"/>
        <v>0</v>
      </c>
      <c r="JQ35" s="353">
        <f t="shared" si="258"/>
        <v>0</v>
      </c>
    </row>
    <row r="36" spans="1:296" ht="12" customHeight="1">
      <c r="A36" s="70" t="str">
        <f t="shared" si="0"/>
        <v/>
      </c>
      <c r="B36" s="2628" t="s">
        <v>781</v>
      </c>
      <c r="C36" s="2629"/>
      <c r="D36" s="2630"/>
      <c r="E36" s="2631"/>
      <c r="F36" s="2631"/>
      <c r="G36" s="2631"/>
      <c r="H36" s="2631"/>
      <c r="I36" s="2632">
        <f>IF(C36="",0,HLOOKUP(C36,'Part V-Utility Allowances'!$I$11:$M$21,11))</f>
        <v>0</v>
      </c>
      <c r="J36" s="2633"/>
      <c r="K36" s="488">
        <f t="shared" si="1"/>
        <v>0</v>
      </c>
      <c r="L36" s="488">
        <f t="shared" si="2"/>
        <v>0</v>
      </c>
      <c r="M36" s="2634"/>
      <c r="N36" s="2634"/>
      <c r="O36" s="2634"/>
      <c r="P36" s="2635"/>
      <c r="Q36" s="2636" t="str">
        <f t="shared" si="3"/>
        <v/>
      </c>
      <c r="R36" s="2637" t="str">
        <f>IF(H36="","",IF(C36="Efficiency",Q36/($O$6*VLOOKUP(0,'DCA Underwriting Assumptions'!$J$143:$K$148,2,FALSE)),Q36/($O$6*VLOOKUP(C36,'DCA Underwriting Assumptions'!$J$143:$K$148,2,FALSE))))</f>
        <v/>
      </c>
      <c r="S36" s="2638"/>
      <c r="T36" s="2639"/>
      <c r="U36" s="2594"/>
      <c r="V36" s="2595"/>
      <c r="W36" s="102" t="str">
        <f t="shared" si="4"/>
        <v/>
      </c>
      <c r="X36" s="102" t="str">
        <f t="shared" si="5"/>
        <v/>
      </c>
      <c r="Y36" s="102" t="str">
        <f t="shared" si="6"/>
        <v/>
      </c>
      <c r="Z36" s="102" t="str">
        <f t="shared" si="7"/>
        <v/>
      </c>
      <c r="AA36" s="102" t="str">
        <f t="shared" si="8"/>
        <v/>
      </c>
      <c r="AB36" s="102" t="str">
        <f t="shared" si="9"/>
        <v/>
      </c>
      <c r="AC36" s="102" t="str">
        <f t="shared" si="10"/>
        <v/>
      </c>
      <c r="AD36" s="102" t="str">
        <f t="shared" si="11"/>
        <v/>
      </c>
      <c r="AE36" s="102" t="str">
        <f t="shared" si="12"/>
        <v/>
      </c>
      <c r="AF36" s="102" t="str">
        <f t="shared" si="13"/>
        <v/>
      </c>
      <c r="AG36" s="102" t="str">
        <f t="shared" si="14"/>
        <v/>
      </c>
      <c r="AH36" s="102" t="str">
        <f t="shared" si="15"/>
        <v/>
      </c>
      <c r="AI36" s="102" t="str">
        <f t="shared" si="16"/>
        <v/>
      </c>
      <c r="AJ36" s="102" t="str">
        <f t="shared" si="17"/>
        <v/>
      </c>
      <c r="AK36" s="102" t="str">
        <f t="shared" si="18"/>
        <v/>
      </c>
      <c r="AL36" s="102" t="str">
        <f t="shared" si="19"/>
        <v/>
      </c>
      <c r="AM36" s="102" t="str">
        <f t="shared" si="20"/>
        <v/>
      </c>
      <c r="AN36" s="102" t="str">
        <f t="shared" si="21"/>
        <v/>
      </c>
      <c r="AO36" s="102" t="str">
        <f t="shared" si="22"/>
        <v/>
      </c>
      <c r="AP36" s="102" t="str">
        <f t="shared" si="23"/>
        <v/>
      </c>
      <c r="AQ36" s="102" t="str">
        <f t="shared" si="24"/>
        <v/>
      </c>
      <c r="AR36" s="102" t="str">
        <f t="shared" si="25"/>
        <v/>
      </c>
      <c r="AS36" s="102" t="str">
        <f t="shared" si="26"/>
        <v/>
      </c>
      <c r="AT36" s="102" t="str">
        <f t="shared" si="27"/>
        <v/>
      </c>
      <c r="AU36" s="102" t="str">
        <f t="shared" si="28"/>
        <v/>
      </c>
      <c r="AV36" s="102" t="str">
        <f t="shared" si="29"/>
        <v/>
      </c>
      <c r="AW36" s="102" t="str">
        <f t="shared" si="30"/>
        <v/>
      </c>
      <c r="AX36" s="102" t="str">
        <f t="shared" si="31"/>
        <v/>
      </c>
      <c r="AY36" s="102" t="str">
        <f t="shared" si="32"/>
        <v/>
      </c>
      <c r="AZ36" s="102" t="str">
        <f t="shared" si="33"/>
        <v/>
      </c>
      <c r="BA36" s="102" t="str">
        <f t="shared" si="34"/>
        <v/>
      </c>
      <c r="BB36" s="102" t="str">
        <f t="shared" si="35"/>
        <v/>
      </c>
      <c r="BC36" s="102" t="str">
        <f t="shared" si="36"/>
        <v/>
      </c>
      <c r="BD36" s="102" t="str">
        <f t="shared" si="37"/>
        <v/>
      </c>
      <c r="BE36" s="102" t="str">
        <f t="shared" si="38"/>
        <v/>
      </c>
      <c r="BF36" s="102" t="str">
        <f t="shared" si="39"/>
        <v/>
      </c>
      <c r="BG36" s="102" t="str">
        <f t="shared" si="40"/>
        <v/>
      </c>
      <c r="BH36" s="102" t="str">
        <f t="shared" si="41"/>
        <v/>
      </c>
      <c r="BI36" s="102" t="str">
        <f t="shared" si="42"/>
        <v/>
      </c>
      <c r="BJ36" s="102" t="str">
        <f t="shared" si="43"/>
        <v/>
      </c>
      <c r="BK36" s="102" t="str">
        <f t="shared" si="44"/>
        <v/>
      </c>
      <c r="BL36" s="102" t="str">
        <f t="shared" si="45"/>
        <v/>
      </c>
      <c r="BM36" s="102" t="str">
        <f t="shared" si="46"/>
        <v/>
      </c>
      <c r="BN36" s="102" t="str">
        <f t="shared" si="47"/>
        <v/>
      </c>
      <c r="BO36" s="102" t="str">
        <f t="shared" si="48"/>
        <v/>
      </c>
      <c r="BP36" s="102" t="str">
        <f t="shared" si="49"/>
        <v/>
      </c>
      <c r="BQ36" s="102" t="str">
        <f t="shared" si="50"/>
        <v/>
      </c>
      <c r="BR36" s="102" t="str">
        <f t="shared" si="51"/>
        <v/>
      </c>
      <c r="BS36" s="102" t="str">
        <f t="shared" si="52"/>
        <v/>
      </c>
      <c r="BT36" s="102" t="str">
        <f t="shared" si="53"/>
        <v/>
      </c>
      <c r="BU36" s="102" t="str">
        <f t="shared" si="54"/>
        <v/>
      </c>
      <c r="BV36" s="102" t="str">
        <f t="shared" si="55"/>
        <v/>
      </c>
      <c r="BW36" s="102" t="str">
        <f t="shared" si="56"/>
        <v/>
      </c>
      <c r="BX36" s="102" t="str">
        <f t="shared" si="57"/>
        <v/>
      </c>
      <c r="BY36" s="102" t="str">
        <f t="shared" si="58"/>
        <v/>
      </c>
      <c r="BZ36" s="102" t="str">
        <f t="shared" si="59"/>
        <v/>
      </c>
      <c r="CA36" s="102" t="str">
        <f t="shared" si="60"/>
        <v/>
      </c>
      <c r="CB36" s="102" t="str">
        <f t="shared" si="61"/>
        <v/>
      </c>
      <c r="CC36" s="102" t="str">
        <f t="shared" si="62"/>
        <v/>
      </c>
      <c r="CD36" s="102" t="str">
        <f t="shared" si="63"/>
        <v/>
      </c>
      <c r="CE36" s="102" t="str">
        <f t="shared" si="64"/>
        <v/>
      </c>
      <c r="CF36" s="102" t="str">
        <f t="shared" si="65"/>
        <v/>
      </c>
      <c r="CG36" s="102" t="str">
        <f t="shared" si="66"/>
        <v/>
      </c>
      <c r="CH36" s="102" t="str">
        <f t="shared" si="67"/>
        <v/>
      </c>
      <c r="CI36" s="102" t="str">
        <f t="shared" si="68"/>
        <v/>
      </c>
      <c r="CJ36" s="102" t="str">
        <f t="shared" si="69"/>
        <v/>
      </c>
      <c r="CK36" s="102" t="str">
        <f t="shared" si="70"/>
        <v/>
      </c>
      <c r="CL36" s="102" t="str">
        <f t="shared" si="71"/>
        <v/>
      </c>
      <c r="CM36" s="102" t="str">
        <f t="shared" si="72"/>
        <v/>
      </c>
      <c r="CN36" s="102" t="str">
        <f t="shared" si="73"/>
        <v/>
      </c>
      <c r="CO36" s="102" t="str">
        <f t="shared" si="74"/>
        <v/>
      </c>
      <c r="CP36" s="102" t="str">
        <f t="shared" si="75"/>
        <v/>
      </c>
      <c r="CQ36" s="102" t="str">
        <f t="shared" si="76"/>
        <v/>
      </c>
      <c r="CR36" s="102" t="str">
        <f t="shared" si="77"/>
        <v/>
      </c>
      <c r="CS36" s="102" t="str">
        <f t="shared" si="78"/>
        <v/>
      </c>
      <c r="CT36" s="102" t="str">
        <f t="shared" si="79"/>
        <v/>
      </c>
      <c r="CU36" s="102" t="str">
        <f t="shared" si="80"/>
        <v/>
      </c>
      <c r="CV36" s="102" t="str">
        <f t="shared" si="81"/>
        <v/>
      </c>
      <c r="CW36" s="102" t="str">
        <f t="shared" si="82"/>
        <v/>
      </c>
      <c r="CX36" s="102" t="str">
        <f t="shared" si="83"/>
        <v/>
      </c>
      <c r="CY36" s="102" t="str">
        <f t="shared" si="84"/>
        <v/>
      </c>
      <c r="CZ36" s="102" t="str">
        <f t="shared" si="85"/>
        <v/>
      </c>
      <c r="DA36" s="102" t="str">
        <f t="shared" si="86"/>
        <v/>
      </c>
      <c r="DB36" s="102" t="str">
        <f t="shared" si="87"/>
        <v/>
      </c>
      <c r="DC36" s="102" t="str">
        <f t="shared" si="88"/>
        <v/>
      </c>
      <c r="DD36" s="102" t="str">
        <f t="shared" si="89"/>
        <v/>
      </c>
      <c r="DE36" s="102" t="str">
        <f t="shared" si="90"/>
        <v/>
      </c>
      <c r="DF36" s="102" t="str">
        <f t="shared" si="91"/>
        <v/>
      </c>
      <c r="DG36" s="102" t="str">
        <f t="shared" si="92"/>
        <v/>
      </c>
      <c r="DH36" s="102" t="str">
        <f t="shared" si="93"/>
        <v/>
      </c>
      <c r="DI36" s="102" t="str">
        <f t="shared" si="94"/>
        <v/>
      </c>
      <c r="DJ36" s="102" t="str">
        <f t="shared" si="95"/>
        <v/>
      </c>
      <c r="DK36" s="102" t="str">
        <f t="shared" si="96"/>
        <v/>
      </c>
      <c r="DL36" s="102" t="str">
        <f t="shared" si="97"/>
        <v/>
      </c>
      <c r="DM36" s="102" t="str">
        <f t="shared" si="98"/>
        <v/>
      </c>
      <c r="DN36" s="102" t="str">
        <f t="shared" si="99"/>
        <v/>
      </c>
      <c r="DO36" s="102" t="str">
        <f t="shared" si="100"/>
        <v/>
      </c>
      <c r="DP36" s="102" t="str">
        <f t="shared" si="101"/>
        <v/>
      </c>
      <c r="DQ36" s="102" t="str">
        <f t="shared" si="102"/>
        <v/>
      </c>
      <c r="DR36" s="102" t="str">
        <f t="shared" si="103"/>
        <v/>
      </c>
      <c r="DS36" s="102" t="str">
        <f t="shared" si="104"/>
        <v/>
      </c>
      <c r="DT36" s="102" t="str">
        <f t="shared" si="105"/>
        <v/>
      </c>
      <c r="DU36" s="102" t="str">
        <f t="shared" si="106"/>
        <v/>
      </c>
      <c r="DV36" s="102" t="str">
        <f t="shared" si="107"/>
        <v/>
      </c>
      <c r="DW36" s="102" t="str">
        <f t="shared" si="108"/>
        <v/>
      </c>
      <c r="DX36" s="102" t="str">
        <f t="shared" si="109"/>
        <v/>
      </c>
      <c r="DY36" s="102" t="str">
        <f t="shared" si="110"/>
        <v/>
      </c>
      <c r="DZ36" s="102" t="str">
        <f t="shared" si="111"/>
        <v/>
      </c>
      <c r="EA36" s="102" t="str">
        <f t="shared" si="112"/>
        <v/>
      </c>
      <c r="EB36" s="102" t="str">
        <f t="shared" si="113"/>
        <v/>
      </c>
      <c r="EC36" s="102" t="str">
        <f t="shared" si="114"/>
        <v/>
      </c>
      <c r="ED36" s="102" t="str">
        <f t="shared" si="115"/>
        <v/>
      </c>
      <c r="EE36" s="102" t="str">
        <f t="shared" si="116"/>
        <v/>
      </c>
      <c r="EF36" s="102" t="str">
        <f t="shared" si="117"/>
        <v/>
      </c>
      <c r="EG36" s="102" t="str">
        <f t="shared" si="118"/>
        <v/>
      </c>
      <c r="EH36" s="102" t="str">
        <f t="shared" si="119"/>
        <v/>
      </c>
      <c r="EI36" s="102" t="str">
        <f t="shared" si="120"/>
        <v/>
      </c>
      <c r="EJ36" s="102" t="str">
        <f t="shared" si="121"/>
        <v/>
      </c>
      <c r="EK36" s="102" t="str">
        <f t="shared" si="122"/>
        <v/>
      </c>
      <c r="EL36" s="102" t="str">
        <f t="shared" si="123"/>
        <v/>
      </c>
      <c r="EM36" s="102" t="str">
        <f t="shared" si="124"/>
        <v/>
      </c>
      <c r="EN36" s="102" t="str">
        <f t="shared" si="125"/>
        <v/>
      </c>
      <c r="EO36" s="102" t="str">
        <f t="shared" si="126"/>
        <v/>
      </c>
      <c r="EP36" s="102" t="str">
        <f t="shared" si="127"/>
        <v/>
      </c>
      <c r="EQ36" s="102" t="str">
        <f t="shared" si="128"/>
        <v/>
      </c>
      <c r="ER36" s="102" t="str">
        <f t="shared" si="129"/>
        <v/>
      </c>
      <c r="ES36" s="102" t="str">
        <f t="shared" si="130"/>
        <v/>
      </c>
      <c r="ET36" s="102" t="str">
        <f t="shared" si="131"/>
        <v/>
      </c>
      <c r="EU36" s="102" t="str">
        <f t="shared" si="132"/>
        <v/>
      </c>
      <c r="EV36" s="102" t="str">
        <f t="shared" si="133"/>
        <v/>
      </c>
      <c r="EW36" s="792" t="str">
        <f t="shared" si="134"/>
        <v/>
      </c>
      <c r="EX36" s="354" t="str">
        <f t="shared" si="135"/>
        <v/>
      </c>
      <c r="EY36" s="354" t="str">
        <f t="shared" si="136"/>
        <v/>
      </c>
      <c r="EZ36" s="354" t="str">
        <f t="shared" si="137"/>
        <v/>
      </c>
      <c r="FA36" s="354" t="str">
        <f t="shared" si="138"/>
        <v/>
      </c>
      <c r="FB36" s="354" t="str">
        <f t="shared" si="139"/>
        <v/>
      </c>
      <c r="FC36" s="354" t="str">
        <f t="shared" si="140"/>
        <v/>
      </c>
      <c r="FD36" s="354" t="str">
        <f t="shared" si="141"/>
        <v/>
      </c>
      <c r="FE36" s="354" t="str">
        <f t="shared" si="142"/>
        <v/>
      </c>
      <c r="FF36" s="354" t="str">
        <f t="shared" si="143"/>
        <v/>
      </c>
      <c r="FG36" s="354" t="str">
        <f t="shared" si="144"/>
        <v/>
      </c>
      <c r="FH36" s="354" t="str">
        <f t="shared" si="145"/>
        <v/>
      </c>
      <c r="FI36" s="354" t="str">
        <f t="shared" si="146"/>
        <v/>
      </c>
      <c r="FJ36" s="354" t="str">
        <f t="shared" si="147"/>
        <v/>
      </c>
      <c r="FK36" s="354" t="str">
        <f t="shared" si="148"/>
        <v/>
      </c>
      <c r="FL36" s="354" t="str">
        <f t="shared" si="149"/>
        <v/>
      </c>
      <c r="FM36" s="354" t="str">
        <f t="shared" si="150"/>
        <v/>
      </c>
      <c r="FN36" s="354" t="str">
        <f t="shared" si="151"/>
        <v/>
      </c>
      <c r="FO36" s="354" t="str">
        <f t="shared" si="152"/>
        <v/>
      </c>
      <c r="FP36" s="354" t="str">
        <f t="shared" si="153"/>
        <v/>
      </c>
      <c r="FQ36" s="354" t="str">
        <f t="shared" si="154"/>
        <v/>
      </c>
      <c r="FR36" s="354" t="str">
        <f t="shared" si="155"/>
        <v/>
      </c>
      <c r="FS36" s="354" t="str">
        <f t="shared" si="156"/>
        <v/>
      </c>
      <c r="FT36" s="354" t="str">
        <f t="shared" si="157"/>
        <v/>
      </c>
      <c r="FU36" s="354" t="str">
        <f t="shared" si="158"/>
        <v/>
      </c>
      <c r="FV36" s="354" t="str">
        <f t="shared" si="159"/>
        <v/>
      </c>
      <c r="FW36" s="354" t="str">
        <f t="shared" si="160"/>
        <v/>
      </c>
      <c r="FX36" s="354" t="str">
        <f t="shared" si="161"/>
        <v/>
      </c>
      <c r="FY36" s="354" t="str">
        <f t="shared" si="162"/>
        <v/>
      </c>
      <c r="FZ36" s="354" t="str">
        <f t="shared" si="163"/>
        <v/>
      </c>
      <c r="GA36" s="354" t="str">
        <f t="shared" si="164"/>
        <v/>
      </c>
      <c r="GB36" s="354" t="str">
        <f t="shared" si="165"/>
        <v/>
      </c>
      <c r="GC36" s="354" t="str">
        <f t="shared" si="166"/>
        <v/>
      </c>
      <c r="GD36" s="354" t="str">
        <f t="shared" si="167"/>
        <v/>
      </c>
      <c r="GE36" s="354" t="str">
        <f t="shared" si="168"/>
        <v/>
      </c>
      <c r="GF36" s="354" t="str">
        <f t="shared" si="169"/>
        <v/>
      </c>
      <c r="GG36" s="354" t="str">
        <f t="shared" si="170"/>
        <v/>
      </c>
      <c r="GH36" s="354" t="str">
        <f t="shared" si="171"/>
        <v/>
      </c>
      <c r="GI36" s="354" t="str">
        <f t="shared" si="172"/>
        <v/>
      </c>
      <c r="GJ36" s="354" t="str">
        <f t="shared" si="173"/>
        <v/>
      </c>
      <c r="GK36" s="354" t="str">
        <f t="shared" si="174"/>
        <v/>
      </c>
      <c r="GL36" s="354" t="str">
        <f t="shared" si="175"/>
        <v/>
      </c>
      <c r="GM36" s="354" t="str">
        <f t="shared" si="176"/>
        <v/>
      </c>
      <c r="GN36" s="354" t="str">
        <f t="shared" si="177"/>
        <v/>
      </c>
      <c r="GO36" s="354" t="str">
        <f t="shared" si="178"/>
        <v/>
      </c>
      <c r="GP36" s="354" t="str">
        <f t="shared" si="179"/>
        <v/>
      </c>
      <c r="GQ36" s="354" t="str">
        <f t="shared" si="180"/>
        <v/>
      </c>
      <c r="GR36" s="354" t="str">
        <f t="shared" si="181"/>
        <v/>
      </c>
      <c r="GS36" s="354" t="str">
        <f t="shared" si="182"/>
        <v/>
      </c>
      <c r="GT36" s="354" t="str">
        <f t="shared" si="183"/>
        <v/>
      </c>
      <c r="GU36" s="354" t="str">
        <f t="shared" si="184"/>
        <v/>
      </c>
      <c r="GV36" s="354" t="str">
        <f t="shared" si="185"/>
        <v/>
      </c>
      <c r="GW36" s="354" t="str">
        <f t="shared" si="186"/>
        <v/>
      </c>
      <c r="GX36" s="354" t="str">
        <f t="shared" si="187"/>
        <v/>
      </c>
      <c r="GY36" s="354" t="str">
        <f t="shared" si="188"/>
        <v/>
      </c>
      <c r="GZ36" s="354" t="str">
        <f t="shared" si="189"/>
        <v/>
      </c>
      <c r="HA36" s="354" t="str">
        <f t="shared" si="190"/>
        <v/>
      </c>
      <c r="HB36" s="354" t="str">
        <f t="shared" si="191"/>
        <v/>
      </c>
      <c r="HC36" s="354" t="str">
        <f t="shared" si="192"/>
        <v/>
      </c>
      <c r="HD36" s="354" t="str">
        <f t="shared" si="193"/>
        <v/>
      </c>
      <c r="HE36" s="354" t="str">
        <f t="shared" si="194"/>
        <v/>
      </c>
      <c r="HF36" s="354" t="str">
        <f t="shared" si="195"/>
        <v/>
      </c>
      <c r="HG36" s="354" t="str">
        <f t="shared" si="196"/>
        <v/>
      </c>
      <c r="HH36" s="354" t="str">
        <f t="shared" si="197"/>
        <v/>
      </c>
      <c r="HI36" s="354" t="str">
        <f t="shared" si="198"/>
        <v/>
      </c>
      <c r="HJ36" s="354" t="str">
        <f t="shared" si="199"/>
        <v/>
      </c>
      <c r="HK36" s="354" t="str">
        <f t="shared" si="200"/>
        <v/>
      </c>
      <c r="HL36" s="354" t="str">
        <f t="shared" si="201"/>
        <v/>
      </c>
      <c r="HM36" s="354" t="str">
        <f t="shared" si="202"/>
        <v/>
      </c>
      <c r="HN36" s="354" t="str">
        <f t="shared" si="203"/>
        <v/>
      </c>
      <c r="HO36" s="354" t="str">
        <f t="shared" si="204"/>
        <v/>
      </c>
      <c r="HP36" s="354" t="str">
        <f t="shared" si="205"/>
        <v/>
      </c>
      <c r="HQ36" s="354" t="str">
        <f t="shared" si="206"/>
        <v/>
      </c>
      <c r="HR36" s="354" t="str">
        <f t="shared" si="207"/>
        <v/>
      </c>
      <c r="HS36" s="354" t="str">
        <f t="shared" si="208"/>
        <v/>
      </c>
      <c r="HT36" s="354" t="str">
        <f t="shared" si="209"/>
        <v/>
      </c>
      <c r="HU36" s="354" t="str">
        <f t="shared" si="210"/>
        <v/>
      </c>
      <c r="HV36" s="354" t="str">
        <f t="shared" si="211"/>
        <v/>
      </c>
      <c r="HW36" s="354" t="str">
        <f t="shared" si="212"/>
        <v/>
      </c>
      <c r="HX36" s="354" t="str">
        <f t="shared" si="213"/>
        <v/>
      </c>
      <c r="HY36" s="354" t="str">
        <f t="shared" si="214"/>
        <v/>
      </c>
      <c r="HZ36" s="354" t="str">
        <f t="shared" si="215"/>
        <v/>
      </c>
      <c r="IA36" s="354" t="str">
        <f t="shared" si="216"/>
        <v/>
      </c>
      <c r="IB36" s="354" t="str">
        <f t="shared" si="217"/>
        <v/>
      </c>
      <c r="IC36" s="354" t="str">
        <f t="shared" si="218"/>
        <v/>
      </c>
      <c r="ID36" s="355" t="str">
        <f t="shared" si="219"/>
        <v/>
      </c>
      <c r="IE36" s="355" t="str">
        <f t="shared" si="220"/>
        <v/>
      </c>
      <c r="IF36" s="355" t="str">
        <f t="shared" si="221"/>
        <v/>
      </c>
      <c r="IG36" s="355" t="str">
        <f t="shared" si="222"/>
        <v/>
      </c>
      <c r="IH36" s="355" t="str">
        <f t="shared" si="223"/>
        <v/>
      </c>
      <c r="II36" s="344" t="str">
        <f t="shared" si="224"/>
        <v/>
      </c>
      <c r="IJ36" s="344" t="str">
        <f t="shared" si="225"/>
        <v/>
      </c>
      <c r="IK36" s="344" t="str">
        <f t="shared" si="226"/>
        <v/>
      </c>
      <c r="IL36" s="344" t="str">
        <f t="shared" si="227"/>
        <v/>
      </c>
      <c r="IM36" s="344" t="str">
        <f t="shared" si="228"/>
        <v/>
      </c>
      <c r="IN36" s="344" t="str">
        <f t="shared" si="229"/>
        <v/>
      </c>
      <c r="IO36" s="344" t="str">
        <f t="shared" si="230"/>
        <v/>
      </c>
      <c r="IP36" s="344" t="str">
        <f t="shared" si="231"/>
        <v/>
      </c>
      <c r="IQ36" s="344" t="str">
        <f t="shared" si="232"/>
        <v/>
      </c>
      <c r="IR36" s="344" t="str">
        <f t="shared" si="233"/>
        <v/>
      </c>
      <c r="IS36" s="344" t="str">
        <f t="shared" si="234"/>
        <v/>
      </c>
      <c r="IT36" s="344" t="str">
        <f t="shared" si="235"/>
        <v/>
      </c>
      <c r="IU36" s="344" t="str">
        <f t="shared" si="236"/>
        <v/>
      </c>
      <c r="IV36" s="344" t="str">
        <f t="shared" si="237"/>
        <v/>
      </c>
      <c r="IW36" s="344" t="str">
        <f t="shared" si="238"/>
        <v/>
      </c>
      <c r="IX36" s="344" t="str">
        <f t="shared" si="239"/>
        <v/>
      </c>
      <c r="IY36" s="344" t="str">
        <f t="shared" si="240"/>
        <v/>
      </c>
      <c r="IZ36" s="344" t="str">
        <f t="shared" si="241"/>
        <v/>
      </c>
      <c r="JA36" s="344" t="str">
        <f t="shared" si="242"/>
        <v/>
      </c>
      <c r="JB36" s="344" t="str">
        <f t="shared" si="243"/>
        <v/>
      </c>
      <c r="JC36" s="353">
        <f t="shared" si="244"/>
        <v>0</v>
      </c>
      <c r="JD36" s="353">
        <f t="shared" si="245"/>
        <v>0</v>
      </c>
      <c r="JE36" s="353">
        <f t="shared" si="246"/>
        <v>0</v>
      </c>
      <c r="JF36" s="353">
        <f t="shared" si="247"/>
        <v>0</v>
      </c>
      <c r="JG36" s="353">
        <f t="shared" si="248"/>
        <v>0</v>
      </c>
      <c r="JH36" s="353">
        <f t="shared" si="249"/>
        <v>0</v>
      </c>
      <c r="JI36" s="353">
        <f t="shared" si="250"/>
        <v>0</v>
      </c>
      <c r="JJ36" s="353">
        <f t="shared" si="251"/>
        <v>0</v>
      </c>
      <c r="JK36" s="353">
        <f t="shared" si="252"/>
        <v>0</v>
      </c>
      <c r="JL36" s="353">
        <f t="shared" si="253"/>
        <v>0</v>
      </c>
      <c r="JM36" s="353">
        <f t="shared" si="254"/>
        <v>0</v>
      </c>
      <c r="JN36" s="353">
        <f t="shared" si="255"/>
        <v>0</v>
      </c>
      <c r="JO36" s="353">
        <f t="shared" si="256"/>
        <v>0</v>
      </c>
      <c r="JP36" s="353">
        <f t="shared" si="257"/>
        <v>0</v>
      </c>
      <c r="JQ36" s="353">
        <f t="shared" si="258"/>
        <v>0</v>
      </c>
    </row>
    <row r="37" spans="1:296" ht="12" customHeight="1">
      <c r="A37" s="70" t="str">
        <f t="shared" si="0"/>
        <v/>
      </c>
      <c r="B37" s="2628" t="s">
        <v>781</v>
      </c>
      <c r="C37" s="2629"/>
      <c r="D37" s="2630"/>
      <c r="E37" s="2631"/>
      <c r="F37" s="2631"/>
      <c r="G37" s="2631"/>
      <c r="H37" s="2631"/>
      <c r="I37" s="2632">
        <f>IF(C37="",0,HLOOKUP(C37,'Part V-Utility Allowances'!$I$11:$M$21,11))</f>
        <v>0</v>
      </c>
      <c r="J37" s="2633"/>
      <c r="K37" s="488">
        <f t="shared" si="1"/>
        <v>0</v>
      </c>
      <c r="L37" s="488">
        <f t="shared" si="2"/>
        <v>0</v>
      </c>
      <c r="M37" s="2634"/>
      <c r="N37" s="2634"/>
      <c r="O37" s="2634"/>
      <c r="P37" s="2635"/>
      <c r="Q37" s="2636" t="str">
        <f t="shared" si="3"/>
        <v/>
      </c>
      <c r="R37" s="2637" t="str">
        <f>IF(H37="","",IF(C37="Efficiency",Q37/($O$6*VLOOKUP(0,'DCA Underwriting Assumptions'!$J$143:$K$148,2,FALSE)),Q37/($O$6*VLOOKUP(C37,'DCA Underwriting Assumptions'!$J$143:$K$148,2,FALSE))))</f>
        <v/>
      </c>
      <c r="S37" s="2638"/>
      <c r="T37" s="2639"/>
      <c r="U37" s="2594"/>
      <c r="V37" s="2595"/>
      <c r="W37" s="102" t="str">
        <f t="shared" si="4"/>
        <v/>
      </c>
      <c r="X37" s="102" t="str">
        <f t="shared" si="5"/>
        <v/>
      </c>
      <c r="Y37" s="102" t="str">
        <f t="shared" si="6"/>
        <v/>
      </c>
      <c r="Z37" s="102" t="str">
        <f t="shared" si="7"/>
        <v/>
      </c>
      <c r="AA37" s="102" t="str">
        <f t="shared" si="8"/>
        <v/>
      </c>
      <c r="AB37" s="102" t="str">
        <f t="shared" si="9"/>
        <v/>
      </c>
      <c r="AC37" s="102" t="str">
        <f t="shared" si="10"/>
        <v/>
      </c>
      <c r="AD37" s="102" t="str">
        <f t="shared" si="11"/>
        <v/>
      </c>
      <c r="AE37" s="102" t="str">
        <f t="shared" si="12"/>
        <v/>
      </c>
      <c r="AF37" s="102" t="str">
        <f t="shared" si="13"/>
        <v/>
      </c>
      <c r="AG37" s="102" t="str">
        <f t="shared" si="14"/>
        <v/>
      </c>
      <c r="AH37" s="102" t="str">
        <f t="shared" si="15"/>
        <v/>
      </c>
      <c r="AI37" s="102" t="str">
        <f t="shared" si="16"/>
        <v/>
      </c>
      <c r="AJ37" s="102" t="str">
        <f t="shared" si="17"/>
        <v/>
      </c>
      <c r="AK37" s="102" t="str">
        <f t="shared" si="18"/>
        <v/>
      </c>
      <c r="AL37" s="102" t="str">
        <f t="shared" si="19"/>
        <v/>
      </c>
      <c r="AM37" s="102" t="str">
        <f t="shared" si="20"/>
        <v/>
      </c>
      <c r="AN37" s="102" t="str">
        <f t="shared" si="21"/>
        <v/>
      </c>
      <c r="AO37" s="102" t="str">
        <f t="shared" si="22"/>
        <v/>
      </c>
      <c r="AP37" s="102" t="str">
        <f t="shared" si="23"/>
        <v/>
      </c>
      <c r="AQ37" s="102" t="str">
        <f t="shared" si="24"/>
        <v/>
      </c>
      <c r="AR37" s="102" t="str">
        <f t="shared" si="25"/>
        <v/>
      </c>
      <c r="AS37" s="102" t="str">
        <f t="shared" si="26"/>
        <v/>
      </c>
      <c r="AT37" s="102" t="str">
        <f t="shared" si="27"/>
        <v/>
      </c>
      <c r="AU37" s="102" t="str">
        <f t="shared" si="28"/>
        <v/>
      </c>
      <c r="AV37" s="102" t="str">
        <f t="shared" si="29"/>
        <v/>
      </c>
      <c r="AW37" s="102" t="str">
        <f t="shared" si="30"/>
        <v/>
      </c>
      <c r="AX37" s="102" t="str">
        <f t="shared" si="31"/>
        <v/>
      </c>
      <c r="AY37" s="102" t="str">
        <f t="shared" si="32"/>
        <v/>
      </c>
      <c r="AZ37" s="102" t="str">
        <f t="shared" si="33"/>
        <v/>
      </c>
      <c r="BA37" s="102" t="str">
        <f t="shared" si="34"/>
        <v/>
      </c>
      <c r="BB37" s="102" t="str">
        <f t="shared" si="35"/>
        <v/>
      </c>
      <c r="BC37" s="102" t="str">
        <f t="shared" si="36"/>
        <v/>
      </c>
      <c r="BD37" s="102" t="str">
        <f t="shared" si="37"/>
        <v/>
      </c>
      <c r="BE37" s="102" t="str">
        <f t="shared" si="38"/>
        <v/>
      </c>
      <c r="BF37" s="102" t="str">
        <f t="shared" si="39"/>
        <v/>
      </c>
      <c r="BG37" s="102" t="str">
        <f t="shared" si="40"/>
        <v/>
      </c>
      <c r="BH37" s="102" t="str">
        <f t="shared" si="41"/>
        <v/>
      </c>
      <c r="BI37" s="102" t="str">
        <f t="shared" si="42"/>
        <v/>
      </c>
      <c r="BJ37" s="102" t="str">
        <f t="shared" si="43"/>
        <v/>
      </c>
      <c r="BK37" s="102" t="str">
        <f t="shared" si="44"/>
        <v/>
      </c>
      <c r="BL37" s="102" t="str">
        <f t="shared" si="45"/>
        <v/>
      </c>
      <c r="BM37" s="102" t="str">
        <f t="shared" si="46"/>
        <v/>
      </c>
      <c r="BN37" s="102" t="str">
        <f t="shared" si="47"/>
        <v/>
      </c>
      <c r="BO37" s="102" t="str">
        <f t="shared" si="48"/>
        <v/>
      </c>
      <c r="BP37" s="102" t="str">
        <f t="shared" si="49"/>
        <v/>
      </c>
      <c r="BQ37" s="102" t="str">
        <f t="shared" si="50"/>
        <v/>
      </c>
      <c r="BR37" s="102" t="str">
        <f t="shared" si="51"/>
        <v/>
      </c>
      <c r="BS37" s="102" t="str">
        <f t="shared" si="52"/>
        <v/>
      </c>
      <c r="BT37" s="102" t="str">
        <f t="shared" si="53"/>
        <v/>
      </c>
      <c r="BU37" s="102" t="str">
        <f t="shared" si="54"/>
        <v/>
      </c>
      <c r="BV37" s="102" t="str">
        <f t="shared" si="55"/>
        <v/>
      </c>
      <c r="BW37" s="102" t="str">
        <f t="shared" si="56"/>
        <v/>
      </c>
      <c r="BX37" s="102" t="str">
        <f t="shared" si="57"/>
        <v/>
      </c>
      <c r="BY37" s="102" t="str">
        <f t="shared" si="58"/>
        <v/>
      </c>
      <c r="BZ37" s="102" t="str">
        <f t="shared" si="59"/>
        <v/>
      </c>
      <c r="CA37" s="102" t="str">
        <f t="shared" si="60"/>
        <v/>
      </c>
      <c r="CB37" s="102" t="str">
        <f t="shared" si="61"/>
        <v/>
      </c>
      <c r="CC37" s="102" t="str">
        <f t="shared" si="62"/>
        <v/>
      </c>
      <c r="CD37" s="102" t="str">
        <f t="shared" si="63"/>
        <v/>
      </c>
      <c r="CE37" s="102" t="str">
        <f t="shared" si="64"/>
        <v/>
      </c>
      <c r="CF37" s="102" t="str">
        <f t="shared" si="65"/>
        <v/>
      </c>
      <c r="CG37" s="102" t="str">
        <f t="shared" si="66"/>
        <v/>
      </c>
      <c r="CH37" s="102" t="str">
        <f t="shared" si="67"/>
        <v/>
      </c>
      <c r="CI37" s="102" t="str">
        <f t="shared" si="68"/>
        <v/>
      </c>
      <c r="CJ37" s="102" t="str">
        <f t="shared" si="69"/>
        <v/>
      </c>
      <c r="CK37" s="102" t="str">
        <f t="shared" si="70"/>
        <v/>
      </c>
      <c r="CL37" s="102" t="str">
        <f t="shared" si="71"/>
        <v/>
      </c>
      <c r="CM37" s="102" t="str">
        <f t="shared" si="72"/>
        <v/>
      </c>
      <c r="CN37" s="102" t="str">
        <f t="shared" si="73"/>
        <v/>
      </c>
      <c r="CO37" s="102" t="str">
        <f t="shared" si="74"/>
        <v/>
      </c>
      <c r="CP37" s="102" t="str">
        <f t="shared" si="75"/>
        <v/>
      </c>
      <c r="CQ37" s="102" t="str">
        <f t="shared" si="76"/>
        <v/>
      </c>
      <c r="CR37" s="102" t="str">
        <f t="shared" si="77"/>
        <v/>
      </c>
      <c r="CS37" s="102" t="str">
        <f t="shared" si="78"/>
        <v/>
      </c>
      <c r="CT37" s="102" t="str">
        <f t="shared" si="79"/>
        <v/>
      </c>
      <c r="CU37" s="102" t="str">
        <f t="shared" si="80"/>
        <v/>
      </c>
      <c r="CV37" s="102" t="str">
        <f t="shared" si="81"/>
        <v/>
      </c>
      <c r="CW37" s="102" t="str">
        <f t="shared" si="82"/>
        <v/>
      </c>
      <c r="CX37" s="102" t="str">
        <f t="shared" si="83"/>
        <v/>
      </c>
      <c r="CY37" s="102" t="str">
        <f t="shared" si="84"/>
        <v/>
      </c>
      <c r="CZ37" s="102" t="str">
        <f t="shared" si="85"/>
        <v/>
      </c>
      <c r="DA37" s="102" t="str">
        <f t="shared" si="86"/>
        <v/>
      </c>
      <c r="DB37" s="102" t="str">
        <f t="shared" si="87"/>
        <v/>
      </c>
      <c r="DC37" s="102" t="str">
        <f t="shared" si="88"/>
        <v/>
      </c>
      <c r="DD37" s="102" t="str">
        <f t="shared" si="89"/>
        <v/>
      </c>
      <c r="DE37" s="102" t="str">
        <f t="shared" si="90"/>
        <v/>
      </c>
      <c r="DF37" s="102" t="str">
        <f t="shared" si="91"/>
        <v/>
      </c>
      <c r="DG37" s="102" t="str">
        <f t="shared" si="92"/>
        <v/>
      </c>
      <c r="DH37" s="102" t="str">
        <f t="shared" si="93"/>
        <v/>
      </c>
      <c r="DI37" s="102" t="str">
        <f t="shared" si="94"/>
        <v/>
      </c>
      <c r="DJ37" s="102" t="str">
        <f t="shared" si="95"/>
        <v/>
      </c>
      <c r="DK37" s="102" t="str">
        <f t="shared" si="96"/>
        <v/>
      </c>
      <c r="DL37" s="102" t="str">
        <f t="shared" si="97"/>
        <v/>
      </c>
      <c r="DM37" s="102" t="str">
        <f t="shared" si="98"/>
        <v/>
      </c>
      <c r="DN37" s="102" t="str">
        <f t="shared" si="99"/>
        <v/>
      </c>
      <c r="DO37" s="102" t="str">
        <f t="shared" si="100"/>
        <v/>
      </c>
      <c r="DP37" s="102" t="str">
        <f t="shared" si="101"/>
        <v/>
      </c>
      <c r="DQ37" s="102" t="str">
        <f t="shared" si="102"/>
        <v/>
      </c>
      <c r="DR37" s="102" t="str">
        <f t="shared" si="103"/>
        <v/>
      </c>
      <c r="DS37" s="102" t="str">
        <f t="shared" si="104"/>
        <v/>
      </c>
      <c r="DT37" s="102" t="str">
        <f t="shared" si="105"/>
        <v/>
      </c>
      <c r="DU37" s="102" t="str">
        <f t="shared" si="106"/>
        <v/>
      </c>
      <c r="DV37" s="102" t="str">
        <f t="shared" si="107"/>
        <v/>
      </c>
      <c r="DW37" s="102" t="str">
        <f t="shared" si="108"/>
        <v/>
      </c>
      <c r="DX37" s="102" t="str">
        <f t="shared" si="109"/>
        <v/>
      </c>
      <c r="DY37" s="102" t="str">
        <f t="shared" si="110"/>
        <v/>
      </c>
      <c r="DZ37" s="102" t="str">
        <f t="shared" si="111"/>
        <v/>
      </c>
      <c r="EA37" s="102" t="str">
        <f t="shared" si="112"/>
        <v/>
      </c>
      <c r="EB37" s="102" t="str">
        <f t="shared" si="113"/>
        <v/>
      </c>
      <c r="EC37" s="102" t="str">
        <f t="shared" si="114"/>
        <v/>
      </c>
      <c r="ED37" s="102" t="str">
        <f t="shared" si="115"/>
        <v/>
      </c>
      <c r="EE37" s="102" t="str">
        <f t="shared" si="116"/>
        <v/>
      </c>
      <c r="EF37" s="102" t="str">
        <f t="shared" si="117"/>
        <v/>
      </c>
      <c r="EG37" s="102" t="str">
        <f t="shared" si="118"/>
        <v/>
      </c>
      <c r="EH37" s="102" t="str">
        <f t="shared" si="119"/>
        <v/>
      </c>
      <c r="EI37" s="102" t="str">
        <f t="shared" si="120"/>
        <v/>
      </c>
      <c r="EJ37" s="102" t="str">
        <f t="shared" si="121"/>
        <v/>
      </c>
      <c r="EK37" s="102" t="str">
        <f t="shared" si="122"/>
        <v/>
      </c>
      <c r="EL37" s="102" t="str">
        <f t="shared" si="123"/>
        <v/>
      </c>
      <c r="EM37" s="102" t="str">
        <f t="shared" si="124"/>
        <v/>
      </c>
      <c r="EN37" s="102" t="str">
        <f t="shared" si="125"/>
        <v/>
      </c>
      <c r="EO37" s="102" t="str">
        <f t="shared" si="126"/>
        <v/>
      </c>
      <c r="EP37" s="102" t="str">
        <f t="shared" si="127"/>
        <v/>
      </c>
      <c r="EQ37" s="102" t="str">
        <f t="shared" si="128"/>
        <v/>
      </c>
      <c r="ER37" s="102" t="str">
        <f t="shared" si="129"/>
        <v/>
      </c>
      <c r="ES37" s="102" t="str">
        <f t="shared" si="130"/>
        <v/>
      </c>
      <c r="ET37" s="102" t="str">
        <f t="shared" si="131"/>
        <v/>
      </c>
      <c r="EU37" s="102" t="str">
        <f t="shared" si="132"/>
        <v/>
      </c>
      <c r="EV37" s="102" t="str">
        <f t="shared" si="133"/>
        <v/>
      </c>
      <c r="EW37" s="792" t="str">
        <f t="shared" si="134"/>
        <v/>
      </c>
      <c r="EX37" s="354" t="str">
        <f t="shared" si="135"/>
        <v/>
      </c>
      <c r="EY37" s="354" t="str">
        <f t="shared" si="136"/>
        <v/>
      </c>
      <c r="EZ37" s="354" t="str">
        <f t="shared" si="137"/>
        <v/>
      </c>
      <c r="FA37" s="354" t="str">
        <f t="shared" si="138"/>
        <v/>
      </c>
      <c r="FB37" s="354" t="str">
        <f t="shared" si="139"/>
        <v/>
      </c>
      <c r="FC37" s="354" t="str">
        <f t="shared" si="140"/>
        <v/>
      </c>
      <c r="FD37" s="354" t="str">
        <f t="shared" si="141"/>
        <v/>
      </c>
      <c r="FE37" s="354" t="str">
        <f t="shared" si="142"/>
        <v/>
      </c>
      <c r="FF37" s="354" t="str">
        <f t="shared" si="143"/>
        <v/>
      </c>
      <c r="FG37" s="354" t="str">
        <f t="shared" si="144"/>
        <v/>
      </c>
      <c r="FH37" s="354" t="str">
        <f t="shared" si="145"/>
        <v/>
      </c>
      <c r="FI37" s="354" t="str">
        <f t="shared" si="146"/>
        <v/>
      </c>
      <c r="FJ37" s="354" t="str">
        <f t="shared" si="147"/>
        <v/>
      </c>
      <c r="FK37" s="354" t="str">
        <f t="shared" si="148"/>
        <v/>
      </c>
      <c r="FL37" s="354" t="str">
        <f t="shared" si="149"/>
        <v/>
      </c>
      <c r="FM37" s="354" t="str">
        <f t="shared" si="150"/>
        <v/>
      </c>
      <c r="FN37" s="354" t="str">
        <f t="shared" si="151"/>
        <v/>
      </c>
      <c r="FO37" s="354" t="str">
        <f t="shared" si="152"/>
        <v/>
      </c>
      <c r="FP37" s="354" t="str">
        <f t="shared" si="153"/>
        <v/>
      </c>
      <c r="FQ37" s="354" t="str">
        <f t="shared" si="154"/>
        <v/>
      </c>
      <c r="FR37" s="354" t="str">
        <f t="shared" si="155"/>
        <v/>
      </c>
      <c r="FS37" s="354" t="str">
        <f t="shared" si="156"/>
        <v/>
      </c>
      <c r="FT37" s="354" t="str">
        <f t="shared" si="157"/>
        <v/>
      </c>
      <c r="FU37" s="354" t="str">
        <f t="shared" si="158"/>
        <v/>
      </c>
      <c r="FV37" s="354" t="str">
        <f t="shared" si="159"/>
        <v/>
      </c>
      <c r="FW37" s="354" t="str">
        <f t="shared" si="160"/>
        <v/>
      </c>
      <c r="FX37" s="354" t="str">
        <f t="shared" si="161"/>
        <v/>
      </c>
      <c r="FY37" s="354" t="str">
        <f t="shared" si="162"/>
        <v/>
      </c>
      <c r="FZ37" s="354" t="str">
        <f t="shared" si="163"/>
        <v/>
      </c>
      <c r="GA37" s="354" t="str">
        <f t="shared" si="164"/>
        <v/>
      </c>
      <c r="GB37" s="354" t="str">
        <f t="shared" si="165"/>
        <v/>
      </c>
      <c r="GC37" s="354" t="str">
        <f t="shared" si="166"/>
        <v/>
      </c>
      <c r="GD37" s="354" t="str">
        <f t="shared" si="167"/>
        <v/>
      </c>
      <c r="GE37" s="354" t="str">
        <f t="shared" si="168"/>
        <v/>
      </c>
      <c r="GF37" s="354" t="str">
        <f t="shared" si="169"/>
        <v/>
      </c>
      <c r="GG37" s="354" t="str">
        <f t="shared" si="170"/>
        <v/>
      </c>
      <c r="GH37" s="354" t="str">
        <f t="shared" si="171"/>
        <v/>
      </c>
      <c r="GI37" s="354" t="str">
        <f t="shared" si="172"/>
        <v/>
      </c>
      <c r="GJ37" s="354" t="str">
        <f t="shared" si="173"/>
        <v/>
      </c>
      <c r="GK37" s="354" t="str">
        <f t="shared" si="174"/>
        <v/>
      </c>
      <c r="GL37" s="354" t="str">
        <f t="shared" si="175"/>
        <v/>
      </c>
      <c r="GM37" s="354" t="str">
        <f t="shared" si="176"/>
        <v/>
      </c>
      <c r="GN37" s="354" t="str">
        <f t="shared" si="177"/>
        <v/>
      </c>
      <c r="GO37" s="354" t="str">
        <f t="shared" si="178"/>
        <v/>
      </c>
      <c r="GP37" s="354" t="str">
        <f t="shared" si="179"/>
        <v/>
      </c>
      <c r="GQ37" s="354" t="str">
        <f t="shared" si="180"/>
        <v/>
      </c>
      <c r="GR37" s="354" t="str">
        <f t="shared" si="181"/>
        <v/>
      </c>
      <c r="GS37" s="354" t="str">
        <f t="shared" si="182"/>
        <v/>
      </c>
      <c r="GT37" s="354" t="str">
        <f t="shared" si="183"/>
        <v/>
      </c>
      <c r="GU37" s="354" t="str">
        <f t="shared" si="184"/>
        <v/>
      </c>
      <c r="GV37" s="354" t="str">
        <f t="shared" si="185"/>
        <v/>
      </c>
      <c r="GW37" s="354" t="str">
        <f t="shared" si="186"/>
        <v/>
      </c>
      <c r="GX37" s="354" t="str">
        <f t="shared" si="187"/>
        <v/>
      </c>
      <c r="GY37" s="354" t="str">
        <f t="shared" si="188"/>
        <v/>
      </c>
      <c r="GZ37" s="354" t="str">
        <f t="shared" si="189"/>
        <v/>
      </c>
      <c r="HA37" s="354" t="str">
        <f t="shared" si="190"/>
        <v/>
      </c>
      <c r="HB37" s="354" t="str">
        <f t="shared" si="191"/>
        <v/>
      </c>
      <c r="HC37" s="354" t="str">
        <f t="shared" si="192"/>
        <v/>
      </c>
      <c r="HD37" s="354" t="str">
        <f t="shared" si="193"/>
        <v/>
      </c>
      <c r="HE37" s="354" t="str">
        <f t="shared" si="194"/>
        <v/>
      </c>
      <c r="HF37" s="354" t="str">
        <f t="shared" si="195"/>
        <v/>
      </c>
      <c r="HG37" s="354" t="str">
        <f t="shared" si="196"/>
        <v/>
      </c>
      <c r="HH37" s="354" t="str">
        <f t="shared" si="197"/>
        <v/>
      </c>
      <c r="HI37" s="354" t="str">
        <f t="shared" si="198"/>
        <v/>
      </c>
      <c r="HJ37" s="354" t="str">
        <f t="shared" si="199"/>
        <v/>
      </c>
      <c r="HK37" s="354" t="str">
        <f t="shared" si="200"/>
        <v/>
      </c>
      <c r="HL37" s="354" t="str">
        <f t="shared" si="201"/>
        <v/>
      </c>
      <c r="HM37" s="354" t="str">
        <f t="shared" si="202"/>
        <v/>
      </c>
      <c r="HN37" s="354" t="str">
        <f t="shared" si="203"/>
        <v/>
      </c>
      <c r="HO37" s="354" t="str">
        <f t="shared" si="204"/>
        <v/>
      </c>
      <c r="HP37" s="354" t="str">
        <f t="shared" si="205"/>
        <v/>
      </c>
      <c r="HQ37" s="354" t="str">
        <f t="shared" si="206"/>
        <v/>
      </c>
      <c r="HR37" s="354" t="str">
        <f t="shared" si="207"/>
        <v/>
      </c>
      <c r="HS37" s="354" t="str">
        <f t="shared" si="208"/>
        <v/>
      </c>
      <c r="HT37" s="354" t="str">
        <f t="shared" si="209"/>
        <v/>
      </c>
      <c r="HU37" s="354" t="str">
        <f t="shared" si="210"/>
        <v/>
      </c>
      <c r="HV37" s="354" t="str">
        <f t="shared" si="211"/>
        <v/>
      </c>
      <c r="HW37" s="354" t="str">
        <f t="shared" si="212"/>
        <v/>
      </c>
      <c r="HX37" s="354" t="str">
        <f t="shared" si="213"/>
        <v/>
      </c>
      <c r="HY37" s="354" t="str">
        <f t="shared" si="214"/>
        <v/>
      </c>
      <c r="HZ37" s="354" t="str">
        <f t="shared" si="215"/>
        <v/>
      </c>
      <c r="IA37" s="354" t="str">
        <f t="shared" si="216"/>
        <v/>
      </c>
      <c r="IB37" s="354" t="str">
        <f t="shared" si="217"/>
        <v/>
      </c>
      <c r="IC37" s="354" t="str">
        <f t="shared" si="218"/>
        <v/>
      </c>
      <c r="ID37" s="355" t="str">
        <f t="shared" si="219"/>
        <v/>
      </c>
      <c r="IE37" s="355" t="str">
        <f t="shared" si="220"/>
        <v/>
      </c>
      <c r="IF37" s="355" t="str">
        <f t="shared" si="221"/>
        <v/>
      </c>
      <c r="IG37" s="355" t="str">
        <f t="shared" si="222"/>
        <v/>
      </c>
      <c r="IH37" s="355" t="str">
        <f t="shared" si="223"/>
        <v/>
      </c>
      <c r="II37" s="344" t="str">
        <f t="shared" si="224"/>
        <v/>
      </c>
      <c r="IJ37" s="344" t="str">
        <f t="shared" si="225"/>
        <v/>
      </c>
      <c r="IK37" s="344" t="str">
        <f t="shared" si="226"/>
        <v/>
      </c>
      <c r="IL37" s="344" t="str">
        <f t="shared" si="227"/>
        <v/>
      </c>
      <c r="IM37" s="344" t="str">
        <f t="shared" si="228"/>
        <v/>
      </c>
      <c r="IN37" s="344" t="str">
        <f t="shared" si="229"/>
        <v/>
      </c>
      <c r="IO37" s="344" t="str">
        <f t="shared" si="230"/>
        <v/>
      </c>
      <c r="IP37" s="344" t="str">
        <f t="shared" si="231"/>
        <v/>
      </c>
      <c r="IQ37" s="344" t="str">
        <f t="shared" si="232"/>
        <v/>
      </c>
      <c r="IR37" s="344" t="str">
        <f t="shared" si="233"/>
        <v/>
      </c>
      <c r="IS37" s="344" t="str">
        <f t="shared" si="234"/>
        <v/>
      </c>
      <c r="IT37" s="344" t="str">
        <f t="shared" si="235"/>
        <v/>
      </c>
      <c r="IU37" s="344" t="str">
        <f t="shared" si="236"/>
        <v/>
      </c>
      <c r="IV37" s="344" t="str">
        <f t="shared" si="237"/>
        <v/>
      </c>
      <c r="IW37" s="344" t="str">
        <f t="shared" si="238"/>
        <v/>
      </c>
      <c r="IX37" s="344" t="str">
        <f t="shared" si="239"/>
        <v/>
      </c>
      <c r="IY37" s="344" t="str">
        <f t="shared" si="240"/>
        <v/>
      </c>
      <c r="IZ37" s="344" t="str">
        <f t="shared" si="241"/>
        <v/>
      </c>
      <c r="JA37" s="344" t="str">
        <f t="shared" si="242"/>
        <v/>
      </c>
      <c r="JB37" s="344" t="str">
        <f t="shared" si="243"/>
        <v/>
      </c>
      <c r="JC37" s="353">
        <f t="shared" si="244"/>
        <v>0</v>
      </c>
      <c r="JD37" s="353">
        <f t="shared" si="245"/>
        <v>0</v>
      </c>
      <c r="JE37" s="353">
        <f t="shared" si="246"/>
        <v>0</v>
      </c>
      <c r="JF37" s="353">
        <f t="shared" si="247"/>
        <v>0</v>
      </c>
      <c r="JG37" s="353">
        <f t="shared" si="248"/>
        <v>0</v>
      </c>
      <c r="JH37" s="353">
        <f t="shared" si="249"/>
        <v>0</v>
      </c>
      <c r="JI37" s="353">
        <f t="shared" si="250"/>
        <v>0</v>
      </c>
      <c r="JJ37" s="353">
        <f t="shared" si="251"/>
        <v>0</v>
      </c>
      <c r="JK37" s="353">
        <f t="shared" si="252"/>
        <v>0</v>
      </c>
      <c r="JL37" s="353">
        <f t="shared" si="253"/>
        <v>0</v>
      </c>
      <c r="JM37" s="353">
        <f t="shared" si="254"/>
        <v>0</v>
      </c>
      <c r="JN37" s="353">
        <f t="shared" si="255"/>
        <v>0</v>
      </c>
      <c r="JO37" s="353">
        <f t="shared" si="256"/>
        <v>0</v>
      </c>
      <c r="JP37" s="353">
        <f t="shared" si="257"/>
        <v>0</v>
      </c>
      <c r="JQ37" s="353">
        <f t="shared" si="258"/>
        <v>0</v>
      </c>
    </row>
    <row r="38" spans="1:296" ht="12" customHeight="1">
      <c r="A38" s="70" t="str">
        <f t="shared" si="0"/>
        <v/>
      </c>
      <c r="B38" s="2628" t="s">
        <v>781</v>
      </c>
      <c r="C38" s="2629"/>
      <c r="D38" s="2630"/>
      <c r="E38" s="2631"/>
      <c r="F38" s="2631"/>
      <c r="G38" s="2631"/>
      <c r="H38" s="2631"/>
      <c r="I38" s="2632">
        <f>IF(C38="",0,HLOOKUP(C38,'Part V-Utility Allowances'!$I$11:$M$21,11))</f>
        <v>0</v>
      </c>
      <c r="J38" s="2633"/>
      <c r="K38" s="488">
        <f t="shared" si="1"/>
        <v>0</v>
      </c>
      <c r="L38" s="488">
        <f t="shared" si="2"/>
        <v>0</v>
      </c>
      <c r="M38" s="2634"/>
      <c r="N38" s="2634"/>
      <c r="O38" s="2634"/>
      <c r="P38" s="2635"/>
      <c r="Q38" s="2636" t="str">
        <f t="shared" si="3"/>
        <v/>
      </c>
      <c r="R38" s="2637" t="str">
        <f>IF(H38="","",IF(C38="Efficiency",Q38/($O$6*VLOOKUP(0,'DCA Underwriting Assumptions'!$J$143:$K$148,2,FALSE)),Q38/($O$6*VLOOKUP(C38,'DCA Underwriting Assumptions'!$J$143:$K$148,2,FALSE))))</f>
        <v/>
      </c>
      <c r="S38" s="2638"/>
      <c r="T38" s="2639"/>
      <c r="U38" s="2594"/>
      <c r="V38" s="2595"/>
      <c r="W38" s="102" t="str">
        <f t="shared" si="4"/>
        <v/>
      </c>
      <c r="X38" s="102" t="str">
        <f t="shared" si="5"/>
        <v/>
      </c>
      <c r="Y38" s="102" t="str">
        <f t="shared" si="6"/>
        <v/>
      </c>
      <c r="Z38" s="102" t="str">
        <f t="shared" si="7"/>
        <v/>
      </c>
      <c r="AA38" s="102" t="str">
        <f t="shared" si="8"/>
        <v/>
      </c>
      <c r="AB38" s="102" t="str">
        <f t="shared" si="9"/>
        <v/>
      </c>
      <c r="AC38" s="102" t="str">
        <f t="shared" si="10"/>
        <v/>
      </c>
      <c r="AD38" s="102" t="str">
        <f t="shared" si="11"/>
        <v/>
      </c>
      <c r="AE38" s="102" t="str">
        <f t="shared" si="12"/>
        <v/>
      </c>
      <c r="AF38" s="102" t="str">
        <f t="shared" si="13"/>
        <v/>
      </c>
      <c r="AG38" s="102" t="str">
        <f t="shared" si="14"/>
        <v/>
      </c>
      <c r="AH38" s="102" t="str">
        <f t="shared" si="15"/>
        <v/>
      </c>
      <c r="AI38" s="102" t="str">
        <f t="shared" si="16"/>
        <v/>
      </c>
      <c r="AJ38" s="102" t="str">
        <f t="shared" si="17"/>
        <v/>
      </c>
      <c r="AK38" s="102" t="str">
        <f t="shared" si="18"/>
        <v/>
      </c>
      <c r="AL38" s="102" t="str">
        <f t="shared" si="19"/>
        <v/>
      </c>
      <c r="AM38" s="102" t="str">
        <f t="shared" si="20"/>
        <v/>
      </c>
      <c r="AN38" s="102" t="str">
        <f t="shared" si="21"/>
        <v/>
      </c>
      <c r="AO38" s="102" t="str">
        <f t="shared" si="22"/>
        <v/>
      </c>
      <c r="AP38" s="102" t="str">
        <f t="shared" si="23"/>
        <v/>
      </c>
      <c r="AQ38" s="102" t="str">
        <f t="shared" si="24"/>
        <v/>
      </c>
      <c r="AR38" s="102" t="str">
        <f t="shared" si="25"/>
        <v/>
      </c>
      <c r="AS38" s="102" t="str">
        <f t="shared" si="26"/>
        <v/>
      </c>
      <c r="AT38" s="102" t="str">
        <f t="shared" si="27"/>
        <v/>
      </c>
      <c r="AU38" s="102" t="str">
        <f t="shared" si="28"/>
        <v/>
      </c>
      <c r="AV38" s="102" t="str">
        <f t="shared" si="29"/>
        <v/>
      </c>
      <c r="AW38" s="102" t="str">
        <f t="shared" si="30"/>
        <v/>
      </c>
      <c r="AX38" s="102" t="str">
        <f t="shared" si="31"/>
        <v/>
      </c>
      <c r="AY38" s="102" t="str">
        <f t="shared" si="32"/>
        <v/>
      </c>
      <c r="AZ38" s="102" t="str">
        <f t="shared" si="33"/>
        <v/>
      </c>
      <c r="BA38" s="102" t="str">
        <f t="shared" si="34"/>
        <v/>
      </c>
      <c r="BB38" s="102" t="str">
        <f t="shared" si="35"/>
        <v/>
      </c>
      <c r="BC38" s="102" t="str">
        <f t="shared" si="36"/>
        <v/>
      </c>
      <c r="BD38" s="102" t="str">
        <f t="shared" si="37"/>
        <v/>
      </c>
      <c r="BE38" s="102" t="str">
        <f t="shared" si="38"/>
        <v/>
      </c>
      <c r="BF38" s="102" t="str">
        <f t="shared" si="39"/>
        <v/>
      </c>
      <c r="BG38" s="102" t="str">
        <f t="shared" si="40"/>
        <v/>
      </c>
      <c r="BH38" s="102" t="str">
        <f t="shared" si="41"/>
        <v/>
      </c>
      <c r="BI38" s="102" t="str">
        <f t="shared" si="42"/>
        <v/>
      </c>
      <c r="BJ38" s="102" t="str">
        <f t="shared" si="43"/>
        <v/>
      </c>
      <c r="BK38" s="102" t="str">
        <f t="shared" si="44"/>
        <v/>
      </c>
      <c r="BL38" s="102" t="str">
        <f t="shared" si="45"/>
        <v/>
      </c>
      <c r="BM38" s="102" t="str">
        <f t="shared" si="46"/>
        <v/>
      </c>
      <c r="BN38" s="102" t="str">
        <f t="shared" si="47"/>
        <v/>
      </c>
      <c r="BO38" s="102" t="str">
        <f t="shared" si="48"/>
        <v/>
      </c>
      <c r="BP38" s="102" t="str">
        <f t="shared" si="49"/>
        <v/>
      </c>
      <c r="BQ38" s="102" t="str">
        <f t="shared" si="50"/>
        <v/>
      </c>
      <c r="BR38" s="102" t="str">
        <f t="shared" si="51"/>
        <v/>
      </c>
      <c r="BS38" s="102" t="str">
        <f t="shared" si="52"/>
        <v/>
      </c>
      <c r="BT38" s="102" t="str">
        <f t="shared" si="53"/>
        <v/>
      </c>
      <c r="BU38" s="102" t="str">
        <f t="shared" si="54"/>
        <v/>
      </c>
      <c r="BV38" s="102" t="str">
        <f t="shared" si="55"/>
        <v/>
      </c>
      <c r="BW38" s="102" t="str">
        <f t="shared" si="56"/>
        <v/>
      </c>
      <c r="BX38" s="102" t="str">
        <f t="shared" si="57"/>
        <v/>
      </c>
      <c r="BY38" s="102" t="str">
        <f t="shared" si="58"/>
        <v/>
      </c>
      <c r="BZ38" s="102" t="str">
        <f t="shared" si="59"/>
        <v/>
      </c>
      <c r="CA38" s="102" t="str">
        <f t="shared" si="60"/>
        <v/>
      </c>
      <c r="CB38" s="102" t="str">
        <f t="shared" si="61"/>
        <v/>
      </c>
      <c r="CC38" s="102" t="str">
        <f t="shared" si="62"/>
        <v/>
      </c>
      <c r="CD38" s="102" t="str">
        <f t="shared" si="63"/>
        <v/>
      </c>
      <c r="CE38" s="102" t="str">
        <f t="shared" si="64"/>
        <v/>
      </c>
      <c r="CF38" s="102" t="str">
        <f t="shared" si="65"/>
        <v/>
      </c>
      <c r="CG38" s="102" t="str">
        <f t="shared" si="66"/>
        <v/>
      </c>
      <c r="CH38" s="102" t="str">
        <f t="shared" si="67"/>
        <v/>
      </c>
      <c r="CI38" s="102" t="str">
        <f t="shared" si="68"/>
        <v/>
      </c>
      <c r="CJ38" s="102" t="str">
        <f t="shared" si="69"/>
        <v/>
      </c>
      <c r="CK38" s="102" t="str">
        <f t="shared" si="70"/>
        <v/>
      </c>
      <c r="CL38" s="102" t="str">
        <f t="shared" si="71"/>
        <v/>
      </c>
      <c r="CM38" s="102" t="str">
        <f t="shared" si="72"/>
        <v/>
      </c>
      <c r="CN38" s="102" t="str">
        <f t="shared" si="73"/>
        <v/>
      </c>
      <c r="CO38" s="102" t="str">
        <f t="shared" si="74"/>
        <v/>
      </c>
      <c r="CP38" s="102" t="str">
        <f t="shared" si="75"/>
        <v/>
      </c>
      <c r="CQ38" s="102" t="str">
        <f t="shared" si="76"/>
        <v/>
      </c>
      <c r="CR38" s="102" t="str">
        <f t="shared" si="77"/>
        <v/>
      </c>
      <c r="CS38" s="102" t="str">
        <f t="shared" si="78"/>
        <v/>
      </c>
      <c r="CT38" s="102" t="str">
        <f t="shared" si="79"/>
        <v/>
      </c>
      <c r="CU38" s="102" t="str">
        <f t="shared" si="80"/>
        <v/>
      </c>
      <c r="CV38" s="102" t="str">
        <f t="shared" si="81"/>
        <v/>
      </c>
      <c r="CW38" s="102" t="str">
        <f t="shared" si="82"/>
        <v/>
      </c>
      <c r="CX38" s="102" t="str">
        <f t="shared" si="83"/>
        <v/>
      </c>
      <c r="CY38" s="102" t="str">
        <f t="shared" si="84"/>
        <v/>
      </c>
      <c r="CZ38" s="102" t="str">
        <f t="shared" si="85"/>
        <v/>
      </c>
      <c r="DA38" s="102" t="str">
        <f t="shared" si="86"/>
        <v/>
      </c>
      <c r="DB38" s="102" t="str">
        <f t="shared" si="87"/>
        <v/>
      </c>
      <c r="DC38" s="102" t="str">
        <f t="shared" si="88"/>
        <v/>
      </c>
      <c r="DD38" s="102" t="str">
        <f t="shared" si="89"/>
        <v/>
      </c>
      <c r="DE38" s="102" t="str">
        <f t="shared" si="90"/>
        <v/>
      </c>
      <c r="DF38" s="102" t="str">
        <f t="shared" si="91"/>
        <v/>
      </c>
      <c r="DG38" s="102" t="str">
        <f t="shared" si="92"/>
        <v/>
      </c>
      <c r="DH38" s="102" t="str">
        <f t="shared" si="93"/>
        <v/>
      </c>
      <c r="DI38" s="102" t="str">
        <f t="shared" si="94"/>
        <v/>
      </c>
      <c r="DJ38" s="102" t="str">
        <f t="shared" si="95"/>
        <v/>
      </c>
      <c r="DK38" s="102" t="str">
        <f t="shared" si="96"/>
        <v/>
      </c>
      <c r="DL38" s="102" t="str">
        <f t="shared" si="97"/>
        <v/>
      </c>
      <c r="DM38" s="102" t="str">
        <f t="shared" si="98"/>
        <v/>
      </c>
      <c r="DN38" s="102" t="str">
        <f t="shared" si="99"/>
        <v/>
      </c>
      <c r="DO38" s="102" t="str">
        <f t="shared" si="100"/>
        <v/>
      </c>
      <c r="DP38" s="102" t="str">
        <f t="shared" si="101"/>
        <v/>
      </c>
      <c r="DQ38" s="102" t="str">
        <f t="shared" si="102"/>
        <v/>
      </c>
      <c r="DR38" s="102" t="str">
        <f t="shared" si="103"/>
        <v/>
      </c>
      <c r="DS38" s="102" t="str">
        <f t="shared" si="104"/>
        <v/>
      </c>
      <c r="DT38" s="102" t="str">
        <f t="shared" si="105"/>
        <v/>
      </c>
      <c r="DU38" s="102" t="str">
        <f t="shared" si="106"/>
        <v/>
      </c>
      <c r="DV38" s="102" t="str">
        <f t="shared" si="107"/>
        <v/>
      </c>
      <c r="DW38" s="102" t="str">
        <f t="shared" si="108"/>
        <v/>
      </c>
      <c r="DX38" s="102" t="str">
        <f t="shared" si="109"/>
        <v/>
      </c>
      <c r="DY38" s="102" t="str">
        <f t="shared" si="110"/>
        <v/>
      </c>
      <c r="DZ38" s="102" t="str">
        <f t="shared" si="111"/>
        <v/>
      </c>
      <c r="EA38" s="102" t="str">
        <f t="shared" si="112"/>
        <v/>
      </c>
      <c r="EB38" s="102" t="str">
        <f t="shared" si="113"/>
        <v/>
      </c>
      <c r="EC38" s="102" t="str">
        <f t="shared" si="114"/>
        <v/>
      </c>
      <c r="ED38" s="102" t="str">
        <f t="shared" si="115"/>
        <v/>
      </c>
      <c r="EE38" s="102" t="str">
        <f t="shared" si="116"/>
        <v/>
      </c>
      <c r="EF38" s="102" t="str">
        <f t="shared" si="117"/>
        <v/>
      </c>
      <c r="EG38" s="102" t="str">
        <f t="shared" si="118"/>
        <v/>
      </c>
      <c r="EH38" s="102" t="str">
        <f t="shared" si="119"/>
        <v/>
      </c>
      <c r="EI38" s="102" t="str">
        <f t="shared" si="120"/>
        <v/>
      </c>
      <c r="EJ38" s="102" t="str">
        <f t="shared" si="121"/>
        <v/>
      </c>
      <c r="EK38" s="102" t="str">
        <f t="shared" si="122"/>
        <v/>
      </c>
      <c r="EL38" s="102" t="str">
        <f t="shared" si="123"/>
        <v/>
      </c>
      <c r="EM38" s="102" t="str">
        <f t="shared" si="124"/>
        <v/>
      </c>
      <c r="EN38" s="102" t="str">
        <f t="shared" si="125"/>
        <v/>
      </c>
      <c r="EO38" s="102" t="str">
        <f t="shared" si="126"/>
        <v/>
      </c>
      <c r="EP38" s="102" t="str">
        <f t="shared" si="127"/>
        <v/>
      </c>
      <c r="EQ38" s="102" t="str">
        <f t="shared" si="128"/>
        <v/>
      </c>
      <c r="ER38" s="102" t="str">
        <f t="shared" si="129"/>
        <v/>
      </c>
      <c r="ES38" s="102" t="str">
        <f t="shared" si="130"/>
        <v/>
      </c>
      <c r="ET38" s="102" t="str">
        <f t="shared" si="131"/>
        <v/>
      </c>
      <c r="EU38" s="102" t="str">
        <f t="shared" si="132"/>
        <v/>
      </c>
      <c r="EV38" s="102" t="str">
        <f t="shared" si="133"/>
        <v/>
      </c>
      <c r="EW38" s="792" t="str">
        <f t="shared" si="134"/>
        <v/>
      </c>
      <c r="EX38" s="354" t="str">
        <f t="shared" si="135"/>
        <v/>
      </c>
      <c r="EY38" s="354" t="str">
        <f t="shared" si="136"/>
        <v/>
      </c>
      <c r="EZ38" s="354" t="str">
        <f t="shared" si="137"/>
        <v/>
      </c>
      <c r="FA38" s="354" t="str">
        <f t="shared" si="138"/>
        <v/>
      </c>
      <c r="FB38" s="354" t="str">
        <f t="shared" si="139"/>
        <v/>
      </c>
      <c r="FC38" s="354" t="str">
        <f t="shared" si="140"/>
        <v/>
      </c>
      <c r="FD38" s="354" t="str">
        <f t="shared" si="141"/>
        <v/>
      </c>
      <c r="FE38" s="354" t="str">
        <f t="shared" si="142"/>
        <v/>
      </c>
      <c r="FF38" s="354" t="str">
        <f t="shared" si="143"/>
        <v/>
      </c>
      <c r="FG38" s="354" t="str">
        <f t="shared" si="144"/>
        <v/>
      </c>
      <c r="FH38" s="354" t="str">
        <f t="shared" si="145"/>
        <v/>
      </c>
      <c r="FI38" s="354" t="str">
        <f t="shared" si="146"/>
        <v/>
      </c>
      <c r="FJ38" s="354" t="str">
        <f t="shared" si="147"/>
        <v/>
      </c>
      <c r="FK38" s="354" t="str">
        <f t="shared" si="148"/>
        <v/>
      </c>
      <c r="FL38" s="354" t="str">
        <f t="shared" si="149"/>
        <v/>
      </c>
      <c r="FM38" s="354" t="str">
        <f t="shared" si="150"/>
        <v/>
      </c>
      <c r="FN38" s="354" t="str">
        <f t="shared" si="151"/>
        <v/>
      </c>
      <c r="FO38" s="354" t="str">
        <f t="shared" si="152"/>
        <v/>
      </c>
      <c r="FP38" s="354" t="str">
        <f t="shared" si="153"/>
        <v/>
      </c>
      <c r="FQ38" s="354" t="str">
        <f t="shared" si="154"/>
        <v/>
      </c>
      <c r="FR38" s="354" t="str">
        <f t="shared" si="155"/>
        <v/>
      </c>
      <c r="FS38" s="354" t="str">
        <f t="shared" si="156"/>
        <v/>
      </c>
      <c r="FT38" s="354" t="str">
        <f t="shared" si="157"/>
        <v/>
      </c>
      <c r="FU38" s="354" t="str">
        <f t="shared" si="158"/>
        <v/>
      </c>
      <c r="FV38" s="354" t="str">
        <f t="shared" si="159"/>
        <v/>
      </c>
      <c r="FW38" s="354" t="str">
        <f t="shared" si="160"/>
        <v/>
      </c>
      <c r="FX38" s="354" t="str">
        <f t="shared" si="161"/>
        <v/>
      </c>
      <c r="FY38" s="354" t="str">
        <f t="shared" si="162"/>
        <v/>
      </c>
      <c r="FZ38" s="354" t="str">
        <f t="shared" si="163"/>
        <v/>
      </c>
      <c r="GA38" s="354" t="str">
        <f t="shared" si="164"/>
        <v/>
      </c>
      <c r="GB38" s="354" t="str">
        <f t="shared" si="165"/>
        <v/>
      </c>
      <c r="GC38" s="354" t="str">
        <f t="shared" si="166"/>
        <v/>
      </c>
      <c r="GD38" s="354" t="str">
        <f t="shared" si="167"/>
        <v/>
      </c>
      <c r="GE38" s="354" t="str">
        <f t="shared" si="168"/>
        <v/>
      </c>
      <c r="GF38" s="354" t="str">
        <f t="shared" si="169"/>
        <v/>
      </c>
      <c r="GG38" s="354" t="str">
        <f t="shared" si="170"/>
        <v/>
      </c>
      <c r="GH38" s="354" t="str">
        <f t="shared" si="171"/>
        <v/>
      </c>
      <c r="GI38" s="354" t="str">
        <f t="shared" si="172"/>
        <v/>
      </c>
      <c r="GJ38" s="354" t="str">
        <f t="shared" si="173"/>
        <v/>
      </c>
      <c r="GK38" s="354" t="str">
        <f t="shared" si="174"/>
        <v/>
      </c>
      <c r="GL38" s="354" t="str">
        <f t="shared" si="175"/>
        <v/>
      </c>
      <c r="GM38" s="354" t="str">
        <f t="shared" si="176"/>
        <v/>
      </c>
      <c r="GN38" s="354" t="str">
        <f t="shared" si="177"/>
        <v/>
      </c>
      <c r="GO38" s="354" t="str">
        <f t="shared" si="178"/>
        <v/>
      </c>
      <c r="GP38" s="354" t="str">
        <f t="shared" si="179"/>
        <v/>
      </c>
      <c r="GQ38" s="354" t="str">
        <f t="shared" si="180"/>
        <v/>
      </c>
      <c r="GR38" s="354" t="str">
        <f t="shared" si="181"/>
        <v/>
      </c>
      <c r="GS38" s="354" t="str">
        <f t="shared" si="182"/>
        <v/>
      </c>
      <c r="GT38" s="354" t="str">
        <f t="shared" si="183"/>
        <v/>
      </c>
      <c r="GU38" s="354" t="str">
        <f t="shared" si="184"/>
        <v/>
      </c>
      <c r="GV38" s="354" t="str">
        <f t="shared" si="185"/>
        <v/>
      </c>
      <c r="GW38" s="354" t="str">
        <f t="shared" si="186"/>
        <v/>
      </c>
      <c r="GX38" s="354" t="str">
        <f t="shared" si="187"/>
        <v/>
      </c>
      <c r="GY38" s="354" t="str">
        <f t="shared" si="188"/>
        <v/>
      </c>
      <c r="GZ38" s="354" t="str">
        <f t="shared" si="189"/>
        <v/>
      </c>
      <c r="HA38" s="354" t="str">
        <f t="shared" si="190"/>
        <v/>
      </c>
      <c r="HB38" s="354" t="str">
        <f t="shared" si="191"/>
        <v/>
      </c>
      <c r="HC38" s="354" t="str">
        <f t="shared" si="192"/>
        <v/>
      </c>
      <c r="HD38" s="354" t="str">
        <f t="shared" si="193"/>
        <v/>
      </c>
      <c r="HE38" s="354" t="str">
        <f t="shared" si="194"/>
        <v/>
      </c>
      <c r="HF38" s="354" t="str">
        <f t="shared" si="195"/>
        <v/>
      </c>
      <c r="HG38" s="354" t="str">
        <f t="shared" si="196"/>
        <v/>
      </c>
      <c r="HH38" s="354" t="str">
        <f t="shared" si="197"/>
        <v/>
      </c>
      <c r="HI38" s="354" t="str">
        <f t="shared" si="198"/>
        <v/>
      </c>
      <c r="HJ38" s="354" t="str">
        <f t="shared" si="199"/>
        <v/>
      </c>
      <c r="HK38" s="354" t="str">
        <f t="shared" si="200"/>
        <v/>
      </c>
      <c r="HL38" s="354" t="str">
        <f t="shared" si="201"/>
        <v/>
      </c>
      <c r="HM38" s="354" t="str">
        <f t="shared" si="202"/>
        <v/>
      </c>
      <c r="HN38" s="354" t="str">
        <f t="shared" si="203"/>
        <v/>
      </c>
      <c r="HO38" s="354" t="str">
        <f t="shared" si="204"/>
        <v/>
      </c>
      <c r="HP38" s="354" t="str">
        <f t="shared" si="205"/>
        <v/>
      </c>
      <c r="HQ38" s="354" t="str">
        <f t="shared" si="206"/>
        <v/>
      </c>
      <c r="HR38" s="354" t="str">
        <f t="shared" si="207"/>
        <v/>
      </c>
      <c r="HS38" s="354" t="str">
        <f t="shared" si="208"/>
        <v/>
      </c>
      <c r="HT38" s="354" t="str">
        <f t="shared" si="209"/>
        <v/>
      </c>
      <c r="HU38" s="354" t="str">
        <f t="shared" si="210"/>
        <v/>
      </c>
      <c r="HV38" s="354" t="str">
        <f t="shared" si="211"/>
        <v/>
      </c>
      <c r="HW38" s="354" t="str">
        <f t="shared" si="212"/>
        <v/>
      </c>
      <c r="HX38" s="354" t="str">
        <f t="shared" si="213"/>
        <v/>
      </c>
      <c r="HY38" s="354" t="str">
        <f t="shared" si="214"/>
        <v/>
      </c>
      <c r="HZ38" s="354" t="str">
        <f t="shared" si="215"/>
        <v/>
      </c>
      <c r="IA38" s="354" t="str">
        <f t="shared" si="216"/>
        <v/>
      </c>
      <c r="IB38" s="354" t="str">
        <f t="shared" si="217"/>
        <v/>
      </c>
      <c r="IC38" s="354" t="str">
        <f t="shared" si="218"/>
        <v/>
      </c>
      <c r="ID38" s="355" t="str">
        <f t="shared" si="219"/>
        <v/>
      </c>
      <c r="IE38" s="355" t="str">
        <f t="shared" si="220"/>
        <v/>
      </c>
      <c r="IF38" s="355" t="str">
        <f t="shared" si="221"/>
        <v/>
      </c>
      <c r="IG38" s="355" t="str">
        <f t="shared" si="222"/>
        <v/>
      </c>
      <c r="IH38" s="355" t="str">
        <f t="shared" si="223"/>
        <v/>
      </c>
      <c r="II38" s="344" t="str">
        <f t="shared" si="224"/>
        <v/>
      </c>
      <c r="IJ38" s="344" t="str">
        <f t="shared" si="225"/>
        <v/>
      </c>
      <c r="IK38" s="344" t="str">
        <f t="shared" si="226"/>
        <v/>
      </c>
      <c r="IL38" s="344" t="str">
        <f t="shared" si="227"/>
        <v/>
      </c>
      <c r="IM38" s="344" t="str">
        <f t="shared" si="228"/>
        <v/>
      </c>
      <c r="IN38" s="344" t="str">
        <f t="shared" si="229"/>
        <v/>
      </c>
      <c r="IO38" s="344" t="str">
        <f t="shared" si="230"/>
        <v/>
      </c>
      <c r="IP38" s="344" t="str">
        <f t="shared" si="231"/>
        <v/>
      </c>
      <c r="IQ38" s="344" t="str">
        <f t="shared" si="232"/>
        <v/>
      </c>
      <c r="IR38" s="344" t="str">
        <f t="shared" si="233"/>
        <v/>
      </c>
      <c r="IS38" s="344" t="str">
        <f t="shared" si="234"/>
        <v/>
      </c>
      <c r="IT38" s="344" t="str">
        <f t="shared" si="235"/>
        <v/>
      </c>
      <c r="IU38" s="344" t="str">
        <f t="shared" si="236"/>
        <v/>
      </c>
      <c r="IV38" s="344" t="str">
        <f t="shared" si="237"/>
        <v/>
      </c>
      <c r="IW38" s="344" t="str">
        <f t="shared" si="238"/>
        <v/>
      </c>
      <c r="IX38" s="344" t="str">
        <f t="shared" si="239"/>
        <v/>
      </c>
      <c r="IY38" s="344" t="str">
        <f t="shared" si="240"/>
        <v/>
      </c>
      <c r="IZ38" s="344" t="str">
        <f t="shared" si="241"/>
        <v/>
      </c>
      <c r="JA38" s="344" t="str">
        <f t="shared" si="242"/>
        <v/>
      </c>
      <c r="JB38" s="344" t="str">
        <f t="shared" si="243"/>
        <v/>
      </c>
      <c r="JC38" s="353">
        <f t="shared" si="244"/>
        <v>0</v>
      </c>
      <c r="JD38" s="353">
        <f t="shared" si="245"/>
        <v>0</v>
      </c>
      <c r="JE38" s="353">
        <f t="shared" si="246"/>
        <v>0</v>
      </c>
      <c r="JF38" s="353">
        <f t="shared" si="247"/>
        <v>0</v>
      </c>
      <c r="JG38" s="353">
        <f t="shared" si="248"/>
        <v>0</v>
      </c>
      <c r="JH38" s="353">
        <f t="shared" si="249"/>
        <v>0</v>
      </c>
      <c r="JI38" s="353">
        <f t="shared" si="250"/>
        <v>0</v>
      </c>
      <c r="JJ38" s="353">
        <f t="shared" si="251"/>
        <v>0</v>
      </c>
      <c r="JK38" s="353">
        <f t="shared" si="252"/>
        <v>0</v>
      </c>
      <c r="JL38" s="353">
        <f t="shared" si="253"/>
        <v>0</v>
      </c>
      <c r="JM38" s="353">
        <f t="shared" si="254"/>
        <v>0</v>
      </c>
      <c r="JN38" s="353">
        <f t="shared" si="255"/>
        <v>0</v>
      </c>
      <c r="JO38" s="353">
        <f t="shared" si="256"/>
        <v>0</v>
      </c>
      <c r="JP38" s="353">
        <f t="shared" si="257"/>
        <v>0</v>
      </c>
      <c r="JQ38" s="353">
        <f t="shared" si="258"/>
        <v>0</v>
      </c>
    </row>
    <row r="39" spans="1:296" ht="12" customHeight="1">
      <c r="A39" s="70" t="str">
        <f t="shared" si="0"/>
        <v/>
      </c>
      <c r="B39" s="2628" t="s">
        <v>781</v>
      </c>
      <c r="C39" s="2629"/>
      <c r="D39" s="2630"/>
      <c r="E39" s="2631"/>
      <c r="F39" s="2631"/>
      <c r="G39" s="2631"/>
      <c r="H39" s="2631"/>
      <c r="I39" s="2632">
        <f>IF(C39="",0,HLOOKUP(C39,'Part V-Utility Allowances'!$I$11:$M$21,11))</f>
        <v>0</v>
      </c>
      <c r="J39" s="2633"/>
      <c r="K39" s="488">
        <f t="shared" si="1"/>
        <v>0</v>
      </c>
      <c r="L39" s="488">
        <f t="shared" si="2"/>
        <v>0</v>
      </c>
      <c r="M39" s="2634"/>
      <c r="N39" s="2634"/>
      <c r="O39" s="2634"/>
      <c r="P39" s="2635"/>
      <c r="Q39" s="2636" t="str">
        <f t="shared" si="3"/>
        <v/>
      </c>
      <c r="R39" s="2637" t="str">
        <f>IF(H39="","",IF(C39="Efficiency",Q39/($O$6*VLOOKUP(0,'DCA Underwriting Assumptions'!$J$143:$K$148,2,FALSE)),Q39/($O$6*VLOOKUP(C39,'DCA Underwriting Assumptions'!$J$143:$K$148,2,FALSE))))</f>
        <v/>
      </c>
      <c r="S39" s="2638"/>
      <c r="T39" s="2639"/>
      <c r="U39" s="2594"/>
      <c r="V39" s="2595"/>
      <c r="W39" s="102" t="str">
        <f t="shared" si="4"/>
        <v/>
      </c>
      <c r="X39" s="102" t="str">
        <f t="shared" si="5"/>
        <v/>
      </c>
      <c r="Y39" s="102" t="str">
        <f t="shared" si="6"/>
        <v/>
      </c>
      <c r="Z39" s="102" t="str">
        <f t="shared" si="7"/>
        <v/>
      </c>
      <c r="AA39" s="102" t="str">
        <f t="shared" si="8"/>
        <v/>
      </c>
      <c r="AB39" s="102" t="str">
        <f t="shared" si="9"/>
        <v/>
      </c>
      <c r="AC39" s="102" t="str">
        <f t="shared" si="10"/>
        <v/>
      </c>
      <c r="AD39" s="102" t="str">
        <f t="shared" si="11"/>
        <v/>
      </c>
      <c r="AE39" s="102" t="str">
        <f t="shared" si="12"/>
        <v/>
      </c>
      <c r="AF39" s="102" t="str">
        <f t="shared" si="13"/>
        <v/>
      </c>
      <c r="AG39" s="102" t="str">
        <f t="shared" si="14"/>
        <v/>
      </c>
      <c r="AH39" s="102" t="str">
        <f t="shared" si="15"/>
        <v/>
      </c>
      <c r="AI39" s="102" t="str">
        <f t="shared" si="16"/>
        <v/>
      </c>
      <c r="AJ39" s="102" t="str">
        <f t="shared" si="17"/>
        <v/>
      </c>
      <c r="AK39" s="102" t="str">
        <f t="shared" si="18"/>
        <v/>
      </c>
      <c r="AL39" s="102" t="str">
        <f t="shared" si="19"/>
        <v/>
      </c>
      <c r="AM39" s="102" t="str">
        <f t="shared" si="20"/>
        <v/>
      </c>
      <c r="AN39" s="102" t="str">
        <f t="shared" si="21"/>
        <v/>
      </c>
      <c r="AO39" s="102" t="str">
        <f t="shared" si="22"/>
        <v/>
      </c>
      <c r="AP39" s="102" t="str">
        <f t="shared" si="23"/>
        <v/>
      </c>
      <c r="AQ39" s="102" t="str">
        <f t="shared" si="24"/>
        <v/>
      </c>
      <c r="AR39" s="102" t="str">
        <f t="shared" si="25"/>
        <v/>
      </c>
      <c r="AS39" s="102" t="str">
        <f t="shared" si="26"/>
        <v/>
      </c>
      <c r="AT39" s="102" t="str">
        <f t="shared" si="27"/>
        <v/>
      </c>
      <c r="AU39" s="102" t="str">
        <f t="shared" si="28"/>
        <v/>
      </c>
      <c r="AV39" s="102" t="str">
        <f t="shared" si="29"/>
        <v/>
      </c>
      <c r="AW39" s="102" t="str">
        <f t="shared" si="30"/>
        <v/>
      </c>
      <c r="AX39" s="102" t="str">
        <f t="shared" si="31"/>
        <v/>
      </c>
      <c r="AY39" s="102" t="str">
        <f t="shared" si="32"/>
        <v/>
      </c>
      <c r="AZ39" s="102" t="str">
        <f t="shared" si="33"/>
        <v/>
      </c>
      <c r="BA39" s="102" t="str">
        <f t="shared" si="34"/>
        <v/>
      </c>
      <c r="BB39" s="102" t="str">
        <f t="shared" si="35"/>
        <v/>
      </c>
      <c r="BC39" s="102" t="str">
        <f t="shared" si="36"/>
        <v/>
      </c>
      <c r="BD39" s="102" t="str">
        <f t="shared" si="37"/>
        <v/>
      </c>
      <c r="BE39" s="102" t="str">
        <f t="shared" si="38"/>
        <v/>
      </c>
      <c r="BF39" s="102" t="str">
        <f t="shared" si="39"/>
        <v/>
      </c>
      <c r="BG39" s="102" t="str">
        <f t="shared" si="40"/>
        <v/>
      </c>
      <c r="BH39" s="102" t="str">
        <f t="shared" si="41"/>
        <v/>
      </c>
      <c r="BI39" s="102" t="str">
        <f t="shared" si="42"/>
        <v/>
      </c>
      <c r="BJ39" s="102" t="str">
        <f t="shared" si="43"/>
        <v/>
      </c>
      <c r="BK39" s="102" t="str">
        <f t="shared" si="44"/>
        <v/>
      </c>
      <c r="BL39" s="102" t="str">
        <f t="shared" si="45"/>
        <v/>
      </c>
      <c r="BM39" s="102" t="str">
        <f t="shared" si="46"/>
        <v/>
      </c>
      <c r="BN39" s="102" t="str">
        <f t="shared" si="47"/>
        <v/>
      </c>
      <c r="BO39" s="102" t="str">
        <f t="shared" si="48"/>
        <v/>
      </c>
      <c r="BP39" s="102" t="str">
        <f t="shared" si="49"/>
        <v/>
      </c>
      <c r="BQ39" s="102" t="str">
        <f t="shared" si="50"/>
        <v/>
      </c>
      <c r="BR39" s="102" t="str">
        <f t="shared" si="51"/>
        <v/>
      </c>
      <c r="BS39" s="102" t="str">
        <f t="shared" si="52"/>
        <v/>
      </c>
      <c r="BT39" s="102" t="str">
        <f t="shared" si="53"/>
        <v/>
      </c>
      <c r="BU39" s="102" t="str">
        <f t="shared" si="54"/>
        <v/>
      </c>
      <c r="BV39" s="102" t="str">
        <f t="shared" si="55"/>
        <v/>
      </c>
      <c r="BW39" s="102" t="str">
        <f t="shared" si="56"/>
        <v/>
      </c>
      <c r="BX39" s="102" t="str">
        <f t="shared" si="57"/>
        <v/>
      </c>
      <c r="BY39" s="102" t="str">
        <f t="shared" si="58"/>
        <v/>
      </c>
      <c r="BZ39" s="102" t="str">
        <f t="shared" si="59"/>
        <v/>
      </c>
      <c r="CA39" s="102" t="str">
        <f t="shared" si="60"/>
        <v/>
      </c>
      <c r="CB39" s="102" t="str">
        <f t="shared" si="61"/>
        <v/>
      </c>
      <c r="CC39" s="102" t="str">
        <f t="shared" si="62"/>
        <v/>
      </c>
      <c r="CD39" s="102" t="str">
        <f t="shared" si="63"/>
        <v/>
      </c>
      <c r="CE39" s="102" t="str">
        <f t="shared" si="64"/>
        <v/>
      </c>
      <c r="CF39" s="102" t="str">
        <f t="shared" si="65"/>
        <v/>
      </c>
      <c r="CG39" s="102" t="str">
        <f t="shared" si="66"/>
        <v/>
      </c>
      <c r="CH39" s="102" t="str">
        <f t="shared" si="67"/>
        <v/>
      </c>
      <c r="CI39" s="102" t="str">
        <f t="shared" si="68"/>
        <v/>
      </c>
      <c r="CJ39" s="102" t="str">
        <f t="shared" si="69"/>
        <v/>
      </c>
      <c r="CK39" s="102" t="str">
        <f t="shared" si="70"/>
        <v/>
      </c>
      <c r="CL39" s="102" t="str">
        <f t="shared" si="71"/>
        <v/>
      </c>
      <c r="CM39" s="102" t="str">
        <f t="shared" si="72"/>
        <v/>
      </c>
      <c r="CN39" s="102" t="str">
        <f t="shared" si="73"/>
        <v/>
      </c>
      <c r="CO39" s="102" t="str">
        <f t="shared" si="74"/>
        <v/>
      </c>
      <c r="CP39" s="102" t="str">
        <f t="shared" si="75"/>
        <v/>
      </c>
      <c r="CQ39" s="102" t="str">
        <f t="shared" si="76"/>
        <v/>
      </c>
      <c r="CR39" s="102" t="str">
        <f t="shared" si="77"/>
        <v/>
      </c>
      <c r="CS39" s="102" t="str">
        <f t="shared" si="78"/>
        <v/>
      </c>
      <c r="CT39" s="102" t="str">
        <f t="shared" si="79"/>
        <v/>
      </c>
      <c r="CU39" s="102" t="str">
        <f t="shared" si="80"/>
        <v/>
      </c>
      <c r="CV39" s="102" t="str">
        <f t="shared" si="81"/>
        <v/>
      </c>
      <c r="CW39" s="102" t="str">
        <f t="shared" si="82"/>
        <v/>
      </c>
      <c r="CX39" s="102" t="str">
        <f t="shared" si="83"/>
        <v/>
      </c>
      <c r="CY39" s="102" t="str">
        <f t="shared" si="84"/>
        <v/>
      </c>
      <c r="CZ39" s="102" t="str">
        <f t="shared" si="85"/>
        <v/>
      </c>
      <c r="DA39" s="102" t="str">
        <f t="shared" si="86"/>
        <v/>
      </c>
      <c r="DB39" s="102" t="str">
        <f t="shared" si="87"/>
        <v/>
      </c>
      <c r="DC39" s="102" t="str">
        <f t="shared" si="88"/>
        <v/>
      </c>
      <c r="DD39" s="102" t="str">
        <f t="shared" si="89"/>
        <v/>
      </c>
      <c r="DE39" s="102" t="str">
        <f t="shared" si="90"/>
        <v/>
      </c>
      <c r="DF39" s="102" t="str">
        <f t="shared" si="91"/>
        <v/>
      </c>
      <c r="DG39" s="102" t="str">
        <f t="shared" si="92"/>
        <v/>
      </c>
      <c r="DH39" s="102" t="str">
        <f t="shared" si="93"/>
        <v/>
      </c>
      <c r="DI39" s="102" t="str">
        <f t="shared" si="94"/>
        <v/>
      </c>
      <c r="DJ39" s="102" t="str">
        <f t="shared" si="95"/>
        <v/>
      </c>
      <c r="DK39" s="102" t="str">
        <f t="shared" si="96"/>
        <v/>
      </c>
      <c r="DL39" s="102" t="str">
        <f t="shared" si="97"/>
        <v/>
      </c>
      <c r="DM39" s="102" t="str">
        <f t="shared" si="98"/>
        <v/>
      </c>
      <c r="DN39" s="102" t="str">
        <f t="shared" si="99"/>
        <v/>
      </c>
      <c r="DO39" s="102" t="str">
        <f t="shared" si="100"/>
        <v/>
      </c>
      <c r="DP39" s="102" t="str">
        <f t="shared" si="101"/>
        <v/>
      </c>
      <c r="DQ39" s="102" t="str">
        <f t="shared" si="102"/>
        <v/>
      </c>
      <c r="DR39" s="102" t="str">
        <f t="shared" si="103"/>
        <v/>
      </c>
      <c r="DS39" s="102" t="str">
        <f t="shared" si="104"/>
        <v/>
      </c>
      <c r="DT39" s="102" t="str">
        <f t="shared" si="105"/>
        <v/>
      </c>
      <c r="DU39" s="102" t="str">
        <f t="shared" si="106"/>
        <v/>
      </c>
      <c r="DV39" s="102" t="str">
        <f t="shared" si="107"/>
        <v/>
      </c>
      <c r="DW39" s="102" t="str">
        <f t="shared" si="108"/>
        <v/>
      </c>
      <c r="DX39" s="102" t="str">
        <f t="shared" si="109"/>
        <v/>
      </c>
      <c r="DY39" s="102" t="str">
        <f t="shared" si="110"/>
        <v/>
      </c>
      <c r="DZ39" s="102" t="str">
        <f t="shared" si="111"/>
        <v/>
      </c>
      <c r="EA39" s="102" t="str">
        <f t="shared" si="112"/>
        <v/>
      </c>
      <c r="EB39" s="102" t="str">
        <f t="shared" si="113"/>
        <v/>
      </c>
      <c r="EC39" s="102" t="str">
        <f t="shared" si="114"/>
        <v/>
      </c>
      <c r="ED39" s="102" t="str">
        <f t="shared" si="115"/>
        <v/>
      </c>
      <c r="EE39" s="102" t="str">
        <f t="shared" si="116"/>
        <v/>
      </c>
      <c r="EF39" s="102" t="str">
        <f t="shared" si="117"/>
        <v/>
      </c>
      <c r="EG39" s="102" t="str">
        <f t="shared" si="118"/>
        <v/>
      </c>
      <c r="EH39" s="102" t="str">
        <f t="shared" si="119"/>
        <v/>
      </c>
      <c r="EI39" s="102" t="str">
        <f t="shared" si="120"/>
        <v/>
      </c>
      <c r="EJ39" s="102" t="str">
        <f t="shared" si="121"/>
        <v/>
      </c>
      <c r="EK39" s="102" t="str">
        <f t="shared" si="122"/>
        <v/>
      </c>
      <c r="EL39" s="102" t="str">
        <f t="shared" si="123"/>
        <v/>
      </c>
      <c r="EM39" s="102" t="str">
        <f t="shared" si="124"/>
        <v/>
      </c>
      <c r="EN39" s="102" t="str">
        <f t="shared" si="125"/>
        <v/>
      </c>
      <c r="EO39" s="102" t="str">
        <f t="shared" si="126"/>
        <v/>
      </c>
      <c r="EP39" s="102" t="str">
        <f t="shared" si="127"/>
        <v/>
      </c>
      <c r="EQ39" s="102" t="str">
        <f t="shared" si="128"/>
        <v/>
      </c>
      <c r="ER39" s="102" t="str">
        <f t="shared" si="129"/>
        <v/>
      </c>
      <c r="ES39" s="102" t="str">
        <f t="shared" si="130"/>
        <v/>
      </c>
      <c r="ET39" s="102" t="str">
        <f t="shared" si="131"/>
        <v/>
      </c>
      <c r="EU39" s="102" t="str">
        <f t="shared" si="132"/>
        <v/>
      </c>
      <c r="EV39" s="102" t="str">
        <f t="shared" si="133"/>
        <v/>
      </c>
      <c r="EW39" s="792" t="str">
        <f t="shared" si="134"/>
        <v/>
      </c>
      <c r="EX39" s="354" t="str">
        <f t="shared" si="135"/>
        <v/>
      </c>
      <c r="EY39" s="354" t="str">
        <f t="shared" si="136"/>
        <v/>
      </c>
      <c r="EZ39" s="354" t="str">
        <f t="shared" si="137"/>
        <v/>
      </c>
      <c r="FA39" s="354" t="str">
        <f t="shared" si="138"/>
        <v/>
      </c>
      <c r="FB39" s="354" t="str">
        <f t="shared" si="139"/>
        <v/>
      </c>
      <c r="FC39" s="354" t="str">
        <f t="shared" si="140"/>
        <v/>
      </c>
      <c r="FD39" s="354" t="str">
        <f t="shared" si="141"/>
        <v/>
      </c>
      <c r="FE39" s="354" t="str">
        <f t="shared" si="142"/>
        <v/>
      </c>
      <c r="FF39" s="354" t="str">
        <f t="shared" si="143"/>
        <v/>
      </c>
      <c r="FG39" s="354" t="str">
        <f t="shared" si="144"/>
        <v/>
      </c>
      <c r="FH39" s="354" t="str">
        <f t="shared" si="145"/>
        <v/>
      </c>
      <c r="FI39" s="354" t="str">
        <f t="shared" si="146"/>
        <v/>
      </c>
      <c r="FJ39" s="354" t="str">
        <f t="shared" si="147"/>
        <v/>
      </c>
      <c r="FK39" s="354" t="str">
        <f t="shared" si="148"/>
        <v/>
      </c>
      <c r="FL39" s="354" t="str">
        <f t="shared" si="149"/>
        <v/>
      </c>
      <c r="FM39" s="354" t="str">
        <f t="shared" si="150"/>
        <v/>
      </c>
      <c r="FN39" s="354" t="str">
        <f t="shared" si="151"/>
        <v/>
      </c>
      <c r="FO39" s="354" t="str">
        <f t="shared" si="152"/>
        <v/>
      </c>
      <c r="FP39" s="354" t="str">
        <f t="shared" si="153"/>
        <v/>
      </c>
      <c r="FQ39" s="354" t="str">
        <f t="shared" si="154"/>
        <v/>
      </c>
      <c r="FR39" s="354" t="str">
        <f t="shared" si="155"/>
        <v/>
      </c>
      <c r="FS39" s="354" t="str">
        <f t="shared" si="156"/>
        <v/>
      </c>
      <c r="FT39" s="354" t="str">
        <f t="shared" si="157"/>
        <v/>
      </c>
      <c r="FU39" s="354" t="str">
        <f t="shared" si="158"/>
        <v/>
      </c>
      <c r="FV39" s="354" t="str">
        <f t="shared" si="159"/>
        <v/>
      </c>
      <c r="FW39" s="354" t="str">
        <f t="shared" si="160"/>
        <v/>
      </c>
      <c r="FX39" s="354" t="str">
        <f t="shared" si="161"/>
        <v/>
      </c>
      <c r="FY39" s="354" t="str">
        <f t="shared" si="162"/>
        <v/>
      </c>
      <c r="FZ39" s="354" t="str">
        <f t="shared" si="163"/>
        <v/>
      </c>
      <c r="GA39" s="354" t="str">
        <f t="shared" si="164"/>
        <v/>
      </c>
      <c r="GB39" s="354" t="str">
        <f t="shared" si="165"/>
        <v/>
      </c>
      <c r="GC39" s="354" t="str">
        <f t="shared" si="166"/>
        <v/>
      </c>
      <c r="GD39" s="354" t="str">
        <f t="shared" si="167"/>
        <v/>
      </c>
      <c r="GE39" s="354" t="str">
        <f t="shared" si="168"/>
        <v/>
      </c>
      <c r="GF39" s="354" t="str">
        <f t="shared" si="169"/>
        <v/>
      </c>
      <c r="GG39" s="354" t="str">
        <f t="shared" si="170"/>
        <v/>
      </c>
      <c r="GH39" s="354" t="str">
        <f t="shared" si="171"/>
        <v/>
      </c>
      <c r="GI39" s="354" t="str">
        <f t="shared" si="172"/>
        <v/>
      </c>
      <c r="GJ39" s="354" t="str">
        <f t="shared" si="173"/>
        <v/>
      </c>
      <c r="GK39" s="354" t="str">
        <f t="shared" si="174"/>
        <v/>
      </c>
      <c r="GL39" s="354" t="str">
        <f t="shared" si="175"/>
        <v/>
      </c>
      <c r="GM39" s="354" t="str">
        <f t="shared" si="176"/>
        <v/>
      </c>
      <c r="GN39" s="354" t="str">
        <f t="shared" si="177"/>
        <v/>
      </c>
      <c r="GO39" s="354" t="str">
        <f t="shared" si="178"/>
        <v/>
      </c>
      <c r="GP39" s="354" t="str">
        <f t="shared" si="179"/>
        <v/>
      </c>
      <c r="GQ39" s="354" t="str">
        <f t="shared" si="180"/>
        <v/>
      </c>
      <c r="GR39" s="354" t="str">
        <f t="shared" si="181"/>
        <v/>
      </c>
      <c r="GS39" s="354" t="str">
        <f t="shared" si="182"/>
        <v/>
      </c>
      <c r="GT39" s="354" t="str">
        <f t="shared" si="183"/>
        <v/>
      </c>
      <c r="GU39" s="354" t="str">
        <f t="shared" si="184"/>
        <v/>
      </c>
      <c r="GV39" s="354" t="str">
        <f t="shared" si="185"/>
        <v/>
      </c>
      <c r="GW39" s="354" t="str">
        <f t="shared" si="186"/>
        <v/>
      </c>
      <c r="GX39" s="354" t="str">
        <f t="shared" si="187"/>
        <v/>
      </c>
      <c r="GY39" s="354" t="str">
        <f t="shared" si="188"/>
        <v/>
      </c>
      <c r="GZ39" s="354" t="str">
        <f t="shared" si="189"/>
        <v/>
      </c>
      <c r="HA39" s="354" t="str">
        <f t="shared" si="190"/>
        <v/>
      </c>
      <c r="HB39" s="354" t="str">
        <f t="shared" si="191"/>
        <v/>
      </c>
      <c r="HC39" s="354" t="str">
        <f t="shared" si="192"/>
        <v/>
      </c>
      <c r="HD39" s="354" t="str">
        <f t="shared" si="193"/>
        <v/>
      </c>
      <c r="HE39" s="354" t="str">
        <f t="shared" si="194"/>
        <v/>
      </c>
      <c r="HF39" s="354" t="str">
        <f t="shared" si="195"/>
        <v/>
      </c>
      <c r="HG39" s="354" t="str">
        <f t="shared" si="196"/>
        <v/>
      </c>
      <c r="HH39" s="354" t="str">
        <f t="shared" si="197"/>
        <v/>
      </c>
      <c r="HI39" s="354" t="str">
        <f t="shared" si="198"/>
        <v/>
      </c>
      <c r="HJ39" s="354" t="str">
        <f t="shared" si="199"/>
        <v/>
      </c>
      <c r="HK39" s="354" t="str">
        <f t="shared" si="200"/>
        <v/>
      </c>
      <c r="HL39" s="354" t="str">
        <f t="shared" si="201"/>
        <v/>
      </c>
      <c r="HM39" s="354" t="str">
        <f t="shared" si="202"/>
        <v/>
      </c>
      <c r="HN39" s="354" t="str">
        <f t="shared" si="203"/>
        <v/>
      </c>
      <c r="HO39" s="354" t="str">
        <f t="shared" si="204"/>
        <v/>
      </c>
      <c r="HP39" s="354" t="str">
        <f t="shared" si="205"/>
        <v/>
      </c>
      <c r="HQ39" s="354" t="str">
        <f t="shared" si="206"/>
        <v/>
      </c>
      <c r="HR39" s="354" t="str">
        <f t="shared" si="207"/>
        <v/>
      </c>
      <c r="HS39" s="354" t="str">
        <f t="shared" si="208"/>
        <v/>
      </c>
      <c r="HT39" s="354" t="str">
        <f t="shared" si="209"/>
        <v/>
      </c>
      <c r="HU39" s="354" t="str">
        <f t="shared" si="210"/>
        <v/>
      </c>
      <c r="HV39" s="354" t="str">
        <f t="shared" si="211"/>
        <v/>
      </c>
      <c r="HW39" s="354" t="str">
        <f t="shared" si="212"/>
        <v/>
      </c>
      <c r="HX39" s="354" t="str">
        <f t="shared" si="213"/>
        <v/>
      </c>
      <c r="HY39" s="354" t="str">
        <f t="shared" si="214"/>
        <v/>
      </c>
      <c r="HZ39" s="354" t="str">
        <f t="shared" si="215"/>
        <v/>
      </c>
      <c r="IA39" s="354" t="str">
        <f t="shared" si="216"/>
        <v/>
      </c>
      <c r="IB39" s="354" t="str">
        <f t="shared" si="217"/>
        <v/>
      </c>
      <c r="IC39" s="354" t="str">
        <f t="shared" si="218"/>
        <v/>
      </c>
      <c r="ID39" s="355" t="str">
        <f t="shared" si="219"/>
        <v/>
      </c>
      <c r="IE39" s="355" t="str">
        <f t="shared" si="220"/>
        <v/>
      </c>
      <c r="IF39" s="355" t="str">
        <f t="shared" si="221"/>
        <v/>
      </c>
      <c r="IG39" s="355" t="str">
        <f t="shared" si="222"/>
        <v/>
      </c>
      <c r="IH39" s="355" t="str">
        <f t="shared" si="223"/>
        <v/>
      </c>
      <c r="II39" s="344" t="str">
        <f t="shared" si="224"/>
        <v/>
      </c>
      <c r="IJ39" s="344" t="str">
        <f t="shared" si="225"/>
        <v/>
      </c>
      <c r="IK39" s="344" t="str">
        <f t="shared" si="226"/>
        <v/>
      </c>
      <c r="IL39" s="344" t="str">
        <f t="shared" si="227"/>
        <v/>
      </c>
      <c r="IM39" s="344" t="str">
        <f t="shared" si="228"/>
        <v/>
      </c>
      <c r="IN39" s="344" t="str">
        <f t="shared" si="229"/>
        <v/>
      </c>
      <c r="IO39" s="344" t="str">
        <f t="shared" si="230"/>
        <v/>
      </c>
      <c r="IP39" s="344" t="str">
        <f t="shared" si="231"/>
        <v/>
      </c>
      <c r="IQ39" s="344" t="str">
        <f t="shared" si="232"/>
        <v/>
      </c>
      <c r="IR39" s="344" t="str">
        <f t="shared" si="233"/>
        <v/>
      </c>
      <c r="IS39" s="344" t="str">
        <f t="shared" si="234"/>
        <v/>
      </c>
      <c r="IT39" s="344" t="str">
        <f t="shared" si="235"/>
        <v/>
      </c>
      <c r="IU39" s="344" t="str">
        <f t="shared" si="236"/>
        <v/>
      </c>
      <c r="IV39" s="344" t="str">
        <f t="shared" si="237"/>
        <v/>
      </c>
      <c r="IW39" s="344" t="str">
        <f t="shared" si="238"/>
        <v/>
      </c>
      <c r="IX39" s="344" t="str">
        <f t="shared" si="239"/>
        <v/>
      </c>
      <c r="IY39" s="344" t="str">
        <f t="shared" si="240"/>
        <v/>
      </c>
      <c r="IZ39" s="344" t="str">
        <f t="shared" si="241"/>
        <v/>
      </c>
      <c r="JA39" s="344" t="str">
        <f t="shared" si="242"/>
        <v/>
      </c>
      <c r="JB39" s="344" t="str">
        <f t="shared" si="243"/>
        <v/>
      </c>
      <c r="JC39" s="353">
        <f t="shared" si="244"/>
        <v>0</v>
      </c>
      <c r="JD39" s="353">
        <f t="shared" si="245"/>
        <v>0</v>
      </c>
      <c r="JE39" s="353">
        <f t="shared" si="246"/>
        <v>0</v>
      </c>
      <c r="JF39" s="353">
        <f t="shared" si="247"/>
        <v>0</v>
      </c>
      <c r="JG39" s="353">
        <f t="shared" si="248"/>
        <v>0</v>
      </c>
      <c r="JH39" s="353">
        <f t="shared" si="249"/>
        <v>0</v>
      </c>
      <c r="JI39" s="353">
        <f t="shared" si="250"/>
        <v>0</v>
      </c>
      <c r="JJ39" s="353">
        <f t="shared" si="251"/>
        <v>0</v>
      </c>
      <c r="JK39" s="353">
        <f t="shared" si="252"/>
        <v>0</v>
      </c>
      <c r="JL39" s="353">
        <f t="shared" si="253"/>
        <v>0</v>
      </c>
      <c r="JM39" s="353">
        <f t="shared" si="254"/>
        <v>0</v>
      </c>
      <c r="JN39" s="353">
        <f t="shared" si="255"/>
        <v>0</v>
      </c>
      <c r="JO39" s="353">
        <f t="shared" si="256"/>
        <v>0</v>
      </c>
      <c r="JP39" s="353">
        <f t="shared" si="257"/>
        <v>0</v>
      </c>
      <c r="JQ39" s="353">
        <f t="shared" si="258"/>
        <v>0</v>
      </c>
    </row>
    <row r="40" spans="1:296" ht="12" customHeight="1">
      <c r="A40" s="70" t="str">
        <f t="shared" si="0"/>
        <v/>
      </c>
      <c r="B40" s="2628" t="s">
        <v>781</v>
      </c>
      <c r="C40" s="2629"/>
      <c r="D40" s="2630"/>
      <c r="E40" s="2631"/>
      <c r="F40" s="2631"/>
      <c r="G40" s="2631"/>
      <c r="H40" s="2631"/>
      <c r="I40" s="2632">
        <f>IF(C40="",0,HLOOKUP(C40,'Part V-Utility Allowances'!$I$11:$M$21,11))</f>
        <v>0</v>
      </c>
      <c r="J40" s="2633"/>
      <c r="K40" s="488">
        <f t="shared" si="1"/>
        <v>0</v>
      </c>
      <c r="L40" s="488">
        <f t="shared" si="2"/>
        <v>0</v>
      </c>
      <c r="M40" s="2634"/>
      <c r="N40" s="2634"/>
      <c r="O40" s="2634"/>
      <c r="P40" s="2635"/>
      <c r="Q40" s="2636" t="str">
        <f t="shared" si="3"/>
        <v/>
      </c>
      <c r="R40" s="2637" t="str">
        <f>IF(H40="","",IF(C40="Efficiency",Q40/($O$6*VLOOKUP(0,'DCA Underwriting Assumptions'!$J$143:$K$148,2,FALSE)),Q40/($O$6*VLOOKUP(C40,'DCA Underwriting Assumptions'!$J$143:$K$148,2,FALSE))))</f>
        <v/>
      </c>
      <c r="S40" s="2638"/>
      <c r="T40" s="2639"/>
      <c r="U40" s="2594"/>
      <c r="V40" s="2595"/>
      <c r="W40" s="102" t="str">
        <f t="shared" si="4"/>
        <v/>
      </c>
      <c r="X40" s="102" t="str">
        <f t="shared" si="5"/>
        <v/>
      </c>
      <c r="Y40" s="102" t="str">
        <f t="shared" si="6"/>
        <v/>
      </c>
      <c r="Z40" s="102" t="str">
        <f t="shared" si="7"/>
        <v/>
      </c>
      <c r="AA40" s="102" t="str">
        <f t="shared" si="8"/>
        <v/>
      </c>
      <c r="AB40" s="102" t="str">
        <f t="shared" si="9"/>
        <v/>
      </c>
      <c r="AC40" s="102" t="str">
        <f t="shared" si="10"/>
        <v/>
      </c>
      <c r="AD40" s="102" t="str">
        <f t="shared" si="11"/>
        <v/>
      </c>
      <c r="AE40" s="102" t="str">
        <f t="shared" si="12"/>
        <v/>
      </c>
      <c r="AF40" s="102" t="str">
        <f t="shared" si="13"/>
        <v/>
      </c>
      <c r="AG40" s="102" t="str">
        <f t="shared" si="14"/>
        <v/>
      </c>
      <c r="AH40" s="102" t="str">
        <f t="shared" si="15"/>
        <v/>
      </c>
      <c r="AI40" s="102" t="str">
        <f t="shared" si="16"/>
        <v/>
      </c>
      <c r="AJ40" s="102" t="str">
        <f t="shared" si="17"/>
        <v/>
      </c>
      <c r="AK40" s="102" t="str">
        <f t="shared" si="18"/>
        <v/>
      </c>
      <c r="AL40" s="102" t="str">
        <f t="shared" si="19"/>
        <v/>
      </c>
      <c r="AM40" s="102" t="str">
        <f t="shared" si="20"/>
        <v/>
      </c>
      <c r="AN40" s="102" t="str">
        <f t="shared" si="21"/>
        <v/>
      </c>
      <c r="AO40" s="102" t="str">
        <f t="shared" si="22"/>
        <v/>
      </c>
      <c r="AP40" s="102" t="str">
        <f t="shared" si="23"/>
        <v/>
      </c>
      <c r="AQ40" s="102" t="str">
        <f t="shared" si="24"/>
        <v/>
      </c>
      <c r="AR40" s="102" t="str">
        <f t="shared" si="25"/>
        <v/>
      </c>
      <c r="AS40" s="102" t="str">
        <f t="shared" si="26"/>
        <v/>
      </c>
      <c r="AT40" s="102" t="str">
        <f t="shared" si="27"/>
        <v/>
      </c>
      <c r="AU40" s="102" t="str">
        <f t="shared" si="28"/>
        <v/>
      </c>
      <c r="AV40" s="102" t="str">
        <f t="shared" si="29"/>
        <v/>
      </c>
      <c r="AW40" s="102" t="str">
        <f t="shared" si="30"/>
        <v/>
      </c>
      <c r="AX40" s="102" t="str">
        <f t="shared" si="31"/>
        <v/>
      </c>
      <c r="AY40" s="102" t="str">
        <f t="shared" si="32"/>
        <v/>
      </c>
      <c r="AZ40" s="102" t="str">
        <f t="shared" si="33"/>
        <v/>
      </c>
      <c r="BA40" s="102" t="str">
        <f t="shared" si="34"/>
        <v/>
      </c>
      <c r="BB40" s="102" t="str">
        <f t="shared" si="35"/>
        <v/>
      </c>
      <c r="BC40" s="102" t="str">
        <f t="shared" si="36"/>
        <v/>
      </c>
      <c r="BD40" s="102" t="str">
        <f t="shared" si="37"/>
        <v/>
      </c>
      <c r="BE40" s="102" t="str">
        <f t="shared" si="38"/>
        <v/>
      </c>
      <c r="BF40" s="102" t="str">
        <f t="shared" si="39"/>
        <v/>
      </c>
      <c r="BG40" s="102" t="str">
        <f t="shared" si="40"/>
        <v/>
      </c>
      <c r="BH40" s="102" t="str">
        <f t="shared" si="41"/>
        <v/>
      </c>
      <c r="BI40" s="102" t="str">
        <f t="shared" si="42"/>
        <v/>
      </c>
      <c r="BJ40" s="102" t="str">
        <f t="shared" si="43"/>
        <v/>
      </c>
      <c r="BK40" s="102" t="str">
        <f t="shared" si="44"/>
        <v/>
      </c>
      <c r="BL40" s="102" t="str">
        <f t="shared" si="45"/>
        <v/>
      </c>
      <c r="BM40" s="102" t="str">
        <f t="shared" si="46"/>
        <v/>
      </c>
      <c r="BN40" s="102" t="str">
        <f t="shared" si="47"/>
        <v/>
      </c>
      <c r="BO40" s="102" t="str">
        <f t="shared" si="48"/>
        <v/>
      </c>
      <c r="BP40" s="102" t="str">
        <f t="shared" si="49"/>
        <v/>
      </c>
      <c r="BQ40" s="102" t="str">
        <f t="shared" si="50"/>
        <v/>
      </c>
      <c r="BR40" s="102" t="str">
        <f t="shared" si="51"/>
        <v/>
      </c>
      <c r="BS40" s="102" t="str">
        <f t="shared" si="52"/>
        <v/>
      </c>
      <c r="BT40" s="102" t="str">
        <f t="shared" si="53"/>
        <v/>
      </c>
      <c r="BU40" s="102" t="str">
        <f t="shared" si="54"/>
        <v/>
      </c>
      <c r="BV40" s="102" t="str">
        <f t="shared" si="55"/>
        <v/>
      </c>
      <c r="BW40" s="102" t="str">
        <f t="shared" si="56"/>
        <v/>
      </c>
      <c r="BX40" s="102" t="str">
        <f t="shared" si="57"/>
        <v/>
      </c>
      <c r="BY40" s="102" t="str">
        <f t="shared" si="58"/>
        <v/>
      </c>
      <c r="BZ40" s="102" t="str">
        <f t="shared" si="59"/>
        <v/>
      </c>
      <c r="CA40" s="102" t="str">
        <f t="shared" si="60"/>
        <v/>
      </c>
      <c r="CB40" s="102" t="str">
        <f t="shared" si="61"/>
        <v/>
      </c>
      <c r="CC40" s="102" t="str">
        <f t="shared" si="62"/>
        <v/>
      </c>
      <c r="CD40" s="102" t="str">
        <f t="shared" si="63"/>
        <v/>
      </c>
      <c r="CE40" s="102" t="str">
        <f t="shared" si="64"/>
        <v/>
      </c>
      <c r="CF40" s="102" t="str">
        <f t="shared" si="65"/>
        <v/>
      </c>
      <c r="CG40" s="102" t="str">
        <f t="shared" si="66"/>
        <v/>
      </c>
      <c r="CH40" s="102" t="str">
        <f t="shared" si="67"/>
        <v/>
      </c>
      <c r="CI40" s="102" t="str">
        <f t="shared" si="68"/>
        <v/>
      </c>
      <c r="CJ40" s="102" t="str">
        <f t="shared" si="69"/>
        <v/>
      </c>
      <c r="CK40" s="102" t="str">
        <f t="shared" si="70"/>
        <v/>
      </c>
      <c r="CL40" s="102" t="str">
        <f t="shared" si="71"/>
        <v/>
      </c>
      <c r="CM40" s="102" t="str">
        <f t="shared" si="72"/>
        <v/>
      </c>
      <c r="CN40" s="102" t="str">
        <f t="shared" si="73"/>
        <v/>
      </c>
      <c r="CO40" s="102" t="str">
        <f t="shared" si="74"/>
        <v/>
      </c>
      <c r="CP40" s="102" t="str">
        <f t="shared" si="75"/>
        <v/>
      </c>
      <c r="CQ40" s="102" t="str">
        <f t="shared" si="76"/>
        <v/>
      </c>
      <c r="CR40" s="102" t="str">
        <f t="shared" si="77"/>
        <v/>
      </c>
      <c r="CS40" s="102" t="str">
        <f t="shared" si="78"/>
        <v/>
      </c>
      <c r="CT40" s="102" t="str">
        <f t="shared" si="79"/>
        <v/>
      </c>
      <c r="CU40" s="102" t="str">
        <f t="shared" si="80"/>
        <v/>
      </c>
      <c r="CV40" s="102" t="str">
        <f t="shared" si="81"/>
        <v/>
      </c>
      <c r="CW40" s="102" t="str">
        <f t="shared" si="82"/>
        <v/>
      </c>
      <c r="CX40" s="102" t="str">
        <f t="shared" si="83"/>
        <v/>
      </c>
      <c r="CY40" s="102" t="str">
        <f t="shared" si="84"/>
        <v/>
      </c>
      <c r="CZ40" s="102" t="str">
        <f t="shared" si="85"/>
        <v/>
      </c>
      <c r="DA40" s="102" t="str">
        <f t="shared" si="86"/>
        <v/>
      </c>
      <c r="DB40" s="102" t="str">
        <f t="shared" si="87"/>
        <v/>
      </c>
      <c r="DC40" s="102" t="str">
        <f t="shared" si="88"/>
        <v/>
      </c>
      <c r="DD40" s="102" t="str">
        <f t="shared" si="89"/>
        <v/>
      </c>
      <c r="DE40" s="102" t="str">
        <f t="shared" si="90"/>
        <v/>
      </c>
      <c r="DF40" s="102" t="str">
        <f t="shared" si="91"/>
        <v/>
      </c>
      <c r="DG40" s="102" t="str">
        <f t="shared" si="92"/>
        <v/>
      </c>
      <c r="DH40" s="102" t="str">
        <f t="shared" si="93"/>
        <v/>
      </c>
      <c r="DI40" s="102" t="str">
        <f t="shared" si="94"/>
        <v/>
      </c>
      <c r="DJ40" s="102" t="str">
        <f t="shared" si="95"/>
        <v/>
      </c>
      <c r="DK40" s="102" t="str">
        <f t="shared" si="96"/>
        <v/>
      </c>
      <c r="DL40" s="102" t="str">
        <f t="shared" si="97"/>
        <v/>
      </c>
      <c r="DM40" s="102" t="str">
        <f t="shared" si="98"/>
        <v/>
      </c>
      <c r="DN40" s="102" t="str">
        <f t="shared" si="99"/>
        <v/>
      </c>
      <c r="DO40" s="102" t="str">
        <f t="shared" si="100"/>
        <v/>
      </c>
      <c r="DP40" s="102" t="str">
        <f t="shared" si="101"/>
        <v/>
      </c>
      <c r="DQ40" s="102" t="str">
        <f t="shared" si="102"/>
        <v/>
      </c>
      <c r="DR40" s="102" t="str">
        <f t="shared" si="103"/>
        <v/>
      </c>
      <c r="DS40" s="102" t="str">
        <f t="shared" si="104"/>
        <v/>
      </c>
      <c r="DT40" s="102" t="str">
        <f t="shared" si="105"/>
        <v/>
      </c>
      <c r="DU40" s="102" t="str">
        <f t="shared" si="106"/>
        <v/>
      </c>
      <c r="DV40" s="102" t="str">
        <f t="shared" si="107"/>
        <v/>
      </c>
      <c r="DW40" s="102" t="str">
        <f t="shared" si="108"/>
        <v/>
      </c>
      <c r="DX40" s="102" t="str">
        <f t="shared" si="109"/>
        <v/>
      </c>
      <c r="DY40" s="102" t="str">
        <f t="shared" si="110"/>
        <v/>
      </c>
      <c r="DZ40" s="102" t="str">
        <f t="shared" si="111"/>
        <v/>
      </c>
      <c r="EA40" s="102" t="str">
        <f t="shared" si="112"/>
        <v/>
      </c>
      <c r="EB40" s="102" t="str">
        <f t="shared" si="113"/>
        <v/>
      </c>
      <c r="EC40" s="102" t="str">
        <f t="shared" si="114"/>
        <v/>
      </c>
      <c r="ED40" s="102" t="str">
        <f t="shared" si="115"/>
        <v/>
      </c>
      <c r="EE40" s="102" t="str">
        <f t="shared" si="116"/>
        <v/>
      </c>
      <c r="EF40" s="102" t="str">
        <f t="shared" si="117"/>
        <v/>
      </c>
      <c r="EG40" s="102" t="str">
        <f t="shared" si="118"/>
        <v/>
      </c>
      <c r="EH40" s="102" t="str">
        <f t="shared" si="119"/>
        <v/>
      </c>
      <c r="EI40" s="102" t="str">
        <f t="shared" si="120"/>
        <v/>
      </c>
      <c r="EJ40" s="102" t="str">
        <f t="shared" si="121"/>
        <v/>
      </c>
      <c r="EK40" s="102" t="str">
        <f t="shared" si="122"/>
        <v/>
      </c>
      <c r="EL40" s="102" t="str">
        <f t="shared" si="123"/>
        <v/>
      </c>
      <c r="EM40" s="102" t="str">
        <f t="shared" si="124"/>
        <v/>
      </c>
      <c r="EN40" s="102" t="str">
        <f t="shared" si="125"/>
        <v/>
      </c>
      <c r="EO40" s="102" t="str">
        <f t="shared" si="126"/>
        <v/>
      </c>
      <c r="EP40" s="102" t="str">
        <f t="shared" si="127"/>
        <v/>
      </c>
      <c r="EQ40" s="102" t="str">
        <f t="shared" si="128"/>
        <v/>
      </c>
      <c r="ER40" s="102" t="str">
        <f t="shared" si="129"/>
        <v/>
      </c>
      <c r="ES40" s="102" t="str">
        <f t="shared" si="130"/>
        <v/>
      </c>
      <c r="ET40" s="102" t="str">
        <f t="shared" si="131"/>
        <v/>
      </c>
      <c r="EU40" s="102" t="str">
        <f t="shared" si="132"/>
        <v/>
      </c>
      <c r="EV40" s="102" t="str">
        <f t="shared" si="133"/>
        <v/>
      </c>
      <c r="EW40" s="792" t="str">
        <f t="shared" si="134"/>
        <v/>
      </c>
      <c r="EX40" s="354" t="str">
        <f t="shared" si="135"/>
        <v/>
      </c>
      <c r="EY40" s="354" t="str">
        <f t="shared" si="136"/>
        <v/>
      </c>
      <c r="EZ40" s="354" t="str">
        <f t="shared" si="137"/>
        <v/>
      </c>
      <c r="FA40" s="354" t="str">
        <f t="shared" si="138"/>
        <v/>
      </c>
      <c r="FB40" s="354" t="str">
        <f t="shared" si="139"/>
        <v/>
      </c>
      <c r="FC40" s="354" t="str">
        <f t="shared" si="140"/>
        <v/>
      </c>
      <c r="FD40" s="354" t="str">
        <f t="shared" si="141"/>
        <v/>
      </c>
      <c r="FE40" s="354" t="str">
        <f t="shared" si="142"/>
        <v/>
      </c>
      <c r="FF40" s="354" t="str">
        <f t="shared" si="143"/>
        <v/>
      </c>
      <c r="FG40" s="354" t="str">
        <f t="shared" si="144"/>
        <v/>
      </c>
      <c r="FH40" s="354" t="str">
        <f t="shared" si="145"/>
        <v/>
      </c>
      <c r="FI40" s="354" t="str">
        <f t="shared" si="146"/>
        <v/>
      </c>
      <c r="FJ40" s="354" t="str">
        <f t="shared" si="147"/>
        <v/>
      </c>
      <c r="FK40" s="354" t="str">
        <f t="shared" si="148"/>
        <v/>
      </c>
      <c r="FL40" s="354" t="str">
        <f t="shared" si="149"/>
        <v/>
      </c>
      <c r="FM40" s="354" t="str">
        <f t="shared" si="150"/>
        <v/>
      </c>
      <c r="FN40" s="354" t="str">
        <f t="shared" si="151"/>
        <v/>
      </c>
      <c r="FO40" s="354" t="str">
        <f t="shared" si="152"/>
        <v/>
      </c>
      <c r="FP40" s="354" t="str">
        <f t="shared" si="153"/>
        <v/>
      </c>
      <c r="FQ40" s="354" t="str">
        <f t="shared" si="154"/>
        <v/>
      </c>
      <c r="FR40" s="354" t="str">
        <f t="shared" si="155"/>
        <v/>
      </c>
      <c r="FS40" s="354" t="str">
        <f t="shared" si="156"/>
        <v/>
      </c>
      <c r="FT40" s="354" t="str">
        <f t="shared" si="157"/>
        <v/>
      </c>
      <c r="FU40" s="354" t="str">
        <f t="shared" si="158"/>
        <v/>
      </c>
      <c r="FV40" s="354" t="str">
        <f t="shared" si="159"/>
        <v/>
      </c>
      <c r="FW40" s="354" t="str">
        <f t="shared" si="160"/>
        <v/>
      </c>
      <c r="FX40" s="354" t="str">
        <f t="shared" si="161"/>
        <v/>
      </c>
      <c r="FY40" s="354" t="str">
        <f t="shared" si="162"/>
        <v/>
      </c>
      <c r="FZ40" s="354" t="str">
        <f t="shared" si="163"/>
        <v/>
      </c>
      <c r="GA40" s="354" t="str">
        <f t="shared" si="164"/>
        <v/>
      </c>
      <c r="GB40" s="354" t="str">
        <f t="shared" si="165"/>
        <v/>
      </c>
      <c r="GC40" s="354" t="str">
        <f t="shared" si="166"/>
        <v/>
      </c>
      <c r="GD40" s="354" t="str">
        <f t="shared" si="167"/>
        <v/>
      </c>
      <c r="GE40" s="354" t="str">
        <f t="shared" si="168"/>
        <v/>
      </c>
      <c r="GF40" s="354" t="str">
        <f t="shared" si="169"/>
        <v/>
      </c>
      <c r="GG40" s="354" t="str">
        <f t="shared" si="170"/>
        <v/>
      </c>
      <c r="GH40" s="354" t="str">
        <f t="shared" si="171"/>
        <v/>
      </c>
      <c r="GI40" s="354" t="str">
        <f t="shared" si="172"/>
        <v/>
      </c>
      <c r="GJ40" s="354" t="str">
        <f t="shared" si="173"/>
        <v/>
      </c>
      <c r="GK40" s="354" t="str">
        <f t="shared" si="174"/>
        <v/>
      </c>
      <c r="GL40" s="354" t="str">
        <f t="shared" si="175"/>
        <v/>
      </c>
      <c r="GM40" s="354" t="str">
        <f t="shared" si="176"/>
        <v/>
      </c>
      <c r="GN40" s="354" t="str">
        <f t="shared" si="177"/>
        <v/>
      </c>
      <c r="GO40" s="354" t="str">
        <f t="shared" si="178"/>
        <v/>
      </c>
      <c r="GP40" s="354" t="str">
        <f t="shared" si="179"/>
        <v/>
      </c>
      <c r="GQ40" s="354" t="str">
        <f t="shared" si="180"/>
        <v/>
      </c>
      <c r="GR40" s="354" t="str">
        <f t="shared" si="181"/>
        <v/>
      </c>
      <c r="GS40" s="354" t="str">
        <f t="shared" si="182"/>
        <v/>
      </c>
      <c r="GT40" s="354" t="str">
        <f t="shared" si="183"/>
        <v/>
      </c>
      <c r="GU40" s="354" t="str">
        <f t="shared" si="184"/>
        <v/>
      </c>
      <c r="GV40" s="354" t="str">
        <f t="shared" si="185"/>
        <v/>
      </c>
      <c r="GW40" s="354" t="str">
        <f t="shared" si="186"/>
        <v/>
      </c>
      <c r="GX40" s="354" t="str">
        <f t="shared" si="187"/>
        <v/>
      </c>
      <c r="GY40" s="354" t="str">
        <f t="shared" si="188"/>
        <v/>
      </c>
      <c r="GZ40" s="354" t="str">
        <f t="shared" si="189"/>
        <v/>
      </c>
      <c r="HA40" s="354" t="str">
        <f t="shared" si="190"/>
        <v/>
      </c>
      <c r="HB40" s="354" t="str">
        <f t="shared" si="191"/>
        <v/>
      </c>
      <c r="HC40" s="354" t="str">
        <f t="shared" si="192"/>
        <v/>
      </c>
      <c r="HD40" s="354" t="str">
        <f t="shared" si="193"/>
        <v/>
      </c>
      <c r="HE40" s="354" t="str">
        <f t="shared" si="194"/>
        <v/>
      </c>
      <c r="HF40" s="354" t="str">
        <f t="shared" si="195"/>
        <v/>
      </c>
      <c r="HG40" s="354" t="str">
        <f t="shared" si="196"/>
        <v/>
      </c>
      <c r="HH40" s="354" t="str">
        <f t="shared" si="197"/>
        <v/>
      </c>
      <c r="HI40" s="354" t="str">
        <f t="shared" si="198"/>
        <v/>
      </c>
      <c r="HJ40" s="354" t="str">
        <f t="shared" si="199"/>
        <v/>
      </c>
      <c r="HK40" s="354" t="str">
        <f t="shared" si="200"/>
        <v/>
      </c>
      <c r="HL40" s="354" t="str">
        <f t="shared" si="201"/>
        <v/>
      </c>
      <c r="HM40" s="354" t="str">
        <f t="shared" si="202"/>
        <v/>
      </c>
      <c r="HN40" s="354" t="str">
        <f t="shared" si="203"/>
        <v/>
      </c>
      <c r="HO40" s="354" t="str">
        <f t="shared" si="204"/>
        <v/>
      </c>
      <c r="HP40" s="354" t="str">
        <f t="shared" si="205"/>
        <v/>
      </c>
      <c r="HQ40" s="354" t="str">
        <f t="shared" si="206"/>
        <v/>
      </c>
      <c r="HR40" s="354" t="str">
        <f t="shared" si="207"/>
        <v/>
      </c>
      <c r="HS40" s="354" t="str">
        <f t="shared" si="208"/>
        <v/>
      </c>
      <c r="HT40" s="354" t="str">
        <f t="shared" si="209"/>
        <v/>
      </c>
      <c r="HU40" s="354" t="str">
        <f t="shared" si="210"/>
        <v/>
      </c>
      <c r="HV40" s="354" t="str">
        <f t="shared" si="211"/>
        <v/>
      </c>
      <c r="HW40" s="354" t="str">
        <f t="shared" si="212"/>
        <v/>
      </c>
      <c r="HX40" s="354" t="str">
        <f t="shared" si="213"/>
        <v/>
      </c>
      <c r="HY40" s="354" t="str">
        <f t="shared" si="214"/>
        <v/>
      </c>
      <c r="HZ40" s="354" t="str">
        <f t="shared" si="215"/>
        <v/>
      </c>
      <c r="IA40" s="354" t="str">
        <f t="shared" si="216"/>
        <v/>
      </c>
      <c r="IB40" s="354" t="str">
        <f t="shared" si="217"/>
        <v/>
      </c>
      <c r="IC40" s="354" t="str">
        <f t="shared" si="218"/>
        <v/>
      </c>
      <c r="ID40" s="355" t="str">
        <f t="shared" si="219"/>
        <v/>
      </c>
      <c r="IE40" s="355" t="str">
        <f t="shared" si="220"/>
        <v/>
      </c>
      <c r="IF40" s="355" t="str">
        <f t="shared" si="221"/>
        <v/>
      </c>
      <c r="IG40" s="355" t="str">
        <f t="shared" si="222"/>
        <v/>
      </c>
      <c r="IH40" s="355" t="str">
        <f t="shared" si="223"/>
        <v/>
      </c>
      <c r="II40" s="344" t="str">
        <f t="shared" si="224"/>
        <v/>
      </c>
      <c r="IJ40" s="344" t="str">
        <f t="shared" si="225"/>
        <v/>
      </c>
      <c r="IK40" s="344" t="str">
        <f t="shared" si="226"/>
        <v/>
      </c>
      <c r="IL40" s="344" t="str">
        <f t="shared" si="227"/>
        <v/>
      </c>
      <c r="IM40" s="344" t="str">
        <f t="shared" si="228"/>
        <v/>
      </c>
      <c r="IN40" s="344" t="str">
        <f t="shared" si="229"/>
        <v/>
      </c>
      <c r="IO40" s="344" t="str">
        <f t="shared" si="230"/>
        <v/>
      </c>
      <c r="IP40" s="344" t="str">
        <f t="shared" si="231"/>
        <v/>
      </c>
      <c r="IQ40" s="344" t="str">
        <f t="shared" si="232"/>
        <v/>
      </c>
      <c r="IR40" s="344" t="str">
        <f t="shared" si="233"/>
        <v/>
      </c>
      <c r="IS40" s="344" t="str">
        <f t="shared" si="234"/>
        <v/>
      </c>
      <c r="IT40" s="344" t="str">
        <f t="shared" si="235"/>
        <v/>
      </c>
      <c r="IU40" s="344" t="str">
        <f t="shared" si="236"/>
        <v/>
      </c>
      <c r="IV40" s="344" t="str">
        <f t="shared" si="237"/>
        <v/>
      </c>
      <c r="IW40" s="344" t="str">
        <f t="shared" si="238"/>
        <v/>
      </c>
      <c r="IX40" s="344" t="str">
        <f t="shared" si="239"/>
        <v/>
      </c>
      <c r="IY40" s="344" t="str">
        <f t="shared" si="240"/>
        <v/>
      </c>
      <c r="IZ40" s="344" t="str">
        <f t="shared" si="241"/>
        <v/>
      </c>
      <c r="JA40" s="344" t="str">
        <f t="shared" si="242"/>
        <v/>
      </c>
      <c r="JB40" s="344" t="str">
        <f t="shared" si="243"/>
        <v/>
      </c>
      <c r="JC40" s="353">
        <f t="shared" si="244"/>
        <v>0</v>
      </c>
      <c r="JD40" s="353">
        <f t="shared" si="245"/>
        <v>0</v>
      </c>
      <c r="JE40" s="353">
        <f t="shared" si="246"/>
        <v>0</v>
      </c>
      <c r="JF40" s="353">
        <f t="shared" si="247"/>
        <v>0</v>
      </c>
      <c r="JG40" s="353">
        <f t="shared" si="248"/>
        <v>0</v>
      </c>
      <c r="JH40" s="353">
        <f t="shared" si="249"/>
        <v>0</v>
      </c>
      <c r="JI40" s="353">
        <f t="shared" si="250"/>
        <v>0</v>
      </c>
      <c r="JJ40" s="353">
        <f t="shared" si="251"/>
        <v>0</v>
      </c>
      <c r="JK40" s="353">
        <f t="shared" si="252"/>
        <v>0</v>
      </c>
      <c r="JL40" s="353">
        <f t="shared" si="253"/>
        <v>0</v>
      </c>
      <c r="JM40" s="353">
        <f t="shared" si="254"/>
        <v>0</v>
      </c>
      <c r="JN40" s="353">
        <f t="shared" si="255"/>
        <v>0</v>
      </c>
      <c r="JO40" s="353">
        <f t="shared" si="256"/>
        <v>0</v>
      </c>
      <c r="JP40" s="353">
        <f t="shared" si="257"/>
        <v>0</v>
      </c>
      <c r="JQ40" s="353">
        <f t="shared" si="258"/>
        <v>0</v>
      </c>
    </row>
    <row r="41" spans="1:296" ht="12" customHeight="1">
      <c r="A41" s="70" t="str">
        <f t="shared" si="0"/>
        <v/>
      </c>
      <c r="B41" s="2628" t="s">
        <v>781</v>
      </c>
      <c r="C41" s="2629"/>
      <c r="D41" s="2630"/>
      <c r="E41" s="2631"/>
      <c r="F41" s="2631"/>
      <c r="G41" s="2631"/>
      <c r="H41" s="2631"/>
      <c r="I41" s="2632">
        <f>IF(C41="",0,HLOOKUP(C41,'Part V-Utility Allowances'!$I$11:$M$21,11))</f>
        <v>0</v>
      </c>
      <c r="J41" s="2633"/>
      <c r="K41" s="488">
        <f t="shared" si="1"/>
        <v>0</v>
      </c>
      <c r="L41" s="488">
        <f t="shared" si="2"/>
        <v>0</v>
      </c>
      <c r="M41" s="2634"/>
      <c r="N41" s="2634"/>
      <c r="O41" s="2634"/>
      <c r="P41" s="2635"/>
      <c r="Q41" s="2636" t="str">
        <f t="shared" si="3"/>
        <v/>
      </c>
      <c r="R41" s="2637" t="str">
        <f>IF(H41="","",IF(C41="Efficiency",Q41/($O$6*VLOOKUP(0,'DCA Underwriting Assumptions'!$J$143:$K$148,2,FALSE)),Q41/($O$6*VLOOKUP(C41,'DCA Underwriting Assumptions'!$J$143:$K$148,2,FALSE))))</f>
        <v/>
      </c>
      <c r="S41" s="2638"/>
      <c r="T41" s="2639"/>
      <c r="U41" s="2594"/>
      <c r="V41" s="2595"/>
      <c r="W41" s="102" t="str">
        <f t="shared" si="4"/>
        <v/>
      </c>
      <c r="X41" s="102" t="str">
        <f t="shared" si="5"/>
        <v/>
      </c>
      <c r="Y41" s="102" t="str">
        <f t="shared" si="6"/>
        <v/>
      </c>
      <c r="Z41" s="102" t="str">
        <f t="shared" si="7"/>
        <v/>
      </c>
      <c r="AA41" s="102" t="str">
        <f t="shared" si="8"/>
        <v/>
      </c>
      <c r="AB41" s="102" t="str">
        <f t="shared" si="9"/>
        <v/>
      </c>
      <c r="AC41" s="102" t="str">
        <f t="shared" si="10"/>
        <v/>
      </c>
      <c r="AD41" s="102" t="str">
        <f t="shared" si="11"/>
        <v/>
      </c>
      <c r="AE41" s="102" t="str">
        <f t="shared" si="12"/>
        <v/>
      </c>
      <c r="AF41" s="102" t="str">
        <f t="shared" si="13"/>
        <v/>
      </c>
      <c r="AG41" s="102" t="str">
        <f t="shared" si="14"/>
        <v/>
      </c>
      <c r="AH41" s="102" t="str">
        <f t="shared" si="15"/>
        <v/>
      </c>
      <c r="AI41" s="102" t="str">
        <f t="shared" si="16"/>
        <v/>
      </c>
      <c r="AJ41" s="102" t="str">
        <f t="shared" si="17"/>
        <v/>
      </c>
      <c r="AK41" s="102" t="str">
        <f t="shared" si="18"/>
        <v/>
      </c>
      <c r="AL41" s="102" t="str">
        <f t="shared" si="19"/>
        <v/>
      </c>
      <c r="AM41" s="102" t="str">
        <f t="shared" si="20"/>
        <v/>
      </c>
      <c r="AN41" s="102" t="str">
        <f t="shared" si="21"/>
        <v/>
      </c>
      <c r="AO41" s="102" t="str">
        <f t="shared" si="22"/>
        <v/>
      </c>
      <c r="AP41" s="102" t="str">
        <f t="shared" si="23"/>
        <v/>
      </c>
      <c r="AQ41" s="102" t="str">
        <f t="shared" si="24"/>
        <v/>
      </c>
      <c r="AR41" s="102" t="str">
        <f t="shared" si="25"/>
        <v/>
      </c>
      <c r="AS41" s="102" t="str">
        <f t="shared" si="26"/>
        <v/>
      </c>
      <c r="AT41" s="102" t="str">
        <f t="shared" si="27"/>
        <v/>
      </c>
      <c r="AU41" s="102" t="str">
        <f t="shared" si="28"/>
        <v/>
      </c>
      <c r="AV41" s="102" t="str">
        <f t="shared" si="29"/>
        <v/>
      </c>
      <c r="AW41" s="102" t="str">
        <f t="shared" si="30"/>
        <v/>
      </c>
      <c r="AX41" s="102" t="str">
        <f t="shared" si="31"/>
        <v/>
      </c>
      <c r="AY41" s="102" t="str">
        <f t="shared" si="32"/>
        <v/>
      </c>
      <c r="AZ41" s="102" t="str">
        <f t="shared" si="33"/>
        <v/>
      </c>
      <c r="BA41" s="102" t="str">
        <f t="shared" si="34"/>
        <v/>
      </c>
      <c r="BB41" s="102" t="str">
        <f t="shared" si="35"/>
        <v/>
      </c>
      <c r="BC41" s="102" t="str">
        <f t="shared" si="36"/>
        <v/>
      </c>
      <c r="BD41" s="102" t="str">
        <f t="shared" si="37"/>
        <v/>
      </c>
      <c r="BE41" s="102" t="str">
        <f t="shared" si="38"/>
        <v/>
      </c>
      <c r="BF41" s="102" t="str">
        <f t="shared" si="39"/>
        <v/>
      </c>
      <c r="BG41" s="102" t="str">
        <f t="shared" si="40"/>
        <v/>
      </c>
      <c r="BH41" s="102" t="str">
        <f t="shared" si="41"/>
        <v/>
      </c>
      <c r="BI41" s="102" t="str">
        <f t="shared" si="42"/>
        <v/>
      </c>
      <c r="BJ41" s="102" t="str">
        <f t="shared" si="43"/>
        <v/>
      </c>
      <c r="BK41" s="102" t="str">
        <f t="shared" si="44"/>
        <v/>
      </c>
      <c r="BL41" s="102" t="str">
        <f t="shared" si="45"/>
        <v/>
      </c>
      <c r="BM41" s="102" t="str">
        <f t="shared" si="46"/>
        <v/>
      </c>
      <c r="BN41" s="102" t="str">
        <f t="shared" si="47"/>
        <v/>
      </c>
      <c r="BO41" s="102" t="str">
        <f t="shared" si="48"/>
        <v/>
      </c>
      <c r="BP41" s="102" t="str">
        <f t="shared" si="49"/>
        <v/>
      </c>
      <c r="BQ41" s="102" t="str">
        <f t="shared" si="50"/>
        <v/>
      </c>
      <c r="BR41" s="102" t="str">
        <f t="shared" si="51"/>
        <v/>
      </c>
      <c r="BS41" s="102" t="str">
        <f t="shared" si="52"/>
        <v/>
      </c>
      <c r="BT41" s="102" t="str">
        <f t="shared" si="53"/>
        <v/>
      </c>
      <c r="BU41" s="102" t="str">
        <f t="shared" si="54"/>
        <v/>
      </c>
      <c r="BV41" s="102" t="str">
        <f t="shared" si="55"/>
        <v/>
      </c>
      <c r="BW41" s="102" t="str">
        <f t="shared" si="56"/>
        <v/>
      </c>
      <c r="BX41" s="102" t="str">
        <f t="shared" si="57"/>
        <v/>
      </c>
      <c r="BY41" s="102" t="str">
        <f t="shared" si="58"/>
        <v/>
      </c>
      <c r="BZ41" s="102" t="str">
        <f t="shared" si="59"/>
        <v/>
      </c>
      <c r="CA41" s="102" t="str">
        <f t="shared" si="60"/>
        <v/>
      </c>
      <c r="CB41" s="102" t="str">
        <f t="shared" si="61"/>
        <v/>
      </c>
      <c r="CC41" s="102" t="str">
        <f t="shared" si="62"/>
        <v/>
      </c>
      <c r="CD41" s="102" t="str">
        <f t="shared" si="63"/>
        <v/>
      </c>
      <c r="CE41" s="102" t="str">
        <f t="shared" si="64"/>
        <v/>
      </c>
      <c r="CF41" s="102" t="str">
        <f t="shared" si="65"/>
        <v/>
      </c>
      <c r="CG41" s="102" t="str">
        <f t="shared" si="66"/>
        <v/>
      </c>
      <c r="CH41" s="102" t="str">
        <f t="shared" si="67"/>
        <v/>
      </c>
      <c r="CI41" s="102" t="str">
        <f t="shared" si="68"/>
        <v/>
      </c>
      <c r="CJ41" s="102" t="str">
        <f t="shared" si="69"/>
        <v/>
      </c>
      <c r="CK41" s="102" t="str">
        <f t="shared" si="70"/>
        <v/>
      </c>
      <c r="CL41" s="102" t="str">
        <f t="shared" si="71"/>
        <v/>
      </c>
      <c r="CM41" s="102" t="str">
        <f t="shared" si="72"/>
        <v/>
      </c>
      <c r="CN41" s="102" t="str">
        <f t="shared" si="73"/>
        <v/>
      </c>
      <c r="CO41" s="102" t="str">
        <f t="shared" si="74"/>
        <v/>
      </c>
      <c r="CP41" s="102" t="str">
        <f t="shared" si="75"/>
        <v/>
      </c>
      <c r="CQ41" s="102" t="str">
        <f t="shared" si="76"/>
        <v/>
      </c>
      <c r="CR41" s="102" t="str">
        <f t="shared" si="77"/>
        <v/>
      </c>
      <c r="CS41" s="102" t="str">
        <f t="shared" si="78"/>
        <v/>
      </c>
      <c r="CT41" s="102" t="str">
        <f t="shared" si="79"/>
        <v/>
      </c>
      <c r="CU41" s="102" t="str">
        <f t="shared" si="80"/>
        <v/>
      </c>
      <c r="CV41" s="102" t="str">
        <f t="shared" si="81"/>
        <v/>
      </c>
      <c r="CW41" s="102" t="str">
        <f t="shared" si="82"/>
        <v/>
      </c>
      <c r="CX41" s="102" t="str">
        <f t="shared" si="83"/>
        <v/>
      </c>
      <c r="CY41" s="102" t="str">
        <f t="shared" si="84"/>
        <v/>
      </c>
      <c r="CZ41" s="102" t="str">
        <f t="shared" si="85"/>
        <v/>
      </c>
      <c r="DA41" s="102" t="str">
        <f t="shared" si="86"/>
        <v/>
      </c>
      <c r="DB41" s="102" t="str">
        <f t="shared" si="87"/>
        <v/>
      </c>
      <c r="DC41" s="102" t="str">
        <f t="shared" si="88"/>
        <v/>
      </c>
      <c r="DD41" s="102" t="str">
        <f t="shared" si="89"/>
        <v/>
      </c>
      <c r="DE41" s="102" t="str">
        <f t="shared" si="90"/>
        <v/>
      </c>
      <c r="DF41" s="102" t="str">
        <f t="shared" si="91"/>
        <v/>
      </c>
      <c r="DG41" s="102" t="str">
        <f t="shared" si="92"/>
        <v/>
      </c>
      <c r="DH41" s="102" t="str">
        <f t="shared" si="93"/>
        <v/>
      </c>
      <c r="DI41" s="102" t="str">
        <f t="shared" si="94"/>
        <v/>
      </c>
      <c r="DJ41" s="102" t="str">
        <f t="shared" si="95"/>
        <v/>
      </c>
      <c r="DK41" s="102" t="str">
        <f t="shared" si="96"/>
        <v/>
      </c>
      <c r="DL41" s="102" t="str">
        <f t="shared" si="97"/>
        <v/>
      </c>
      <c r="DM41" s="102" t="str">
        <f t="shared" si="98"/>
        <v/>
      </c>
      <c r="DN41" s="102" t="str">
        <f t="shared" si="99"/>
        <v/>
      </c>
      <c r="DO41" s="102" t="str">
        <f t="shared" si="100"/>
        <v/>
      </c>
      <c r="DP41" s="102" t="str">
        <f t="shared" si="101"/>
        <v/>
      </c>
      <c r="DQ41" s="102" t="str">
        <f t="shared" si="102"/>
        <v/>
      </c>
      <c r="DR41" s="102" t="str">
        <f t="shared" si="103"/>
        <v/>
      </c>
      <c r="DS41" s="102" t="str">
        <f t="shared" si="104"/>
        <v/>
      </c>
      <c r="DT41" s="102" t="str">
        <f t="shared" si="105"/>
        <v/>
      </c>
      <c r="DU41" s="102" t="str">
        <f t="shared" si="106"/>
        <v/>
      </c>
      <c r="DV41" s="102" t="str">
        <f t="shared" si="107"/>
        <v/>
      </c>
      <c r="DW41" s="102" t="str">
        <f t="shared" si="108"/>
        <v/>
      </c>
      <c r="DX41" s="102" t="str">
        <f t="shared" si="109"/>
        <v/>
      </c>
      <c r="DY41" s="102" t="str">
        <f t="shared" si="110"/>
        <v/>
      </c>
      <c r="DZ41" s="102" t="str">
        <f t="shared" si="111"/>
        <v/>
      </c>
      <c r="EA41" s="102" t="str">
        <f t="shared" si="112"/>
        <v/>
      </c>
      <c r="EB41" s="102" t="str">
        <f t="shared" si="113"/>
        <v/>
      </c>
      <c r="EC41" s="102" t="str">
        <f t="shared" si="114"/>
        <v/>
      </c>
      <c r="ED41" s="102" t="str">
        <f t="shared" si="115"/>
        <v/>
      </c>
      <c r="EE41" s="102" t="str">
        <f t="shared" si="116"/>
        <v/>
      </c>
      <c r="EF41" s="102" t="str">
        <f t="shared" si="117"/>
        <v/>
      </c>
      <c r="EG41" s="102" t="str">
        <f t="shared" si="118"/>
        <v/>
      </c>
      <c r="EH41" s="102" t="str">
        <f t="shared" si="119"/>
        <v/>
      </c>
      <c r="EI41" s="102" t="str">
        <f t="shared" si="120"/>
        <v/>
      </c>
      <c r="EJ41" s="102" t="str">
        <f t="shared" si="121"/>
        <v/>
      </c>
      <c r="EK41" s="102" t="str">
        <f t="shared" si="122"/>
        <v/>
      </c>
      <c r="EL41" s="102" t="str">
        <f t="shared" si="123"/>
        <v/>
      </c>
      <c r="EM41" s="102" t="str">
        <f t="shared" si="124"/>
        <v/>
      </c>
      <c r="EN41" s="102" t="str">
        <f t="shared" si="125"/>
        <v/>
      </c>
      <c r="EO41" s="102" t="str">
        <f t="shared" si="126"/>
        <v/>
      </c>
      <c r="EP41" s="102" t="str">
        <f t="shared" si="127"/>
        <v/>
      </c>
      <c r="EQ41" s="102" t="str">
        <f t="shared" si="128"/>
        <v/>
      </c>
      <c r="ER41" s="102" t="str">
        <f t="shared" si="129"/>
        <v/>
      </c>
      <c r="ES41" s="102" t="str">
        <f t="shared" si="130"/>
        <v/>
      </c>
      <c r="ET41" s="102" t="str">
        <f t="shared" si="131"/>
        <v/>
      </c>
      <c r="EU41" s="102" t="str">
        <f t="shared" si="132"/>
        <v/>
      </c>
      <c r="EV41" s="102" t="str">
        <f t="shared" si="133"/>
        <v/>
      </c>
      <c r="EW41" s="792" t="str">
        <f t="shared" si="134"/>
        <v/>
      </c>
      <c r="EX41" s="354" t="str">
        <f t="shared" si="135"/>
        <v/>
      </c>
      <c r="EY41" s="354" t="str">
        <f t="shared" si="136"/>
        <v/>
      </c>
      <c r="EZ41" s="354" t="str">
        <f t="shared" si="137"/>
        <v/>
      </c>
      <c r="FA41" s="354" t="str">
        <f t="shared" si="138"/>
        <v/>
      </c>
      <c r="FB41" s="354" t="str">
        <f t="shared" si="139"/>
        <v/>
      </c>
      <c r="FC41" s="354" t="str">
        <f t="shared" si="140"/>
        <v/>
      </c>
      <c r="FD41" s="354" t="str">
        <f t="shared" si="141"/>
        <v/>
      </c>
      <c r="FE41" s="354" t="str">
        <f t="shared" si="142"/>
        <v/>
      </c>
      <c r="FF41" s="354" t="str">
        <f t="shared" si="143"/>
        <v/>
      </c>
      <c r="FG41" s="354" t="str">
        <f t="shared" si="144"/>
        <v/>
      </c>
      <c r="FH41" s="354" t="str">
        <f t="shared" si="145"/>
        <v/>
      </c>
      <c r="FI41" s="354" t="str">
        <f t="shared" si="146"/>
        <v/>
      </c>
      <c r="FJ41" s="354" t="str">
        <f t="shared" si="147"/>
        <v/>
      </c>
      <c r="FK41" s="354" t="str">
        <f t="shared" si="148"/>
        <v/>
      </c>
      <c r="FL41" s="354" t="str">
        <f t="shared" si="149"/>
        <v/>
      </c>
      <c r="FM41" s="354" t="str">
        <f t="shared" si="150"/>
        <v/>
      </c>
      <c r="FN41" s="354" t="str">
        <f t="shared" si="151"/>
        <v/>
      </c>
      <c r="FO41" s="354" t="str">
        <f t="shared" si="152"/>
        <v/>
      </c>
      <c r="FP41" s="354" t="str">
        <f t="shared" si="153"/>
        <v/>
      </c>
      <c r="FQ41" s="354" t="str">
        <f t="shared" si="154"/>
        <v/>
      </c>
      <c r="FR41" s="354" t="str">
        <f t="shared" si="155"/>
        <v/>
      </c>
      <c r="FS41" s="354" t="str">
        <f t="shared" si="156"/>
        <v/>
      </c>
      <c r="FT41" s="354" t="str">
        <f t="shared" si="157"/>
        <v/>
      </c>
      <c r="FU41" s="354" t="str">
        <f t="shared" si="158"/>
        <v/>
      </c>
      <c r="FV41" s="354" t="str">
        <f t="shared" si="159"/>
        <v/>
      </c>
      <c r="FW41" s="354" t="str">
        <f t="shared" si="160"/>
        <v/>
      </c>
      <c r="FX41" s="354" t="str">
        <f t="shared" si="161"/>
        <v/>
      </c>
      <c r="FY41" s="354" t="str">
        <f t="shared" si="162"/>
        <v/>
      </c>
      <c r="FZ41" s="354" t="str">
        <f t="shared" si="163"/>
        <v/>
      </c>
      <c r="GA41" s="354" t="str">
        <f t="shared" si="164"/>
        <v/>
      </c>
      <c r="GB41" s="354" t="str">
        <f t="shared" si="165"/>
        <v/>
      </c>
      <c r="GC41" s="354" t="str">
        <f t="shared" si="166"/>
        <v/>
      </c>
      <c r="GD41" s="354" t="str">
        <f t="shared" si="167"/>
        <v/>
      </c>
      <c r="GE41" s="354" t="str">
        <f t="shared" si="168"/>
        <v/>
      </c>
      <c r="GF41" s="354" t="str">
        <f t="shared" si="169"/>
        <v/>
      </c>
      <c r="GG41" s="354" t="str">
        <f t="shared" si="170"/>
        <v/>
      </c>
      <c r="GH41" s="354" t="str">
        <f t="shared" si="171"/>
        <v/>
      </c>
      <c r="GI41" s="354" t="str">
        <f t="shared" si="172"/>
        <v/>
      </c>
      <c r="GJ41" s="354" t="str">
        <f t="shared" si="173"/>
        <v/>
      </c>
      <c r="GK41" s="354" t="str">
        <f t="shared" si="174"/>
        <v/>
      </c>
      <c r="GL41" s="354" t="str">
        <f t="shared" si="175"/>
        <v/>
      </c>
      <c r="GM41" s="354" t="str">
        <f t="shared" si="176"/>
        <v/>
      </c>
      <c r="GN41" s="354" t="str">
        <f t="shared" si="177"/>
        <v/>
      </c>
      <c r="GO41" s="354" t="str">
        <f t="shared" si="178"/>
        <v/>
      </c>
      <c r="GP41" s="354" t="str">
        <f t="shared" si="179"/>
        <v/>
      </c>
      <c r="GQ41" s="354" t="str">
        <f t="shared" si="180"/>
        <v/>
      </c>
      <c r="GR41" s="354" t="str">
        <f t="shared" si="181"/>
        <v/>
      </c>
      <c r="GS41" s="354" t="str">
        <f t="shared" si="182"/>
        <v/>
      </c>
      <c r="GT41" s="354" t="str">
        <f t="shared" si="183"/>
        <v/>
      </c>
      <c r="GU41" s="354" t="str">
        <f t="shared" si="184"/>
        <v/>
      </c>
      <c r="GV41" s="354" t="str">
        <f t="shared" si="185"/>
        <v/>
      </c>
      <c r="GW41" s="354" t="str">
        <f t="shared" si="186"/>
        <v/>
      </c>
      <c r="GX41" s="354" t="str">
        <f t="shared" si="187"/>
        <v/>
      </c>
      <c r="GY41" s="354" t="str">
        <f t="shared" si="188"/>
        <v/>
      </c>
      <c r="GZ41" s="354" t="str">
        <f t="shared" si="189"/>
        <v/>
      </c>
      <c r="HA41" s="354" t="str">
        <f t="shared" si="190"/>
        <v/>
      </c>
      <c r="HB41" s="354" t="str">
        <f t="shared" si="191"/>
        <v/>
      </c>
      <c r="HC41" s="354" t="str">
        <f t="shared" si="192"/>
        <v/>
      </c>
      <c r="HD41" s="354" t="str">
        <f t="shared" si="193"/>
        <v/>
      </c>
      <c r="HE41" s="354" t="str">
        <f t="shared" si="194"/>
        <v/>
      </c>
      <c r="HF41" s="354" t="str">
        <f t="shared" si="195"/>
        <v/>
      </c>
      <c r="HG41" s="354" t="str">
        <f t="shared" si="196"/>
        <v/>
      </c>
      <c r="HH41" s="354" t="str">
        <f t="shared" si="197"/>
        <v/>
      </c>
      <c r="HI41" s="354" t="str">
        <f t="shared" si="198"/>
        <v/>
      </c>
      <c r="HJ41" s="354" t="str">
        <f t="shared" si="199"/>
        <v/>
      </c>
      <c r="HK41" s="354" t="str">
        <f t="shared" si="200"/>
        <v/>
      </c>
      <c r="HL41" s="354" t="str">
        <f t="shared" si="201"/>
        <v/>
      </c>
      <c r="HM41" s="354" t="str">
        <f t="shared" si="202"/>
        <v/>
      </c>
      <c r="HN41" s="354" t="str">
        <f t="shared" si="203"/>
        <v/>
      </c>
      <c r="HO41" s="354" t="str">
        <f t="shared" si="204"/>
        <v/>
      </c>
      <c r="HP41" s="354" t="str">
        <f t="shared" si="205"/>
        <v/>
      </c>
      <c r="HQ41" s="354" t="str">
        <f t="shared" si="206"/>
        <v/>
      </c>
      <c r="HR41" s="354" t="str">
        <f t="shared" si="207"/>
        <v/>
      </c>
      <c r="HS41" s="354" t="str">
        <f t="shared" si="208"/>
        <v/>
      </c>
      <c r="HT41" s="354" t="str">
        <f t="shared" si="209"/>
        <v/>
      </c>
      <c r="HU41" s="354" t="str">
        <f t="shared" si="210"/>
        <v/>
      </c>
      <c r="HV41" s="354" t="str">
        <f t="shared" si="211"/>
        <v/>
      </c>
      <c r="HW41" s="354" t="str">
        <f t="shared" si="212"/>
        <v/>
      </c>
      <c r="HX41" s="354" t="str">
        <f t="shared" si="213"/>
        <v/>
      </c>
      <c r="HY41" s="354" t="str">
        <f t="shared" si="214"/>
        <v/>
      </c>
      <c r="HZ41" s="354" t="str">
        <f t="shared" si="215"/>
        <v/>
      </c>
      <c r="IA41" s="354" t="str">
        <f t="shared" si="216"/>
        <v/>
      </c>
      <c r="IB41" s="354" t="str">
        <f t="shared" si="217"/>
        <v/>
      </c>
      <c r="IC41" s="354" t="str">
        <f t="shared" si="218"/>
        <v/>
      </c>
      <c r="ID41" s="355" t="str">
        <f t="shared" si="219"/>
        <v/>
      </c>
      <c r="IE41" s="355" t="str">
        <f t="shared" si="220"/>
        <v/>
      </c>
      <c r="IF41" s="355" t="str">
        <f t="shared" si="221"/>
        <v/>
      </c>
      <c r="IG41" s="355" t="str">
        <f t="shared" si="222"/>
        <v/>
      </c>
      <c r="IH41" s="355" t="str">
        <f t="shared" si="223"/>
        <v/>
      </c>
      <c r="II41" s="344" t="str">
        <f t="shared" si="224"/>
        <v/>
      </c>
      <c r="IJ41" s="344" t="str">
        <f t="shared" si="225"/>
        <v/>
      </c>
      <c r="IK41" s="344" t="str">
        <f t="shared" si="226"/>
        <v/>
      </c>
      <c r="IL41" s="344" t="str">
        <f t="shared" si="227"/>
        <v/>
      </c>
      <c r="IM41" s="344" t="str">
        <f t="shared" si="228"/>
        <v/>
      </c>
      <c r="IN41" s="344" t="str">
        <f t="shared" si="229"/>
        <v/>
      </c>
      <c r="IO41" s="344" t="str">
        <f t="shared" si="230"/>
        <v/>
      </c>
      <c r="IP41" s="344" t="str">
        <f t="shared" si="231"/>
        <v/>
      </c>
      <c r="IQ41" s="344" t="str">
        <f t="shared" si="232"/>
        <v/>
      </c>
      <c r="IR41" s="344" t="str">
        <f t="shared" si="233"/>
        <v/>
      </c>
      <c r="IS41" s="344" t="str">
        <f t="shared" si="234"/>
        <v/>
      </c>
      <c r="IT41" s="344" t="str">
        <f t="shared" si="235"/>
        <v/>
      </c>
      <c r="IU41" s="344" t="str">
        <f t="shared" si="236"/>
        <v/>
      </c>
      <c r="IV41" s="344" t="str">
        <f t="shared" si="237"/>
        <v/>
      </c>
      <c r="IW41" s="344" t="str">
        <f t="shared" si="238"/>
        <v/>
      </c>
      <c r="IX41" s="344" t="str">
        <f t="shared" si="239"/>
        <v/>
      </c>
      <c r="IY41" s="344" t="str">
        <f t="shared" si="240"/>
        <v/>
      </c>
      <c r="IZ41" s="344" t="str">
        <f t="shared" si="241"/>
        <v/>
      </c>
      <c r="JA41" s="344" t="str">
        <f t="shared" si="242"/>
        <v/>
      </c>
      <c r="JB41" s="344" t="str">
        <f t="shared" si="243"/>
        <v/>
      </c>
      <c r="JC41" s="353">
        <f t="shared" si="244"/>
        <v>0</v>
      </c>
      <c r="JD41" s="353">
        <f t="shared" si="245"/>
        <v>0</v>
      </c>
      <c r="JE41" s="353">
        <f t="shared" si="246"/>
        <v>0</v>
      </c>
      <c r="JF41" s="353">
        <f t="shared" si="247"/>
        <v>0</v>
      </c>
      <c r="JG41" s="353">
        <f t="shared" si="248"/>
        <v>0</v>
      </c>
      <c r="JH41" s="353">
        <f t="shared" si="249"/>
        <v>0</v>
      </c>
      <c r="JI41" s="353">
        <f t="shared" si="250"/>
        <v>0</v>
      </c>
      <c r="JJ41" s="353">
        <f t="shared" si="251"/>
        <v>0</v>
      </c>
      <c r="JK41" s="353">
        <f t="shared" si="252"/>
        <v>0</v>
      </c>
      <c r="JL41" s="353">
        <f t="shared" si="253"/>
        <v>0</v>
      </c>
      <c r="JM41" s="353">
        <f t="shared" si="254"/>
        <v>0</v>
      </c>
      <c r="JN41" s="353">
        <f t="shared" si="255"/>
        <v>0</v>
      </c>
      <c r="JO41" s="353">
        <f t="shared" si="256"/>
        <v>0</v>
      </c>
      <c r="JP41" s="353">
        <f t="shared" si="257"/>
        <v>0</v>
      </c>
      <c r="JQ41" s="353">
        <f t="shared" si="258"/>
        <v>0</v>
      </c>
    </row>
    <row r="42" spans="1:296" ht="12" customHeight="1">
      <c r="A42" s="70" t="str">
        <f t="shared" si="0"/>
        <v/>
      </c>
      <c r="B42" s="2628" t="s">
        <v>781</v>
      </c>
      <c r="C42" s="2629"/>
      <c r="D42" s="2630"/>
      <c r="E42" s="2631"/>
      <c r="F42" s="2631"/>
      <c r="G42" s="2631"/>
      <c r="H42" s="2631"/>
      <c r="I42" s="2632">
        <f>IF(C42="",0,HLOOKUP(C42,'Part V-Utility Allowances'!$I$11:$M$21,11))</f>
        <v>0</v>
      </c>
      <c r="J42" s="2633"/>
      <c r="K42" s="488">
        <f t="shared" si="1"/>
        <v>0</v>
      </c>
      <c r="L42" s="488">
        <f t="shared" si="2"/>
        <v>0</v>
      </c>
      <c r="M42" s="2634"/>
      <c r="N42" s="2634"/>
      <c r="O42" s="2634"/>
      <c r="P42" s="2635"/>
      <c r="Q42" s="2636" t="str">
        <f t="shared" si="3"/>
        <v/>
      </c>
      <c r="R42" s="2637" t="str">
        <f>IF(H42="","",IF(C42="Efficiency",Q42/($O$6*VLOOKUP(0,'DCA Underwriting Assumptions'!$J$143:$K$148,2,FALSE)),Q42/($O$6*VLOOKUP(C42,'DCA Underwriting Assumptions'!$J$143:$K$148,2,FALSE))))</f>
        <v/>
      </c>
      <c r="S42" s="2638"/>
      <c r="T42" s="2639"/>
      <c r="U42" s="2594"/>
      <c r="V42" s="2595"/>
      <c r="W42" s="102" t="str">
        <f t="shared" si="4"/>
        <v/>
      </c>
      <c r="X42" s="102" t="str">
        <f t="shared" si="5"/>
        <v/>
      </c>
      <c r="Y42" s="102" t="str">
        <f t="shared" si="6"/>
        <v/>
      </c>
      <c r="Z42" s="102" t="str">
        <f t="shared" si="7"/>
        <v/>
      </c>
      <c r="AA42" s="102" t="str">
        <f t="shared" si="8"/>
        <v/>
      </c>
      <c r="AB42" s="102" t="str">
        <f t="shared" si="9"/>
        <v/>
      </c>
      <c r="AC42" s="102" t="str">
        <f t="shared" si="10"/>
        <v/>
      </c>
      <c r="AD42" s="102" t="str">
        <f t="shared" si="11"/>
        <v/>
      </c>
      <c r="AE42" s="102" t="str">
        <f t="shared" si="12"/>
        <v/>
      </c>
      <c r="AF42" s="102" t="str">
        <f t="shared" si="13"/>
        <v/>
      </c>
      <c r="AG42" s="102" t="str">
        <f t="shared" si="14"/>
        <v/>
      </c>
      <c r="AH42" s="102" t="str">
        <f t="shared" si="15"/>
        <v/>
      </c>
      <c r="AI42" s="102" t="str">
        <f t="shared" si="16"/>
        <v/>
      </c>
      <c r="AJ42" s="102" t="str">
        <f t="shared" si="17"/>
        <v/>
      </c>
      <c r="AK42" s="102" t="str">
        <f t="shared" si="18"/>
        <v/>
      </c>
      <c r="AL42" s="102" t="str">
        <f t="shared" si="19"/>
        <v/>
      </c>
      <c r="AM42" s="102" t="str">
        <f t="shared" si="20"/>
        <v/>
      </c>
      <c r="AN42" s="102" t="str">
        <f t="shared" si="21"/>
        <v/>
      </c>
      <c r="AO42" s="102" t="str">
        <f t="shared" si="22"/>
        <v/>
      </c>
      <c r="AP42" s="102" t="str">
        <f t="shared" si="23"/>
        <v/>
      </c>
      <c r="AQ42" s="102" t="str">
        <f t="shared" si="24"/>
        <v/>
      </c>
      <c r="AR42" s="102" t="str">
        <f t="shared" si="25"/>
        <v/>
      </c>
      <c r="AS42" s="102" t="str">
        <f t="shared" si="26"/>
        <v/>
      </c>
      <c r="AT42" s="102" t="str">
        <f t="shared" si="27"/>
        <v/>
      </c>
      <c r="AU42" s="102" t="str">
        <f t="shared" si="28"/>
        <v/>
      </c>
      <c r="AV42" s="102" t="str">
        <f t="shared" si="29"/>
        <v/>
      </c>
      <c r="AW42" s="102" t="str">
        <f t="shared" si="30"/>
        <v/>
      </c>
      <c r="AX42" s="102" t="str">
        <f t="shared" si="31"/>
        <v/>
      </c>
      <c r="AY42" s="102" t="str">
        <f t="shared" si="32"/>
        <v/>
      </c>
      <c r="AZ42" s="102" t="str">
        <f t="shared" si="33"/>
        <v/>
      </c>
      <c r="BA42" s="102" t="str">
        <f t="shared" si="34"/>
        <v/>
      </c>
      <c r="BB42" s="102" t="str">
        <f t="shared" si="35"/>
        <v/>
      </c>
      <c r="BC42" s="102" t="str">
        <f t="shared" si="36"/>
        <v/>
      </c>
      <c r="BD42" s="102" t="str">
        <f t="shared" si="37"/>
        <v/>
      </c>
      <c r="BE42" s="102" t="str">
        <f t="shared" si="38"/>
        <v/>
      </c>
      <c r="BF42" s="102" t="str">
        <f t="shared" si="39"/>
        <v/>
      </c>
      <c r="BG42" s="102" t="str">
        <f t="shared" si="40"/>
        <v/>
      </c>
      <c r="BH42" s="102" t="str">
        <f t="shared" si="41"/>
        <v/>
      </c>
      <c r="BI42" s="102" t="str">
        <f t="shared" si="42"/>
        <v/>
      </c>
      <c r="BJ42" s="102" t="str">
        <f t="shared" si="43"/>
        <v/>
      </c>
      <c r="BK42" s="102" t="str">
        <f t="shared" si="44"/>
        <v/>
      </c>
      <c r="BL42" s="102" t="str">
        <f t="shared" si="45"/>
        <v/>
      </c>
      <c r="BM42" s="102" t="str">
        <f t="shared" si="46"/>
        <v/>
      </c>
      <c r="BN42" s="102" t="str">
        <f t="shared" si="47"/>
        <v/>
      </c>
      <c r="BO42" s="102" t="str">
        <f t="shared" si="48"/>
        <v/>
      </c>
      <c r="BP42" s="102" t="str">
        <f t="shared" si="49"/>
        <v/>
      </c>
      <c r="BQ42" s="102" t="str">
        <f t="shared" si="50"/>
        <v/>
      </c>
      <c r="BR42" s="102" t="str">
        <f t="shared" si="51"/>
        <v/>
      </c>
      <c r="BS42" s="102" t="str">
        <f t="shared" si="52"/>
        <v/>
      </c>
      <c r="BT42" s="102" t="str">
        <f t="shared" si="53"/>
        <v/>
      </c>
      <c r="BU42" s="102" t="str">
        <f t="shared" si="54"/>
        <v/>
      </c>
      <c r="BV42" s="102" t="str">
        <f t="shared" si="55"/>
        <v/>
      </c>
      <c r="BW42" s="102" t="str">
        <f t="shared" si="56"/>
        <v/>
      </c>
      <c r="BX42" s="102" t="str">
        <f t="shared" si="57"/>
        <v/>
      </c>
      <c r="BY42" s="102" t="str">
        <f t="shared" si="58"/>
        <v/>
      </c>
      <c r="BZ42" s="102" t="str">
        <f t="shared" si="59"/>
        <v/>
      </c>
      <c r="CA42" s="102" t="str">
        <f t="shared" si="60"/>
        <v/>
      </c>
      <c r="CB42" s="102" t="str">
        <f t="shared" si="61"/>
        <v/>
      </c>
      <c r="CC42" s="102" t="str">
        <f t="shared" si="62"/>
        <v/>
      </c>
      <c r="CD42" s="102" t="str">
        <f t="shared" si="63"/>
        <v/>
      </c>
      <c r="CE42" s="102" t="str">
        <f t="shared" si="64"/>
        <v/>
      </c>
      <c r="CF42" s="102" t="str">
        <f t="shared" si="65"/>
        <v/>
      </c>
      <c r="CG42" s="102" t="str">
        <f t="shared" si="66"/>
        <v/>
      </c>
      <c r="CH42" s="102" t="str">
        <f t="shared" si="67"/>
        <v/>
      </c>
      <c r="CI42" s="102" t="str">
        <f t="shared" si="68"/>
        <v/>
      </c>
      <c r="CJ42" s="102" t="str">
        <f t="shared" si="69"/>
        <v/>
      </c>
      <c r="CK42" s="102" t="str">
        <f t="shared" si="70"/>
        <v/>
      </c>
      <c r="CL42" s="102" t="str">
        <f t="shared" si="71"/>
        <v/>
      </c>
      <c r="CM42" s="102" t="str">
        <f t="shared" si="72"/>
        <v/>
      </c>
      <c r="CN42" s="102" t="str">
        <f t="shared" si="73"/>
        <v/>
      </c>
      <c r="CO42" s="102" t="str">
        <f t="shared" si="74"/>
        <v/>
      </c>
      <c r="CP42" s="102" t="str">
        <f t="shared" si="75"/>
        <v/>
      </c>
      <c r="CQ42" s="102" t="str">
        <f t="shared" si="76"/>
        <v/>
      </c>
      <c r="CR42" s="102" t="str">
        <f t="shared" si="77"/>
        <v/>
      </c>
      <c r="CS42" s="102" t="str">
        <f t="shared" si="78"/>
        <v/>
      </c>
      <c r="CT42" s="102" t="str">
        <f t="shared" si="79"/>
        <v/>
      </c>
      <c r="CU42" s="102" t="str">
        <f t="shared" si="80"/>
        <v/>
      </c>
      <c r="CV42" s="102" t="str">
        <f t="shared" si="81"/>
        <v/>
      </c>
      <c r="CW42" s="102" t="str">
        <f t="shared" si="82"/>
        <v/>
      </c>
      <c r="CX42" s="102" t="str">
        <f t="shared" si="83"/>
        <v/>
      </c>
      <c r="CY42" s="102" t="str">
        <f t="shared" si="84"/>
        <v/>
      </c>
      <c r="CZ42" s="102" t="str">
        <f t="shared" si="85"/>
        <v/>
      </c>
      <c r="DA42" s="102" t="str">
        <f t="shared" si="86"/>
        <v/>
      </c>
      <c r="DB42" s="102" t="str">
        <f t="shared" si="87"/>
        <v/>
      </c>
      <c r="DC42" s="102" t="str">
        <f t="shared" si="88"/>
        <v/>
      </c>
      <c r="DD42" s="102" t="str">
        <f t="shared" si="89"/>
        <v/>
      </c>
      <c r="DE42" s="102" t="str">
        <f t="shared" si="90"/>
        <v/>
      </c>
      <c r="DF42" s="102" t="str">
        <f t="shared" si="91"/>
        <v/>
      </c>
      <c r="DG42" s="102" t="str">
        <f t="shared" si="92"/>
        <v/>
      </c>
      <c r="DH42" s="102" t="str">
        <f t="shared" si="93"/>
        <v/>
      </c>
      <c r="DI42" s="102" t="str">
        <f t="shared" si="94"/>
        <v/>
      </c>
      <c r="DJ42" s="102" t="str">
        <f t="shared" si="95"/>
        <v/>
      </c>
      <c r="DK42" s="102" t="str">
        <f t="shared" si="96"/>
        <v/>
      </c>
      <c r="DL42" s="102" t="str">
        <f t="shared" si="97"/>
        <v/>
      </c>
      <c r="DM42" s="102" t="str">
        <f t="shared" si="98"/>
        <v/>
      </c>
      <c r="DN42" s="102" t="str">
        <f t="shared" si="99"/>
        <v/>
      </c>
      <c r="DO42" s="102" t="str">
        <f t="shared" si="100"/>
        <v/>
      </c>
      <c r="DP42" s="102" t="str">
        <f t="shared" si="101"/>
        <v/>
      </c>
      <c r="DQ42" s="102" t="str">
        <f t="shared" si="102"/>
        <v/>
      </c>
      <c r="DR42" s="102" t="str">
        <f t="shared" si="103"/>
        <v/>
      </c>
      <c r="DS42" s="102" t="str">
        <f t="shared" si="104"/>
        <v/>
      </c>
      <c r="DT42" s="102" t="str">
        <f t="shared" si="105"/>
        <v/>
      </c>
      <c r="DU42" s="102" t="str">
        <f t="shared" si="106"/>
        <v/>
      </c>
      <c r="DV42" s="102" t="str">
        <f t="shared" si="107"/>
        <v/>
      </c>
      <c r="DW42" s="102" t="str">
        <f t="shared" si="108"/>
        <v/>
      </c>
      <c r="DX42" s="102" t="str">
        <f t="shared" si="109"/>
        <v/>
      </c>
      <c r="DY42" s="102" t="str">
        <f t="shared" si="110"/>
        <v/>
      </c>
      <c r="DZ42" s="102" t="str">
        <f t="shared" si="111"/>
        <v/>
      </c>
      <c r="EA42" s="102" t="str">
        <f t="shared" si="112"/>
        <v/>
      </c>
      <c r="EB42" s="102" t="str">
        <f t="shared" si="113"/>
        <v/>
      </c>
      <c r="EC42" s="102" t="str">
        <f t="shared" si="114"/>
        <v/>
      </c>
      <c r="ED42" s="102" t="str">
        <f t="shared" si="115"/>
        <v/>
      </c>
      <c r="EE42" s="102" t="str">
        <f t="shared" si="116"/>
        <v/>
      </c>
      <c r="EF42" s="102" t="str">
        <f t="shared" si="117"/>
        <v/>
      </c>
      <c r="EG42" s="102" t="str">
        <f t="shared" si="118"/>
        <v/>
      </c>
      <c r="EH42" s="102" t="str">
        <f t="shared" si="119"/>
        <v/>
      </c>
      <c r="EI42" s="102" t="str">
        <f t="shared" si="120"/>
        <v/>
      </c>
      <c r="EJ42" s="102" t="str">
        <f t="shared" si="121"/>
        <v/>
      </c>
      <c r="EK42" s="102" t="str">
        <f t="shared" si="122"/>
        <v/>
      </c>
      <c r="EL42" s="102" t="str">
        <f t="shared" si="123"/>
        <v/>
      </c>
      <c r="EM42" s="102" t="str">
        <f t="shared" si="124"/>
        <v/>
      </c>
      <c r="EN42" s="102" t="str">
        <f t="shared" si="125"/>
        <v/>
      </c>
      <c r="EO42" s="102" t="str">
        <f t="shared" si="126"/>
        <v/>
      </c>
      <c r="EP42" s="102" t="str">
        <f t="shared" si="127"/>
        <v/>
      </c>
      <c r="EQ42" s="102" t="str">
        <f t="shared" si="128"/>
        <v/>
      </c>
      <c r="ER42" s="102" t="str">
        <f t="shared" si="129"/>
        <v/>
      </c>
      <c r="ES42" s="102" t="str">
        <f t="shared" si="130"/>
        <v/>
      </c>
      <c r="ET42" s="102" t="str">
        <f t="shared" si="131"/>
        <v/>
      </c>
      <c r="EU42" s="102" t="str">
        <f t="shared" si="132"/>
        <v/>
      </c>
      <c r="EV42" s="102" t="str">
        <f t="shared" si="133"/>
        <v/>
      </c>
      <c r="EW42" s="792" t="str">
        <f t="shared" si="134"/>
        <v/>
      </c>
      <c r="EX42" s="354" t="str">
        <f t="shared" si="135"/>
        <v/>
      </c>
      <c r="EY42" s="354" t="str">
        <f t="shared" si="136"/>
        <v/>
      </c>
      <c r="EZ42" s="354" t="str">
        <f t="shared" si="137"/>
        <v/>
      </c>
      <c r="FA42" s="354" t="str">
        <f t="shared" si="138"/>
        <v/>
      </c>
      <c r="FB42" s="354" t="str">
        <f t="shared" si="139"/>
        <v/>
      </c>
      <c r="FC42" s="354" t="str">
        <f t="shared" si="140"/>
        <v/>
      </c>
      <c r="FD42" s="354" t="str">
        <f t="shared" si="141"/>
        <v/>
      </c>
      <c r="FE42" s="354" t="str">
        <f t="shared" si="142"/>
        <v/>
      </c>
      <c r="FF42" s="354" t="str">
        <f t="shared" si="143"/>
        <v/>
      </c>
      <c r="FG42" s="354" t="str">
        <f t="shared" si="144"/>
        <v/>
      </c>
      <c r="FH42" s="354" t="str">
        <f t="shared" si="145"/>
        <v/>
      </c>
      <c r="FI42" s="354" t="str">
        <f t="shared" si="146"/>
        <v/>
      </c>
      <c r="FJ42" s="354" t="str">
        <f t="shared" si="147"/>
        <v/>
      </c>
      <c r="FK42" s="354" t="str">
        <f t="shared" si="148"/>
        <v/>
      </c>
      <c r="FL42" s="354" t="str">
        <f t="shared" si="149"/>
        <v/>
      </c>
      <c r="FM42" s="354" t="str">
        <f t="shared" si="150"/>
        <v/>
      </c>
      <c r="FN42" s="354" t="str">
        <f t="shared" si="151"/>
        <v/>
      </c>
      <c r="FO42" s="354" t="str">
        <f t="shared" si="152"/>
        <v/>
      </c>
      <c r="FP42" s="354" t="str">
        <f t="shared" si="153"/>
        <v/>
      </c>
      <c r="FQ42" s="354" t="str">
        <f t="shared" si="154"/>
        <v/>
      </c>
      <c r="FR42" s="354" t="str">
        <f t="shared" si="155"/>
        <v/>
      </c>
      <c r="FS42" s="354" t="str">
        <f t="shared" si="156"/>
        <v/>
      </c>
      <c r="FT42" s="354" t="str">
        <f t="shared" si="157"/>
        <v/>
      </c>
      <c r="FU42" s="354" t="str">
        <f t="shared" si="158"/>
        <v/>
      </c>
      <c r="FV42" s="354" t="str">
        <f t="shared" si="159"/>
        <v/>
      </c>
      <c r="FW42" s="354" t="str">
        <f t="shared" si="160"/>
        <v/>
      </c>
      <c r="FX42" s="354" t="str">
        <f t="shared" si="161"/>
        <v/>
      </c>
      <c r="FY42" s="354" t="str">
        <f t="shared" si="162"/>
        <v/>
      </c>
      <c r="FZ42" s="354" t="str">
        <f t="shared" si="163"/>
        <v/>
      </c>
      <c r="GA42" s="354" t="str">
        <f t="shared" si="164"/>
        <v/>
      </c>
      <c r="GB42" s="354" t="str">
        <f t="shared" si="165"/>
        <v/>
      </c>
      <c r="GC42" s="354" t="str">
        <f t="shared" si="166"/>
        <v/>
      </c>
      <c r="GD42" s="354" t="str">
        <f t="shared" si="167"/>
        <v/>
      </c>
      <c r="GE42" s="354" t="str">
        <f t="shared" si="168"/>
        <v/>
      </c>
      <c r="GF42" s="354" t="str">
        <f t="shared" si="169"/>
        <v/>
      </c>
      <c r="GG42" s="354" t="str">
        <f t="shared" si="170"/>
        <v/>
      </c>
      <c r="GH42" s="354" t="str">
        <f t="shared" si="171"/>
        <v/>
      </c>
      <c r="GI42" s="354" t="str">
        <f t="shared" si="172"/>
        <v/>
      </c>
      <c r="GJ42" s="354" t="str">
        <f t="shared" si="173"/>
        <v/>
      </c>
      <c r="GK42" s="354" t="str">
        <f t="shared" si="174"/>
        <v/>
      </c>
      <c r="GL42" s="354" t="str">
        <f t="shared" si="175"/>
        <v/>
      </c>
      <c r="GM42" s="354" t="str">
        <f t="shared" si="176"/>
        <v/>
      </c>
      <c r="GN42" s="354" t="str">
        <f t="shared" si="177"/>
        <v/>
      </c>
      <c r="GO42" s="354" t="str">
        <f t="shared" si="178"/>
        <v/>
      </c>
      <c r="GP42" s="354" t="str">
        <f t="shared" si="179"/>
        <v/>
      </c>
      <c r="GQ42" s="354" t="str">
        <f t="shared" si="180"/>
        <v/>
      </c>
      <c r="GR42" s="354" t="str">
        <f t="shared" si="181"/>
        <v/>
      </c>
      <c r="GS42" s="354" t="str">
        <f t="shared" si="182"/>
        <v/>
      </c>
      <c r="GT42" s="354" t="str">
        <f t="shared" si="183"/>
        <v/>
      </c>
      <c r="GU42" s="354" t="str">
        <f t="shared" si="184"/>
        <v/>
      </c>
      <c r="GV42" s="354" t="str">
        <f t="shared" si="185"/>
        <v/>
      </c>
      <c r="GW42" s="354" t="str">
        <f t="shared" si="186"/>
        <v/>
      </c>
      <c r="GX42" s="354" t="str">
        <f t="shared" si="187"/>
        <v/>
      </c>
      <c r="GY42" s="354" t="str">
        <f t="shared" si="188"/>
        <v/>
      </c>
      <c r="GZ42" s="354" t="str">
        <f t="shared" si="189"/>
        <v/>
      </c>
      <c r="HA42" s="354" t="str">
        <f t="shared" si="190"/>
        <v/>
      </c>
      <c r="HB42" s="354" t="str">
        <f t="shared" si="191"/>
        <v/>
      </c>
      <c r="HC42" s="354" t="str">
        <f t="shared" si="192"/>
        <v/>
      </c>
      <c r="HD42" s="354" t="str">
        <f t="shared" si="193"/>
        <v/>
      </c>
      <c r="HE42" s="354" t="str">
        <f t="shared" si="194"/>
        <v/>
      </c>
      <c r="HF42" s="354" t="str">
        <f t="shared" si="195"/>
        <v/>
      </c>
      <c r="HG42" s="354" t="str">
        <f t="shared" si="196"/>
        <v/>
      </c>
      <c r="HH42" s="354" t="str">
        <f t="shared" si="197"/>
        <v/>
      </c>
      <c r="HI42" s="354" t="str">
        <f t="shared" si="198"/>
        <v/>
      </c>
      <c r="HJ42" s="354" t="str">
        <f t="shared" si="199"/>
        <v/>
      </c>
      <c r="HK42" s="354" t="str">
        <f t="shared" si="200"/>
        <v/>
      </c>
      <c r="HL42" s="354" t="str">
        <f t="shared" si="201"/>
        <v/>
      </c>
      <c r="HM42" s="354" t="str">
        <f t="shared" si="202"/>
        <v/>
      </c>
      <c r="HN42" s="354" t="str">
        <f t="shared" si="203"/>
        <v/>
      </c>
      <c r="HO42" s="354" t="str">
        <f t="shared" si="204"/>
        <v/>
      </c>
      <c r="HP42" s="354" t="str">
        <f t="shared" si="205"/>
        <v/>
      </c>
      <c r="HQ42" s="354" t="str">
        <f t="shared" si="206"/>
        <v/>
      </c>
      <c r="HR42" s="354" t="str">
        <f t="shared" si="207"/>
        <v/>
      </c>
      <c r="HS42" s="354" t="str">
        <f t="shared" si="208"/>
        <v/>
      </c>
      <c r="HT42" s="354" t="str">
        <f t="shared" si="209"/>
        <v/>
      </c>
      <c r="HU42" s="354" t="str">
        <f t="shared" si="210"/>
        <v/>
      </c>
      <c r="HV42" s="354" t="str">
        <f t="shared" si="211"/>
        <v/>
      </c>
      <c r="HW42" s="354" t="str">
        <f t="shared" si="212"/>
        <v/>
      </c>
      <c r="HX42" s="354" t="str">
        <f t="shared" si="213"/>
        <v/>
      </c>
      <c r="HY42" s="354" t="str">
        <f t="shared" si="214"/>
        <v/>
      </c>
      <c r="HZ42" s="354" t="str">
        <f t="shared" si="215"/>
        <v/>
      </c>
      <c r="IA42" s="354" t="str">
        <f t="shared" si="216"/>
        <v/>
      </c>
      <c r="IB42" s="354" t="str">
        <f t="shared" si="217"/>
        <v/>
      </c>
      <c r="IC42" s="354" t="str">
        <f t="shared" si="218"/>
        <v/>
      </c>
      <c r="ID42" s="355" t="str">
        <f t="shared" si="219"/>
        <v/>
      </c>
      <c r="IE42" s="355" t="str">
        <f t="shared" si="220"/>
        <v/>
      </c>
      <c r="IF42" s="355" t="str">
        <f t="shared" si="221"/>
        <v/>
      </c>
      <c r="IG42" s="355" t="str">
        <f t="shared" si="222"/>
        <v/>
      </c>
      <c r="IH42" s="355" t="str">
        <f t="shared" si="223"/>
        <v/>
      </c>
      <c r="II42" s="344" t="str">
        <f t="shared" si="224"/>
        <v/>
      </c>
      <c r="IJ42" s="344" t="str">
        <f t="shared" si="225"/>
        <v/>
      </c>
      <c r="IK42" s="344" t="str">
        <f t="shared" si="226"/>
        <v/>
      </c>
      <c r="IL42" s="344" t="str">
        <f t="shared" si="227"/>
        <v/>
      </c>
      <c r="IM42" s="344" t="str">
        <f t="shared" si="228"/>
        <v/>
      </c>
      <c r="IN42" s="344" t="str">
        <f t="shared" si="229"/>
        <v/>
      </c>
      <c r="IO42" s="344" t="str">
        <f t="shared" si="230"/>
        <v/>
      </c>
      <c r="IP42" s="344" t="str">
        <f t="shared" si="231"/>
        <v/>
      </c>
      <c r="IQ42" s="344" t="str">
        <f t="shared" si="232"/>
        <v/>
      </c>
      <c r="IR42" s="344" t="str">
        <f t="shared" si="233"/>
        <v/>
      </c>
      <c r="IS42" s="344" t="str">
        <f t="shared" si="234"/>
        <v/>
      </c>
      <c r="IT42" s="344" t="str">
        <f t="shared" si="235"/>
        <v/>
      </c>
      <c r="IU42" s="344" t="str">
        <f t="shared" si="236"/>
        <v/>
      </c>
      <c r="IV42" s="344" t="str">
        <f t="shared" si="237"/>
        <v/>
      </c>
      <c r="IW42" s="344" t="str">
        <f t="shared" si="238"/>
        <v/>
      </c>
      <c r="IX42" s="344" t="str">
        <f t="shared" si="239"/>
        <v/>
      </c>
      <c r="IY42" s="344" t="str">
        <f t="shared" si="240"/>
        <v/>
      </c>
      <c r="IZ42" s="344" t="str">
        <f t="shared" si="241"/>
        <v/>
      </c>
      <c r="JA42" s="344" t="str">
        <f t="shared" si="242"/>
        <v/>
      </c>
      <c r="JB42" s="344" t="str">
        <f t="shared" si="243"/>
        <v/>
      </c>
      <c r="JC42" s="353">
        <f t="shared" si="244"/>
        <v>0</v>
      </c>
      <c r="JD42" s="353">
        <f t="shared" si="245"/>
        <v>0</v>
      </c>
      <c r="JE42" s="353">
        <f t="shared" si="246"/>
        <v>0</v>
      </c>
      <c r="JF42" s="353">
        <f t="shared" si="247"/>
        <v>0</v>
      </c>
      <c r="JG42" s="353">
        <f t="shared" si="248"/>
        <v>0</v>
      </c>
      <c r="JH42" s="353">
        <f t="shared" si="249"/>
        <v>0</v>
      </c>
      <c r="JI42" s="353">
        <f t="shared" si="250"/>
        <v>0</v>
      </c>
      <c r="JJ42" s="353">
        <f t="shared" si="251"/>
        <v>0</v>
      </c>
      <c r="JK42" s="353">
        <f t="shared" si="252"/>
        <v>0</v>
      </c>
      <c r="JL42" s="353">
        <f t="shared" si="253"/>
        <v>0</v>
      </c>
      <c r="JM42" s="353">
        <f t="shared" si="254"/>
        <v>0</v>
      </c>
      <c r="JN42" s="353">
        <f t="shared" si="255"/>
        <v>0</v>
      </c>
      <c r="JO42" s="353">
        <f t="shared" si="256"/>
        <v>0</v>
      </c>
      <c r="JP42" s="353">
        <f t="shared" si="257"/>
        <v>0</v>
      </c>
      <c r="JQ42" s="353">
        <f t="shared" si="258"/>
        <v>0</v>
      </c>
    </row>
    <row r="43" spans="1:296" ht="12" customHeight="1">
      <c r="A43" s="70" t="str">
        <f t="shared" si="0"/>
        <v/>
      </c>
      <c r="B43" s="2628" t="s">
        <v>781</v>
      </c>
      <c r="C43" s="2629"/>
      <c r="D43" s="2630"/>
      <c r="E43" s="2631"/>
      <c r="F43" s="2631"/>
      <c r="G43" s="2631"/>
      <c r="H43" s="2631"/>
      <c r="I43" s="2632">
        <f>IF(C43="",0,HLOOKUP(C43,'Part V-Utility Allowances'!$I$11:$M$21,11))</f>
        <v>0</v>
      </c>
      <c r="J43" s="2633"/>
      <c r="K43" s="488">
        <f t="shared" si="1"/>
        <v>0</v>
      </c>
      <c r="L43" s="488">
        <f t="shared" si="2"/>
        <v>0</v>
      </c>
      <c r="M43" s="2634"/>
      <c r="N43" s="2634"/>
      <c r="O43" s="2634"/>
      <c r="P43" s="2635"/>
      <c r="Q43" s="2636" t="str">
        <f t="shared" si="3"/>
        <v/>
      </c>
      <c r="R43" s="2637" t="str">
        <f>IF(H43="","",IF(C43="Efficiency",Q43/($O$6*VLOOKUP(0,'DCA Underwriting Assumptions'!$J$143:$K$148,2,FALSE)),Q43/($O$6*VLOOKUP(C43,'DCA Underwriting Assumptions'!$J$143:$K$148,2,FALSE))))</f>
        <v/>
      </c>
      <c r="S43" s="2638"/>
      <c r="T43" s="2639"/>
      <c r="U43" s="2594"/>
      <c r="V43" s="2595"/>
      <c r="W43" s="102" t="str">
        <f t="shared" si="4"/>
        <v/>
      </c>
      <c r="X43" s="102" t="str">
        <f t="shared" si="5"/>
        <v/>
      </c>
      <c r="Y43" s="102" t="str">
        <f t="shared" si="6"/>
        <v/>
      </c>
      <c r="Z43" s="102" t="str">
        <f t="shared" si="7"/>
        <v/>
      </c>
      <c r="AA43" s="102" t="str">
        <f t="shared" si="8"/>
        <v/>
      </c>
      <c r="AB43" s="102" t="str">
        <f t="shared" si="9"/>
        <v/>
      </c>
      <c r="AC43" s="102" t="str">
        <f t="shared" si="10"/>
        <v/>
      </c>
      <c r="AD43" s="102" t="str">
        <f t="shared" si="11"/>
        <v/>
      </c>
      <c r="AE43" s="102" t="str">
        <f t="shared" si="12"/>
        <v/>
      </c>
      <c r="AF43" s="102" t="str">
        <f t="shared" si="13"/>
        <v/>
      </c>
      <c r="AG43" s="102" t="str">
        <f t="shared" si="14"/>
        <v/>
      </c>
      <c r="AH43" s="102" t="str">
        <f t="shared" si="15"/>
        <v/>
      </c>
      <c r="AI43" s="102" t="str">
        <f t="shared" si="16"/>
        <v/>
      </c>
      <c r="AJ43" s="102" t="str">
        <f t="shared" si="17"/>
        <v/>
      </c>
      <c r="AK43" s="102" t="str">
        <f t="shared" si="18"/>
        <v/>
      </c>
      <c r="AL43" s="102" t="str">
        <f t="shared" si="19"/>
        <v/>
      </c>
      <c r="AM43" s="102" t="str">
        <f t="shared" si="20"/>
        <v/>
      </c>
      <c r="AN43" s="102" t="str">
        <f t="shared" si="21"/>
        <v/>
      </c>
      <c r="AO43" s="102" t="str">
        <f t="shared" si="22"/>
        <v/>
      </c>
      <c r="AP43" s="102" t="str">
        <f t="shared" si="23"/>
        <v/>
      </c>
      <c r="AQ43" s="102" t="str">
        <f t="shared" si="24"/>
        <v/>
      </c>
      <c r="AR43" s="102" t="str">
        <f t="shared" si="25"/>
        <v/>
      </c>
      <c r="AS43" s="102" t="str">
        <f t="shared" si="26"/>
        <v/>
      </c>
      <c r="AT43" s="102" t="str">
        <f t="shared" si="27"/>
        <v/>
      </c>
      <c r="AU43" s="102" t="str">
        <f t="shared" si="28"/>
        <v/>
      </c>
      <c r="AV43" s="102" t="str">
        <f t="shared" si="29"/>
        <v/>
      </c>
      <c r="AW43" s="102" t="str">
        <f t="shared" si="30"/>
        <v/>
      </c>
      <c r="AX43" s="102" t="str">
        <f t="shared" si="31"/>
        <v/>
      </c>
      <c r="AY43" s="102" t="str">
        <f t="shared" si="32"/>
        <v/>
      </c>
      <c r="AZ43" s="102" t="str">
        <f t="shared" si="33"/>
        <v/>
      </c>
      <c r="BA43" s="102" t="str">
        <f t="shared" si="34"/>
        <v/>
      </c>
      <c r="BB43" s="102" t="str">
        <f t="shared" si="35"/>
        <v/>
      </c>
      <c r="BC43" s="102" t="str">
        <f t="shared" si="36"/>
        <v/>
      </c>
      <c r="BD43" s="102" t="str">
        <f t="shared" si="37"/>
        <v/>
      </c>
      <c r="BE43" s="102" t="str">
        <f t="shared" si="38"/>
        <v/>
      </c>
      <c r="BF43" s="102" t="str">
        <f t="shared" si="39"/>
        <v/>
      </c>
      <c r="BG43" s="102" t="str">
        <f t="shared" si="40"/>
        <v/>
      </c>
      <c r="BH43" s="102" t="str">
        <f t="shared" si="41"/>
        <v/>
      </c>
      <c r="BI43" s="102" t="str">
        <f t="shared" si="42"/>
        <v/>
      </c>
      <c r="BJ43" s="102" t="str">
        <f t="shared" si="43"/>
        <v/>
      </c>
      <c r="BK43" s="102" t="str">
        <f t="shared" si="44"/>
        <v/>
      </c>
      <c r="BL43" s="102" t="str">
        <f t="shared" si="45"/>
        <v/>
      </c>
      <c r="BM43" s="102" t="str">
        <f t="shared" si="46"/>
        <v/>
      </c>
      <c r="BN43" s="102" t="str">
        <f t="shared" si="47"/>
        <v/>
      </c>
      <c r="BO43" s="102" t="str">
        <f t="shared" si="48"/>
        <v/>
      </c>
      <c r="BP43" s="102" t="str">
        <f t="shared" si="49"/>
        <v/>
      </c>
      <c r="BQ43" s="102" t="str">
        <f t="shared" si="50"/>
        <v/>
      </c>
      <c r="BR43" s="102" t="str">
        <f t="shared" si="51"/>
        <v/>
      </c>
      <c r="BS43" s="102" t="str">
        <f t="shared" si="52"/>
        <v/>
      </c>
      <c r="BT43" s="102" t="str">
        <f t="shared" si="53"/>
        <v/>
      </c>
      <c r="BU43" s="102" t="str">
        <f t="shared" si="54"/>
        <v/>
      </c>
      <c r="BV43" s="102" t="str">
        <f t="shared" si="55"/>
        <v/>
      </c>
      <c r="BW43" s="102" t="str">
        <f t="shared" si="56"/>
        <v/>
      </c>
      <c r="BX43" s="102" t="str">
        <f t="shared" si="57"/>
        <v/>
      </c>
      <c r="BY43" s="102" t="str">
        <f t="shared" si="58"/>
        <v/>
      </c>
      <c r="BZ43" s="102" t="str">
        <f t="shared" si="59"/>
        <v/>
      </c>
      <c r="CA43" s="102" t="str">
        <f t="shared" si="60"/>
        <v/>
      </c>
      <c r="CB43" s="102" t="str">
        <f t="shared" si="61"/>
        <v/>
      </c>
      <c r="CC43" s="102" t="str">
        <f t="shared" si="62"/>
        <v/>
      </c>
      <c r="CD43" s="102" t="str">
        <f t="shared" si="63"/>
        <v/>
      </c>
      <c r="CE43" s="102" t="str">
        <f t="shared" si="64"/>
        <v/>
      </c>
      <c r="CF43" s="102" t="str">
        <f t="shared" si="65"/>
        <v/>
      </c>
      <c r="CG43" s="102" t="str">
        <f t="shared" si="66"/>
        <v/>
      </c>
      <c r="CH43" s="102" t="str">
        <f t="shared" si="67"/>
        <v/>
      </c>
      <c r="CI43" s="102" t="str">
        <f t="shared" si="68"/>
        <v/>
      </c>
      <c r="CJ43" s="102" t="str">
        <f t="shared" si="69"/>
        <v/>
      </c>
      <c r="CK43" s="102" t="str">
        <f t="shared" si="70"/>
        <v/>
      </c>
      <c r="CL43" s="102" t="str">
        <f t="shared" si="71"/>
        <v/>
      </c>
      <c r="CM43" s="102" t="str">
        <f t="shared" si="72"/>
        <v/>
      </c>
      <c r="CN43" s="102" t="str">
        <f t="shared" si="73"/>
        <v/>
      </c>
      <c r="CO43" s="102" t="str">
        <f t="shared" si="74"/>
        <v/>
      </c>
      <c r="CP43" s="102" t="str">
        <f t="shared" si="75"/>
        <v/>
      </c>
      <c r="CQ43" s="102" t="str">
        <f t="shared" si="76"/>
        <v/>
      </c>
      <c r="CR43" s="102" t="str">
        <f t="shared" si="77"/>
        <v/>
      </c>
      <c r="CS43" s="102" t="str">
        <f t="shared" si="78"/>
        <v/>
      </c>
      <c r="CT43" s="102" t="str">
        <f t="shared" si="79"/>
        <v/>
      </c>
      <c r="CU43" s="102" t="str">
        <f t="shared" si="80"/>
        <v/>
      </c>
      <c r="CV43" s="102" t="str">
        <f t="shared" si="81"/>
        <v/>
      </c>
      <c r="CW43" s="102" t="str">
        <f t="shared" si="82"/>
        <v/>
      </c>
      <c r="CX43" s="102" t="str">
        <f t="shared" si="83"/>
        <v/>
      </c>
      <c r="CY43" s="102" t="str">
        <f t="shared" si="84"/>
        <v/>
      </c>
      <c r="CZ43" s="102" t="str">
        <f t="shared" si="85"/>
        <v/>
      </c>
      <c r="DA43" s="102" t="str">
        <f t="shared" si="86"/>
        <v/>
      </c>
      <c r="DB43" s="102" t="str">
        <f t="shared" si="87"/>
        <v/>
      </c>
      <c r="DC43" s="102" t="str">
        <f t="shared" si="88"/>
        <v/>
      </c>
      <c r="DD43" s="102" t="str">
        <f t="shared" si="89"/>
        <v/>
      </c>
      <c r="DE43" s="102" t="str">
        <f t="shared" si="90"/>
        <v/>
      </c>
      <c r="DF43" s="102" t="str">
        <f t="shared" si="91"/>
        <v/>
      </c>
      <c r="DG43" s="102" t="str">
        <f t="shared" si="92"/>
        <v/>
      </c>
      <c r="DH43" s="102" t="str">
        <f t="shared" si="93"/>
        <v/>
      </c>
      <c r="DI43" s="102" t="str">
        <f t="shared" si="94"/>
        <v/>
      </c>
      <c r="DJ43" s="102" t="str">
        <f t="shared" si="95"/>
        <v/>
      </c>
      <c r="DK43" s="102" t="str">
        <f t="shared" si="96"/>
        <v/>
      </c>
      <c r="DL43" s="102" t="str">
        <f t="shared" si="97"/>
        <v/>
      </c>
      <c r="DM43" s="102" t="str">
        <f t="shared" si="98"/>
        <v/>
      </c>
      <c r="DN43" s="102" t="str">
        <f t="shared" si="99"/>
        <v/>
      </c>
      <c r="DO43" s="102" t="str">
        <f t="shared" si="100"/>
        <v/>
      </c>
      <c r="DP43" s="102" t="str">
        <f t="shared" si="101"/>
        <v/>
      </c>
      <c r="DQ43" s="102" t="str">
        <f t="shared" si="102"/>
        <v/>
      </c>
      <c r="DR43" s="102" t="str">
        <f t="shared" si="103"/>
        <v/>
      </c>
      <c r="DS43" s="102" t="str">
        <f t="shared" si="104"/>
        <v/>
      </c>
      <c r="DT43" s="102" t="str">
        <f t="shared" si="105"/>
        <v/>
      </c>
      <c r="DU43" s="102" t="str">
        <f t="shared" si="106"/>
        <v/>
      </c>
      <c r="DV43" s="102" t="str">
        <f t="shared" si="107"/>
        <v/>
      </c>
      <c r="DW43" s="102" t="str">
        <f t="shared" si="108"/>
        <v/>
      </c>
      <c r="DX43" s="102" t="str">
        <f t="shared" si="109"/>
        <v/>
      </c>
      <c r="DY43" s="102" t="str">
        <f t="shared" si="110"/>
        <v/>
      </c>
      <c r="DZ43" s="102" t="str">
        <f t="shared" si="111"/>
        <v/>
      </c>
      <c r="EA43" s="102" t="str">
        <f t="shared" si="112"/>
        <v/>
      </c>
      <c r="EB43" s="102" t="str">
        <f t="shared" si="113"/>
        <v/>
      </c>
      <c r="EC43" s="102" t="str">
        <f t="shared" si="114"/>
        <v/>
      </c>
      <c r="ED43" s="102" t="str">
        <f t="shared" si="115"/>
        <v/>
      </c>
      <c r="EE43" s="102" t="str">
        <f t="shared" si="116"/>
        <v/>
      </c>
      <c r="EF43" s="102" t="str">
        <f t="shared" si="117"/>
        <v/>
      </c>
      <c r="EG43" s="102" t="str">
        <f t="shared" si="118"/>
        <v/>
      </c>
      <c r="EH43" s="102" t="str">
        <f t="shared" si="119"/>
        <v/>
      </c>
      <c r="EI43" s="102" t="str">
        <f t="shared" si="120"/>
        <v/>
      </c>
      <c r="EJ43" s="102" t="str">
        <f t="shared" si="121"/>
        <v/>
      </c>
      <c r="EK43" s="102" t="str">
        <f t="shared" si="122"/>
        <v/>
      </c>
      <c r="EL43" s="102" t="str">
        <f t="shared" si="123"/>
        <v/>
      </c>
      <c r="EM43" s="102" t="str">
        <f t="shared" si="124"/>
        <v/>
      </c>
      <c r="EN43" s="102" t="str">
        <f t="shared" si="125"/>
        <v/>
      </c>
      <c r="EO43" s="102" t="str">
        <f t="shared" si="126"/>
        <v/>
      </c>
      <c r="EP43" s="102" t="str">
        <f t="shared" si="127"/>
        <v/>
      </c>
      <c r="EQ43" s="102" t="str">
        <f t="shared" si="128"/>
        <v/>
      </c>
      <c r="ER43" s="102" t="str">
        <f t="shared" si="129"/>
        <v/>
      </c>
      <c r="ES43" s="102" t="str">
        <f t="shared" si="130"/>
        <v/>
      </c>
      <c r="ET43" s="102" t="str">
        <f t="shared" si="131"/>
        <v/>
      </c>
      <c r="EU43" s="102" t="str">
        <f t="shared" si="132"/>
        <v/>
      </c>
      <c r="EV43" s="102" t="str">
        <f t="shared" si="133"/>
        <v/>
      </c>
      <c r="EW43" s="792" t="str">
        <f t="shared" si="134"/>
        <v/>
      </c>
      <c r="EX43" s="354" t="str">
        <f t="shared" si="135"/>
        <v/>
      </c>
      <c r="EY43" s="354" t="str">
        <f t="shared" si="136"/>
        <v/>
      </c>
      <c r="EZ43" s="354" t="str">
        <f t="shared" si="137"/>
        <v/>
      </c>
      <c r="FA43" s="354" t="str">
        <f t="shared" si="138"/>
        <v/>
      </c>
      <c r="FB43" s="354" t="str">
        <f t="shared" si="139"/>
        <v/>
      </c>
      <c r="FC43" s="354" t="str">
        <f t="shared" si="140"/>
        <v/>
      </c>
      <c r="FD43" s="354" t="str">
        <f t="shared" si="141"/>
        <v/>
      </c>
      <c r="FE43" s="354" t="str">
        <f t="shared" si="142"/>
        <v/>
      </c>
      <c r="FF43" s="354" t="str">
        <f t="shared" si="143"/>
        <v/>
      </c>
      <c r="FG43" s="354" t="str">
        <f t="shared" si="144"/>
        <v/>
      </c>
      <c r="FH43" s="354" t="str">
        <f t="shared" si="145"/>
        <v/>
      </c>
      <c r="FI43" s="354" t="str">
        <f t="shared" si="146"/>
        <v/>
      </c>
      <c r="FJ43" s="354" t="str">
        <f t="shared" si="147"/>
        <v/>
      </c>
      <c r="FK43" s="354" t="str">
        <f t="shared" si="148"/>
        <v/>
      </c>
      <c r="FL43" s="354" t="str">
        <f t="shared" si="149"/>
        <v/>
      </c>
      <c r="FM43" s="354" t="str">
        <f t="shared" si="150"/>
        <v/>
      </c>
      <c r="FN43" s="354" t="str">
        <f t="shared" si="151"/>
        <v/>
      </c>
      <c r="FO43" s="354" t="str">
        <f t="shared" si="152"/>
        <v/>
      </c>
      <c r="FP43" s="354" t="str">
        <f t="shared" si="153"/>
        <v/>
      </c>
      <c r="FQ43" s="354" t="str">
        <f t="shared" si="154"/>
        <v/>
      </c>
      <c r="FR43" s="354" t="str">
        <f t="shared" si="155"/>
        <v/>
      </c>
      <c r="FS43" s="354" t="str">
        <f t="shared" si="156"/>
        <v/>
      </c>
      <c r="FT43" s="354" t="str">
        <f t="shared" si="157"/>
        <v/>
      </c>
      <c r="FU43" s="354" t="str">
        <f t="shared" si="158"/>
        <v/>
      </c>
      <c r="FV43" s="354" t="str">
        <f t="shared" si="159"/>
        <v/>
      </c>
      <c r="FW43" s="354" t="str">
        <f t="shared" si="160"/>
        <v/>
      </c>
      <c r="FX43" s="354" t="str">
        <f t="shared" si="161"/>
        <v/>
      </c>
      <c r="FY43" s="354" t="str">
        <f t="shared" si="162"/>
        <v/>
      </c>
      <c r="FZ43" s="354" t="str">
        <f t="shared" si="163"/>
        <v/>
      </c>
      <c r="GA43" s="354" t="str">
        <f t="shared" si="164"/>
        <v/>
      </c>
      <c r="GB43" s="354" t="str">
        <f t="shared" si="165"/>
        <v/>
      </c>
      <c r="GC43" s="354" t="str">
        <f t="shared" si="166"/>
        <v/>
      </c>
      <c r="GD43" s="354" t="str">
        <f t="shared" si="167"/>
        <v/>
      </c>
      <c r="GE43" s="354" t="str">
        <f t="shared" si="168"/>
        <v/>
      </c>
      <c r="GF43" s="354" t="str">
        <f t="shared" si="169"/>
        <v/>
      </c>
      <c r="GG43" s="354" t="str">
        <f t="shared" si="170"/>
        <v/>
      </c>
      <c r="GH43" s="354" t="str">
        <f t="shared" si="171"/>
        <v/>
      </c>
      <c r="GI43" s="354" t="str">
        <f t="shared" si="172"/>
        <v/>
      </c>
      <c r="GJ43" s="354" t="str">
        <f t="shared" si="173"/>
        <v/>
      </c>
      <c r="GK43" s="354" t="str">
        <f t="shared" si="174"/>
        <v/>
      </c>
      <c r="GL43" s="354" t="str">
        <f t="shared" si="175"/>
        <v/>
      </c>
      <c r="GM43" s="354" t="str">
        <f t="shared" si="176"/>
        <v/>
      </c>
      <c r="GN43" s="354" t="str">
        <f t="shared" si="177"/>
        <v/>
      </c>
      <c r="GO43" s="354" t="str">
        <f t="shared" si="178"/>
        <v/>
      </c>
      <c r="GP43" s="354" t="str">
        <f t="shared" si="179"/>
        <v/>
      </c>
      <c r="GQ43" s="354" t="str">
        <f t="shared" si="180"/>
        <v/>
      </c>
      <c r="GR43" s="354" t="str">
        <f t="shared" si="181"/>
        <v/>
      </c>
      <c r="GS43" s="354" t="str">
        <f t="shared" si="182"/>
        <v/>
      </c>
      <c r="GT43" s="354" t="str">
        <f t="shared" si="183"/>
        <v/>
      </c>
      <c r="GU43" s="354" t="str">
        <f t="shared" si="184"/>
        <v/>
      </c>
      <c r="GV43" s="354" t="str">
        <f t="shared" si="185"/>
        <v/>
      </c>
      <c r="GW43" s="354" t="str">
        <f t="shared" si="186"/>
        <v/>
      </c>
      <c r="GX43" s="354" t="str">
        <f t="shared" si="187"/>
        <v/>
      </c>
      <c r="GY43" s="354" t="str">
        <f t="shared" si="188"/>
        <v/>
      </c>
      <c r="GZ43" s="354" t="str">
        <f t="shared" si="189"/>
        <v/>
      </c>
      <c r="HA43" s="354" t="str">
        <f t="shared" si="190"/>
        <v/>
      </c>
      <c r="HB43" s="354" t="str">
        <f t="shared" si="191"/>
        <v/>
      </c>
      <c r="HC43" s="354" t="str">
        <f t="shared" si="192"/>
        <v/>
      </c>
      <c r="HD43" s="354" t="str">
        <f t="shared" si="193"/>
        <v/>
      </c>
      <c r="HE43" s="354" t="str">
        <f t="shared" si="194"/>
        <v/>
      </c>
      <c r="HF43" s="354" t="str">
        <f t="shared" si="195"/>
        <v/>
      </c>
      <c r="HG43" s="354" t="str">
        <f t="shared" si="196"/>
        <v/>
      </c>
      <c r="HH43" s="354" t="str">
        <f t="shared" si="197"/>
        <v/>
      </c>
      <c r="HI43" s="354" t="str">
        <f t="shared" si="198"/>
        <v/>
      </c>
      <c r="HJ43" s="354" t="str">
        <f t="shared" si="199"/>
        <v/>
      </c>
      <c r="HK43" s="354" t="str">
        <f t="shared" si="200"/>
        <v/>
      </c>
      <c r="HL43" s="354" t="str">
        <f t="shared" si="201"/>
        <v/>
      </c>
      <c r="HM43" s="354" t="str">
        <f t="shared" si="202"/>
        <v/>
      </c>
      <c r="HN43" s="354" t="str">
        <f t="shared" si="203"/>
        <v/>
      </c>
      <c r="HO43" s="354" t="str">
        <f t="shared" si="204"/>
        <v/>
      </c>
      <c r="HP43" s="354" t="str">
        <f t="shared" si="205"/>
        <v/>
      </c>
      <c r="HQ43" s="354" t="str">
        <f t="shared" si="206"/>
        <v/>
      </c>
      <c r="HR43" s="354" t="str">
        <f t="shared" si="207"/>
        <v/>
      </c>
      <c r="HS43" s="354" t="str">
        <f t="shared" si="208"/>
        <v/>
      </c>
      <c r="HT43" s="354" t="str">
        <f t="shared" si="209"/>
        <v/>
      </c>
      <c r="HU43" s="354" t="str">
        <f t="shared" si="210"/>
        <v/>
      </c>
      <c r="HV43" s="354" t="str">
        <f t="shared" si="211"/>
        <v/>
      </c>
      <c r="HW43" s="354" t="str">
        <f t="shared" si="212"/>
        <v/>
      </c>
      <c r="HX43" s="354" t="str">
        <f t="shared" si="213"/>
        <v/>
      </c>
      <c r="HY43" s="354" t="str">
        <f t="shared" si="214"/>
        <v/>
      </c>
      <c r="HZ43" s="354" t="str">
        <f t="shared" si="215"/>
        <v/>
      </c>
      <c r="IA43" s="354" t="str">
        <f t="shared" si="216"/>
        <v/>
      </c>
      <c r="IB43" s="354" t="str">
        <f t="shared" si="217"/>
        <v/>
      </c>
      <c r="IC43" s="354" t="str">
        <f t="shared" si="218"/>
        <v/>
      </c>
      <c r="ID43" s="355" t="str">
        <f t="shared" si="219"/>
        <v/>
      </c>
      <c r="IE43" s="355" t="str">
        <f t="shared" si="220"/>
        <v/>
      </c>
      <c r="IF43" s="355" t="str">
        <f t="shared" si="221"/>
        <v/>
      </c>
      <c r="IG43" s="355" t="str">
        <f t="shared" si="222"/>
        <v/>
      </c>
      <c r="IH43" s="355" t="str">
        <f t="shared" si="223"/>
        <v/>
      </c>
      <c r="II43" s="344" t="str">
        <f t="shared" si="224"/>
        <v/>
      </c>
      <c r="IJ43" s="344" t="str">
        <f t="shared" si="225"/>
        <v/>
      </c>
      <c r="IK43" s="344" t="str">
        <f t="shared" si="226"/>
        <v/>
      </c>
      <c r="IL43" s="344" t="str">
        <f t="shared" si="227"/>
        <v/>
      </c>
      <c r="IM43" s="344" t="str">
        <f t="shared" si="228"/>
        <v/>
      </c>
      <c r="IN43" s="344" t="str">
        <f t="shared" si="229"/>
        <v/>
      </c>
      <c r="IO43" s="344" t="str">
        <f t="shared" si="230"/>
        <v/>
      </c>
      <c r="IP43" s="344" t="str">
        <f t="shared" si="231"/>
        <v/>
      </c>
      <c r="IQ43" s="344" t="str">
        <f t="shared" si="232"/>
        <v/>
      </c>
      <c r="IR43" s="344" t="str">
        <f t="shared" si="233"/>
        <v/>
      </c>
      <c r="IS43" s="344" t="str">
        <f t="shared" si="234"/>
        <v/>
      </c>
      <c r="IT43" s="344" t="str">
        <f t="shared" si="235"/>
        <v/>
      </c>
      <c r="IU43" s="344" t="str">
        <f t="shared" si="236"/>
        <v/>
      </c>
      <c r="IV43" s="344" t="str">
        <f t="shared" si="237"/>
        <v/>
      </c>
      <c r="IW43" s="344" t="str">
        <f t="shared" si="238"/>
        <v/>
      </c>
      <c r="IX43" s="344" t="str">
        <f t="shared" si="239"/>
        <v/>
      </c>
      <c r="IY43" s="344" t="str">
        <f t="shared" si="240"/>
        <v/>
      </c>
      <c r="IZ43" s="344" t="str">
        <f t="shared" si="241"/>
        <v/>
      </c>
      <c r="JA43" s="344" t="str">
        <f t="shared" si="242"/>
        <v/>
      </c>
      <c r="JB43" s="344" t="str">
        <f t="shared" si="243"/>
        <v/>
      </c>
      <c r="JC43" s="353">
        <f t="shared" si="244"/>
        <v>0</v>
      </c>
      <c r="JD43" s="353">
        <f t="shared" si="245"/>
        <v>0</v>
      </c>
      <c r="JE43" s="353">
        <f t="shared" si="246"/>
        <v>0</v>
      </c>
      <c r="JF43" s="353">
        <f t="shared" si="247"/>
        <v>0</v>
      </c>
      <c r="JG43" s="353">
        <f t="shared" si="248"/>
        <v>0</v>
      </c>
      <c r="JH43" s="353">
        <f t="shared" si="249"/>
        <v>0</v>
      </c>
      <c r="JI43" s="353">
        <f t="shared" si="250"/>
        <v>0</v>
      </c>
      <c r="JJ43" s="353">
        <f t="shared" si="251"/>
        <v>0</v>
      </c>
      <c r="JK43" s="353">
        <f t="shared" si="252"/>
        <v>0</v>
      </c>
      <c r="JL43" s="353">
        <f t="shared" si="253"/>
        <v>0</v>
      </c>
      <c r="JM43" s="353">
        <f t="shared" si="254"/>
        <v>0</v>
      </c>
      <c r="JN43" s="353">
        <f t="shared" si="255"/>
        <v>0</v>
      </c>
      <c r="JO43" s="353">
        <f t="shared" si="256"/>
        <v>0</v>
      </c>
      <c r="JP43" s="353">
        <f t="shared" si="257"/>
        <v>0</v>
      </c>
      <c r="JQ43" s="353">
        <f t="shared" si="258"/>
        <v>0</v>
      </c>
    </row>
    <row r="44" spans="1:296" ht="12" customHeight="1">
      <c r="A44" s="70" t="str">
        <f t="shared" si="0"/>
        <v/>
      </c>
      <c r="B44" s="2628" t="s">
        <v>781</v>
      </c>
      <c r="C44" s="2629"/>
      <c r="D44" s="2630"/>
      <c r="E44" s="2631"/>
      <c r="F44" s="2631"/>
      <c r="G44" s="2631"/>
      <c r="H44" s="2631"/>
      <c r="I44" s="2632">
        <f>IF(C44="",0,HLOOKUP(C44,'Part V-Utility Allowances'!$I$11:$M$21,11))</f>
        <v>0</v>
      </c>
      <c r="J44" s="2633"/>
      <c r="K44" s="488">
        <f t="shared" si="1"/>
        <v>0</v>
      </c>
      <c r="L44" s="488">
        <f t="shared" si="2"/>
        <v>0</v>
      </c>
      <c r="M44" s="2634"/>
      <c r="N44" s="2634"/>
      <c r="O44" s="2634"/>
      <c r="P44" s="2635"/>
      <c r="Q44" s="2636" t="str">
        <f t="shared" si="3"/>
        <v/>
      </c>
      <c r="R44" s="2637" t="str">
        <f>IF(H44="","",IF(C44="Efficiency",Q44/($O$6*VLOOKUP(0,'DCA Underwriting Assumptions'!$J$143:$K$148,2,FALSE)),Q44/($O$6*VLOOKUP(C44,'DCA Underwriting Assumptions'!$J$143:$K$148,2,FALSE))))</f>
        <v/>
      </c>
      <c r="S44" s="2638"/>
      <c r="T44" s="2639"/>
      <c r="U44" s="2594"/>
      <c r="V44" s="2595"/>
      <c r="W44" s="102" t="str">
        <f t="shared" si="4"/>
        <v/>
      </c>
      <c r="X44" s="102" t="str">
        <f t="shared" si="5"/>
        <v/>
      </c>
      <c r="Y44" s="102" t="str">
        <f t="shared" si="6"/>
        <v/>
      </c>
      <c r="Z44" s="102" t="str">
        <f t="shared" si="7"/>
        <v/>
      </c>
      <c r="AA44" s="102" t="str">
        <f t="shared" si="8"/>
        <v/>
      </c>
      <c r="AB44" s="102" t="str">
        <f t="shared" si="9"/>
        <v/>
      </c>
      <c r="AC44" s="102" t="str">
        <f t="shared" si="10"/>
        <v/>
      </c>
      <c r="AD44" s="102" t="str">
        <f t="shared" si="11"/>
        <v/>
      </c>
      <c r="AE44" s="102" t="str">
        <f t="shared" si="12"/>
        <v/>
      </c>
      <c r="AF44" s="102" t="str">
        <f t="shared" si="13"/>
        <v/>
      </c>
      <c r="AG44" s="102" t="str">
        <f t="shared" si="14"/>
        <v/>
      </c>
      <c r="AH44" s="102" t="str">
        <f t="shared" si="15"/>
        <v/>
      </c>
      <c r="AI44" s="102" t="str">
        <f t="shared" si="16"/>
        <v/>
      </c>
      <c r="AJ44" s="102" t="str">
        <f t="shared" si="17"/>
        <v/>
      </c>
      <c r="AK44" s="102" t="str">
        <f t="shared" si="18"/>
        <v/>
      </c>
      <c r="AL44" s="102" t="str">
        <f t="shared" si="19"/>
        <v/>
      </c>
      <c r="AM44" s="102" t="str">
        <f t="shared" si="20"/>
        <v/>
      </c>
      <c r="AN44" s="102" t="str">
        <f t="shared" si="21"/>
        <v/>
      </c>
      <c r="AO44" s="102" t="str">
        <f t="shared" si="22"/>
        <v/>
      </c>
      <c r="AP44" s="102" t="str">
        <f t="shared" si="23"/>
        <v/>
      </c>
      <c r="AQ44" s="102" t="str">
        <f t="shared" si="24"/>
        <v/>
      </c>
      <c r="AR44" s="102" t="str">
        <f t="shared" si="25"/>
        <v/>
      </c>
      <c r="AS44" s="102" t="str">
        <f t="shared" si="26"/>
        <v/>
      </c>
      <c r="AT44" s="102" t="str">
        <f t="shared" si="27"/>
        <v/>
      </c>
      <c r="AU44" s="102" t="str">
        <f t="shared" si="28"/>
        <v/>
      </c>
      <c r="AV44" s="102" t="str">
        <f t="shared" si="29"/>
        <v/>
      </c>
      <c r="AW44" s="102" t="str">
        <f t="shared" si="30"/>
        <v/>
      </c>
      <c r="AX44" s="102" t="str">
        <f t="shared" si="31"/>
        <v/>
      </c>
      <c r="AY44" s="102" t="str">
        <f t="shared" si="32"/>
        <v/>
      </c>
      <c r="AZ44" s="102" t="str">
        <f t="shared" si="33"/>
        <v/>
      </c>
      <c r="BA44" s="102" t="str">
        <f t="shared" si="34"/>
        <v/>
      </c>
      <c r="BB44" s="102" t="str">
        <f t="shared" si="35"/>
        <v/>
      </c>
      <c r="BC44" s="102" t="str">
        <f t="shared" si="36"/>
        <v/>
      </c>
      <c r="BD44" s="102" t="str">
        <f t="shared" si="37"/>
        <v/>
      </c>
      <c r="BE44" s="102" t="str">
        <f t="shared" si="38"/>
        <v/>
      </c>
      <c r="BF44" s="102" t="str">
        <f t="shared" si="39"/>
        <v/>
      </c>
      <c r="BG44" s="102" t="str">
        <f t="shared" si="40"/>
        <v/>
      </c>
      <c r="BH44" s="102" t="str">
        <f t="shared" si="41"/>
        <v/>
      </c>
      <c r="BI44" s="102" t="str">
        <f t="shared" si="42"/>
        <v/>
      </c>
      <c r="BJ44" s="102" t="str">
        <f t="shared" si="43"/>
        <v/>
      </c>
      <c r="BK44" s="102" t="str">
        <f t="shared" si="44"/>
        <v/>
      </c>
      <c r="BL44" s="102" t="str">
        <f t="shared" si="45"/>
        <v/>
      </c>
      <c r="BM44" s="102" t="str">
        <f t="shared" si="46"/>
        <v/>
      </c>
      <c r="BN44" s="102" t="str">
        <f t="shared" si="47"/>
        <v/>
      </c>
      <c r="BO44" s="102" t="str">
        <f t="shared" si="48"/>
        <v/>
      </c>
      <c r="BP44" s="102" t="str">
        <f t="shared" si="49"/>
        <v/>
      </c>
      <c r="BQ44" s="102" t="str">
        <f t="shared" si="50"/>
        <v/>
      </c>
      <c r="BR44" s="102" t="str">
        <f t="shared" si="51"/>
        <v/>
      </c>
      <c r="BS44" s="102" t="str">
        <f t="shared" si="52"/>
        <v/>
      </c>
      <c r="BT44" s="102" t="str">
        <f t="shared" si="53"/>
        <v/>
      </c>
      <c r="BU44" s="102" t="str">
        <f t="shared" si="54"/>
        <v/>
      </c>
      <c r="BV44" s="102" t="str">
        <f t="shared" si="55"/>
        <v/>
      </c>
      <c r="BW44" s="102" t="str">
        <f t="shared" si="56"/>
        <v/>
      </c>
      <c r="BX44" s="102" t="str">
        <f t="shared" si="57"/>
        <v/>
      </c>
      <c r="BY44" s="102" t="str">
        <f t="shared" si="58"/>
        <v/>
      </c>
      <c r="BZ44" s="102" t="str">
        <f t="shared" si="59"/>
        <v/>
      </c>
      <c r="CA44" s="102" t="str">
        <f t="shared" si="60"/>
        <v/>
      </c>
      <c r="CB44" s="102" t="str">
        <f t="shared" si="61"/>
        <v/>
      </c>
      <c r="CC44" s="102" t="str">
        <f t="shared" si="62"/>
        <v/>
      </c>
      <c r="CD44" s="102" t="str">
        <f t="shared" si="63"/>
        <v/>
      </c>
      <c r="CE44" s="102" t="str">
        <f t="shared" si="64"/>
        <v/>
      </c>
      <c r="CF44" s="102" t="str">
        <f t="shared" si="65"/>
        <v/>
      </c>
      <c r="CG44" s="102" t="str">
        <f t="shared" si="66"/>
        <v/>
      </c>
      <c r="CH44" s="102" t="str">
        <f t="shared" si="67"/>
        <v/>
      </c>
      <c r="CI44" s="102" t="str">
        <f t="shared" si="68"/>
        <v/>
      </c>
      <c r="CJ44" s="102" t="str">
        <f t="shared" si="69"/>
        <v/>
      </c>
      <c r="CK44" s="102" t="str">
        <f t="shared" si="70"/>
        <v/>
      </c>
      <c r="CL44" s="102" t="str">
        <f t="shared" si="71"/>
        <v/>
      </c>
      <c r="CM44" s="102" t="str">
        <f t="shared" si="72"/>
        <v/>
      </c>
      <c r="CN44" s="102" t="str">
        <f t="shared" si="73"/>
        <v/>
      </c>
      <c r="CO44" s="102" t="str">
        <f t="shared" si="74"/>
        <v/>
      </c>
      <c r="CP44" s="102" t="str">
        <f t="shared" si="75"/>
        <v/>
      </c>
      <c r="CQ44" s="102" t="str">
        <f t="shared" si="76"/>
        <v/>
      </c>
      <c r="CR44" s="102" t="str">
        <f t="shared" si="77"/>
        <v/>
      </c>
      <c r="CS44" s="102" t="str">
        <f t="shared" si="78"/>
        <v/>
      </c>
      <c r="CT44" s="102" t="str">
        <f t="shared" si="79"/>
        <v/>
      </c>
      <c r="CU44" s="102" t="str">
        <f t="shared" si="80"/>
        <v/>
      </c>
      <c r="CV44" s="102" t="str">
        <f t="shared" si="81"/>
        <v/>
      </c>
      <c r="CW44" s="102" t="str">
        <f t="shared" si="82"/>
        <v/>
      </c>
      <c r="CX44" s="102" t="str">
        <f t="shared" si="83"/>
        <v/>
      </c>
      <c r="CY44" s="102" t="str">
        <f t="shared" si="84"/>
        <v/>
      </c>
      <c r="CZ44" s="102" t="str">
        <f t="shared" si="85"/>
        <v/>
      </c>
      <c r="DA44" s="102" t="str">
        <f t="shared" si="86"/>
        <v/>
      </c>
      <c r="DB44" s="102" t="str">
        <f t="shared" si="87"/>
        <v/>
      </c>
      <c r="DC44" s="102" t="str">
        <f t="shared" si="88"/>
        <v/>
      </c>
      <c r="DD44" s="102" t="str">
        <f t="shared" si="89"/>
        <v/>
      </c>
      <c r="DE44" s="102" t="str">
        <f t="shared" si="90"/>
        <v/>
      </c>
      <c r="DF44" s="102" t="str">
        <f t="shared" si="91"/>
        <v/>
      </c>
      <c r="DG44" s="102" t="str">
        <f t="shared" si="92"/>
        <v/>
      </c>
      <c r="DH44" s="102" t="str">
        <f t="shared" si="93"/>
        <v/>
      </c>
      <c r="DI44" s="102" t="str">
        <f t="shared" si="94"/>
        <v/>
      </c>
      <c r="DJ44" s="102" t="str">
        <f t="shared" si="95"/>
        <v/>
      </c>
      <c r="DK44" s="102" t="str">
        <f t="shared" si="96"/>
        <v/>
      </c>
      <c r="DL44" s="102" t="str">
        <f t="shared" si="97"/>
        <v/>
      </c>
      <c r="DM44" s="102" t="str">
        <f t="shared" si="98"/>
        <v/>
      </c>
      <c r="DN44" s="102" t="str">
        <f t="shared" si="99"/>
        <v/>
      </c>
      <c r="DO44" s="102" t="str">
        <f t="shared" si="100"/>
        <v/>
      </c>
      <c r="DP44" s="102" t="str">
        <f t="shared" si="101"/>
        <v/>
      </c>
      <c r="DQ44" s="102" t="str">
        <f t="shared" si="102"/>
        <v/>
      </c>
      <c r="DR44" s="102" t="str">
        <f t="shared" si="103"/>
        <v/>
      </c>
      <c r="DS44" s="102" t="str">
        <f t="shared" si="104"/>
        <v/>
      </c>
      <c r="DT44" s="102" t="str">
        <f t="shared" si="105"/>
        <v/>
      </c>
      <c r="DU44" s="102" t="str">
        <f t="shared" si="106"/>
        <v/>
      </c>
      <c r="DV44" s="102" t="str">
        <f t="shared" si="107"/>
        <v/>
      </c>
      <c r="DW44" s="102" t="str">
        <f t="shared" si="108"/>
        <v/>
      </c>
      <c r="DX44" s="102" t="str">
        <f t="shared" si="109"/>
        <v/>
      </c>
      <c r="DY44" s="102" t="str">
        <f t="shared" si="110"/>
        <v/>
      </c>
      <c r="DZ44" s="102" t="str">
        <f t="shared" si="111"/>
        <v/>
      </c>
      <c r="EA44" s="102" t="str">
        <f t="shared" si="112"/>
        <v/>
      </c>
      <c r="EB44" s="102" t="str">
        <f t="shared" si="113"/>
        <v/>
      </c>
      <c r="EC44" s="102" t="str">
        <f t="shared" si="114"/>
        <v/>
      </c>
      <c r="ED44" s="102" t="str">
        <f t="shared" si="115"/>
        <v/>
      </c>
      <c r="EE44" s="102" t="str">
        <f t="shared" si="116"/>
        <v/>
      </c>
      <c r="EF44" s="102" t="str">
        <f t="shared" si="117"/>
        <v/>
      </c>
      <c r="EG44" s="102" t="str">
        <f t="shared" si="118"/>
        <v/>
      </c>
      <c r="EH44" s="102" t="str">
        <f t="shared" si="119"/>
        <v/>
      </c>
      <c r="EI44" s="102" t="str">
        <f t="shared" si="120"/>
        <v/>
      </c>
      <c r="EJ44" s="102" t="str">
        <f t="shared" si="121"/>
        <v/>
      </c>
      <c r="EK44" s="102" t="str">
        <f t="shared" si="122"/>
        <v/>
      </c>
      <c r="EL44" s="102" t="str">
        <f t="shared" si="123"/>
        <v/>
      </c>
      <c r="EM44" s="102" t="str">
        <f t="shared" si="124"/>
        <v/>
      </c>
      <c r="EN44" s="102" t="str">
        <f t="shared" si="125"/>
        <v/>
      </c>
      <c r="EO44" s="102" t="str">
        <f t="shared" si="126"/>
        <v/>
      </c>
      <c r="EP44" s="102" t="str">
        <f t="shared" si="127"/>
        <v/>
      </c>
      <c r="EQ44" s="102" t="str">
        <f t="shared" si="128"/>
        <v/>
      </c>
      <c r="ER44" s="102" t="str">
        <f t="shared" si="129"/>
        <v/>
      </c>
      <c r="ES44" s="102" t="str">
        <f t="shared" si="130"/>
        <v/>
      </c>
      <c r="ET44" s="102" t="str">
        <f t="shared" si="131"/>
        <v/>
      </c>
      <c r="EU44" s="102" t="str">
        <f t="shared" si="132"/>
        <v/>
      </c>
      <c r="EV44" s="102" t="str">
        <f t="shared" si="133"/>
        <v/>
      </c>
      <c r="EW44" s="792" t="str">
        <f t="shared" si="134"/>
        <v/>
      </c>
      <c r="EX44" s="354" t="str">
        <f t="shared" si="135"/>
        <v/>
      </c>
      <c r="EY44" s="354" t="str">
        <f t="shared" si="136"/>
        <v/>
      </c>
      <c r="EZ44" s="354" t="str">
        <f t="shared" si="137"/>
        <v/>
      </c>
      <c r="FA44" s="354" t="str">
        <f t="shared" si="138"/>
        <v/>
      </c>
      <c r="FB44" s="354" t="str">
        <f t="shared" si="139"/>
        <v/>
      </c>
      <c r="FC44" s="354" t="str">
        <f t="shared" si="140"/>
        <v/>
      </c>
      <c r="FD44" s="354" t="str">
        <f t="shared" si="141"/>
        <v/>
      </c>
      <c r="FE44" s="354" t="str">
        <f t="shared" si="142"/>
        <v/>
      </c>
      <c r="FF44" s="354" t="str">
        <f t="shared" si="143"/>
        <v/>
      </c>
      <c r="FG44" s="354" t="str">
        <f t="shared" si="144"/>
        <v/>
      </c>
      <c r="FH44" s="354" t="str">
        <f t="shared" si="145"/>
        <v/>
      </c>
      <c r="FI44" s="354" t="str">
        <f t="shared" si="146"/>
        <v/>
      </c>
      <c r="FJ44" s="354" t="str">
        <f t="shared" si="147"/>
        <v/>
      </c>
      <c r="FK44" s="354" t="str">
        <f t="shared" si="148"/>
        <v/>
      </c>
      <c r="FL44" s="354" t="str">
        <f t="shared" si="149"/>
        <v/>
      </c>
      <c r="FM44" s="354" t="str">
        <f t="shared" si="150"/>
        <v/>
      </c>
      <c r="FN44" s="354" t="str">
        <f t="shared" si="151"/>
        <v/>
      </c>
      <c r="FO44" s="354" t="str">
        <f t="shared" si="152"/>
        <v/>
      </c>
      <c r="FP44" s="354" t="str">
        <f t="shared" si="153"/>
        <v/>
      </c>
      <c r="FQ44" s="354" t="str">
        <f t="shared" si="154"/>
        <v/>
      </c>
      <c r="FR44" s="354" t="str">
        <f t="shared" si="155"/>
        <v/>
      </c>
      <c r="FS44" s="354" t="str">
        <f t="shared" si="156"/>
        <v/>
      </c>
      <c r="FT44" s="354" t="str">
        <f t="shared" si="157"/>
        <v/>
      </c>
      <c r="FU44" s="354" t="str">
        <f t="shared" si="158"/>
        <v/>
      </c>
      <c r="FV44" s="354" t="str">
        <f t="shared" si="159"/>
        <v/>
      </c>
      <c r="FW44" s="354" t="str">
        <f t="shared" si="160"/>
        <v/>
      </c>
      <c r="FX44" s="354" t="str">
        <f t="shared" si="161"/>
        <v/>
      </c>
      <c r="FY44" s="354" t="str">
        <f t="shared" si="162"/>
        <v/>
      </c>
      <c r="FZ44" s="354" t="str">
        <f t="shared" si="163"/>
        <v/>
      </c>
      <c r="GA44" s="354" t="str">
        <f t="shared" si="164"/>
        <v/>
      </c>
      <c r="GB44" s="354" t="str">
        <f t="shared" si="165"/>
        <v/>
      </c>
      <c r="GC44" s="354" t="str">
        <f t="shared" si="166"/>
        <v/>
      </c>
      <c r="GD44" s="354" t="str">
        <f t="shared" si="167"/>
        <v/>
      </c>
      <c r="GE44" s="354" t="str">
        <f t="shared" si="168"/>
        <v/>
      </c>
      <c r="GF44" s="354" t="str">
        <f t="shared" si="169"/>
        <v/>
      </c>
      <c r="GG44" s="354" t="str">
        <f t="shared" si="170"/>
        <v/>
      </c>
      <c r="GH44" s="354" t="str">
        <f t="shared" si="171"/>
        <v/>
      </c>
      <c r="GI44" s="354" t="str">
        <f t="shared" si="172"/>
        <v/>
      </c>
      <c r="GJ44" s="354" t="str">
        <f t="shared" si="173"/>
        <v/>
      </c>
      <c r="GK44" s="354" t="str">
        <f t="shared" si="174"/>
        <v/>
      </c>
      <c r="GL44" s="354" t="str">
        <f t="shared" si="175"/>
        <v/>
      </c>
      <c r="GM44" s="354" t="str">
        <f t="shared" si="176"/>
        <v/>
      </c>
      <c r="GN44" s="354" t="str">
        <f t="shared" si="177"/>
        <v/>
      </c>
      <c r="GO44" s="354" t="str">
        <f t="shared" si="178"/>
        <v/>
      </c>
      <c r="GP44" s="354" t="str">
        <f t="shared" si="179"/>
        <v/>
      </c>
      <c r="GQ44" s="354" t="str">
        <f t="shared" si="180"/>
        <v/>
      </c>
      <c r="GR44" s="354" t="str">
        <f t="shared" si="181"/>
        <v/>
      </c>
      <c r="GS44" s="354" t="str">
        <f t="shared" si="182"/>
        <v/>
      </c>
      <c r="GT44" s="354" t="str">
        <f t="shared" si="183"/>
        <v/>
      </c>
      <c r="GU44" s="354" t="str">
        <f t="shared" si="184"/>
        <v/>
      </c>
      <c r="GV44" s="354" t="str">
        <f t="shared" si="185"/>
        <v/>
      </c>
      <c r="GW44" s="354" t="str">
        <f t="shared" si="186"/>
        <v/>
      </c>
      <c r="GX44" s="354" t="str">
        <f t="shared" si="187"/>
        <v/>
      </c>
      <c r="GY44" s="354" t="str">
        <f t="shared" si="188"/>
        <v/>
      </c>
      <c r="GZ44" s="354" t="str">
        <f t="shared" si="189"/>
        <v/>
      </c>
      <c r="HA44" s="354" t="str">
        <f t="shared" si="190"/>
        <v/>
      </c>
      <c r="HB44" s="354" t="str">
        <f t="shared" si="191"/>
        <v/>
      </c>
      <c r="HC44" s="354" t="str">
        <f t="shared" si="192"/>
        <v/>
      </c>
      <c r="HD44" s="354" t="str">
        <f t="shared" si="193"/>
        <v/>
      </c>
      <c r="HE44" s="354" t="str">
        <f t="shared" si="194"/>
        <v/>
      </c>
      <c r="HF44" s="354" t="str">
        <f t="shared" si="195"/>
        <v/>
      </c>
      <c r="HG44" s="354" t="str">
        <f t="shared" si="196"/>
        <v/>
      </c>
      <c r="HH44" s="354" t="str">
        <f t="shared" si="197"/>
        <v/>
      </c>
      <c r="HI44" s="354" t="str">
        <f t="shared" si="198"/>
        <v/>
      </c>
      <c r="HJ44" s="354" t="str">
        <f t="shared" si="199"/>
        <v/>
      </c>
      <c r="HK44" s="354" t="str">
        <f t="shared" si="200"/>
        <v/>
      </c>
      <c r="HL44" s="354" t="str">
        <f t="shared" si="201"/>
        <v/>
      </c>
      <c r="HM44" s="354" t="str">
        <f t="shared" si="202"/>
        <v/>
      </c>
      <c r="HN44" s="354" t="str">
        <f t="shared" si="203"/>
        <v/>
      </c>
      <c r="HO44" s="354" t="str">
        <f t="shared" si="204"/>
        <v/>
      </c>
      <c r="HP44" s="354" t="str">
        <f t="shared" si="205"/>
        <v/>
      </c>
      <c r="HQ44" s="354" t="str">
        <f t="shared" si="206"/>
        <v/>
      </c>
      <c r="HR44" s="354" t="str">
        <f t="shared" si="207"/>
        <v/>
      </c>
      <c r="HS44" s="354" t="str">
        <f t="shared" si="208"/>
        <v/>
      </c>
      <c r="HT44" s="354" t="str">
        <f t="shared" si="209"/>
        <v/>
      </c>
      <c r="HU44" s="354" t="str">
        <f t="shared" si="210"/>
        <v/>
      </c>
      <c r="HV44" s="354" t="str">
        <f t="shared" si="211"/>
        <v/>
      </c>
      <c r="HW44" s="354" t="str">
        <f t="shared" si="212"/>
        <v/>
      </c>
      <c r="HX44" s="354" t="str">
        <f t="shared" si="213"/>
        <v/>
      </c>
      <c r="HY44" s="354" t="str">
        <f t="shared" si="214"/>
        <v/>
      </c>
      <c r="HZ44" s="354" t="str">
        <f t="shared" si="215"/>
        <v/>
      </c>
      <c r="IA44" s="354" t="str">
        <f t="shared" si="216"/>
        <v/>
      </c>
      <c r="IB44" s="354" t="str">
        <f t="shared" si="217"/>
        <v/>
      </c>
      <c r="IC44" s="354" t="str">
        <f t="shared" si="218"/>
        <v/>
      </c>
      <c r="ID44" s="355" t="str">
        <f t="shared" si="219"/>
        <v/>
      </c>
      <c r="IE44" s="355" t="str">
        <f t="shared" si="220"/>
        <v/>
      </c>
      <c r="IF44" s="355" t="str">
        <f t="shared" si="221"/>
        <v/>
      </c>
      <c r="IG44" s="355" t="str">
        <f t="shared" si="222"/>
        <v/>
      </c>
      <c r="IH44" s="355" t="str">
        <f t="shared" si="223"/>
        <v/>
      </c>
      <c r="II44" s="344" t="str">
        <f t="shared" si="224"/>
        <v/>
      </c>
      <c r="IJ44" s="344" t="str">
        <f t="shared" si="225"/>
        <v/>
      </c>
      <c r="IK44" s="344" t="str">
        <f t="shared" si="226"/>
        <v/>
      </c>
      <c r="IL44" s="344" t="str">
        <f t="shared" si="227"/>
        <v/>
      </c>
      <c r="IM44" s="344" t="str">
        <f t="shared" si="228"/>
        <v/>
      </c>
      <c r="IN44" s="344" t="str">
        <f t="shared" si="229"/>
        <v/>
      </c>
      <c r="IO44" s="344" t="str">
        <f t="shared" si="230"/>
        <v/>
      </c>
      <c r="IP44" s="344" t="str">
        <f t="shared" si="231"/>
        <v/>
      </c>
      <c r="IQ44" s="344" t="str">
        <f t="shared" si="232"/>
        <v/>
      </c>
      <c r="IR44" s="344" t="str">
        <f t="shared" si="233"/>
        <v/>
      </c>
      <c r="IS44" s="344" t="str">
        <f t="shared" si="234"/>
        <v/>
      </c>
      <c r="IT44" s="344" t="str">
        <f t="shared" si="235"/>
        <v/>
      </c>
      <c r="IU44" s="344" t="str">
        <f t="shared" si="236"/>
        <v/>
      </c>
      <c r="IV44" s="344" t="str">
        <f t="shared" si="237"/>
        <v/>
      </c>
      <c r="IW44" s="344" t="str">
        <f t="shared" si="238"/>
        <v/>
      </c>
      <c r="IX44" s="344" t="str">
        <f t="shared" si="239"/>
        <v/>
      </c>
      <c r="IY44" s="344" t="str">
        <f t="shared" si="240"/>
        <v/>
      </c>
      <c r="IZ44" s="344" t="str">
        <f t="shared" si="241"/>
        <v/>
      </c>
      <c r="JA44" s="344" t="str">
        <f t="shared" si="242"/>
        <v/>
      </c>
      <c r="JB44" s="344" t="str">
        <f t="shared" si="243"/>
        <v/>
      </c>
      <c r="JC44" s="353">
        <f t="shared" si="244"/>
        <v>0</v>
      </c>
      <c r="JD44" s="353">
        <f t="shared" si="245"/>
        <v>0</v>
      </c>
      <c r="JE44" s="353">
        <f t="shared" si="246"/>
        <v>0</v>
      </c>
      <c r="JF44" s="353">
        <f t="shared" si="247"/>
        <v>0</v>
      </c>
      <c r="JG44" s="353">
        <f t="shared" si="248"/>
        <v>0</v>
      </c>
      <c r="JH44" s="353">
        <f t="shared" si="249"/>
        <v>0</v>
      </c>
      <c r="JI44" s="353">
        <f t="shared" si="250"/>
        <v>0</v>
      </c>
      <c r="JJ44" s="353">
        <f t="shared" si="251"/>
        <v>0</v>
      </c>
      <c r="JK44" s="353">
        <f t="shared" si="252"/>
        <v>0</v>
      </c>
      <c r="JL44" s="353">
        <f t="shared" si="253"/>
        <v>0</v>
      </c>
      <c r="JM44" s="353">
        <f t="shared" si="254"/>
        <v>0</v>
      </c>
      <c r="JN44" s="353">
        <f t="shared" si="255"/>
        <v>0</v>
      </c>
      <c r="JO44" s="353">
        <f t="shared" si="256"/>
        <v>0</v>
      </c>
      <c r="JP44" s="353">
        <f t="shared" si="257"/>
        <v>0</v>
      </c>
      <c r="JQ44" s="353">
        <f t="shared" si="258"/>
        <v>0</v>
      </c>
    </row>
    <row r="45" spans="1:296" ht="12" customHeight="1">
      <c r="A45" s="70" t="str">
        <f t="shared" si="0"/>
        <v/>
      </c>
      <c r="B45" s="2628" t="s">
        <v>781</v>
      </c>
      <c r="C45" s="2629"/>
      <c r="D45" s="2630"/>
      <c r="E45" s="2631"/>
      <c r="F45" s="2631"/>
      <c r="G45" s="2631"/>
      <c r="H45" s="2631"/>
      <c r="I45" s="2632">
        <f>IF(C45="",0,HLOOKUP(C45,'Part V-Utility Allowances'!$I$11:$M$21,11))</f>
        <v>0</v>
      </c>
      <c r="J45" s="2633"/>
      <c r="K45" s="488">
        <f t="shared" si="1"/>
        <v>0</v>
      </c>
      <c r="L45" s="488">
        <f t="shared" si="2"/>
        <v>0</v>
      </c>
      <c r="M45" s="2634"/>
      <c r="N45" s="2634"/>
      <c r="O45" s="2634"/>
      <c r="P45" s="2635"/>
      <c r="Q45" s="2636" t="str">
        <f t="shared" si="3"/>
        <v/>
      </c>
      <c r="R45" s="2637" t="str">
        <f>IF(H45="","",IF(C45="Efficiency",Q45/($O$6*VLOOKUP(0,'DCA Underwriting Assumptions'!$J$143:$K$148,2,FALSE)),Q45/($O$6*VLOOKUP(C45,'DCA Underwriting Assumptions'!$J$143:$K$148,2,FALSE))))</f>
        <v/>
      </c>
      <c r="S45" s="2638"/>
      <c r="T45" s="2639"/>
      <c r="U45" s="2594"/>
      <c r="V45" s="2595"/>
      <c r="W45" s="102" t="str">
        <f t="shared" si="4"/>
        <v/>
      </c>
      <c r="X45" s="102" t="str">
        <f t="shared" si="5"/>
        <v/>
      </c>
      <c r="Y45" s="102" t="str">
        <f t="shared" si="6"/>
        <v/>
      </c>
      <c r="Z45" s="102" t="str">
        <f t="shared" si="7"/>
        <v/>
      </c>
      <c r="AA45" s="102" t="str">
        <f t="shared" si="8"/>
        <v/>
      </c>
      <c r="AB45" s="102" t="str">
        <f t="shared" si="9"/>
        <v/>
      </c>
      <c r="AC45" s="102" t="str">
        <f t="shared" si="10"/>
        <v/>
      </c>
      <c r="AD45" s="102" t="str">
        <f t="shared" si="11"/>
        <v/>
      </c>
      <c r="AE45" s="102" t="str">
        <f t="shared" si="12"/>
        <v/>
      </c>
      <c r="AF45" s="102" t="str">
        <f t="shared" si="13"/>
        <v/>
      </c>
      <c r="AG45" s="102" t="str">
        <f t="shared" si="14"/>
        <v/>
      </c>
      <c r="AH45" s="102" t="str">
        <f t="shared" si="15"/>
        <v/>
      </c>
      <c r="AI45" s="102" t="str">
        <f t="shared" si="16"/>
        <v/>
      </c>
      <c r="AJ45" s="102" t="str">
        <f t="shared" si="17"/>
        <v/>
      </c>
      <c r="AK45" s="102" t="str">
        <f t="shared" si="18"/>
        <v/>
      </c>
      <c r="AL45" s="102" t="str">
        <f t="shared" si="19"/>
        <v/>
      </c>
      <c r="AM45" s="102" t="str">
        <f t="shared" si="20"/>
        <v/>
      </c>
      <c r="AN45" s="102" t="str">
        <f t="shared" si="21"/>
        <v/>
      </c>
      <c r="AO45" s="102" t="str">
        <f t="shared" si="22"/>
        <v/>
      </c>
      <c r="AP45" s="102" t="str">
        <f t="shared" si="23"/>
        <v/>
      </c>
      <c r="AQ45" s="102" t="str">
        <f t="shared" si="24"/>
        <v/>
      </c>
      <c r="AR45" s="102" t="str">
        <f t="shared" si="25"/>
        <v/>
      </c>
      <c r="AS45" s="102" t="str">
        <f t="shared" si="26"/>
        <v/>
      </c>
      <c r="AT45" s="102" t="str">
        <f t="shared" si="27"/>
        <v/>
      </c>
      <c r="AU45" s="102" t="str">
        <f t="shared" si="28"/>
        <v/>
      </c>
      <c r="AV45" s="102" t="str">
        <f t="shared" si="29"/>
        <v/>
      </c>
      <c r="AW45" s="102" t="str">
        <f t="shared" si="30"/>
        <v/>
      </c>
      <c r="AX45" s="102" t="str">
        <f t="shared" si="31"/>
        <v/>
      </c>
      <c r="AY45" s="102" t="str">
        <f t="shared" si="32"/>
        <v/>
      </c>
      <c r="AZ45" s="102" t="str">
        <f t="shared" si="33"/>
        <v/>
      </c>
      <c r="BA45" s="102" t="str">
        <f t="shared" si="34"/>
        <v/>
      </c>
      <c r="BB45" s="102" t="str">
        <f t="shared" si="35"/>
        <v/>
      </c>
      <c r="BC45" s="102" t="str">
        <f t="shared" si="36"/>
        <v/>
      </c>
      <c r="BD45" s="102" t="str">
        <f t="shared" si="37"/>
        <v/>
      </c>
      <c r="BE45" s="102" t="str">
        <f t="shared" si="38"/>
        <v/>
      </c>
      <c r="BF45" s="102" t="str">
        <f t="shared" si="39"/>
        <v/>
      </c>
      <c r="BG45" s="102" t="str">
        <f t="shared" si="40"/>
        <v/>
      </c>
      <c r="BH45" s="102" t="str">
        <f t="shared" si="41"/>
        <v/>
      </c>
      <c r="BI45" s="102" t="str">
        <f t="shared" si="42"/>
        <v/>
      </c>
      <c r="BJ45" s="102" t="str">
        <f t="shared" si="43"/>
        <v/>
      </c>
      <c r="BK45" s="102" t="str">
        <f t="shared" si="44"/>
        <v/>
      </c>
      <c r="BL45" s="102" t="str">
        <f t="shared" si="45"/>
        <v/>
      </c>
      <c r="BM45" s="102" t="str">
        <f t="shared" si="46"/>
        <v/>
      </c>
      <c r="BN45" s="102" t="str">
        <f t="shared" si="47"/>
        <v/>
      </c>
      <c r="BO45" s="102" t="str">
        <f t="shared" si="48"/>
        <v/>
      </c>
      <c r="BP45" s="102" t="str">
        <f t="shared" si="49"/>
        <v/>
      </c>
      <c r="BQ45" s="102" t="str">
        <f t="shared" si="50"/>
        <v/>
      </c>
      <c r="BR45" s="102" t="str">
        <f t="shared" si="51"/>
        <v/>
      </c>
      <c r="BS45" s="102" t="str">
        <f t="shared" si="52"/>
        <v/>
      </c>
      <c r="BT45" s="102" t="str">
        <f t="shared" si="53"/>
        <v/>
      </c>
      <c r="BU45" s="102" t="str">
        <f t="shared" si="54"/>
        <v/>
      </c>
      <c r="BV45" s="102" t="str">
        <f t="shared" si="55"/>
        <v/>
      </c>
      <c r="BW45" s="102" t="str">
        <f t="shared" si="56"/>
        <v/>
      </c>
      <c r="BX45" s="102" t="str">
        <f t="shared" si="57"/>
        <v/>
      </c>
      <c r="BY45" s="102" t="str">
        <f t="shared" si="58"/>
        <v/>
      </c>
      <c r="BZ45" s="102" t="str">
        <f t="shared" si="59"/>
        <v/>
      </c>
      <c r="CA45" s="102" t="str">
        <f t="shared" si="60"/>
        <v/>
      </c>
      <c r="CB45" s="102" t="str">
        <f t="shared" si="61"/>
        <v/>
      </c>
      <c r="CC45" s="102" t="str">
        <f t="shared" si="62"/>
        <v/>
      </c>
      <c r="CD45" s="102" t="str">
        <f t="shared" si="63"/>
        <v/>
      </c>
      <c r="CE45" s="102" t="str">
        <f t="shared" si="64"/>
        <v/>
      </c>
      <c r="CF45" s="102" t="str">
        <f t="shared" si="65"/>
        <v/>
      </c>
      <c r="CG45" s="102" t="str">
        <f t="shared" si="66"/>
        <v/>
      </c>
      <c r="CH45" s="102" t="str">
        <f t="shared" si="67"/>
        <v/>
      </c>
      <c r="CI45" s="102" t="str">
        <f t="shared" si="68"/>
        <v/>
      </c>
      <c r="CJ45" s="102" t="str">
        <f t="shared" si="69"/>
        <v/>
      </c>
      <c r="CK45" s="102" t="str">
        <f t="shared" si="70"/>
        <v/>
      </c>
      <c r="CL45" s="102" t="str">
        <f t="shared" si="71"/>
        <v/>
      </c>
      <c r="CM45" s="102" t="str">
        <f t="shared" si="72"/>
        <v/>
      </c>
      <c r="CN45" s="102" t="str">
        <f t="shared" si="73"/>
        <v/>
      </c>
      <c r="CO45" s="102" t="str">
        <f t="shared" si="74"/>
        <v/>
      </c>
      <c r="CP45" s="102" t="str">
        <f t="shared" si="75"/>
        <v/>
      </c>
      <c r="CQ45" s="102" t="str">
        <f t="shared" si="76"/>
        <v/>
      </c>
      <c r="CR45" s="102" t="str">
        <f t="shared" si="77"/>
        <v/>
      </c>
      <c r="CS45" s="102" t="str">
        <f t="shared" si="78"/>
        <v/>
      </c>
      <c r="CT45" s="102" t="str">
        <f t="shared" si="79"/>
        <v/>
      </c>
      <c r="CU45" s="102" t="str">
        <f t="shared" si="80"/>
        <v/>
      </c>
      <c r="CV45" s="102" t="str">
        <f t="shared" si="81"/>
        <v/>
      </c>
      <c r="CW45" s="102" t="str">
        <f t="shared" si="82"/>
        <v/>
      </c>
      <c r="CX45" s="102" t="str">
        <f t="shared" si="83"/>
        <v/>
      </c>
      <c r="CY45" s="102" t="str">
        <f t="shared" si="84"/>
        <v/>
      </c>
      <c r="CZ45" s="102" t="str">
        <f t="shared" si="85"/>
        <v/>
      </c>
      <c r="DA45" s="102" t="str">
        <f t="shared" si="86"/>
        <v/>
      </c>
      <c r="DB45" s="102" t="str">
        <f t="shared" si="87"/>
        <v/>
      </c>
      <c r="DC45" s="102" t="str">
        <f t="shared" si="88"/>
        <v/>
      </c>
      <c r="DD45" s="102" t="str">
        <f t="shared" si="89"/>
        <v/>
      </c>
      <c r="DE45" s="102" t="str">
        <f t="shared" si="90"/>
        <v/>
      </c>
      <c r="DF45" s="102" t="str">
        <f t="shared" si="91"/>
        <v/>
      </c>
      <c r="DG45" s="102" t="str">
        <f t="shared" si="92"/>
        <v/>
      </c>
      <c r="DH45" s="102" t="str">
        <f t="shared" si="93"/>
        <v/>
      </c>
      <c r="DI45" s="102" t="str">
        <f t="shared" si="94"/>
        <v/>
      </c>
      <c r="DJ45" s="102" t="str">
        <f t="shared" si="95"/>
        <v/>
      </c>
      <c r="DK45" s="102" t="str">
        <f t="shared" si="96"/>
        <v/>
      </c>
      <c r="DL45" s="102" t="str">
        <f t="shared" si="97"/>
        <v/>
      </c>
      <c r="DM45" s="102" t="str">
        <f t="shared" si="98"/>
        <v/>
      </c>
      <c r="DN45" s="102" t="str">
        <f t="shared" si="99"/>
        <v/>
      </c>
      <c r="DO45" s="102" t="str">
        <f t="shared" si="100"/>
        <v/>
      </c>
      <c r="DP45" s="102" t="str">
        <f t="shared" si="101"/>
        <v/>
      </c>
      <c r="DQ45" s="102" t="str">
        <f t="shared" si="102"/>
        <v/>
      </c>
      <c r="DR45" s="102" t="str">
        <f t="shared" si="103"/>
        <v/>
      </c>
      <c r="DS45" s="102" t="str">
        <f t="shared" si="104"/>
        <v/>
      </c>
      <c r="DT45" s="102" t="str">
        <f t="shared" si="105"/>
        <v/>
      </c>
      <c r="DU45" s="102" t="str">
        <f t="shared" si="106"/>
        <v/>
      </c>
      <c r="DV45" s="102" t="str">
        <f t="shared" si="107"/>
        <v/>
      </c>
      <c r="DW45" s="102" t="str">
        <f t="shared" si="108"/>
        <v/>
      </c>
      <c r="DX45" s="102" t="str">
        <f t="shared" si="109"/>
        <v/>
      </c>
      <c r="DY45" s="102" t="str">
        <f t="shared" si="110"/>
        <v/>
      </c>
      <c r="DZ45" s="102" t="str">
        <f t="shared" si="111"/>
        <v/>
      </c>
      <c r="EA45" s="102" t="str">
        <f t="shared" si="112"/>
        <v/>
      </c>
      <c r="EB45" s="102" t="str">
        <f t="shared" si="113"/>
        <v/>
      </c>
      <c r="EC45" s="102" t="str">
        <f t="shared" si="114"/>
        <v/>
      </c>
      <c r="ED45" s="102" t="str">
        <f t="shared" si="115"/>
        <v/>
      </c>
      <c r="EE45" s="102" t="str">
        <f t="shared" si="116"/>
        <v/>
      </c>
      <c r="EF45" s="102" t="str">
        <f t="shared" si="117"/>
        <v/>
      </c>
      <c r="EG45" s="102" t="str">
        <f t="shared" si="118"/>
        <v/>
      </c>
      <c r="EH45" s="102" t="str">
        <f t="shared" si="119"/>
        <v/>
      </c>
      <c r="EI45" s="102" t="str">
        <f t="shared" si="120"/>
        <v/>
      </c>
      <c r="EJ45" s="102" t="str">
        <f t="shared" si="121"/>
        <v/>
      </c>
      <c r="EK45" s="102" t="str">
        <f t="shared" si="122"/>
        <v/>
      </c>
      <c r="EL45" s="102" t="str">
        <f t="shared" si="123"/>
        <v/>
      </c>
      <c r="EM45" s="102" t="str">
        <f t="shared" si="124"/>
        <v/>
      </c>
      <c r="EN45" s="102" t="str">
        <f t="shared" si="125"/>
        <v/>
      </c>
      <c r="EO45" s="102" t="str">
        <f t="shared" si="126"/>
        <v/>
      </c>
      <c r="EP45" s="102" t="str">
        <f t="shared" si="127"/>
        <v/>
      </c>
      <c r="EQ45" s="102" t="str">
        <f t="shared" si="128"/>
        <v/>
      </c>
      <c r="ER45" s="102" t="str">
        <f t="shared" si="129"/>
        <v/>
      </c>
      <c r="ES45" s="102" t="str">
        <f t="shared" si="130"/>
        <v/>
      </c>
      <c r="ET45" s="102" t="str">
        <f t="shared" si="131"/>
        <v/>
      </c>
      <c r="EU45" s="102" t="str">
        <f t="shared" si="132"/>
        <v/>
      </c>
      <c r="EV45" s="102" t="str">
        <f t="shared" si="133"/>
        <v/>
      </c>
      <c r="EW45" s="792" t="str">
        <f t="shared" si="134"/>
        <v/>
      </c>
      <c r="EX45" s="354" t="str">
        <f t="shared" si="135"/>
        <v/>
      </c>
      <c r="EY45" s="354" t="str">
        <f t="shared" si="136"/>
        <v/>
      </c>
      <c r="EZ45" s="354" t="str">
        <f t="shared" si="137"/>
        <v/>
      </c>
      <c r="FA45" s="354" t="str">
        <f t="shared" si="138"/>
        <v/>
      </c>
      <c r="FB45" s="354" t="str">
        <f t="shared" si="139"/>
        <v/>
      </c>
      <c r="FC45" s="354" t="str">
        <f t="shared" si="140"/>
        <v/>
      </c>
      <c r="FD45" s="354" t="str">
        <f t="shared" si="141"/>
        <v/>
      </c>
      <c r="FE45" s="354" t="str">
        <f t="shared" si="142"/>
        <v/>
      </c>
      <c r="FF45" s="354" t="str">
        <f t="shared" si="143"/>
        <v/>
      </c>
      <c r="FG45" s="354" t="str">
        <f t="shared" si="144"/>
        <v/>
      </c>
      <c r="FH45" s="354" t="str">
        <f t="shared" si="145"/>
        <v/>
      </c>
      <c r="FI45" s="354" t="str">
        <f t="shared" si="146"/>
        <v/>
      </c>
      <c r="FJ45" s="354" t="str">
        <f t="shared" si="147"/>
        <v/>
      </c>
      <c r="FK45" s="354" t="str">
        <f t="shared" si="148"/>
        <v/>
      </c>
      <c r="FL45" s="354" t="str">
        <f t="shared" si="149"/>
        <v/>
      </c>
      <c r="FM45" s="354" t="str">
        <f t="shared" si="150"/>
        <v/>
      </c>
      <c r="FN45" s="354" t="str">
        <f t="shared" si="151"/>
        <v/>
      </c>
      <c r="FO45" s="354" t="str">
        <f t="shared" si="152"/>
        <v/>
      </c>
      <c r="FP45" s="354" t="str">
        <f t="shared" si="153"/>
        <v/>
      </c>
      <c r="FQ45" s="354" t="str">
        <f t="shared" si="154"/>
        <v/>
      </c>
      <c r="FR45" s="354" t="str">
        <f t="shared" si="155"/>
        <v/>
      </c>
      <c r="FS45" s="354" t="str">
        <f t="shared" si="156"/>
        <v/>
      </c>
      <c r="FT45" s="354" t="str">
        <f t="shared" si="157"/>
        <v/>
      </c>
      <c r="FU45" s="354" t="str">
        <f t="shared" si="158"/>
        <v/>
      </c>
      <c r="FV45" s="354" t="str">
        <f t="shared" si="159"/>
        <v/>
      </c>
      <c r="FW45" s="354" t="str">
        <f t="shared" si="160"/>
        <v/>
      </c>
      <c r="FX45" s="354" t="str">
        <f t="shared" si="161"/>
        <v/>
      </c>
      <c r="FY45" s="354" t="str">
        <f t="shared" si="162"/>
        <v/>
      </c>
      <c r="FZ45" s="354" t="str">
        <f t="shared" si="163"/>
        <v/>
      </c>
      <c r="GA45" s="354" t="str">
        <f t="shared" si="164"/>
        <v/>
      </c>
      <c r="GB45" s="354" t="str">
        <f t="shared" si="165"/>
        <v/>
      </c>
      <c r="GC45" s="354" t="str">
        <f t="shared" si="166"/>
        <v/>
      </c>
      <c r="GD45" s="354" t="str">
        <f t="shared" si="167"/>
        <v/>
      </c>
      <c r="GE45" s="354" t="str">
        <f t="shared" si="168"/>
        <v/>
      </c>
      <c r="GF45" s="354" t="str">
        <f t="shared" si="169"/>
        <v/>
      </c>
      <c r="GG45" s="354" t="str">
        <f t="shared" si="170"/>
        <v/>
      </c>
      <c r="GH45" s="354" t="str">
        <f t="shared" si="171"/>
        <v/>
      </c>
      <c r="GI45" s="354" t="str">
        <f t="shared" si="172"/>
        <v/>
      </c>
      <c r="GJ45" s="354" t="str">
        <f t="shared" si="173"/>
        <v/>
      </c>
      <c r="GK45" s="354" t="str">
        <f t="shared" si="174"/>
        <v/>
      </c>
      <c r="GL45" s="354" t="str">
        <f t="shared" si="175"/>
        <v/>
      </c>
      <c r="GM45" s="354" t="str">
        <f t="shared" si="176"/>
        <v/>
      </c>
      <c r="GN45" s="354" t="str">
        <f t="shared" si="177"/>
        <v/>
      </c>
      <c r="GO45" s="354" t="str">
        <f t="shared" si="178"/>
        <v/>
      </c>
      <c r="GP45" s="354" t="str">
        <f t="shared" si="179"/>
        <v/>
      </c>
      <c r="GQ45" s="354" t="str">
        <f t="shared" si="180"/>
        <v/>
      </c>
      <c r="GR45" s="354" t="str">
        <f t="shared" si="181"/>
        <v/>
      </c>
      <c r="GS45" s="354" t="str">
        <f t="shared" si="182"/>
        <v/>
      </c>
      <c r="GT45" s="354" t="str">
        <f t="shared" si="183"/>
        <v/>
      </c>
      <c r="GU45" s="354" t="str">
        <f t="shared" si="184"/>
        <v/>
      </c>
      <c r="GV45" s="354" t="str">
        <f t="shared" si="185"/>
        <v/>
      </c>
      <c r="GW45" s="354" t="str">
        <f t="shared" si="186"/>
        <v/>
      </c>
      <c r="GX45" s="354" t="str">
        <f t="shared" si="187"/>
        <v/>
      </c>
      <c r="GY45" s="354" t="str">
        <f t="shared" si="188"/>
        <v/>
      </c>
      <c r="GZ45" s="354" t="str">
        <f t="shared" si="189"/>
        <v/>
      </c>
      <c r="HA45" s="354" t="str">
        <f t="shared" si="190"/>
        <v/>
      </c>
      <c r="HB45" s="354" t="str">
        <f t="shared" si="191"/>
        <v/>
      </c>
      <c r="HC45" s="354" t="str">
        <f t="shared" si="192"/>
        <v/>
      </c>
      <c r="HD45" s="354" t="str">
        <f t="shared" si="193"/>
        <v/>
      </c>
      <c r="HE45" s="354" t="str">
        <f t="shared" si="194"/>
        <v/>
      </c>
      <c r="HF45" s="354" t="str">
        <f t="shared" si="195"/>
        <v/>
      </c>
      <c r="HG45" s="354" t="str">
        <f t="shared" si="196"/>
        <v/>
      </c>
      <c r="HH45" s="354" t="str">
        <f t="shared" si="197"/>
        <v/>
      </c>
      <c r="HI45" s="354" t="str">
        <f t="shared" si="198"/>
        <v/>
      </c>
      <c r="HJ45" s="354" t="str">
        <f t="shared" si="199"/>
        <v/>
      </c>
      <c r="HK45" s="354" t="str">
        <f t="shared" si="200"/>
        <v/>
      </c>
      <c r="HL45" s="354" t="str">
        <f t="shared" si="201"/>
        <v/>
      </c>
      <c r="HM45" s="354" t="str">
        <f t="shared" si="202"/>
        <v/>
      </c>
      <c r="HN45" s="354" t="str">
        <f t="shared" si="203"/>
        <v/>
      </c>
      <c r="HO45" s="354" t="str">
        <f t="shared" si="204"/>
        <v/>
      </c>
      <c r="HP45" s="354" t="str">
        <f t="shared" si="205"/>
        <v/>
      </c>
      <c r="HQ45" s="354" t="str">
        <f t="shared" si="206"/>
        <v/>
      </c>
      <c r="HR45" s="354" t="str">
        <f t="shared" si="207"/>
        <v/>
      </c>
      <c r="HS45" s="354" t="str">
        <f t="shared" si="208"/>
        <v/>
      </c>
      <c r="HT45" s="354" t="str">
        <f t="shared" si="209"/>
        <v/>
      </c>
      <c r="HU45" s="354" t="str">
        <f t="shared" si="210"/>
        <v/>
      </c>
      <c r="HV45" s="354" t="str">
        <f t="shared" si="211"/>
        <v/>
      </c>
      <c r="HW45" s="354" t="str">
        <f t="shared" si="212"/>
        <v/>
      </c>
      <c r="HX45" s="354" t="str">
        <f t="shared" si="213"/>
        <v/>
      </c>
      <c r="HY45" s="354" t="str">
        <f t="shared" si="214"/>
        <v/>
      </c>
      <c r="HZ45" s="354" t="str">
        <f t="shared" si="215"/>
        <v/>
      </c>
      <c r="IA45" s="354" t="str">
        <f t="shared" si="216"/>
        <v/>
      </c>
      <c r="IB45" s="354" t="str">
        <f t="shared" si="217"/>
        <v/>
      </c>
      <c r="IC45" s="354" t="str">
        <f t="shared" si="218"/>
        <v/>
      </c>
      <c r="ID45" s="355" t="str">
        <f t="shared" si="219"/>
        <v/>
      </c>
      <c r="IE45" s="355" t="str">
        <f t="shared" si="220"/>
        <v/>
      </c>
      <c r="IF45" s="355" t="str">
        <f t="shared" si="221"/>
        <v/>
      </c>
      <c r="IG45" s="355" t="str">
        <f t="shared" si="222"/>
        <v/>
      </c>
      <c r="IH45" s="355" t="str">
        <f t="shared" si="223"/>
        <v/>
      </c>
      <c r="II45" s="344" t="str">
        <f t="shared" si="224"/>
        <v/>
      </c>
      <c r="IJ45" s="344" t="str">
        <f t="shared" si="225"/>
        <v/>
      </c>
      <c r="IK45" s="344" t="str">
        <f t="shared" si="226"/>
        <v/>
      </c>
      <c r="IL45" s="344" t="str">
        <f t="shared" si="227"/>
        <v/>
      </c>
      <c r="IM45" s="344" t="str">
        <f t="shared" si="228"/>
        <v/>
      </c>
      <c r="IN45" s="344" t="str">
        <f t="shared" si="229"/>
        <v/>
      </c>
      <c r="IO45" s="344" t="str">
        <f t="shared" si="230"/>
        <v/>
      </c>
      <c r="IP45" s="344" t="str">
        <f t="shared" si="231"/>
        <v/>
      </c>
      <c r="IQ45" s="344" t="str">
        <f t="shared" si="232"/>
        <v/>
      </c>
      <c r="IR45" s="344" t="str">
        <f t="shared" si="233"/>
        <v/>
      </c>
      <c r="IS45" s="344" t="str">
        <f t="shared" si="234"/>
        <v/>
      </c>
      <c r="IT45" s="344" t="str">
        <f t="shared" si="235"/>
        <v/>
      </c>
      <c r="IU45" s="344" t="str">
        <f t="shared" si="236"/>
        <v/>
      </c>
      <c r="IV45" s="344" t="str">
        <f t="shared" si="237"/>
        <v/>
      </c>
      <c r="IW45" s="344" t="str">
        <f t="shared" si="238"/>
        <v/>
      </c>
      <c r="IX45" s="344" t="str">
        <f t="shared" si="239"/>
        <v/>
      </c>
      <c r="IY45" s="344" t="str">
        <f t="shared" si="240"/>
        <v/>
      </c>
      <c r="IZ45" s="344" t="str">
        <f t="shared" si="241"/>
        <v/>
      </c>
      <c r="JA45" s="344" t="str">
        <f t="shared" si="242"/>
        <v/>
      </c>
      <c r="JB45" s="344" t="str">
        <f t="shared" si="243"/>
        <v/>
      </c>
      <c r="JC45" s="353">
        <f t="shared" si="244"/>
        <v>0</v>
      </c>
      <c r="JD45" s="353">
        <f t="shared" si="245"/>
        <v>0</v>
      </c>
      <c r="JE45" s="353">
        <f t="shared" si="246"/>
        <v>0</v>
      </c>
      <c r="JF45" s="353">
        <f t="shared" si="247"/>
        <v>0</v>
      </c>
      <c r="JG45" s="353">
        <f t="shared" si="248"/>
        <v>0</v>
      </c>
      <c r="JH45" s="353">
        <f t="shared" si="249"/>
        <v>0</v>
      </c>
      <c r="JI45" s="353">
        <f t="shared" si="250"/>
        <v>0</v>
      </c>
      <c r="JJ45" s="353">
        <f t="shared" si="251"/>
        <v>0</v>
      </c>
      <c r="JK45" s="353">
        <f t="shared" si="252"/>
        <v>0</v>
      </c>
      <c r="JL45" s="353">
        <f t="shared" si="253"/>
        <v>0</v>
      </c>
      <c r="JM45" s="353">
        <f t="shared" si="254"/>
        <v>0</v>
      </c>
      <c r="JN45" s="353">
        <f t="shared" si="255"/>
        <v>0</v>
      </c>
      <c r="JO45" s="353">
        <f t="shared" si="256"/>
        <v>0</v>
      </c>
      <c r="JP45" s="353">
        <f t="shared" si="257"/>
        <v>0</v>
      </c>
      <c r="JQ45" s="353">
        <f t="shared" si="258"/>
        <v>0</v>
      </c>
    </row>
    <row r="46" spans="1:296" ht="12" customHeight="1">
      <c r="A46" s="70" t="str">
        <f t="shared" si="0"/>
        <v/>
      </c>
      <c r="B46" s="2628" t="s">
        <v>781</v>
      </c>
      <c r="C46" s="2629"/>
      <c r="D46" s="2630"/>
      <c r="E46" s="2631"/>
      <c r="F46" s="2631"/>
      <c r="G46" s="2631"/>
      <c r="H46" s="2631"/>
      <c r="I46" s="2632">
        <f>IF(C46="",0,HLOOKUP(C46,'Part V-Utility Allowances'!$I$11:$M$21,11))</f>
        <v>0</v>
      </c>
      <c r="J46" s="2633"/>
      <c r="K46" s="488">
        <f t="shared" si="1"/>
        <v>0</v>
      </c>
      <c r="L46" s="488">
        <f t="shared" si="2"/>
        <v>0</v>
      </c>
      <c r="M46" s="2634"/>
      <c r="N46" s="2634"/>
      <c r="O46" s="2634"/>
      <c r="P46" s="2635"/>
      <c r="Q46" s="2636" t="str">
        <f t="shared" si="3"/>
        <v/>
      </c>
      <c r="R46" s="2637" t="str">
        <f>IF(H46="","",IF(C46="Efficiency",Q46/($O$6*VLOOKUP(0,'DCA Underwriting Assumptions'!$J$143:$K$148,2,FALSE)),Q46/($O$6*VLOOKUP(C46,'DCA Underwriting Assumptions'!$J$143:$K$148,2,FALSE))))</f>
        <v/>
      </c>
      <c r="S46" s="2638"/>
      <c r="T46" s="2639"/>
      <c r="U46" s="2594"/>
      <c r="V46" s="2595"/>
      <c r="W46" s="102" t="str">
        <f t="shared" si="4"/>
        <v/>
      </c>
      <c r="X46" s="102" t="str">
        <f t="shared" si="5"/>
        <v/>
      </c>
      <c r="Y46" s="102" t="str">
        <f t="shared" si="6"/>
        <v/>
      </c>
      <c r="Z46" s="102" t="str">
        <f t="shared" si="7"/>
        <v/>
      </c>
      <c r="AA46" s="102" t="str">
        <f t="shared" si="8"/>
        <v/>
      </c>
      <c r="AB46" s="102" t="str">
        <f t="shared" si="9"/>
        <v/>
      </c>
      <c r="AC46" s="102" t="str">
        <f t="shared" si="10"/>
        <v/>
      </c>
      <c r="AD46" s="102" t="str">
        <f t="shared" si="11"/>
        <v/>
      </c>
      <c r="AE46" s="102" t="str">
        <f t="shared" si="12"/>
        <v/>
      </c>
      <c r="AF46" s="102" t="str">
        <f t="shared" si="13"/>
        <v/>
      </c>
      <c r="AG46" s="102" t="str">
        <f t="shared" si="14"/>
        <v/>
      </c>
      <c r="AH46" s="102" t="str">
        <f t="shared" si="15"/>
        <v/>
      </c>
      <c r="AI46" s="102" t="str">
        <f t="shared" si="16"/>
        <v/>
      </c>
      <c r="AJ46" s="102" t="str">
        <f t="shared" si="17"/>
        <v/>
      </c>
      <c r="AK46" s="102" t="str">
        <f t="shared" si="18"/>
        <v/>
      </c>
      <c r="AL46" s="102" t="str">
        <f t="shared" si="19"/>
        <v/>
      </c>
      <c r="AM46" s="102" t="str">
        <f t="shared" si="20"/>
        <v/>
      </c>
      <c r="AN46" s="102" t="str">
        <f t="shared" si="21"/>
        <v/>
      </c>
      <c r="AO46" s="102" t="str">
        <f t="shared" si="22"/>
        <v/>
      </c>
      <c r="AP46" s="102" t="str">
        <f t="shared" si="23"/>
        <v/>
      </c>
      <c r="AQ46" s="102" t="str">
        <f t="shared" si="24"/>
        <v/>
      </c>
      <c r="AR46" s="102" t="str">
        <f t="shared" si="25"/>
        <v/>
      </c>
      <c r="AS46" s="102" t="str">
        <f t="shared" si="26"/>
        <v/>
      </c>
      <c r="AT46" s="102" t="str">
        <f t="shared" si="27"/>
        <v/>
      </c>
      <c r="AU46" s="102" t="str">
        <f t="shared" si="28"/>
        <v/>
      </c>
      <c r="AV46" s="102" t="str">
        <f t="shared" si="29"/>
        <v/>
      </c>
      <c r="AW46" s="102" t="str">
        <f t="shared" si="30"/>
        <v/>
      </c>
      <c r="AX46" s="102" t="str">
        <f t="shared" si="31"/>
        <v/>
      </c>
      <c r="AY46" s="102" t="str">
        <f t="shared" si="32"/>
        <v/>
      </c>
      <c r="AZ46" s="102" t="str">
        <f t="shared" si="33"/>
        <v/>
      </c>
      <c r="BA46" s="102" t="str">
        <f t="shared" si="34"/>
        <v/>
      </c>
      <c r="BB46" s="102" t="str">
        <f t="shared" si="35"/>
        <v/>
      </c>
      <c r="BC46" s="102" t="str">
        <f t="shared" si="36"/>
        <v/>
      </c>
      <c r="BD46" s="102" t="str">
        <f t="shared" si="37"/>
        <v/>
      </c>
      <c r="BE46" s="102" t="str">
        <f t="shared" si="38"/>
        <v/>
      </c>
      <c r="BF46" s="102" t="str">
        <f t="shared" si="39"/>
        <v/>
      </c>
      <c r="BG46" s="102" t="str">
        <f t="shared" si="40"/>
        <v/>
      </c>
      <c r="BH46" s="102" t="str">
        <f t="shared" si="41"/>
        <v/>
      </c>
      <c r="BI46" s="102" t="str">
        <f t="shared" si="42"/>
        <v/>
      </c>
      <c r="BJ46" s="102" t="str">
        <f t="shared" si="43"/>
        <v/>
      </c>
      <c r="BK46" s="102" t="str">
        <f t="shared" si="44"/>
        <v/>
      </c>
      <c r="BL46" s="102" t="str">
        <f t="shared" si="45"/>
        <v/>
      </c>
      <c r="BM46" s="102" t="str">
        <f t="shared" si="46"/>
        <v/>
      </c>
      <c r="BN46" s="102" t="str">
        <f t="shared" si="47"/>
        <v/>
      </c>
      <c r="BO46" s="102" t="str">
        <f t="shared" si="48"/>
        <v/>
      </c>
      <c r="BP46" s="102" t="str">
        <f t="shared" si="49"/>
        <v/>
      </c>
      <c r="BQ46" s="102" t="str">
        <f t="shared" si="50"/>
        <v/>
      </c>
      <c r="BR46" s="102" t="str">
        <f t="shared" si="51"/>
        <v/>
      </c>
      <c r="BS46" s="102" t="str">
        <f t="shared" si="52"/>
        <v/>
      </c>
      <c r="BT46" s="102" t="str">
        <f t="shared" si="53"/>
        <v/>
      </c>
      <c r="BU46" s="102" t="str">
        <f t="shared" si="54"/>
        <v/>
      </c>
      <c r="BV46" s="102" t="str">
        <f t="shared" si="55"/>
        <v/>
      </c>
      <c r="BW46" s="102" t="str">
        <f t="shared" si="56"/>
        <v/>
      </c>
      <c r="BX46" s="102" t="str">
        <f t="shared" si="57"/>
        <v/>
      </c>
      <c r="BY46" s="102" t="str">
        <f t="shared" si="58"/>
        <v/>
      </c>
      <c r="BZ46" s="102" t="str">
        <f t="shared" si="59"/>
        <v/>
      </c>
      <c r="CA46" s="102" t="str">
        <f t="shared" si="60"/>
        <v/>
      </c>
      <c r="CB46" s="102" t="str">
        <f t="shared" si="61"/>
        <v/>
      </c>
      <c r="CC46" s="102" t="str">
        <f t="shared" si="62"/>
        <v/>
      </c>
      <c r="CD46" s="102" t="str">
        <f t="shared" si="63"/>
        <v/>
      </c>
      <c r="CE46" s="102" t="str">
        <f t="shared" si="64"/>
        <v/>
      </c>
      <c r="CF46" s="102" t="str">
        <f t="shared" si="65"/>
        <v/>
      </c>
      <c r="CG46" s="102" t="str">
        <f t="shared" si="66"/>
        <v/>
      </c>
      <c r="CH46" s="102" t="str">
        <f t="shared" si="67"/>
        <v/>
      </c>
      <c r="CI46" s="102" t="str">
        <f t="shared" si="68"/>
        <v/>
      </c>
      <c r="CJ46" s="102" t="str">
        <f t="shared" si="69"/>
        <v/>
      </c>
      <c r="CK46" s="102" t="str">
        <f t="shared" si="70"/>
        <v/>
      </c>
      <c r="CL46" s="102" t="str">
        <f t="shared" si="71"/>
        <v/>
      </c>
      <c r="CM46" s="102" t="str">
        <f t="shared" si="72"/>
        <v/>
      </c>
      <c r="CN46" s="102" t="str">
        <f t="shared" si="73"/>
        <v/>
      </c>
      <c r="CO46" s="102" t="str">
        <f t="shared" si="74"/>
        <v/>
      </c>
      <c r="CP46" s="102" t="str">
        <f t="shared" si="75"/>
        <v/>
      </c>
      <c r="CQ46" s="102" t="str">
        <f t="shared" si="76"/>
        <v/>
      </c>
      <c r="CR46" s="102" t="str">
        <f t="shared" si="77"/>
        <v/>
      </c>
      <c r="CS46" s="102" t="str">
        <f t="shared" si="78"/>
        <v/>
      </c>
      <c r="CT46" s="102" t="str">
        <f t="shared" si="79"/>
        <v/>
      </c>
      <c r="CU46" s="102" t="str">
        <f t="shared" si="80"/>
        <v/>
      </c>
      <c r="CV46" s="102" t="str">
        <f t="shared" si="81"/>
        <v/>
      </c>
      <c r="CW46" s="102" t="str">
        <f t="shared" si="82"/>
        <v/>
      </c>
      <c r="CX46" s="102" t="str">
        <f t="shared" si="83"/>
        <v/>
      </c>
      <c r="CY46" s="102" t="str">
        <f t="shared" si="84"/>
        <v/>
      </c>
      <c r="CZ46" s="102" t="str">
        <f t="shared" si="85"/>
        <v/>
      </c>
      <c r="DA46" s="102" t="str">
        <f t="shared" si="86"/>
        <v/>
      </c>
      <c r="DB46" s="102" t="str">
        <f t="shared" si="87"/>
        <v/>
      </c>
      <c r="DC46" s="102" t="str">
        <f t="shared" si="88"/>
        <v/>
      </c>
      <c r="DD46" s="102" t="str">
        <f t="shared" si="89"/>
        <v/>
      </c>
      <c r="DE46" s="102" t="str">
        <f t="shared" si="90"/>
        <v/>
      </c>
      <c r="DF46" s="102" t="str">
        <f t="shared" si="91"/>
        <v/>
      </c>
      <c r="DG46" s="102" t="str">
        <f t="shared" si="92"/>
        <v/>
      </c>
      <c r="DH46" s="102" t="str">
        <f t="shared" si="93"/>
        <v/>
      </c>
      <c r="DI46" s="102" t="str">
        <f t="shared" si="94"/>
        <v/>
      </c>
      <c r="DJ46" s="102" t="str">
        <f t="shared" si="95"/>
        <v/>
      </c>
      <c r="DK46" s="102" t="str">
        <f t="shared" si="96"/>
        <v/>
      </c>
      <c r="DL46" s="102" t="str">
        <f t="shared" si="97"/>
        <v/>
      </c>
      <c r="DM46" s="102" t="str">
        <f t="shared" si="98"/>
        <v/>
      </c>
      <c r="DN46" s="102" t="str">
        <f t="shared" si="99"/>
        <v/>
      </c>
      <c r="DO46" s="102" t="str">
        <f t="shared" si="100"/>
        <v/>
      </c>
      <c r="DP46" s="102" t="str">
        <f t="shared" si="101"/>
        <v/>
      </c>
      <c r="DQ46" s="102" t="str">
        <f t="shared" si="102"/>
        <v/>
      </c>
      <c r="DR46" s="102" t="str">
        <f t="shared" si="103"/>
        <v/>
      </c>
      <c r="DS46" s="102" t="str">
        <f t="shared" si="104"/>
        <v/>
      </c>
      <c r="DT46" s="102" t="str">
        <f t="shared" si="105"/>
        <v/>
      </c>
      <c r="DU46" s="102" t="str">
        <f t="shared" si="106"/>
        <v/>
      </c>
      <c r="DV46" s="102" t="str">
        <f t="shared" si="107"/>
        <v/>
      </c>
      <c r="DW46" s="102" t="str">
        <f t="shared" si="108"/>
        <v/>
      </c>
      <c r="DX46" s="102" t="str">
        <f t="shared" si="109"/>
        <v/>
      </c>
      <c r="DY46" s="102" t="str">
        <f t="shared" si="110"/>
        <v/>
      </c>
      <c r="DZ46" s="102" t="str">
        <f t="shared" si="111"/>
        <v/>
      </c>
      <c r="EA46" s="102" t="str">
        <f t="shared" si="112"/>
        <v/>
      </c>
      <c r="EB46" s="102" t="str">
        <f t="shared" si="113"/>
        <v/>
      </c>
      <c r="EC46" s="102" t="str">
        <f t="shared" si="114"/>
        <v/>
      </c>
      <c r="ED46" s="102" t="str">
        <f t="shared" si="115"/>
        <v/>
      </c>
      <c r="EE46" s="102" t="str">
        <f t="shared" si="116"/>
        <v/>
      </c>
      <c r="EF46" s="102" t="str">
        <f t="shared" si="117"/>
        <v/>
      </c>
      <c r="EG46" s="102" t="str">
        <f t="shared" si="118"/>
        <v/>
      </c>
      <c r="EH46" s="102" t="str">
        <f t="shared" si="119"/>
        <v/>
      </c>
      <c r="EI46" s="102" t="str">
        <f t="shared" si="120"/>
        <v/>
      </c>
      <c r="EJ46" s="102" t="str">
        <f t="shared" si="121"/>
        <v/>
      </c>
      <c r="EK46" s="102" t="str">
        <f t="shared" si="122"/>
        <v/>
      </c>
      <c r="EL46" s="102" t="str">
        <f t="shared" si="123"/>
        <v/>
      </c>
      <c r="EM46" s="102" t="str">
        <f t="shared" si="124"/>
        <v/>
      </c>
      <c r="EN46" s="102" t="str">
        <f t="shared" si="125"/>
        <v/>
      </c>
      <c r="EO46" s="102" t="str">
        <f t="shared" si="126"/>
        <v/>
      </c>
      <c r="EP46" s="102" t="str">
        <f t="shared" si="127"/>
        <v/>
      </c>
      <c r="EQ46" s="102" t="str">
        <f t="shared" si="128"/>
        <v/>
      </c>
      <c r="ER46" s="102" t="str">
        <f t="shared" si="129"/>
        <v/>
      </c>
      <c r="ES46" s="102" t="str">
        <f t="shared" si="130"/>
        <v/>
      </c>
      <c r="ET46" s="102" t="str">
        <f t="shared" si="131"/>
        <v/>
      </c>
      <c r="EU46" s="102" t="str">
        <f t="shared" si="132"/>
        <v/>
      </c>
      <c r="EV46" s="102" t="str">
        <f t="shared" si="133"/>
        <v/>
      </c>
      <c r="EW46" s="792" t="str">
        <f t="shared" si="134"/>
        <v/>
      </c>
      <c r="EX46" s="354" t="str">
        <f t="shared" si="135"/>
        <v/>
      </c>
      <c r="EY46" s="354" t="str">
        <f t="shared" si="136"/>
        <v/>
      </c>
      <c r="EZ46" s="354" t="str">
        <f t="shared" si="137"/>
        <v/>
      </c>
      <c r="FA46" s="354" t="str">
        <f t="shared" si="138"/>
        <v/>
      </c>
      <c r="FB46" s="354" t="str">
        <f t="shared" si="139"/>
        <v/>
      </c>
      <c r="FC46" s="354" t="str">
        <f t="shared" si="140"/>
        <v/>
      </c>
      <c r="FD46" s="354" t="str">
        <f t="shared" si="141"/>
        <v/>
      </c>
      <c r="FE46" s="354" t="str">
        <f t="shared" si="142"/>
        <v/>
      </c>
      <c r="FF46" s="354" t="str">
        <f t="shared" si="143"/>
        <v/>
      </c>
      <c r="FG46" s="354" t="str">
        <f t="shared" si="144"/>
        <v/>
      </c>
      <c r="FH46" s="354" t="str">
        <f t="shared" si="145"/>
        <v/>
      </c>
      <c r="FI46" s="354" t="str">
        <f t="shared" si="146"/>
        <v/>
      </c>
      <c r="FJ46" s="354" t="str">
        <f t="shared" si="147"/>
        <v/>
      </c>
      <c r="FK46" s="354" t="str">
        <f t="shared" si="148"/>
        <v/>
      </c>
      <c r="FL46" s="354" t="str">
        <f t="shared" si="149"/>
        <v/>
      </c>
      <c r="FM46" s="354" t="str">
        <f t="shared" si="150"/>
        <v/>
      </c>
      <c r="FN46" s="354" t="str">
        <f t="shared" si="151"/>
        <v/>
      </c>
      <c r="FO46" s="354" t="str">
        <f t="shared" si="152"/>
        <v/>
      </c>
      <c r="FP46" s="354" t="str">
        <f t="shared" si="153"/>
        <v/>
      </c>
      <c r="FQ46" s="354" t="str">
        <f t="shared" si="154"/>
        <v/>
      </c>
      <c r="FR46" s="354" t="str">
        <f t="shared" si="155"/>
        <v/>
      </c>
      <c r="FS46" s="354" t="str">
        <f t="shared" si="156"/>
        <v/>
      </c>
      <c r="FT46" s="354" t="str">
        <f t="shared" si="157"/>
        <v/>
      </c>
      <c r="FU46" s="354" t="str">
        <f t="shared" si="158"/>
        <v/>
      </c>
      <c r="FV46" s="354" t="str">
        <f t="shared" si="159"/>
        <v/>
      </c>
      <c r="FW46" s="354" t="str">
        <f t="shared" si="160"/>
        <v/>
      </c>
      <c r="FX46" s="354" t="str">
        <f t="shared" si="161"/>
        <v/>
      </c>
      <c r="FY46" s="354" t="str">
        <f t="shared" si="162"/>
        <v/>
      </c>
      <c r="FZ46" s="354" t="str">
        <f t="shared" si="163"/>
        <v/>
      </c>
      <c r="GA46" s="354" t="str">
        <f t="shared" si="164"/>
        <v/>
      </c>
      <c r="GB46" s="354" t="str">
        <f t="shared" si="165"/>
        <v/>
      </c>
      <c r="GC46" s="354" t="str">
        <f t="shared" si="166"/>
        <v/>
      </c>
      <c r="GD46" s="354" t="str">
        <f t="shared" si="167"/>
        <v/>
      </c>
      <c r="GE46" s="354" t="str">
        <f t="shared" si="168"/>
        <v/>
      </c>
      <c r="GF46" s="354" t="str">
        <f t="shared" si="169"/>
        <v/>
      </c>
      <c r="GG46" s="354" t="str">
        <f t="shared" si="170"/>
        <v/>
      </c>
      <c r="GH46" s="354" t="str">
        <f t="shared" si="171"/>
        <v/>
      </c>
      <c r="GI46" s="354" t="str">
        <f t="shared" si="172"/>
        <v/>
      </c>
      <c r="GJ46" s="354" t="str">
        <f t="shared" si="173"/>
        <v/>
      </c>
      <c r="GK46" s="354" t="str">
        <f t="shared" si="174"/>
        <v/>
      </c>
      <c r="GL46" s="354" t="str">
        <f t="shared" si="175"/>
        <v/>
      </c>
      <c r="GM46" s="354" t="str">
        <f t="shared" si="176"/>
        <v/>
      </c>
      <c r="GN46" s="354" t="str">
        <f t="shared" si="177"/>
        <v/>
      </c>
      <c r="GO46" s="354" t="str">
        <f t="shared" si="178"/>
        <v/>
      </c>
      <c r="GP46" s="354" t="str">
        <f t="shared" si="179"/>
        <v/>
      </c>
      <c r="GQ46" s="354" t="str">
        <f t="shared" si="180"/>
        <v/>
      </c>
      <c r="GR46" s="354" t="str">
        <f t="shared" si="181"/>
        <v/>
      </c>
      <c r="GS46" s="354" t="str">
        <f t="shared" si="182"/>
        <v/>
      </c>
      <c r="GT46" s="354" t="str">
        <f t="shared" si="183"/>
        <v/>
      </c>
      <c r="GU46" s="354" t="str">
        <f t="shared" si="184"/>
        <v/>
      </c>
      <c r="GV46" s="354" t="str">
        <f t="shared" si="185"/>
        <v/>
      </c>
      <c r="GW46" s="354" t="str">
        <f t="shared" si="186"/>
        <v/>
      </c>
      <c r="GX46" s="354" t="str">
        <f t="shared" si="187"/>
        <v/>
      </c>
      <c r="GY46" s="354" t="str">
        <f t="shared" si="188"/>
        <v/>
      </c>
      <c r="GZ46" s="354" t="str">
        <f t="shared" si="189"/>
        <v/>
      </c>
      <c r="HA46" s="354" t="str">
        <f t="shared" si="190"/>
        <v/>
      </c>
      <c r="HB46" s="354" t="str">
        <f t="shared" si="191"/>
        <v/>
      </c>
      <c r="HC46" s="354" t="str">
        <f t="shared" si="192"/>
        <v/>
      </c>
      <c r="HD46" s="354" t="str">
        <f t="shared" si="193"/>
        <v/>
      </c>
      <c r="HE46" s="354" t="str">
        <f t="shared" si="194"/>
        <v/>
      </c>
      <c r="HF46" s="354" t="str">
        <f t="shared" si="195"/>
        <v/>
      </c>
      <c r="HG46" s="354" t="str">
        <f t="shared" si="196"/>
        <v/>
      </c>
      <c r="HH46" s="354" t="str">
        <f t="shared" si="197"/>
        <v/>
      </c>
      <c r="HI46" s="354" t="str">
        <f t="shared" si="198"/>
        <v/>
      </c>
      <c r="HJ46" s="354" t="str">
        <f t="shared" si="199"/>
        <v/>
      </c>
      <c r="HK46" s="354" t="str">
        <f t="shared" si="200"/>
        <v/>
      </c>
      <c r="HL46" s="354" t="str">
        <f t="shared" si="201"/>
        <v/>
      </c>
      <c r="HM46" s="354" t="str">
        <f t="shared" si="202"/>
        <v/>
      </c>
      <c r="HN46" s="354" t="str">
        <f t="shared" si="203"/>
        <v/>
      </c>
      <c r="HO46" s="354" t="str">
        <f t="shared" si="204"/>
        <v/>
      </c>
      <c r="HP46" s="354" t="str">
        <f t="shared" si="205"/>
        <v/>
      </c>
      <c r="HQ46" s="354" t="str">
        <f t="shared" si="206"/>
        <v/>
      </c>
      <c r="HR46" s="354" t="str">
        <f t="shared" si="207"/>
        <v/>
      </c>
      <c r="HS46" s="354" t="str">
        <f t="shared" si="208"/>
        <v/>
      </c>
      <c r="HT46" s="354" t="str">
        <f t="shared" si="209"/>
        <v/>
      </c>
      <c r="HU46" s="354" t="str">
        <f t="shared" si="210"/>
        <v/>
      </c>
      <c r="HV46" s="354" t="str">
        <f t="shared" si="211"/>
        <v/>
      </c>
      <c r="HW46" s="354" t="str">
        <f t="shared" si="212"/>
        <v/>
      </c>
      <c r="HX46" s="354" t="str">
        <f t="shared" si="213"/>
        <v/>
      </c>
      <c r="HY46" s="354" t="str">
        <f t="shared" si="214"/>
        <v/>
      </c>
      <c r="HZ46" s="354" t="str">
        <f t="shared" si="215"/>
        <v/>
      </c>
      <c r="IA46" s="354" t="str">
        <f t="shared" si="216"/>
        <v/>
      </c>
      <c r="IB46" s="354" t="str">
        <f t="shared" si="217"/>
        <v/>
      </c>
      <c r="IC46" s="354" t="str">
        <f t="shared" si="218"/>
        <v/>
      </c>
      <c r="ID46" s="355" t="str">
        <f t="shared" si="219"/>
        <v/>
      </c>
      <c r="IE46" s="355" t="str">
        <f t="shared" si="220"/>
        <v/>
      </c>
      <c r="IF46" s="355" t="str">
        <f t="shared" si="221"/>
        <v/>
      </c>
      <c r="IG46" s="355" t="str">
        <f t="shared" si="222"/>
        <v/>
      </c>
      <c r="IH46" s="355" t="str">
        <f t="shared" si="223"/>
        <v/>
      </c>
      <c r="II46" s="344" t="str">
        <f t="shared" si="224"/>
        <v/>
      </c>
      <c r="IJ46" s="344" t="str">
        <f t="shared" si="225"/>
        <v/>
      </c>
      <c r="IK46" s="344" t="str">
        <f t="shared" si="226"/>
        <v/>
      </c>
      <c r="IL46" s="344" t="str">
        <f t="shared" si="227"/>
        <v/>
      </c>
      <c r="IM46" s="344" t="str">
        <f t="shared" si="228"/>
        <v/>
      </c>
      <c r="IN46" s="344" t="str">
        <f t="shared" si="229"/>
        <v/>
      </c>
      <c r="IO46" s="344" t="str">
        <f t="shared" si="230"/>
        <v/>
      </c>
      <c r="IP46" s="344" t="str">
        <f t="shared" si="231"/>
        <v/>
      </c>
      <c r="IQ46" s="344" t="str">
        <f t="shared" si="232"/>
        <v/>
      </c>
      <c r="IR46" s="344" t="str">
        <f t="shared" si="233"/>
        <v/>
      </c>
      <c r="IS46" s="344" t="str">
        <f t="shared" si="234"/>
        <v/>
      </c>
      <c r="IT46" s="344" t="str">
        <f t="shared" si="235"/>
        <v/>
      </c>
      <c r="IU46" s="344" t="str">
        <f t="shared" si="236"/>
        <v/>
      </c>
      <c r="IV46" s="344" t="str">
        <f t="shared" si="237"/>
        <v/>
      </c>
      <c r="IW46" s="344" t="str">
        <f t="shared" si="238"/>
        <v/>
      </c>
      <c r="IX46" s="344" t="str">
        <f t="shared" si="239"/>
        <v/>
      </c>
      <c r="IY46" s="344" t="str">
        <f t="shared" si="240"/>
        <v/>
      </c>
      <c r="IZ46" s="344" t="str">
        <f t="shared" si="241"/>
        <v/>
      </c>
      <c r="JA46" s="344" t="str">
        <f t="shared" si="242"/>
        <v/>
      </c>
      <c r="JB46" s="344" t="str">
        <f t="shared" si="243"/>
        <v/>
      </c>
      <c r="JC46" s="353">
        <f t="shared" si="244"/>
        <v>0</v>
      </c>
      <c r="JD46" s="353">
        <f t="shared" si="245"/>
        <v>0</v>
      </c>
      <c r="JE46" s="353">
        <f t="shared" si="246"/>
        <v>0</v>
      </c>
      <c r="JF46" s="353">
        <f t="shared" si="247"/>
        <v>0</v>
      </c>
      <c r="JG46" s="353">
        <f t="shared" si="248"/>
        <v>0</v>
      </c>
      <c r="JH46" s="353">
        <f t="shared" si="249"/>
        <v>0</v>
      </c>
      <c r="JI46" s="353">
        <f t="shared" si="250"/>
        <v>0</v>
      </c>
      <c r="JJ46" s="353">
        <f t="shared" si="251"/>
        <v>0</v>
      </c>
      <c r="JK46" s="353">
        <f t="shared" si="252"/>
        <v>0</v>
      </c>
      <c r="JL46" s="353">
        <f t="shared" si="253"/>
        <v>0</v>
      </c>
      <c r="JM46" s="353">
        <f t="shared" si="254"/>
        <v>0</v>
      </c>
      <c r="JN46" s="353">
        <f t="shared" si="255"/>
        <v>0</v>
      </c>
      <c r="JO46" s="353">
        <f t="shared" si="256"/>
        <v>0</v>
      </c>
      <c r="JP46" s="353">
        <f t="shared" si="257"/>
        <v>0</v>
      </c>
      <c r="JQ46" s="353">
        <f t="shared" si="258"/>
        <v>0</v>
      </c>
    </row>
    <row r="47" spans="1:296" ht="12" customHeight="1">
      <c r="A47" s="70" t="str">
        <f t="shared" si="0"/>
        <v/>
      </c>
      <c r="B47" s="2640" t="s">
        <v>781</v>
      </c>
      <c r="C47" s="2641"/>
      <c r="D47" s="2642"/>
      <c r="E47" s="2643"/>
      <c r="F47" s="2643"/>
      <c r="G47" s="2643"/>
      <c r="H47" s="2643"/>
      <c r="I47" s="2644">
        <f>IF(C47="",0,HLOOKUP(C47,'Part V-Utility Allowances'!$I$11:$M$21,11))</f>
        <v>0</v>
      </c>
      <c r="J47" s="2645"/>
      <c r="K47" s="489">
        <f t="shared" si="1"/>
        <v>0</v>
      </c>
      <c r="L47" s="489">
        <f t="shared" si="2"/>
        <v>0</v>
      </c>
      <c r="M47" s="2646"/>
      <c r="N47" s="2646"/>
      <c r="O47" s="2646"/>
      <c r="P47" s="2647"/>
      <c r="Q47" s="2648" t="str">
        <f t="shared" si="3"/>
        <v/>
      </c>
      <c r="R47" s="2649" t="str">
        <f>IF(H47="","",IF(C47="Efficiency",Q47/($O$6*VLOOKUP(0,'DCA Underwriting Assumptions'!$J$143:$K$148,2,FALSE)),Q47/($O$6*VLOOKUP(C47,'DCA Underwriting Assumptions'!$J$143:$K$148,2,FALSE))))</f>
        <v/>
      </c>
      <c r="S47" s="2650"/>
      <c r="T47" s="2651"/>
      <c r="U47" s="2600"/>
      <c r="V47" s="2601"/>
      <c r="W47" s="102" t="str">
        <f t="shared" si="4"/>
        <v/>
      </c>
      <c r="X47" s="102" t="str">
        <f t="shared" si="5"/>
        <v/>
      </c>
      <c r="Y47" s="102" t="str">
        <f t="shared" si="6"/>
        <v/>
      </c>
      <c r="Z47" s="102" t="str">
        <f t="shared" si="7"/>
        <v/>
      </c>
      <c r="AA47" s="102" t="str">
        <f t="shared" si="8"/>
        <v/>
      </c>
      <c r="AB47" s="102" t="str">
        <f t="shared" si="9"/>
        <v/>
      </c>
      <c r="AC47" s="102" t="str">
        <f t="shared" si="10"/>
        <v/>
      </c>
      <c r="AD47" s="102" t="str">
        <f t="shared" si="11"/>
        <v/>
      </c>
      <c r="AE47" s="102" t="str">
        <f t="shared" si="12"/>
        <v/>
      </c>
      <c r="AF47" s="102" t="str">
        <f t="shared" si="13"/>
        <v/>
      </c>
      <c r="AG47" s="102" t="str">
        <f t="shared" si="14"/>
        <v/>
      </c>
      <c r="AH47" s="102" t="str">
        <f t="shared" si="15"/>
        <v/>
      </c>
      <c r="AI47" s="102" t="str">
        <f t="shared" si="16"/>
        <v/>
      </c>
      <c r="AJ47" s="102" t="str">
        <f t="shared" si="17"/>
        <v/>
      </c>
      <c r="AK47" s="102" t="str">
        <f t="shared" si="18"/>
        <v/>
      </c>
      <c r="AL47" s="102" t="str">
        <f t="shared" si="19"/>
        <v/>
      </c>
      <c r="AM47" s="102" t="str">
        <f t="shared" si="20"/>
        <v/>
      </c>
      <c r="AN47" s="102" t="str">
        <f t="shared" si="21"/>
        <v/>
      </c>
      <c r="AO47" s="102" t="str">
        <f t="shared" si="22"/>
        <v/>
      </c>
      <c r="AP47" s="102" t="str">
        <f t="shared" si="23"/>
        <v/>
      </c>
      <c r="AQ47" s="102" t="str">
        <f t="shared" si="24"/>
        <v/>
      </c>
      <c r="AR47" s="102" t="str">
        <f t="shared" si="25"/>
        <v/>
      </c>
      <c r="AS47" s="102" t="str">
        <f t="shared" si="26"/>
        <v/>
      </c>
      <c r="AT47" s="102" t="str">
        <f t="shared" si="27"/>
        <v/>
      </c>
      <c r="AU47" s="102" t="str">
        <f t="shared" si="28"/>
        <v/>
      </c>
      <c r="AV47" s="102" t="str">
        <f t="shared" si="29"/>
        <v/>
      </c>
      <c r="AW47" s="102" t="str">
        <f t="shared" si="30"/>
        <v/>
      </c>
      <c r="AX47" s="102" t="str">
        <f t="shared" si="31"/>
        <v/>
      </c>
      <c r="AY47" s="102" t="str">
        <f t="shared" si="32"/>
        <v/>
      </c>
      <c r="AZ47" s="102" t="str">
        <f t="shared" si="33"/>
        <v/>
      </c>
      <c r="BA47" s="102" t="str">
        <f t="shared" si="34"/>
        <v/>
      </c>
      <c r="BB47" s="102" t="str">
        <f t="shared" si="35"/>
        <v/>
      </c>
      <c r="BC47" s="102" t="str">
        <f t="shared" si="36"/>
        <v/>
      </c>
      <c r="BD47" s="102" t="str">
        <f t="shared" si="37"/>
        <v/>
      </c>
      <c r="BE47" s="102" t="str">
        <f t="shared" si="38"/>
        <v/>
      </c>
      <c r="BF47" s="102" t="str">
        <f t="shared" si="39"/>
        <v/>
      </c>
      <c r="BG47" s="102" t="str">
        <f t="shared" si="40"/>
        <v/>
      </c>
      <c r="BH47" s="102" t="str">
        <f t="shared" si="41"/>
        <v/>
      </c>
      <c r="BI47" s="102" t="str">
        <f t="shared" si="42"/>
        <v/>
      </c>
      <c r="BJ47" s="102" t="str">
        <f t="shared" si="43"/>
        <v/>
      </c>
      <c r="BK47" s="102" t="str">
        <f t="shared" si="44"/>
        <v/>
      </c>
      <c r="BL47" s="102" t="str">
        <f t="shared" si="45"/>
        <v/>
      </c>
      <c r="BM47" s="102" t="str">
        <f t="shared" si="46"/>
        <v/>
      </c>
      <c r="BN47" s="102" t="str">
        <f t="shared" si="47"/>
        <v/>
      </c>
      <c r="BO47" s="102" t="str">
        <f t="shared" si="48"/>
        <v/>
      </c>
      <c r="BP47" s="102" t="str">
        <f t="shared" si="49"/>
        <v/>
      </c>
      <c r="BQ47" s="102" t="str">
        <f t="shared" si="50"/>
        <v/>
      </c>
      <c r="BR47" s="102" t="str">
        <f t="shared" si="51"/>
        <v/>
      </c>
      <c r="BS47" s="102" t="str">
        <f t="shared" si="52"/>
        <v/>
      </c>
      <c r="BT47" s="102" t="str">
        <f t="shared" si="53"/>
        <v/>
      </c>
      <c r="BU47" s="102" t="str">
        <f t="shared" si="54"/>
        <v/>
      </c>
      <c r="BV47" s="102" t="str">
        <f t="shared" si="55"/>
        <v/>
      </c>
      <c r="BW47" s="102" t="str">
        <f t="shared" si="56"/>
        <v/>
      </c>
      <c r="BX47" s="102" t="str">
        <f t="shared" si="57"/>
        <v/>
      </c>
      <c r="BY47" s="102" t="str">
        <f t="shared" si="58"/>
        <v/>
      </c>
      <c r="BZ47" s="102" t="str">
        <f t="shared" si="59"/>
        <v/>
      </c>
      <c r="CA47" s="102" t="str">
        <f t="shared" si="60"/>
        <v/>
      </c>
      <c r="CB47" s="102" t="str">
        <f t="shared" si="61"/>
        <v/>
      </c>
      <c r="CC47" s="102" t="str">
        <f t="shared" si="62"/>
        <v/>
      </c>
      <c r="CD47" s="102" t="str">
        <f t="shared" si="63"/>
        <v/>
      </c>
      <c r="CE47" s="102" t="str">
        <f t="shared" si="64"/>
        <v/>
      </c>
      <c r="CF47" s="102" t="str">
        <f t="shared" si="65"/>
        <v/>
      </c>
      <c r="CG47" s="102" t="str">
        <f t="shared" si="66"/>
        <v/>
      </c>
      <c r="CH47" s="102" t="str">
        <f t="shared" si="67"/>
        <v/>
      </c>
      <c r="CI47" s="102" t="str">
        <f t="shared" si="68"/>
        <v/>
      </c>
      <c r="CJ47" s="102" t="str">
        <f t="shared" si="69"/>
        <v/>
      </c>
      <c r="CK47" s="102" t="str">
        <f t="shared" si="70"/>
        <v/>
      </c>
      <c r="CL47" s="102" t="str">
        <f t="shared" si="71"/>
        <v/>
      </c>
      <c r="CM47" s="102" t="str">
        <f t="shared" si="72"/>
        <v/>
      </c>
      <c r="CN47" s="102" t="str">
        <f t="shared" si="73"/>
        <v/>
      </c>
      <c r="CO47" s="102" t="str">
        <f t="shared" si="74"/>
        <v/>
      </c>
      <c r="CP47" s="102" t="str">
        <f t="shared" si="75"/>
        <v/>
      </c>
      <c r="CQ47" s="102" t="str">
        <f t="shared" si="76"/>
        <v/>
      </c>
      <c r="CR47" s="102" t="str">
        <f t="shared" si="77"/>
        <v/>
      </c>
      <c r="CS47" s="102" t="str">
        <f t="shared" si="78"/>
        <v/>
      </c>
      <c r="CT47" s="102" t="str">
        <f t="shared" si="79"/>
        <v/>
      </c>
      <c r="CU47" s="102" t="str">
        <f t="shared" si="80"/>
        <v/>
      </c>
      <c r="CV47" s="102" t="str">
        <f t="shared" si="81"/>
        <v/>
      </c>
      <c r="CW47" s="102" t="str">
        <f t="shared" si="82"/>
        <v/>
      </c>
      <c r="CX47" s="102" t="str">
        <f t="shared" si="83"/>
        <v/>
      </c>
      <c r="CY47" s="102" t="str">
        <f t="shared" si="84"/>
        <v/>
      </c>
      <c r="CZ47" s="102" t="str">
        <f t="shared" si="85"/>
        <v/>
      </c>
      <c r="DA47" s="102" t="str">
        <f t="shared" si="86"/>
        <v/>
      </c>
      <c r="DB47" s="102" t="str">
        <f t="shared" si="87"/>
        <v/>
      </c>
      <c r="DC47" s="102" t="str">
        <f t="shared" si="88"/>
        <v/>
      </c>
      <c r="DD47" s="102" t="str">
        <f t="shared" si="89"/>
        <v/>
      </c>
      <c r="DE47" s="102" t="str">
        <f t="shared" si="90"/>
        <v/>
      </c>
      <c r="DF47" s="102" t="str">
        <f t="shared" si="91"/>
        <v/>
      </c>
      <c r="DG47" s="102" t="str">
        <f t="shared" si="92"/>
        <v/>
      </c>
      <c r="DH47" s="102" t="str">
        <f t="shared" si="93"/>
        <v/>
      </c>
      <c r="DI47" s="102" t="str">
        <f t="shared" si="94"/>
        <v/>
      </c>
      <c r="DJ47" s="102" t="str">
        <f t="shared" si="95"/>
        <v/>
      </c>
      <c r="DK47" s="102" t="str">
        <f t="shared" si="96"/>
        <v/>
      </c>
      <c r="DL47" s="102" t="str">
        <f t="shared" si="97"/>
        <v/>
      </c>
      <c r="DM47" s="102" t="str">
        <f t="shared" si="98"/>
        <v/>
      </c>
      <c r="DN47" s="102" t="str">
        <f t="shared" si="99"/>
        <v/>
      </c>
      <c r="DO47" s="102" t="str">
        <f t="shared" si="100"/>
        <v/>
      </c>
      <c r="DP47" s="102" t="str">
        <f t="shared" si="101"/>
        <v/>
      </c>
      <c r="DQ47" s="102" t="str">
        <f t="shared" si="102"/>
        <v/>
      </c>
      <c r="DR47" s="102" t="str">
        <f t="shared" si="103"/>
        <v/>
      </c>
      <c r="DS47" s="102" t="str">
        <f t="shared" si="104"/>
        <v/>
      </c>
      <c r="DT47" s="102" t="str">
        <f t="shared" si="105"/>
        <v/>
      </c>
      <c r="DU47" s="102" t="str">
        <f t="shared" si="106"/>
        <v/>
      </c>
      <c r="DV47" s="102" t="str">
        <f t="shared" si="107"/>
        <v/>
      </c>
      <c r="DW47" s="102" t="str">
        <f t="shared" si="108"/>
        <v/>
      </c>
      <c r="DX47" s="102" t="str">
        <f t="shared" si="109"/>
        <v/>
      </c>
      <c r="DY47" s="102" t="str">
        <f t="shared" si="110"/>
        <v/>
      </c>
      <c r="DZ47" s="102" t="str">
        <f t="shared" si="111"/>
        <v/>
      </c>
      <c r="EA47" s="102" t="str">
        <f t="shared" si="112"/>
        <v/>
      </c>
      <c r="EB47" s="102" t="str">
        <f t="shared" si="113"/>
        <v/>
      </c>
      <c r="EC47" s="102" t="str">
        <f t="shared" si="114"/>
        <v/>
      </c>
      <c r="ED47" s="102" t="str">
        <f t="shared" si="115"/>
        <v/>
      </c>
      <c r="EE47" s="102" t="str">
        <f t="shared" si="116"/>
        <v/>
      </c>
      <c r="EF47" s="102" t="str">
        <f t="shared" si="117"/>
        <v/>
      </c>
      <c r="EG47" s="102" t="str">
        <f t="shared" si="118"/>
        <v/>
      </c>
      <c r="EH47" s="102" t="str">
        <f t="shared" si="119"/>
        <v/>
      </c>
      <c r="EI47" s="102" t="str">
        <f t="shared" si="120"/>
        <v/>
      </c>
      <c r="EJ47" s="102" t="str">
        <f t="shared" si="121"/>
        <v/>
      </c>
      <c r="EK47" s="102" t="str">
        <f t="shared" si="122"/>
        <v/>
      </c>
      <c r="EL47" s="102" t="str">
        <f t="shared" si="123"/>
        <v/>
      </c>
      <c r="EM47" s="102" t="str">
        <f t="shared" si="124"/>
        <v/>
      </c>
      <c r="EN47" s="102" t="str">
        <f t="shared" si="125"/>
        <v/>
      </c>
      <c r="EO47" s="102" t="str">
        <f t="shared" si="126"/>
        <v/>
      </c>
      <c r="EP47" s="102" t="str">
        <f t="shared" si="127"/>
        <v/>
      </c>
      <c r="EQ47" s="102" t="str">
        <f t="shared" si="128"/>
        <v/>
      </c>
      <c r="ER47" s="102" t="str">
        <f t="shared" si="129"/>
        <v/>
      </c>
      <c r="ES47" s="102" t="str">
        <f t="shared" si="130"/>
        <v/>
      </c>
      <c r="ET47" s="102" t="str">
        <f t="shared" si="131"/>
        <v/>
      </c>
      <c r="EU47" s="102" t="str">
        <f t="shared" si="132"/>
        <v/>
      </c>
      <c r="EV47" s="102" t="str">
        <f t="shared" si="133"/>
        <v/>
      </c>
      <c r="EW47" s="792" t="str">
        <f t="shared" si="134"/>
        <v/>
      </c>
      <c r="EX47" s="354" t="str">
        <f t="shared" si="135"/>
        <v/>
      </c>
      <c r="EY47" s="354" t="str">
        <f t="shared" si="136"/>
        <v/>
      </c>
      <c r="EZ47" s="354" t="str">
        <f t="shared" si="137"/>
        <v/>
      </c>
      <c r="FA47" s="354" t="str">
        <f t="shared" si="138"/>
        <v/>
      </c>
      <c r="FB47" s="354" t="str">
        <f t="shared" si="139"/>
        <v/>
      </c>
      <c r="FC47" s="354" t="str">
        <f t="shared" si="140"/>
        <v/>
      </c>
      <c r="FD47" s="354" t="str">
        <f t="shared" si="141"/>
        <v/>
      </c>
      <c r="FE47" s="354" t="str">
        <f t="shared" si="142"/>
        <v/>
      </c>
      <c r="FF47" s="354" t="str">
        <f t="shared" si="143"/>
        <v/>
      </c>
      <c r="FG47" s="354" t="str">
        <f t="shared" si="144"/>
        <v/>
      </c>
      <c r="FH47" s="354" t="str">
        <f t="shared" si="145"/>
        <v/>
      </c>
      <c r="FI47" s="354" t="str">
        <f t="shared" si="146"/>
        <v/>
      </c>
      <c r="FJ47" s="354" t="str">
        <f t="shared" si="147"/>
        <v/>
      </c>
      <c r="FK47" s="354" t="str">
        <f t="shared" si="148"/>
        <v/>
      </c>
      <c r="FL47" s="354" t="str">
        <f t="shared" si="149"/>
        <v/>
      </c>
      <c r="FM47" s="354" t="str">
        <f t="shared" si="150"/>
        <v/>
      </c>
      <c r="FN47" s="354" t="str">
        <f t="shared" si="151"/>
        <v/>
      </c>
      <c r="FO47" s="354" t="str">
        <f t="shared" si="152"/>
        <v/>
      </c>
      <c r="FP47" s="354" t="str">
        <f t="shared" si="153"/>
        <v/>
      </c>
      <c r="FQ47" s="354" t="str">
        <f t="shared" si="154"/>
        <v/>
      </c>
      <c r="FR47" s="354" t="str">
        <f t="shared" si="155"/>
        <v/>
      </c>
      <c r="FS47" s="354" t="str">
        <f t="shared" si="156"/>
        <v/>
      </c>
      <c r="FT47" s="354" t="str">
        <f t="shared" si="157"/>
        <v/>
      </c>
      <c r="FU47" s="354" t="str">
        <f t="shared" si="158"/>
        <v/>
      </c>
      <c r="FV47" s="354" t="str">
        <f t="shared" si="159"/>
        <v/>
      </c>
      <c r="FW47" s="354" t="str">
        <f t="shared" si="160"/>
        <v/>
      </c>
      <c r="FX47" s="354" t="str">
        <f t="shared" si="161"/>
        <v/>
      </c>
      <c r="FY47" s="354" t="str">
        <f t="shared" si="162"/>
        <v/>
      </c>
      <c r="FZ47" s="354" t="str">
        <f t="shared" si="163"/>
        <v/>
      </c>
      <c r="GA47" s="354" t="str">
        <f t="shared" si="164"/>
        <v/>
      </c>
      <c r="GB47" s="354" t="str">
        <f t="shared" si="165"/>
        <v/>
      </c>
      <c r="GC47" s="354" t="str">
        <f t="shared" si="166"/>
        <v/>
      </c>
      <c r="GD47" s="354" t="str">
        <f t="shared" si="167"/>
        <v/>
      </c>
      <c r="GE47" s="354" t="str">
        <f t="shared" si="168"/>
        <v/>
      </c>
      <c r="GF47" s="354" t="str">
        <f t="shared" si="169"/>
        <v/>
      </c>
      <c r="GG47" s="354" t="str">
        <f t="shared" si="170"/>
        <v/>
      </c>
      <c r="GH47" s="354" t="str">
        <f t="shared" si="171"/>
        <v/>
      </c>
      <c r="GI47" s="354" t="str">
        <f t="shared" si="172"/>
        <v/>
      </c>
      <c r="GJ47" s="354" t="str">
        <f t="shared" si="173"/>
        <v/>
      </c>
      <c r="GK47" s="354" t="str">
        <f t="shared" si="174"/>
        <v/>
      </c>
      <c r="GL47" s="354" t="str">
        <f t="shared" si="175"/>
        <v/>
      </c>
      <c r="GM47" s="354" t="str">
        <f t="shared" si="176"/>
        <v/>
      </c>
      <c r="GN47" s="354" t="str">
        <f t="shared" si="177"/>
        <v/>
      </c>
      <c r="GO47" s="354" t="str">
        <f t="shared" si="178"/>
        <v/>
      </c>
      <c r="GP47" s="354" t="str">
        <f t="shared" si="179"/>
        <v/>
      </c>
      <c r="GQ47" s="354" t="str">
        <f t="shared" si="180"/>
        <v/>
      </c>
      <c r="GR47" s="354" t="str">
        <f t="shared" si="181"/>
        <v/>
      </c>
      <c r="GS47" s="354" t="str">
        <f t="shared" si="182"/>
        <v/>
      </c>
      <c r="GT47" s="354" t="str">
        <f t="shared" si="183"/>
        <v/>
      </c>
      <c r="GU47" s="354" t="str">
        <f t="shared" si="184"/>
        <v/>
      </c>
      <c r="GV47" s="354" t="str">
        <f t="shared" si="185"/>
        <v/>
      </c>
      <c r="GW47" s="354" t="str">
        <f t="shared" si="186"/>
        <v/>
      </c>
      <c r="GX47" s="354" t="str">
        <f t="shared" si="187"/>
        <v/>
      </c>
      <c r="GY47" s="354" t="str">
        <f t="shared" si="188"/>
        <v/>
      </c>
      <c r="GZ47" s="354" t="str">
        <f t="shared" si="189"/>
        <v/>
      </c>
      <c r="HA47" s="354" t="str">
        <f t="shared" si="190"/>
        <v/>
      </c>
      <c r="HB47" s="354" t="str">
        <f t="shared" si="191"/>
        <v/>
      </c>
      <c r="HC47" s="354" t="str">
        <f t="shared" si="192"/>
        <v/>
      </c>
      <c r="HD47" s="354" t="str">
        <f t="shared" si="193"/>
        <v/>
      </c>
      <c r="HE47" s="354" t="str">
        <f t="shared" si="194"/>
        <v/>
      </c>
      <c r="HF47" s="354" t="str">
        <f t="shared" si="195"/>
        <v/>
      </c>
      <c r="HG47" s="354" t="str">
        <f t="shared" si="196"/>
        <v/>
      </c>
      <c r="HH47" s="354" t="str">
        <f t="shared" si="197"/>
        <v/>
      </c>
      <c r="HI47" s="354" t="str">
        <f t="shared" si="198"/>
        <v/>
      </c>
      <c r="HJ47" s="354" t="str">
        <f t="shared" si="199"/>
        <v/>
      </c>
      <c r="HK47" s="354" t="str">
        <f t="shared" si="200"/>
        <v/>
      </c>
      <c r="HL47" s="354" t="str">
        <f t="shared" si="201"/>
        <v/>
      </c>
      <c r="HM47" s="354" t="str">
        <f t="shared" si="202"/>
        <v/>
      </c>
      <c r="HN47" s="354" t="str">
        <f t="shared" si="203"/>
        <v/>
      </c>
      <c r="HO47" s="354" t="str">
        <f t="shared" si="204"/>
        <v/>
      </c>
      <c r="HP47" s="354" t="str">
        <f t="shared" si="205"/>
        <v/>
      </c>
      <c r="HQ47" s="354" t="str">
        <f t="shared" si="206"/>
        <v/>
      </c>
      <c r="HR47" s="354" t="str">
        <f t="shared" si="207"/>
        <v/>
      </c>
      <c r="HS47" s="354" t="str">
        <f t="shared" si="208"/>
        <v/>
      </c>
      <c r="HT47" s="354" t="str">
        <f t="shared" si="209"/>
        <v/>
      </c>
      <c r="HU47" s="354" t="str">
        <f t="shared" si="210"/>
        <v/>
      </c>
      <c r="HV47" s="354" t="str">
        <f t="shared" si="211"/>
        <v/>
      </c>
      <c r="HW47" s="354" t="str">
        <f t="shared" si="212"/>
        <v/>
      </c>
      <c r="HX47" s="354" t="str">
        <f t="shared" si="213"/>
        <v/>
      </c>
      <c r="HY47" s="354" t="str">
        <f t="shared" si="214"/>
        <v/>
      </c>
      <c r="HZ47" s="354" t="str">
        <f t="shared" si="215"/>
        <v/>
      </c>
      <c r="IA47" s="354" t="str">
        <f t="shared" si="216"/>
        <v/>
      </c>
      <c r="IB47" s="354" t="str">
        <f t="shared" si="217"/>
        <v/>
      </c>
      <c r="IC47" s="354" t="str">
        <f t="shared" si="218"/>
        <v/>
      </c>
      <c r="ID47" s="355" t="str">
        <f t="shared" si="219"/>
        <v/>
      </c>
      <c r="IE47" s="355" t="str">
        <f t="shared" si="220"/>
        <v/>
      </c>
      <c r="IF47" s="355" t="str">
        <f t="shared" si="221"/>
        <v/>
      </c>
      <c r="IG47" s="355" t="str">
        <f t="shared" si="222"/>
        <v/>
      </c>
      <c r="IH47" s="355" t="str">
        <f t="shared" si="223"/>
        <v/>
      </c>
      <c r="II47" s="344" t="str">
        <f t="shared" si="224"/>
        <v/>
      </c>
      <c r="IJ47" s="344" t="str">
        <f t="shared" si="225"/>
        <v/>
      </c>
      <c r="IK47" s="344" t="str">
        <f t="shared" si="226"/>
        <v/>
      </c>
      <c r="IL47" s="344" t="str">
        <f t="shared" si="227"/>
        <v/>
      </c>
      <c r="IM47" s="344" t="str">
        <f t="shared" si="228"/>
        <v/>
      </c>
      <c r="IN47" s="344" t="str">
        <f t="shared" si="229"/>
        <v/>
      </c>
      <c r="IO47" s="344" t="str">
        <f t="shared" si="230"/>
        <v/>
      </c>
      <c r="IP47" s="344" t="str">
        <f t="shared" si="231"/>
        <v/>
      </c>
      <c r="IQ47" s="344" t="str">
        <f t="shared" si="232"/>
        <v/>
      </c>
      <c r="IR47" s="344" t="str">
        <f t="shared" si="233"/>
        <v/>
      </c>
      <c r="IS47" s="344" t="str">
        <f t="shared" si="234"/>
        <v/>
      </c>
      <c r="IT47" s="344" t="str">
        <f t="shared" si="235"/>
        <v/>
      </c>
      <c r="IU47" s="344" t="str">
        <f t="shared" si="236"/>
        <v/>
      </c>
      <c r="IV47" s="344" t="str">
        <f t="shared" si="237"/>
        <v/>
      </c>
      <c r="IW47" s="344" t="str">
        <f t="shared" si="238"/>
        <v/>
      </c>
      <c r="IX47" s="344" t="str">
        <f t="shared" si="239"/>
        <v/>
      </c>
      <c r="IY47" s="344" t="str">
        <f t="shared" si="240"/>
        <v/>
      </c>
      <c r="IZ47" s="344" t="str">
        <f t="shared" si="241"/>
        <v/>
      </c>
      <c r="JA47" s="344" t="str">
        <f t="shared" si="242"/>
        <v/>
      </c>
      <c r="JB47" s="344" t="str">
        <f t="shared" si="243"/>
        <v/>
      </c>
      <c r="JC47" s="353">
        <f t="shared" si="244"/>
        <v>0</v>
      </c>
      <c r="JD47" s="353">
        <f t="shared" si="245"/>
        <v>0</v>
      </c>
      <c r="JE47" s="353">
        <f t="shared" si="246"/>
        <v>0</v>
      </c>
      <c r="JF47" s="353">
        <f t="shared" si="247"/>
        <v>0</v>
      </c>
      <c r="JG47" s="353">
        <f t="shared" si="248"/>
        <v>0</v>
      </c>
      <c r="JH47" s="353">
        <f t="shared" si="249"/>
        <v>0</v>
      </c>
      <c r="JI47" s="353">
        <f t="shared" si="250"/>
        <v>0</v>
      </c>
      <c r="JJ47" s="353">
        <f t="shared" si="251"/>
        <v>0</v>
      </c>
      <c r="JK47" s="353">
        <f t="shared" si="252"/>
        <v>0</v>
      </c>
      <c r="JL47" s="353">
        <f t="shared" si="253"/>
        <v>0</v>
      </c>
      <c r="JM47" s="353">
        <f t="shared" si="254"/>
        <v>0</v>
      </c>
      <c r="JN47" s="353">
        <f t="shared" si="255"/>
        <v>0</v>
      </c>
      <c r="JO47" s="353">
        <f t="shared" si="256"/>
        <v>0</v>
      </c>
      <c r="JP47" s="353">
        <f t="shared" si="257"/>
        <v>0</v>
      </c>
      <c r="JQ47" s="353">
        <f t="shared" si="258"/>
        <v>0</v>
      </c>
    </row>
    <row r="48" spans="1:296" s="102" customFormat="1" ht="12" customHeight="1">
      <c r="A48" s="761">
        <f>COUNT(A10,A11,A12,A13,A14,A15,A16,A17,A18,A19,A20,A21,A22,A23,A24,A25,A26,A27,A28,A29,A30,A31,A32,A33,A34,A35,A36,A37,A38,A39)</f>
        <v>0</v>
      </c>
      <c r="B48" s="1350"/>
      <c r="C48" s="58"/>
      <c r="D48" s="97" t="s">
        <v>1091</v>
      </c>
      <c r="E48" s="82">
        <f>SUM(E10:E47)</f>
        <v>74</v>
      </c>
      <c r="F48" s="788">
        <f>(E10*F10+E11*F11+E12*F12+E13*F13+E14*F14+E15*F15+E16*F16+E17*F17+E18*F18+E19*F19+E20*F20+E21*F21+E22*F22+E23*F23+E24*F24+E25*F25+E26*F26+E27*F27+E28*F28+E29*F29+E30*F30+E31*F31+E32*F32+E33*F33+E34*F34+E35*F35+E36*F36+E37*F37+E38*F38+E39*F39+E40*F40+E41*F41+E42*F42+E43*F43+E44*F44+E45*F45+E46*F46+E47*F47)</f>
        <v>80132</v>
      </c>
      <c r="G48" s="1353"/>
      <c r="H48" s="462"/>
      <c r="I48" s="462"/>
      <c r="J48" s="462"/>
      <c r="K48" s="791" t="s">
        <v>1092</v>
      </c>
      <c r="L48" s="1473">
        <f>SUM(L10:L47)</f>
        <v>53407</v>
      </c>
      <c r="M48" s="58"/>
      <c r="N48" s="463"/>
      <c r="O48" s="58"/>
      <c r="P48" s="368"/>
      <c r="Q48" s="368"/>
      <c r="R48" s="368"/>
      <c r="S48" s="368"/>
      <c r="T48" s="368"/>
      <c r="U48" s="771"/>
      <c r="V48" s="464"/>
      <c r="W48" s="465">
        <f t="shared" ref="W48:CH48" si="259">SUM(W10:W47)</f>
        <v>0</v>
      </c>
      <c r="X48" s="465">
        <f t="shared" si="259"/>
        <v>9</v>
      </c>
      <c r="Y48" s="465">
        <f t="shared" si="259"/>
        <v>22</v>
      </c>
      <c r="Z48" s="465">
        <f t="shared" si="259"/>
        <v>17</v>
      </c>
      <c r="AA48" s="465">
        <f t="shared" si="259"/>
        <v>0</v>
      </c>
      <c r="AB48" s="465">
        <f t="shared" si="259"/>
        <v>0</v>
      </c>
      <c r="AC48" s="465">
        <f t="shared" si="259"/>
        <v>3</v>
      </c>
      <c r="AD48" s="465">
        <f t="shared" si="259"/>
        <v>6</v>
      </c>
      <c r="AE48" s="465">
        <f t="shared" si="259"/>
        <v>6</v>
      </c>
      <c r="AF48" s="465">
        <f t="shared" si="259"/>
        <v>0</v>
      </c>
      <c r="AG48" s="465">
        <f t="shared" si="259"/>
        <v>0</v>
      </c>
      <c r="AH48" s="465">
        <f t="shared" si="259"/>
        <v>0</v>
      </c>
      <c r="AI48" s="465">
        <f t="shared" si="259"/>
        <v>0</v>
      </c>
      <c r="AJ48" s="465">
        <f t="shared" si="259"/>
        <v>0</v>
      </c>
      <c r="AK48" s="465">
        <f t="shared" si="259"/>
        <v>0</v>
      </c>
      <c r="AL48" s="465">
        <f t="shared" si="259"/>
        <v>0</v>
      </c>
      <c r="AM48" s="465">
        <f t="shared" si="259"/>
        <v>0</v>
      </c>
      <c r="AN48" s="465">
        <f t="shared" si="259"/>
        <v>4</v>
      </c>
      <c r="AO48" s="465">
        <f t="shared" si="259"/>
        <v>5</v>
      </c>
      <c r="AP48" s="465">
        <f t="shared" si="259"/>
        <v>0</v>
      </c>
      <c r="AQ48" s="465">
        <f t="shared" si="259"/>
        <v>0</v>
      </c>
      <c r="AR48" s="465">
        <f t="shared" si="259"/>
        <v>0</v>
      </c>
      <c r="AS48" s="465">
        <f t="shared" si="259"/>
        <v>0</v>
      </c>
      <c r="AT48" s="465">
        <f t="shared" si="259"/>
        <v>0</v>
      </c>
      <c r="AU48" s="465">
        <f t="shared" si="259"/>
        <v>0</v>
      </c>
      <c r="AV48" s="465">
        <f t="shared" si="259"/>
        <v>0</v>
      </c>
      <c r="AW48" s="465">
        <f t="shared" si="259"/>
        <v>0</v>
      </c>
      <c r="AX48" s="465">
        <f t="shared" si="259"/>
        <v>0</v>
      </c>
      <c r="AY48" s="465">
        <f t="shared" si="259"/>
        <v>0</v>
      </c>
      <c r="AZ48" s="465">
        <f t="shared" si="259"/>
        <v>0</v>
      </c>
      <c r="BA48" s="465">
        <f t="shared" si="259"/>
        <v>0</v>
      </c>
      <c r="BB48" s="465">
        <f t="shared" si="259"/>
        <v>0</v>
      </c>
      <c r="BC48" s="465">
        <f t="shared" si="259"/>
        <v>0</v>
      </c>
      <c r="BD48" s="465">
        <f t="shared" si="259"/>
        <v>0</v>
      </c>
      <c r="BE48" s="465">
        <f t="shared" si="259"/>
        <v>0</v>
      </c>
      <c r="BF48" s="465">
        <f t="shared" si="259"/>
        <v>0</v>
      </c>
      <c r="BG48" s="465">
        <f t="shared" si="259"/>
        <v>0</v>
      </c>
      <c r="BH48" s="465">
        <f t="shared" si="259"/>
        <v>0</v>
      </c>
      <c r="BI48" s="465">
        <f t="shared" si="259"/>
        <v>0</v>
      </c>
      <c r="BJ48" s="465">
        <f t="shared" si="259"/>
        <v>0</v>
      </c>
      <c r="BK48" s="465">
        <f t="shared" si="259"/>
        <v>0</v>
      </c>
      <c r="BL48" s="465">
        <f t="shared" si="259"/>
        <v>0</v>
      </c>
      <c r="BM48" s="465">
        <f t="shared" si="259"/>
        <v>0</v>
      </c>
      <c r="BN48" s="465">
        <f t="shared" si="259"/>
        <v>0</v>
      </c>
      <c r="BO48" s="465">
        <f t="shared" si="259"/>
        <v>0</v>
      </c>
      <c r="BP48" s="465">
        <f t="shared" si="259"/>
        <v>0</v>
      </c>
      <c r="BQ48" s="465">
        <f t="shared" si="259"/>
        <v>0</v>
      </c>
      <c r="BR48" s="465">
        <f t="shared" si="259"/>
        <v>0</v>
      </c>
      <c r="BS48" s="465">
        <f t="shared" si="259"/>
        <v>0</v>
      </c>
      <c r="BT48" s="465">
        <f t="shared" si="259"/>
        <v>0</v>
      </c>
      <c r="BU48" s="465">
        <f t="shared" si="259"/>
        <v>0</v>
      </c>
      <c r="BV48" s="465">
        <f t="shared" si="259"/>
        <v>0</v>
      </c>
      <c r="BW48" s="465">
        <f t="shared" si="259"/>
        <v>0</v>
      </c>
      <c r="BX48" s="465">
        <f t="shared" si="259"/>
        <v>2</v>
      </c>
      <c r="BY48" s="465">
        <f t="shared" si="259"/>
        <v>0</v>
      </c>
      <c r="BZ48" s="465">
        <f t="shared" si="259"/>
        <v>0</v>
      </c>
      <c r="CA48" s="465">
        <f t="shared" si="259"/>
        <v>7524</v>
      </c>
      <c r="CB48" s="465">
        <f t="shared" si="259"/>
        <v>22990</v>
      </c>
      <c r="CC48" s="465">
        <f t="shared" si="259"/>
        <v>20774</v>
      </c>
      <c r="CD48" s="465">
        <f t="shared" si="259"/>
        <v>0</v>
      </c>
      <c r="CE48" s="465">
        <f t="shared" si="259"/>
        <v>0</v>
      </c>
      <c r="CF48" s="465">
        <f t="shared" si="259"/>
        <v>2508</v>
      </c>
      <c r="CG48" s="465">
        <f t="shared" si="259"/>
        <v>6270</v>
      </c>
      <c r="CH48" s="465">
        <f t="shared" si="259"/>
        <v>7332</v>
      </c>
      <c r="CI48" s="465">
        <f t="shared" ref="CI48:ET48" si="260">SUM(CI10:CI47)</f>
        <v>0</v>
      </c>
      <c r="CJ48" s="465">
        <f t="shared" si="260"/>
        <v>0</v>
      </c>
      <c r="CK48" s="465">
        <f t="shared" si="260"/>
        <v>0</v>
      </c>
      <c r="CL48" s="465">
        <f t="shared" si="260"/>
        <v>0</v>
      </c>
      <c r="CM48" s="465">
        <f t="shared" si="260"/>
        <v>0</v>
      </c>
      <c r="CN48" s="465">
        <f t="shared" si="260"/>
        <v>0</v>
      </c>
      <c r="CO48" s="465">
        <f t="shared" si="260"/>
        <v>0</v>
      </c>
      <c r="CP48" s="465">
        <f t="shared" si="260"/>
        <v>0</v>
      </c>
      <c r="CQ48" s="465">
        <f t="shared" si="260"/>
        <v>4180</v>
      </c>
      <c r="CR48" s="465">
        <f t="shared" si="260"/>
        <v>6110</v>
      </c>
      <c r="CS48" s="465">
        <f t="shared" si="260"/>
        <v>0</v>
      </c>
      <c r="CT48" s="465">
        <f t="shared" si="260"/>
        <v>0</v>
      </c>
      <c r="CU48" s="465">
        <f t="shared" si="260"/>
        <v>0</v>
      </c>
      <c r="CV48" s="465">
        <f t="shared" si="260"/>
        <v>0</v>
      </c>
      <c r="CW48" s="465">
        <f t="shared" si="260"/>
        <v>0</v>
      </c>
      <c r="CX48" s="465">
        <f t="shared" si="260"/>
        <v>0</v>
      </c>
      <c r="CY48" s="465">
        <f t="shared" si="260"/>
        <v>0</v>
      </c>
      <c r="CZ48" s="465">
        <f t="shared" si="260"/>
        <v>0</v>
      </c>
      <c r="DA48" s="465">
        <f t="shared" si="260"/>
        <v>0</v>
      </c>
      <c r="DB48" s="465">
        <f t="shared" si="260"/>
        <v>2444</v>
      </c>
      <c r="DC48" s="465">
        <f t="shared" si="260"/>
        <v>0</v>
      </c>
      <c r="DD48" s="465">
        <f t="shared" si="260"/>
        <v>0</v>
      </c>
      <c r="DE48" s="465">
        <f t="shared" si="260"/>
        <v>12</v>
      </c>
      <c r="DF48" s="465">
        <f t="shared" si="260"/>
        <v>28</v>
      </c>
      <c r="DG48" s="465">
        <f t="shared" si="260"/>
        <v>23</v>
      </c>
      <c r="DH48" s="465">
        <f t="shared" si="260"/>
        <v>0</v>
      </c>
      <c r="DI48" s="465">
        <f t="shared" si="260"/>
        <v>0</v>
      </c>
      <c r="DJ48" s="465">
        <f t="shared" si="260"/>
        <v>0</v>
      </c>
      <c r="DK48" s="465">
        <f t="shared" si="260"/>
        <v>4</v>
      </c>
      <c r="DL48" s="465">
        <f t="shared" si="260"/>
        <v>5</v>
      </c>
      <c r="DM48" s="465">
        <f t="shared" si="260"/>
        <v>0</v>
      </c>
      <c r="DN48" s="465">
        <f t="shared" si="260"/>
        <v>0</v>
      </c>
      <c r="DO48" s="465">
        <f t="shared" si="260"/>
        <v>0</v>
      </c>
      <c r="DP48" s="465">
        <f t="shared" si="260"/>
        <v>0</v>
      </c>
      <c r="DQ48" s="465">
        <f t="shared" si="260"/>
        <v>2</v>
      </c>
      <c r="DR48" s="465">
        <f t="shared" si="260"/>
        <v>0</v>
      </c>
      <c r="DS48" s="465">
        <f t="shared" si="260"/>
        <v>0</v>
      </c>
      <c r="DT48" s="465">
        <f t="shared" si="260"/>
        <v>0</v>
      </c>
      <c r="DU48" s="465">
        <f t="shared" si="260"/>
        <v>0</v>
      </c>
      <c r="DV48" s="465">
        <f t="shared" si="260"/>
        <v>0</v>
      </c>
      <c r="DW48" s="465">
        <f t="shared" si="260"/>
        <v>0</v>
      </c>
      <c r="DX48" s="465">
        <f t="shared" si="260"/>
        <v>0</v>
      </c>
      <c r="DY48" s="465">
        <f t="shared" si="260"/>
        <v>0</v>
      </c>
      <c r="DZ48" s="465">
        <f t="shared" si="260"/>
        <v>0</v>
      </c>
      <c r="EA48" s="465">
        <f t="shared" si="260"/>
        <v>0</v>
      </c>
      <c r="EB48" s="465">
        <f t="shared" si="260"/>
        <v>0</v>
      </c>
      <c r="EC48" s="465">
        <f t="shared" si="260"/>
        <v>0</v>
      </c>
      <c r="ED48" s="465">
        <f t="shared" si="260"/>
        <v>0</v>
      </c>
      <c r="EE48" s="465">
        <f t="shared" si="260"/>
        <v>0</v>
      </c>
      <c r="EF48" s="465">
        <f t="shared" si="260"/>
        <v>0</v>
      </c>
      <c r="EG48" s="465">
        <f t="shared" si="260"/>
        <v>0</v>
      </c>
      <c r="EH48" s="465">
        <f t="shared" si="260"/>
        <v>0</v>
      </c>
      <c r="EI48" s="465">
        <f t="shared" si="260"/>
        <v>0</v>
      </c>
      <c r="EJ48" s="465">
        <f t="shared" si="260"/>
        <v>0</v>
      </c>
      <c r="EK48" s="465">
        <f t="shared" si="260"/>
        <v>0</v>
      </c>
      <c r="EL48" s="465">
        <f t="shared" si="260"/>
        <v>0</v>
      </c>
      <c r="EM48" s="465">
        <f t="shared" si="260"/>
        <v>0</v>
      </c>
      <c r="EN48" s="465">
        <f t="shared" si="260"/>
        <v>0</v>
      </c>
      <c r="EO48" s="465">
        <f t="shared" si="260"/>
        <v>0</v>
      </c>
      <c r="EP48" s="465">
        <f t="shared" si="260"/>
        <v>0</v>
      </c>
      <c r="EQ48" s="465">
        <f t="shared" si="260"/>
        <v>0</v>
      </c>
      <c r="ER48" s="465">
        <f t="shared" si="260"/>
        <v>0</v>
      </c>
      <c r="ES48" s="465">
        <f t="shared" si="260"/>
        <v>0</v>
      </c>
      <c r="ET48" s="465">
        <f t="shared" si="260"/>
        <v>0</v>
      </c>
      <c r="EU48" s="465">
        <f t="shared" ref="EU48:HF48" si="261">SUM(EU10:EU47)</f>
        <v>0</v>
      </c>
      <c r="EV48" s="465">
        <f t="shared" si="261"/>
        <v>0</v>
      </c>
      <c r="EW48" s="465">
        <f t="shared" si="261"/>
        <v>0</v>
      </c>
      <c r="EX48" s="356">
        <f t="shared" si="261"/>
        <v>12</v>
      </c>
      <c r="EY48" s="356">
        <f t="shared" si="261"/>
        <v>32</v>
      </c>
      <c r="EZ48" s="356">
        <f t="shared" si="261"/>
        <v>30</v>
      </c>
      <c r="FA48" s="356">
        <f t="shared" si="261"/>
        <v>0</v>
      </c>
      <c r="FB48" s="356">
        <f t="shared" si="261"/>
        <v>0</v>
      </c>
      <c r="FC48" s="356">
        <f t="shared" si="261"/>
        <v>0</v>
      </c>
      <c r="FD48" s="356">
        <f t="shared" si="261"/>
        <v>0</v>
      </c>
      <c r="FE48" s="356">
        <f t="shared" si="261"/>
        <v>0</v>
      </c>
      <c r="FF48" s="356">
        <f t="shared" si="261"/>
        <v>0</v>
      </c>
      <c r="FG48" s="356">
        <f t="shared" si="261"/>
        <v>0</v>
      </c>
      <c r="FH48" s="356">
        <f t="shared" si="261"/>
        <v>0</v>
      </c>
      <c r="FI48" s="356">
        <f t="shared" si="261"/>
        <v>0</v>
      </c>
      <c r="FJ48" s="356">
        <f t="shared" si="261"/>
        <v>0</v>
      </c>
      <c r="FK48" s="356">
        <f t="shared" si="261"/>
        <v>0</v>
      </c>
      <c r="FL48" s="356">
        <f t="shared" si="261"/>
        <v>0</v>
      </c>
      <c r="FM48" s="356">
        <f t="shared" si="261"/>
        <v>0</v>
      </c>
      <c r="FN48" s="356">
        <f t="shared" si="261"/>
        <v>0</v>
      </c>
      <c r="FO48" s="356">
        <f t="shared" si="261"/>
        <v>0</v>
      </c>
      <c r="FP48" s="356">
        <f t="shared" si="261"/>
        <v>0</v>
      </c>
      <c r="FQ48" s="356">
        <f t="shared" si="261"/>
        <v>0</v>
      </c>
      <c r="FR48" s="356">
        <f t="shared" si="261"/>
        <v>0</v>
      </c>
      <c r="FS48" s="356">
        <f t="shared" si="261"/>
        <v>0</v>
      </c>
      <c r="FT48" s="356">
        <f t="shared" si="261"/>
        <v>0</v>
      </c>
      <c r="FU48" s="356">
        <f t="shared" si="261"/>
        <v>0</v>
      </c>
      <c r="FV48" s="356">
        <f t="shared" si="261"/>
        <v>0</v>
      </c>
      <c r="FW48" s="356">
        <f t="shared" si="261"/>
        <v>0</v>
      </c>
      <c r="FX48" s="356">
        <f t="shared" si="261"/>
        <v>0</v>
      </c>
      <c r="FY48" s="356">
        <f t="shared" si="261"/>
        <v>0</v>
      </c>
      <c r="FZ48" s="356">
        <f t="shared" si="261"/>
        <v>0</v>
      </c>
      <c r="GA48" s="356">
        <f t="shared" si="261"/>
        <v>0</v>
      </c>
      <c r="GB48" s="356">
        <f t="shared" si="261"/>
        <v>0</v>
      </c>
      <c r="GC48" s="356">
        <f t="shared" si="261"/>
        <v>0</v>
      </c>
      <c r="GD48" s="356">
        <f t="shared" si="261"/>
        <v>0</v>
      </c>
      <c r="GE48" s="356">
        <f t="shared" si="261"/>
        <v>0</v>
      </c>
      <c r="GF48" s="356">
        <f t="shared" si="261"/>
        <v>0</v>
      </c>
      <c r="GG48" s="356">
        <f t="shared" si="261"/>
        <v>0</v>
      </c>
      <c r="GH48" s="356">
        <f t="shared" si="261"/>
        <v>0</v>
      </c>
      <c r="GI48" s="356">
        <f t="shared" si="261"/>
        <v>0</v>
      </c>
      <c r="GJ48" s="356">
        <f t="shared" si="261"/>
        <v>0</v>
      </c>
      <c r="GK48" s="356">
        <f t="shared" si="261"/>
        <v>0</v>
      </c>
      <c r="GL48" s="356">
        <f t="shared" si="261"/>
        <v>0</v>
      </c>
      <c r="GM48" s="356">
        <f t="shared" si="261"/>
        <v>0</v>
      </c>
      <c r="GN48" s="356">
        <f t="shared" si="261"/>
        <v>0</v>
      </c>
      <c r="GO48" s="356">
        <f t="shared" si="261"/>
        <v>0</v>
      </c>
      <c r="GP48" s="356">
        <f t="shared" si="261"/>
        <v>0</v>
      </c>
      <c r="GQ48" s="356">
        <f t="shared" si="261"/>
        <v>0</v>
      </c>
      <c r="GR48" s="356">
        <f t="shared" si="261"/>
        <v>0</v>
      </c>
      <c r="GS48" s="356">
        <f t="shared" si="261"/>
        <v>0</v>
      </c>
      <c r="GT48" s="356">
        <f t="shared" si="261"/>
        <v>0</v>
      </c>
      <c r="GU48" s="356">
        <f t="shared" si="261"/>
        <v>0</v>
      </c>
      <c r="GV48" s="356">
        <f t="shared" si="261"/>
        <v>0</v>
      </c>
      <c r="GW48" s="356">
        <f t="shared" si="261"/>
        <v>0</v>
      </c>
      <c r="GX48" s="356">
        <f t="shared" si="261"/>
        <v>0</v>
      </c>
      <c r="GY48" s="356">
        <f t="shared" si="261"/>
        <v>0</v>
      </c>
      <c r="GZ48" s="356">
        <f t="shared" si="261"/>
        <v>0</v>
      </c>
      <c r="HA48" s="356">
        <f t="shared" si="261"/>
        <v>0</v>
      </c>
      <c r="HB48" s="356">
        <f t="shared" si="261"/>
        <v>0</v>
      </c>
      <c r="HC48" s="356">
        <f t="shared" si="261"/>
        <v>0</v>
      </c>
      <c r="HD48" s="356">
        <f t="shared" si="261"/>
        <v>0</v>
      </c>
      <c r="HE48" s="356">
        <f t="shared" si="261"/>
        <v>0</v>
      </c>
      <c r="HF48" s="356">
        <f t="shared" si="261"/>
        <v>0</v>
      </c>
      <c r="HG48" s="356">
        <f t="shared" ref="HG48:JR48" si="262">SUM(HG10:HG47)</f>
        <v>0</v>
      </c>
      <c r="HH48" s="356">
        <f t="shared" si="262"/>
        <v>0</v>
      </c>
      <c r="HI48" s="356">
        <f t="shared" si="262"/>
        <v>0</v>
      </c>
      <c r="HJ48" s="356">
        <f t="shared" si="262"/>
        <v>0</v>
      </c>
      <c r="HK48" s="356">
        <f t="shared" si="262"/>
        <v>12</v>
      </c>
      <c r="HL48" s="356">
        <f t="shared" si="262"/>
        <v>32</v>
      </c>
      <c r="HM48" s="356">
        <f t="shared" si="262"/>
        <v>30</v>
      </c>
      <c r="HN48" s="356">
        <f t="shared" si="262"/>
        <v>0</v>
      </c>
      <c r="HO48" s="356">
        <f t="shared" si="262"/>
        <v>0</v>
      </c>
      <c r="HP48" s="356">
        <f t="shared" si="262"/>
        <v>0</v>
      </c>
      <c r="HQ48" s="356">
        <f t="shared" si="262"/>
        <v>0</v>
      </c>
      <c r="HR48" s="356">
        <f t="shared" si="262"/>
        <v>0</v>
      </c>
      <c r="HS48" s="356">
        <f t="shared" si="262"/>
        <v>0</v>
      </c>
      <c r="HT48" s="356">
        <f t="shared" si="262"/>
        <v>0</v>
      </c>
      <c r="HU48" s="356">
        <f t="shared" si="262"/>
        <v>0</v>
      </c>
      <c r="HV48" s="356">
        <f t="shared" si="262"/>
        <v>0</v>
      </c>
      <c r="HW48" s="356">
        <f t="shared" si="262"/>
        <v>0</v>
      </c>
      <c r="HX48" s="356">
        <f t="shared" si="262"/>
        <v>0</v>
      </c>
      <c r="HY48" s="356">
        <f t="shared" si="262"/>
        <v>0</v>
      </c>
      <c r="HZ48" s="356">
        <f t="shared" si="262"/>
        <v>0</v>
      </c>
      <c r="IA48" s="356">
        <f t="shared" si="262"/>
        <v>0</v>
      </c>
      <c r="IB48" s="356">
        <f t="shared" si="262"/>
        <v>0</v>
      </c>
      <c r="IC48" s="356">
        <f t="shared" si="262"/>
        <v>0</v>
      </c>
      <c r="ID48" s="356">
        <f t="shared" si="262"/>
        <v>0</v>
      </c>
      <c r="IE48" s="356">
        <f t="shared" si="262"/>
        <v>0</v>
      </c>
      <c r="IF48" s="356">
        <f t="shared" si="262"/>
        <v>0</v>
      </c>
      <c r="IG48" s="356">
        <f t="shared" si="262"/>
        <v>0</v>
      </c>
      <c r="IH48" s="356">
        <f t="shared" si="262"/>
        <v>0</v>
      </c>
      <c r="II48" s="356">
        <f t="shared" si="262"/>
        <v>0</v>
      </c>
      <c r="IJ48" s="356">
        <f t="shared" si="262"/>
        <v>0</v>
      </c>
      <c r="IK48" s="356">
        <f t="shared" si="262"/>
        <v>0</v>
      </c>
      <c r="IL48" s="356">
        <f t="shared" si="262"/>
        <v>0</v>
      </c>
      <c r="IM48" s="356">
        <f t="shared" si="262"/>
        <v>0</v>
      </c>
      <c r="IN48" s="356">
        <f t="shared" si="262"/>
        <v>0</v>
      </c>
      <c r="IO48" s="356">
        <f t="shared" si="262"/>
        <v>0</v>
      </c>
      <c r="IP48" s="356">
        <f t="shared" si="262"/>
        <v>0</v>
      </c>
      <c r="IQ48" s="356">
        <f t="shared" si="262"/>
        <v>0</v>
      </c>
      <c r="IR48" s="356">
        <f t="shared" si="262"/>
        <v>0</v>
      </c>
      <c r="IS48" s="356">
        <f t="shared" si="262"/>
        <v>0</v>
      </c>
      <c r="IT48" s="356">
        <f t="shared" si="262"/>
        <v>0</v>
      </c>
      <c r="IU48" s="356">
        <f t="shared" si="262"/>
        <v>0</v>
      </c>
      <c r="IV48" s="356">
        <f t="shared" si="262"/>
        <v>0</v>
      </c>
      <c r="IW48" s="356">
        <f t="shared" si="262"/>
        <v>0</v>
      </c>
      <c r="IX48" s="356">
        <f t="shared" si="262"/>
        <v>0</v>
      </c>
      <c r="IY48" s="356">
        <f t="shared" si="262"/>
        <v>0</v>
      </c>
      <c r="IZ48" s="356">
        <f t="shared" si="262"/>
        <v>0</v>
      </c>
      <c r="JA48" s="356">
        <f t="shared" si="262"/>
        <v>0</v>
      </c>
      <c r="JB48" s="356">
        <f t="shared" si="262"/>
        <v>0</v>
      </c>
      <c r="JC48" s="356">
        <f t="shared" si="262"/>
        <v>0</v>
      </c>
      <c r="JD48" s="356">
        <f t="shared" si="262"/>
        <v>0</v>
      </c>
      <c r="JE48" s="356">
        <f t="shared" si="262"/>
        <v>0</v>
      </c>
      <c r="JF48" s="356">
        <f t="shared" si="262"/>
        <v>0</v>
      </c>
      <c r="JG48" s="356">
        <f t="shared" si="262"/>
        <v>0</v>
      </c>
      <c r="JH48" s="356">
        <f t="shared" si="262"/>
        <v>0</v>
      </c>
      <c r="JI48" s="356">
        <f t="shared" si="262"/>
        <v>12</v>
      </c>
      <c r="JJ48" s="356">
        <f t="shared" si="262"/>
        <v>32</v>
      </c>
      <c r="JK48" s="356">
        <f t="shared" si="262"/>
        <v>30</v>
      </c>
      <c r="JL48" s="356">
        <f t="shared" si="262"/>
        <v>0</v>
      </c>
      <c r="JM48" s="356">
        <f t="shared" si="262"/>
        <v>0</v>
      </c>
      <c r="JN48" s="356">
        <f t="shared" si="262"/>
        <v>0</v>
      </c>
      <c r="JO48" s="356">
        <f t="shared" si="262"/>
        <v>0</v>
      </c>
      <c r="JP48" s="356">
        <f t="shared" si="262"/>
        <v>0</v>
      </c>
      <c r="JQ48" s="356">
        <f t="shared" si="262"/>
        <v>0</v>
      </c>
      <c r="JR48" s="465">
        <f t="shared" si="262"/>
        <v>0</v>
      </c>
      <c r="JT48" s="344"/>
      <c r="JU48" s="344"/>
      <c r="JV48" s="344"/>
      <c r="JW48" s="344"/>
      <c r="JX48" s="344"/>
      <c r="JY48" s="344"/>
      <c r="JZ48" s="344"/>
      <c r="KA48" s="344"/>
      <c r="KB48" s="344"/>
      <c r="KC48" s="344"/>
      <c r="KD48" s="344"/>
      <c r="KE48" s="344"/>
      <c r="KF48" s="344"/>
      <c r="KG48" s="344"/>
      <c r="KH48" s="344"/>
      <c r="KI48" s="344"/>
      <c r="KJ48" s="344"/>
    </row>
    <row r="49" spans="1:296" s="102" customFormat="1" ht="12" customHeight="1">
      <c r="B49" s="368"/>
      <c r="D49" s="9"/>
      <c r="E49" s="114"/>
      <c r="F49" s="114"/>
      <c r="G49" s="462"/>
      <c r="H49" s="462"/>
      <c r="I49" s="462"/>
      <c r="J49" s="462"/>
      <c r="K49" s="97" t="s">
        <v>1093</v>
      </c>
      <c r="L49" s="1473">
        <f>L48*12</f>
        <v>640884</v>
      </c>
      <c r="M49" s="58"/>
      <c r="N49" s="463"/>
      <c r="O49" s="58"/>
      <c r="P49" s="58"/>
      <c r="Q49" s="58"/>
      <c r="R49" s="58"/>
      <c r="S49" s="58"/>
      <c r="T49" s="58"/>
      <c r="U49" s="58"/>
      <c r="V49" s="465"/>
      <c r="W49" s="465"/>
      <c r="X49" s="465"/>
      <c r="Y49" s="465"/>
      <c r="Z49" s="465"/>
      <c r="AA49" s="465"/>
      <c r="AB49" s="465"/>
      <c r="AC49" s="465"/>
      <c r="AD49" s="465"/>
      <c r="AE49" s="465"/>
      <c r="AF49" s="465"/>
      <c r="AG49" s="465"/>
      <c r="AH49" s="465"/>
      <c r="AI49" s="465"/>
      <c r="AJ49" s="465"/>
      <c r="AK49" s="465"/>
      <c r="AL49" s="465"/>
      <c r="AM49" s="465"/>
      <c r="AN49" s="465"/>
      <c r="AO49" s="465"/>
      <c r="AP49" s="465"/>
      <c r="AQ49" s="465"/>
      <c r="AR49" s="465"/>
      <c r="AS49" s="465"/>
      <c r="AT49" s="465"/>
      <c r="AU49" s="465"/>
      <c r="AV49" s="465"/>
      <c r="AW49" s="465"/>
      <c r="AX49" s="465"/>
      <c r="AY49" s="465"/>
      <c r="AZ49" s="465"/>
      <c r="BA49" s="465"/>
      <c r="BB49" s="465"/>
      <c r="BC49" s="465"/>
      <c r="BD49" s="465"/>
      <c r="BE49" s="465"/>
      <c r="BF49" s="465"/>
      <c r="BG49" s="465"/>
      <c r="BH49" s="465"/>
      <c r="BI49" s="465"/>
      <c r="BJ49" s="465"/>
      <c r="BK49" s="465"/>
      <c r="BL49" s="465"/>
      <c r="BM49" s="465"/>
      <c r="BN49" s="465"/>
      <c r="BO49" s="465"/>
      <c r="BP49" s="465"/>
      <c r="BQ49" s="465"/>
      <c r="BR49" s="465"/>
      <c r="BS49" s="465"/>
      <c r="BT49" s="465"/>
      <c r="BU49" s="465"/>
      <c r="BV49" s="465"/>
      <c r="BW49" s="465"/>
      <c r="BX49" s="465"/>
      <c r="BY49" s="465"/>
      <c r="BZ49" s="465"/>
      <c r="CA49" s="465"/>
      <c r="CB49" s="465"/>
      <c r="CC49" s="465"/>
      <c r="CD49" s="465"/>
      <c r="CE49" s="465"/>
      <c r="CF49" s="465"/>
      <c r="CG49" s="465"/>
      <c r="CH49" s="465"/>
      <c r="CI49" s="465"/>
      <c r="CJ49" s="465"/>
      <c r="CK49" s="465"/>
      <c r="CL49" s="465"/>
      <c r="CM49" s="465"/>
      <c r="CN49" s="465"/>
      <c r="CO49" s="465"/>
      <c r="CP49" s="465"/>
      <c r="CQ49" s="465"/>
      <c r="CR49" s="465"/>
      <c r="CS49" s="465"/>
      <c r="CT49" s="465"/>
      <c r="CU49" s="465"/>
      <c r="CV49" s="465"/>
      <c r="CW49" s="465"/>
      <c r="CX49" s="465"/>
      <c r="CY49" s="465"/>
      <c r="CZ49" s="465"/>
      <c r="DA49" s="465"/>
      <c r="DB49" s="465"/>
      <c r="DC49" s="465"/>
      <c r="DD49" s="465"/>
      <c r="DE49" s="465"/>
      <c r="DF49" s="465"/>
      <c r="DG49" s="465"/>
      <c r="DH49" s="465"/>
      <c r="DI49" s="465"/>
      <c r="DJ49" s="465"/>
      <c r="DK49" s="465"/>
      <c r="DL49" s="465"/>
      <c r="DM49" s="465"/>
      <c r="DN49" s="465"/>
      <c r="DO49" s="465"/>
      <c r="DP49" s="465"/>
      <c r="DQ49" s="465"/>
      <c r="DR49" s="465"/>
      <c r="DS49" s="465"/>
      <c r="DT49" s="465"/>
      <c r="DU49" s="465"/>
      <c r="DV49" s="465"/>
      <c r="DW49" s="465"/>
      <c r="DX49" s="465"/>
      <c r="DY49" s="465"/>
      <c r="DZ49" s="465"/>
      <c r="EA49" s="465"/>
      <c r="EB49" s="465"/>
      <c r="EC49" s="465"/>
      <c r="ED49" s="465"/>
      <c r="EE49" s="465"/>
      <c r="EF49" s="465"/>
      <c r="EG49" s="465"/>
      <c r="EH49" s="465"/>
      <c r="EI49" s="465"/>
      <c r="EJ49" s="465"/>
      <c r="EK49" s="465"/>
      <c r="EL49" s="465"/>
      <c r="EM49" s="465"/>
      <c r="EN49" s="465"/>
      <c r="EO49" s="465"/>
      <c r="EP49" s="465"/>
      <c r="EQ49" s="465"/>
      <c r="ER49" s="465"/>
      <c r="ES49" s="465"/>
      <c r="ET49" s="465"/>
      <c r="EU49" s="465"/>
      <c r="EV49" s="465"/>
      <c r="EW49" s="465"/>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56"/>
      <c r="IK49" s="356"/>
      <c r="IL49" s="356"/>
      <c r="IM49" s="356"/>
      <c r="IN49" s="356"/>
      <c r="IO49" s="356"/>
      <c r="IP49" s="356"/>
      <c r="IQ49" s="356"/>
      <c r="IR49" s="356"/>
      <c r="IS49" s="356"/>
      <c r="IT49" s="356"/>
      <c r="IU49" s="356"/>
      <c r="IV49" s="356"/>
      <c r="IW49" s="356"/>
      <c r="IX49" s="356"/>
      <c r="IY49" s="356"/>
      <c r="IZ49" s="356"/>
      <c r="JA49" s="356"/>
      <c r="JB49" s="356"/>
      <c r="JC49" s="344"/>
      <c r="JD49" s="344"/>
      <c r="JE49" s="344"/>
      <c r="JF49" s="344"/>
      <c r="JG49" s="344"/>
      <c r="JH49" s="344"/>
      <c r="JI49" s="344"/>
      <c r="JJ49" s="344"/>
      <c r="JK49" s="344"/>
      <c r="JL49" s="344"/>
      <c r="JM49" s="344"/>
      <c r="JN49" s="344"/>
      <c r="JO49" s="344"/>
      <c r="JP49" s="344"/>
      <c r="JQ49" s="344"/>
      <c r="JT49" s="344"/>
      <c r="JU49" s="344"/>
      <c r="JV49" s="344"/>
      <c r="JW49" s="344"/>
      <c r="JX49" s="344"/>
      <c r="JY49" s="344"/>
      <c r="JZ49" s="344"/>
      <c r="KA49" s="344"/>
      <c r="KB49" s="344"/>
      <c r="KC49" s="344"/>
      <c r="KD49" s="344"/>
      <c r="KE49" s="344"/>
      <c r="KF49" s="344"/>
      <c r="KG49" s="344"/>
      <c r="KH49" s="344"/>
      <c r="KI49" s="344"/>
      <c r="KJ49" s="344"/>
    </row>
    <row r="50" spans="1:296" ht="3" customHeight="1">
      <c r="A50" s="298"/>
      <c r="B50" s="368"/>
      <c r="C50" s="102"/>
      <c r="D50" s="9"/>
      <c r="E50" s="114"/>
      <c r="F50" s="114"/>
      <c r="G50" s="462"/>
      <c r="H50" s="462"/>
      <c r="I50" s="462"/>
      <c r="J50" s="462"/>
      <c r="K50" s="9"/>
      <c r="L50" s="114"/>
      <c r="M50" s="58"/>
      <c r="N50" s="18"/>
      <c r="O50" s="55"/>
      <c r="P50" s="55"/>
      <c r="Q50" s="55"/>
      <c r="R50" s="55"/>
      <c r="S50" s="55"/>
      <c r="T50" s="55"/>
      <c r="U50" s="55"/>
      <c r="V50" s="199"/>
      <c r="W50" s="465"/>
      <c r="X50" s="465"/>
      <c r="Y50" s="465"/>
      <c r="Z50" s="465"/>
      <c r="AA50" s="465"/>
      <c r="AB50" s="465"/>
      <c r="AC50" s="465"/>
      <c r="AD50" s="465"/>
      <c r="AE50" s="465"/>
      <c r="AF50" s="465"/>
      <c r="AG50" s="465"/>
      <c r="AH50" s="465"/>
      <c r="AI50" s="465"/>
      <c r="AJ50" s="465"/>
      <c r="AK50" s="465"/>
      <c r="AL50" s="465"/>
      <c r="AM50" s="465"/>
      <c r="AN50" s="465"/>
      <c r="AO50" s="465"/>
      <c r="AP50" s="465"/>
      <c r="AQ50" s="465"/>
      <c r="AR50" s="465"/>
      <c r="AS50" s="465"/>
      <c r="AT50" s="465"/>
      <c r="AU50" s="465"/>
      <c r="AV50" s="465"/>
      <c r="AW50" s="465"/>
      <c r="AX50" s="465"/>
      <c r="AY50" s="465"/>
      <c r="AZ50" s="465"/>
      <c r="BA50" s="465"/>
      <c r="BB50" s="465"/>
      <c r="BC50" s="465"/>
      <c r="BD50" s="465"/>
      <c r="BE50" s="465"/>
      <c r="BF50" s="465"/>
      <c r="BG50" s="465"/>
      <c r="BH50" s="465"/>
      <c r="BI50" s="465"/>
      <c r="BJ50" s="465"/>
      <c r="BK50" s="465"/>
      <c r="BL50" s="465"/>
      <c r="BM50" s="465"/>
      <c r="BN50" s="465"/>
      <c r="BO50" s="465"/>
      <c r="BP50" s="465"/>
      <c r="BQ50" s="465"/>
      <c r="BR50" s="465"/>
      <c r="BS50" s="465"/>
      <c r="BT50" s="465"/>
      <c r="BU50" s="465"/>
      <c r="BV50" s="465"/>
      <c r="BW50" s="465"/>
      <c r="BX50" s="465"/>
      <c r="BY50" s="465"/>
      <c r="BZ50" s="465"/>
      <c r="CA50" s="465"/>
      <c r="CB50" s="465"/>
      <c r="CC50" s="465"/>
      <c r="CD50" s="465"/>
      <c r="CE50" s="465"/>
      <c r="CF50" s="465"/>
      <c r="CG50" s="465"/>
      <c r="CH50" s="465"/>
      <c r="CI50" s="465"/>
      <c r="CJ50" s="465"/>
      <c r="CK50" s="465"/>
      <c r="CL50" s="465"/>
      <c r="CM50" s="465"/>
      <c r="CN50" s="465"/>
      <c r="CO50" s="465"/>
      <c r="CP50" s="465"/>
      <c r="CQ50" s="465"/>
      <c r="CR50" s="465"/>
      <c r="CS50" s="465"/>
      <c r="CT50" s="465"/>
      <c r="CU50" s="465"/>
      <c r="CV50" s="465"/>
      <c r="CW50" s="465"/>
      <c r="CX50" s="465"/>
      <c r="CY50" s="465"/>
      <c r="CZ50" s="465"/>
      <c r="DA50" s="465"/>
      <c r="DB50" s="465"/>
      <c r="DC50" s="465"/>
      <c r="DD50" s="465"/>
      <c r="DE50" s="465"/>
      <c r="DF50" s="465"/>
      <c r="DG50" s="465"/>
      <c r="DH50" s="465"/>
      <c r="DI50" s="465"/>
      <c r="DJ50" s="465"/>
      <c r="DK50" s="465"/>
      <c r="DL50" s="465"/>
      <c r="DM50" s="465"/>
      <c r="DN50" s="465"/>
      <c r="DO50" s="465"/>
      <c r="DP50" s="465"/>
      <c r="DQ50" s="465"/>
      <c r="DR50" s="465"/>
      <c r="DS50" s="465"/>
      <c r="DT50" s="465"/>
      <c r="DU50" s="465"/>
      <c r="DV50" s="465"/>
      <c r="DW50" s="465"/>
      <c r="DX50" s="465"/>
      <c r="DY50" s="465"/>
      <c r="DZ50" s="465"/>
      <c r="EA50" s="465"/>
      <c r="EB50" s="465"/>
      <c r="EC50" s="465"/>
      <c r="ED50" s="465"/>
      <c r="EE50" s="465"/>
      <c r="EF50" s="465"/>
      <c r="EG50" s="465"/>
      <c r="EH50" s="465"/>
      <c r="EI50" s="465"/>
      <c r="EJ50" s="465"/>
      <c r="EK50" s="465"/>
      <c r="EL50" s="465"/>
      <c r="EM50" s="465"/>
      <c r="EN50" s="465"/>
      <c r="EO50" s="465"/>
      <c r="EP50" s="465"/>
      <c r="EQ50" s="465"/>
      <c r="ER50" s="465"/>
      <c r="ES50" s="465"/>
      <c r="ET50" s="465"/>
      <c r="EU50" s="465"/>
      <c r="EV50" s="465"/>
      <c r="EW50" s="465"/>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56"/>
      <c r="IK50" s="356"/>
      <c r="IL50" s="356"/>
      <c r="IM50" s="356"/>
      <c r="IN50" s="356"/>
      <c r="IO50" s="356"/>
      <c r="IP50" s="356"/>
      <c r="IQ50" s="356"/>
      <c r="IR50" s="356"/>
      <c r="IS50" s="356"/>
      <c r="IT50" s="356"/>
      <c r="IU50" s="356"/>
      <c r="IV50" s="356"/>
      <c r="IW50" s="356"/>
      <c r="IX50" s="356"/>
      <c r="IY50" s="356"/>
      <c r="IZ50" s="356"/>
      <c r="JA50" s="356"/>
      <c r="JB50" s="356"/>
    </row>
    <row r="51" spans="1:296" ht="12" customHeight="1">
      <c r="A51" s="1803" t="s">
        <v>1094</v>
      </c>
      <c r="B51" s="2652"/>
      <c r="C51" s="2652"/>
      <c r="D51" s="2652"/>
      <c r="E51" s="2652"/>
      <c r="F51" s="2652"/>
      <c r="G51" s="2652"/>
      <c r="H51" s="2652"/>
      <c r="I51" s="2652"/>
      <c r="J51" s="2652"/>
      <c r="K51" s="2652"/>
      <c r="L51" s="2652"/>
      <c r="M51" s="2652"/>
      <c r="N51" s="2652"/>
      <c r="O51" s="2652"/>
      <c r="P51" s="2652"/>
      <c r="Q51" s="2653"/>
      <c r="R51" s="55"/>
      <c r="S51" s="55"/>
      <c r="T51" s="55"/>
      <c r="U51" s="55"/>
      <c r="V51" s="199"/>
      <c r="W51" s="465"/>
      <c r="X51" s="465"/>
      <c r="Y51" s="465"/>
      <c r="Z51" s="465"/>
      <c r="AA51" s="465"/>
      <c r="AB51" s="465"/>
      <c r="AC51" s="465"/>
      <c r="AD51" s="465"/>
      <c r="AE51" s="465"/>
      <c r="AF51" s="465"/>
      <c r="AG51" s="465"/>
      <c r="AH51" s="465"/>
      <c r="AI51" s="465"/>
      <c r="AJ51" s="465"/>
      <c r="AK51" s="465"/>
      <c r="AL51" s="465"/>
      <c r="AM51" s="465"/>
      <c r="AN51" s="465"/>
      <c r="AO51" s="465"/>
      <c r="AP51" s="465"/>
      <c r="AQ51" s="465"/>
      <c r="AR51" s="465"/>
      <c r="AS51" s="465"/>
      <c r="AT51" s="465"/>
      <c r="AU51" s="465"/>
      <c r="AV51" s="465"/>
      <c r="AW51" s="465"/>
      <c r="AX51" s="465"/>
      <c r="AY51" s="465"/>
      <c r="AZ51" s="465"/>
      <c r="BA51" s="465"/>
      <c r="BB51" s="465"/>
      <c r="BC51" s="465"/>
      <c r="BD51" s="465"/>
      <c r="BE51" s="465"/>
      <c r="BF51" s="465"/>
      <c r="BG51" s="465"/>
      <c r="BH51" s="465"/>
      <c r="BI51" s="465"/>
      <c r="BJ51" s="465"/>
      <c r="BK51" s="465"/>
      <c r="BL51" s="465"/>
      <c r="BM51" s="465"/>
      <c r="BN51" s="465"/>
      <c r="BO51" s="465"/>
      <c r="BP51" s="465"/>
      <c r="BQ51" s="465"/>
      <c r="BR51" s="465"/>
      <c r="BS51" s="465"/>
      <c r="BT51" s="465"/>
      <c r="BU51" s="465"/>
      <c r="BV51" s="465"/>
      <c r="BW51" s="465"/>
      <c r="BX51" s="465"/>
      <c r="BY51" s="465"/>
      <c r="BZ51" s="465"/>
      <c r="CA51" s="465"/>
      <c r="CB51" s="465"/>
      <c r="CC51" s="465"/>
      <c r="CD51" s="465"/>
      <c r="CE51" s="465"/>
      <c r="CF51" s="465"/>
      <c r="CG51" s="465"/>
      <c r="CH51" s="465"/>
      <c r="CI51" s="465"/>
      <c r="CJ51" s="465"/>
      <c r="CK51" s="465"/>
      <c r="CL51" s="465"/>
      <c r="CM51" s="465"/>
      <c r="CN51" s="465"/>
      <c r="CO51" s="465"/>
      <c r="CP51" s="465"/>
      <c r="CQ51" s="465"/>
      <c r="CR51" s="465"/>
      <c r="CS51" s="465"/>
      <c r="CT51" s="465"/>
      <c r="CU51" s="465"/>
      <c r="CV51" s="465"/>
      <c r="CW51" s="465"/>
      <c r="CX51" s="465"/>
      <c r="CY51" s="465"/>
      <c r="CZ51" s="465"/>
      <c r="DA51" s="465"/>
      <c r="DB51" s="465"/>
      <c r="DC51" s="465"/>
      <c r="DD51" s="465"/>
      <c r="DE51" s="465"/>
      <c r="DF51" s="465"/>
      <c r="DG51" s="465"/>
      <c r="DH51" s="465"/>
      <c r="DI51" s="465"/>
      <c r="DJ51" s="465"/>
      <c r="DK51" s="465"/>
      <c r="DL51" s="465"/>
      <c r="DM51" s="465"/>
      <c r="DN51" s="465"/>
      <c r="DO51" s="465"/>
      <c r="DP51" s="465"/>
      <c r="DQ51" s="465"/>
      <c r="DR51" s="465"/>
      <c r="DS51" s="465"/>
      <c r="DT51" s="465"/>
      <c r="DU51" s="465"/>
      <c r="DV51" s="465"/>
      <c r="DW51" s="465"/>
      <c r="DX51" s="465"/>
      <c r="DY51" s="465"/>
      <c r="DZ51" s="465"/>
      <c r="EA51" s="465"/>
      <c r="EB51" s="465"/>
      <c r="EC51" s="465"/>
      <c r="ED51" s="465"/>
      <c r="EE51" s="465"/>
      <c r="EF51" s="465"/>
      <c r="EG51" s="465"/>
      <c r="EH51" s="465"/>
      <c r="EI51" s="465"/>
      <c r="EJ51" s="465"/>
      <c r="EK51" s="465"/>
      <c r="EL51" s="465"/>
      <c r="EM51" s="465"/>
      <c r="EN51" s="465"/>
      <c r="EO51" s="465"/>
      <c r="EP51" s="465"/>
      <c r="EQ51" s="465"/>
      <c r="ER51" s="465"/>
      <c r="ES51" s="465"/>
      <c r="ET51" s="465"/>
      <c r="EU51" s="465"/>
      <c r="EV51" s="465"/>
      <c r="EW51" s="465"/>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56"/>
      <c r="IK51" s="356"/>
      <c r="IL51" s="356"/>
      <c r="IM51" s="356"/>
      <c r="IN51" s="356"/>
      <c r="IO51" s="356"/>
      <c r="IP51" s="356"/>
      <c r="IQ51" s="356"/>
      <c r="IR51" s="356"/>
      <c r="IS51" s="356"/>
      <c r="IT51" s="356"/>
      <c r="IU51" s="356"/>
      <c r="IV51" s="356"/>
      <c r="IW51" s="356"/>
      <c r="IX51" s="356"/>
      <c r="IY51" s="356"/>
      <c r="IZ51" s="356"/>
      <c r="JA51" s="356"/>
      <c r="JB51" s="356"/>
    </row>
    <row r="52" spans="1:296" ht="12" customHeight="1">
      <c r="A52" s="2652"/>
      <c r="B52" s="2652"/>
      <c r="C52" s="2652"/>
      <c r="D52" s="2652"/>
      <c r="E52" s="2652"/>
      <c r="F52" s="2652"/>
      <c r="G52" s="2652"/>
      <c r="H52" s="2652"/>
      <c r="I52" s="2652"/>
      <c r="J52" s="2652"/>
      <c r="K52" s="2652"/>
      <c r="L52" s="2652"/>
      <c r="M52" s="2652"/>
      <c r="N52" s="2652"/>
      <c r="O52" s="2652"/>
      <c r="P52" s="2652"/>
      <c r="Q52" s="2653"/>
      <c r="R52" s="55"/>
      <c r="S52" s="55"/>
      <c r="T52" s="55"/>
      <c r="U52" s="55"/>
      <c r="V52" s="199"/>
      <c r="W52" s="465"/>
      <c r="X52" s="465"/>
      <c r="Y52" s="465"/>
      <c r="Z52" s="465"/>
      <c r="AA52" s="465"/>
      <c r="AB52" s="465"/>
      <c r="AC52" s="465"/>
      <c r="AD52" s="465"/>
      <c r="AE52" s="465"/>
      <c r="AF52" s="465"/>
      <c r="AG52" s="465"/>
      <c r="AH52" s="465"/>
      <c r="AI52" s="465"/>
      <c r="AJ52" s="465"/>
      <c r="AK52" s="465"/>
      <c r="AL52" s="465"/>
      <c r="AM52" s="465"/>
      <c r="AN52" s="465"/>
      <c r="AO52" s="465"/>
      <c r="AP52" s="465"/>
      <c r="AQ52" s="465"/>
      <c r="AR52" s="465"/>
      <c r="AS52" s="465"/>
      <c r="AT52" s="465"/>
      <c r="AU52" s="465"/>
      <c r="AV52" s="465"/>
      <c r="AW52" s="465"/>
      <c r="AX52" s="465"/>
      <c r="AY52" s="465"/>
      <c r="AZ52" s="465"/>
      <c r="BA52" s="465"/>
      <c r="BB52" s="465"/>
      <c r="BC52" s="465"/>
      <c r="BD52" s="465"/>
      <c r="BE52" s="465"/>
      <c r="BF52" s="465"/>
      <c r="BG52" s="465"/>
      <c r="BH52" s="465"/>
      <c r="BI52" s="465"/>
      <c r="BJ52" s="465"/>
      <c r="BK52" s="465"/>
      <c r="BL52" s="465"/>
      <c r="BM52" s="465"/>
      <c r="BN52" s="465"/>
      <c r="BO52" s="465"/>
      <c r="BP52" s="465"/>
      <c r="BQ52" s="465"/>
      <c r="BR52" s="465"/>
      <c r="BS52" s="465"/>
      <c r="BT52" s="465"/>
      <c r="BU52" s="465"/>
      <c r="BV52" s="465"/>
      <c r="BW52" s="465"/>
      <c r="BX52" s="465"/>
      <c r="BY52" s="465"/>
      <c r="BZ52" s="465"/>
      <c r="CA52" s="465"/>
      <c r="CB52" s="465"/>
      <c r="CC52" s="465"/>
      <c r="CD52" s="465"/>
      <c r="CE52" s="465"/>
      <c r="CF52" s="465"/>
      <c r="CG52" s="465"/>
      <c r="CH52" s="465"/>
      <c r="CI52" s="465"/>
      <c r="CJ52" s="465"/>
      <c r="CK52" s="465"/>
      <c r="CL52" s="465"/>
      <c r="CM52" s="465"/>
      <c r="CN52" s="465"/>
      <c r="CO52" s="465"/>
      <c r="CP52" s="465"/>
      <c r="CQ52" s="465"/>
      <c r="CR52" s="465"/>
      <c r="CS52" s="465"/>
      <c r="CT52" s="465"/>
      <c r="CU52" s="465"/>
      <c r="CV52" s="465"/>
      <c r="CW52" s="465"/>
      <c r="CX52" s="465"/>
      <c r="CY52" s="465"/>
      <c r="CZ52" s="465"/>
      <c r="DA52" s="465"/>
      <c r="DB52" s="465"/>
      <c r="DC52" s="465"/>
      <c r="DD52" s="465"/>
      <c r="DE52" s="465"/>
      <c r="DF52" s="465"/>
      <c r="DG52" s="465"/>
      <c r="DH52" s="465"/>
      <c r="DI52" s="465"/>
      <c r="DJ52" s="465"/>
      <c r="DK52" s="465"/>
      <c r="DL52" s="465"/>
      <c r="DM52" s="465"/>
      <c r="DN52" s="465"/>
      <c r="DO52" s="465"/>
      <c r="DP52" s="465"/>
      <c r="DQ52" s="465"/>
      <c r="DR52" s="465"/>
      <c r="DS52" s="465"/>
      <c r="DT52" s="465"/>
      <c r="DU52" s="465"/>
      <c r="DV52" s="465"/>
      <c r="DW52" s="465"/>
      <c r="DX52" s="465"/>
      <c r="DY52" s="465"/>
      <c r="DZ52" s="465"/>
      <c r="EA52" s="465"/>
      <c r="EB52" s="465"/>
      <c r="EC52" s="465"/>
      <c r="ED52" s="465"/>
      <c r="EE52" s="465"/>
      <c r="EF52" s="465"/>
      <c r="EG52" s="465"/>
      <c r="EH52" s="465"/>
      <c r="EI52" s="465"/>
      <c r="EJ52" s="465"/>
      <c r="EK52" s="465"/>
      <c r="EL52" s="465"/>
      <c r="EM52" s="465"/>
      <c r="EN52" s="465"/>
      <c r="EO52" s="465"/>
      <c r="EP52" s="465"/>
      <c r="EQ52" s="465"/>
      <c r="ER52" s="465"/>
      <c r="ES52" s="465"/>
      <c r="ET52" s="465"/>
      <c r="EU52" s="465"/>
      <c r="EV52" s="465"/>
      <c r="EW52" s="465"/>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56"/>
      <c r="IK52" s="356"/>
      <c r="IL52" s="356"/>
      <c r="IM52" s="356"/>
      <c r="IN52" s="356"/>
      <c r="IO52" s="356"/>
      <c r="IP52" s="356"/>
      <c r="IQ52" s="356"/>
      <c r="IR52" s="356"/>
      <c r="IS52" s="356"/>
      <c r="IT52" s="356"/>
      <c r="IU52" s="356"/>
      <c r="IV52" s="356"/>
      <c r="IW52" s="356"/>
      <c r="IX52" s="356"/>
      <c r="IY52" s="356"/>
      <c r="IZ52" s="356"/>
      <c r="JA52" s="356"/>
      <c r="JB52" s="356"/>
    </row>
    <row r="53" spans="1:296" ht="14.45" customHeight="1">
      <c r="A53" s="8" t="s">
        <v>13</v>
      </c>
      <c r="B53" s="8" t="s">
        <v>1095</v>
      </c>
      <c r="C53" s="102"/>
      <c r="D53" s="102"/>
      <c r="E53" s="102"/>
      <c r="F53" s="102"/>
      <c r="G53" s="102"/>
      <c r="H53" s="102"/>
      <c r="I53" s="102"/>
      <c r="J53" s="102"/>
      <c r="K53" s="102"/>
      <c r="L53" s="102"/>
      <c r="M53" s="102"/>
      <c r="N53" s="102"/>
      <c r="O53" s="48"/>
      <c r="R53" s="1787" t="str">
        <f>B53</f>
        <v>UNIT SUMMARY</v>
      </c>
      <c r="S53" s="1787"/>
      <c r="T53" s="1787"/>
      <c r="U53" s="1787"/>
      <c r="W53" s="366"/>
      <c r="Z53" s="366"/>
      <c r="AA53" s="366"/>
      <c r="AB53" s="366"/>
      <c r="AC53" s="366"/>
      <c r="AD53" s="366"/>
      <c r="AE53" s="366"/>
      <c r="AF53" s="366"/>
      <c r="AG53" s="366"/>
      <c r="AH53" s="366"/>
      <c r="AI53" s="58"/>
      <c r="IL53" s="357"/>
      <c r="JA53" s="344"/>
    </row>
    <row r="54" spans="1:296" ht="3" customHeight="1">
      <c r="A54" s="8"/>
      <c r="B54" s="8"/>
      <c r="C54" s="102"/>
      <c r="D54" s="102"/>
      <c r="E54" s="102"/>
      <c r="F54" s="102"/>
      <c r="G54" s="102"/>
      <c r="H54" s="102"/>
      <c r="I54" s="102"/>
      <c r="J54" s="102"/>
      <c r="K54" s="102"/>
      <c r="L54" s="102"/>
      <c r="M54" s="102"/>
      <c r="N54" s="102"/>
      <c r="O54" s="48"/>
      <c r="R54" s="83"/>
      <c r="S54" s="303"/>
      <c r="T54" s="371"/>
      <c r="W54" s="366"/>
      <c r="Z54" s="366"/>
      <c r="AA54" s="366"/>
      <c r="AB54" s="366"/>
      <c r="AC54" s="366"/>
      <c r="AD54" s="366"/>
      <c r="AE54" s="366"/>
      <c r="AF54" s="366"/>
      <c r="AG54" s="366"/>
      <c r="AH54" s="366"/>
      <c r="AI54" s="58"/>
      <c r="IL54" s="357"/>
      <c r="JA54" s="344"/>
    </row>
    <row r="55" spans="1:296" ht="14.45" customHeight="1">
      <c r="A55" s="8"/>
      <c r="B55" s="8" t="s">
        <v>1096</v>
      </c>
      <c r="C55" s="102"/>
      <c r="D55" s="102"/>
      <c r="E55" s="102"/>
      <c r="F55" s="102"/>
      <c r="G55" s="102"/>
      <c r="H55" s="48"/>
      <c r="I55" s="48"/>
      <c r="J55" s="78" t="s">
        <v>831</v>
      </c>
      <c r="K55" s="78" t="s">
        <v>1097</v>
      </c>
      <c r="L55" s="78" t="s">
        <v>1098</v>
      </c>
      <c r="M55" s="78" t="s">
        <v>1099</v>
      </c>
      <c r="N55" s="78" t="s">
        <v>1100</v>
      </c>
      <c r="O55" s="78" t="s">
        <v>478</v>
      </c>
      <c r="R55" s="16" t="s">
        <v>851</v>
      </c>
      <c r="S55" s="16"/>
      <c r="T55" s="371"/>
      <c r="W55" s="366"/>
      <c r="Z55" s="366"/>
      <c r="AA55" s="366"/>
      <c r="AB55" s="793"/>
      <c r="AC55" s="793"/>
      <c r="AD55" s="793"/>
      <c r="AE55" s="793"/>
      <c r="AF55" s="793"/>
      <c r="AG55" s="793"/>
      <c r="AH55" s="366"/>
      <c r="AI55" s="58"/>
      <c r="IL55" s="357"/>
      <c r="JA55" s="344"/>
    </row>
    <row r="56" spans="1:296" ht="12" customHeight="1">
      <c r="A56" s="102"/>
      <c r="B56" s="102"/>
      <c r="C56" s="58" t="s">
        <v>1101</v>
      </c>
      <c r="D56" s="58"/>
      <c r="E56" s="58"/>
      <c r="F56" s="58"/>
      <c r="G56" s="48"/>
      <c r="H56" s="20" t="s">
        <v>1088</v>
      </c>
      <c r="I56" s="48"/>
      <c r="J56" s="1394">
        <f>W48</f>
        <v>0</v>
      </c>
      <c r="K56" s="1394">
        <f>X48</f>
        <v>9</v>
      </c>
      <c r="L56" s="1394">
        <f>Y48</f>
        <v>22</v>
      </c>
      <c r="M56" s="1394">
        <f>Z48</f>
        <v>17</v>
      </c>
      <c r="N56" s="1394">
        <f>AA48</f>
        <v>0</v>
      </c>
      <c r="O56" s="1394">
        <f t="shared" ref="O56:O62" si="263">SUM(J56:N56)</f>
        <v>48</v>
      </c>
      <c r="P56" s="1806" t="s">
        <v>1102</v>
      </c>
      <c r="Q56" s="1535"/>
      <c r="R56" s="2592"/>
      <c r="S56" s="2654"/>
      <c r="T56" s="2654"/>
      <c r="U56" s="2654"/>
      <c r="V56" s="2593"/>
      <c r="W56" s="368"/>
      <c r="Z56" s="368"/>
      <c r="AA56" s="31"/>
      <c r="AB56" s="462"/>
      <c r="AC56" s="462"/>
      <c r="AD56" s="462"/>
      <c r="AE56" s="462"/>
      <c r="AF56" s="462"/>
      <c r="AG56" s="462"/>
      <c r="AH56" s="31"/>
      <c r="AI56" s="58"/>
      <c r="IL56" s="357"/>
      <c r="JA56" s="344"/>
    </row>
    <row r="57" spans="1:296" ht="12" customHeight="1">
      <c r="A57" s="1807" t="s">
        <v>1103</v>
      </c>
      <c r="B57" s="1807"/>
      <c r="C57" s="4"/>
      <c r="D57" s="58"/>
      <c r="E57" s="58"/>
      <c r="F57" s="58"/>
      <c r="G57" s="48"/>
      <c r="H57" s="20" t="s">
        <v>1086</v>
      </c>
      <c r="I57" s="48"/>
      <c r="J57" s="490">
        <f>AB48</f>
        <v>0</v>
      </c>
      <c r="K57" s="490">
        <f>AC48</f>
        <v>3</v>
      </c>
      <c r="L57" s="490">
        <f>AD48</f>
        <v>6</v>
      </c>
      <c r="M57" s="490">
        <f>AE48</f>
        <v>6</v>
      </c>
      <c r="N57" s="490">
        <f>AF48</f>
        <v>0</v>
      </c>
      <c r="O57" s="490">
        <f t="shared" si="263"/>
        <v>15</v>
      </c>
      <c r="P57" s="1806"/>
      <c r="Q57" s="1535"/>
      <c r="R57" s="2594"/>
      <c r="S57" s="2655"/>
      <c r="T57" s="2655"/>
      <c r="U57" s="2655"/>
      <c r="V57" s="2595"/>
      <c r="W57" s="6"/>
      <c r="Z57" s="368"/>
      <c r="AA57" s="31"/>
      <c r="AB57" s="462"/>
      <c r="AC57" s="462"/>
      <c r="AD57" s="462"/>
      <c r="AE57" s="462"/>
      <c r="AF57" s="462"/>
      <c r="AG57" s="462"/>
      <c r="AH57" s="31"/>
      <c r="AI57" s="58"/>
      <c r="IL57" s="357"/>
      <c r="JA57" s="344"/>
    </row>
    <row r="58" spans="1:296" ht="12" customHeight="1">
      <c r="A58" s="1807"/>
      <c r="B58" s="1807"/>
      <c r="C58" s="4"/>
      <c r="D58" s="58"/>
      <c r="E58" s="58"/>
      <c r="F58" s="58"/>
      <c r="G58" s="48"/>
      <c r="H58" s="20" t="s">
        <v>478</v>
      </c>
      <c r="I58" s="48"/>
      <c r="J58" s="1308">
        <f>SUM(J56:J57)</f>
        <v>0</v>
      </c>
      <c r="K58" s="1308">
        <f>SUM(K56:K57)</f>
        <v>12</v>
      </c>
      <c r="L58" s="1308">
        <f>SUM(L56:L57)</f>
        <v>28</v>
      </c>
      <c r="M58" s="1308">
        <f>SUM(M56:M57)</f>
        <v>23</v>
      </c>
      <c r="N58" s="1308">
        <f>SUM(N56:N57)</f>
        <v>0</v>
      </c>
      <c r="O58" s="1308">
        <f t="shared" si="263"/>
        <v>63</v>
      </c>
      <c r="P58" s="1806"/>
      <c r="R58" s="2594"/>
      <c r="S58" s="2655"/>
      <c r="T58" s="2655"/>
      <c r="U58" s="2655"/>
      <c r="V58" s="2595"/>
      <c r="W58" s="6"/>
      <c r="Z58" s="368"/>
      <c r="AA58" s="31"/>
      <c r="AB58" s="462"/>
      <c r="AC58" s="462"/>
      <c r="AD58" s="462"/>
      <c r="AE58" s="462"/>
      <c r="AF58" s="462"/>
      <c r="AG58" s="462"/>
      <c r="AH58" s="31"/>
      <c r="AI58" s="58"/>
      <c r="IL58" s="357"/>
      <c r="JA58" s="344"/>
    </row>
    <row r="59" spans="1:296" ht="12" customHeight="1">
      <c r="A59" s="1807"/>
      <c r="B59" s="1807"/>
      <c r="C59" s="58" t="s">
        <v>1104</v>
      </c>
      <c r="D59" s="58"/>
      <c r="E59" s="58"/>
      <c r="F59" s="58"/>
      <c r="G59" s="48"/>
      <c r="H59" s="20"/>
      <c r="I59" s="48"/>
      <c r="J59" s="1309">
        <f>AL48</f>
        <v>0</v>
      </c>
      <c r="K59" s="1309">
        <f>AM48</f>
        <v>0</v>
      </c>
      <c r="L59" s="1309">
        <f>AN48</f>
        <v>4</v>
      </c>
      <c r="M59" s="1309">
        <f>AO48</f>
        <v>5</v>
      </c>
      <c r="N59" s="1309">
        <f>AP48</f>
        <v>0</v>
      </c>
      <c r="O59" s="1309">
        <f t="shared" si="263"/>
        <v>9</v>
      </c>
      <c r="R59" s="2594"/>
      <c r="S59" s="2655"/>
      <c r="T59" s="2655"/>
      <c r="U59" s="2655"/>
      <c r="V59" s="2595"/>
      <c r="W59" s="58"/>
      <c r="Z59" s="368"/>
      <c r="AA59" s="31"/>
      <c r="AB59" s="462"/>
      <c r="AC59" s="462"/>
      <c r="AD59" s="462"/>
      <c r="AE59" s="462"/>
      <c r="AF59" s="462"/>
      <c r="AG59" s="462"/>
      <c r="AH59" s="311"/>
      <c r="AI59" s="58"/>
      <c r="IL59" s="357"/>
      <c r="JA59" s="344"/>
    </row>
    <row r="60" spans="1:296" ht="12" customHeight="1">
      <c r="A60" s="1807"/>
      <c r="B60" s="1807"/>
      <c r="C60" s="58" t="s">
        <v>1105</v>
      </c>
      <c r="D60" s="58"/>
      <c r="E60" s="58"/>
      <c r="F60" s="58"/>
      <c r="G60" s="48"/>
      <c r="H60" s="20"/>
      <c r="I60" s="48"/>
      <c r="J60" s="1308">
        <f>SUM(J58:J59)</f>
        <v>0</v>
      </c>
      <c r="K60" s="1308">
        <f>SUM(K58:K59)</f>
        <v>12</v>
      </c>
      <c r="L60" s="1308">
        <f>SUM(L58:L59)</f>
        <v>32</v>
      </c>
      <c r="M60" s="1308">
        <f>SUM(M58:M59)</f>
        <v>28</v>
      </c>
      <c r="N60" s="1308">
        <f>SUM(N58:N59)</f>
        <v>0</v>
      </c>
      <c r="O60" s="1308">
        <f t="shared" si="263"/>
        <v>72</v>
      </c>
      <c r="R60" s="2594"/>
      <c r="S60" s="2655"/>
      <c r="T60" s="2655"/>
      <c r="U60" s="2655"/>
      <c r="V60" s="2595"/>
      <c r="W60" s="368"/>
      <c r="Z60" s="368"/>
      <c r="AA60" s="31"/>
      <c r="AB60" s="462"/>
      <c r="AC60" s="462"/>
      <c r="AD60" s="462"/>
      <c r="AE60" s="462"/>
      <c r="AF60" s="462"/>
      <c r="AG60" s="462"/>
      <c r="AH60" s="311"/>
      <c r="AI60" s="58"/>
      <c r="IL60" s="357"/>
      <c r="JA60" s="344"/>
    </row>
    <row r="61" spans="1:296" ht="12" customHeight="1">
      <c r="A61" s="1807"/>
      <c r="B61" s="1807"/>
      <c r="C61" s="58" t="s">
        <v>1090</v>
      </c>
      <c r="D61" s="58"/>
      <c r="E61" s="58"/>
      <c r="F61" s="58"/>
      <c r="G61" s="48"/>
      <c r="H61" s="20"/>
      <c r="I61" s="48"/>
      <c r="J61" s="1309">
        <f>BU48</f>
        <v>0</v>
      </c>
      <c r="K61" s="1309">
        <f>BV48</f>
        <v>0</v>
      </c>
      <c r="L61" s="1309">
        <f>BW48</f>
        <v>0</v>
      </c>
      <c r="M61" s="1309">
        <f>BX48</f>
        <v>2</v>
      </c>
      <c r="N61" s="1309">
        <f>BY48</f>
        <v>0</v>
      </c>
      <c r="O61" s="1309">
        <f t="shared" si="263"/>
        <v>2</v>
      </c>
      <c r="P61" s="394" t="s">
        <v>1106</v>
      </c>
      <c r="R61" s="2594"/>
      <c r="S61" s="2655"/>
      <c r="T61" s="2655"/>
      <c r="U61" s="2655"/>
      <c r="V61" s="2595"/>
      <c r="W61" s="368"/>
      <c r="Z61" s="368"/>
      <c r="AA61" s="31"/>
      <c r="AB61" s="462"/>
      <c r="AC61" s="462"/>
      <c r="AD61" s="462"/>
      <c r="AE61" s="462"/>
      <c r="AF61" s="462"/>
      <c r="AG61" s="462"/>
      <c r="AH61" s="31"/>
      <c r="AI61" s="58"/>
      <c r="IL61" s="357"/>
      <c r="JA61" s="344"/>
    </row>
    <row r="62" spans="1:296" ht="12" customHeight="1">
      <c r="A62" s="1807"/>
      <c r="B62" s="1807"/>
      <c r="C62" s="58" t="s">
        <v>478</v>
      </c>
      <c r="D62" s="58"/>
      <c r="E62" s="58"/>
      <c r="F62" s="58"/>
      <c r="G62" s="48"/>
      <c r="H62" s="20"/>
      <c r="I62" s="48"/>
      <c r="J62" s="1474">
        <f>SUM(J60:J61)</f>
        <v>0</v>
      </c>
      <c r="K62" s="1474">
        <f>SUM(K60:K61)</f>
        <v>12</v>
      </c>
      <c r="L62" s="1474">
        <f>SUM(L60:L61)</f>
        <v>32</v>
      </c>
      <c r="M62" s="1474">
        <f>SUM(M60:M61)</f>
        <v>30</v>
      </c>
      <c r="N62" s="1474">
        <f>SUM(N60:N61)</f>
        <v>0</v>
      </c>
      <c r="O62" s="1474">
        <f t="shared" si="263"/>
        <v>74</v>
      </c>
      <c r="R62" s="2600"/>
      <c r="S62" s="2656"/>
      <c r="T62" s="2656"/>
      <c r="U62" s="2656"/>
      <c r="V62" s="2601"/>
      <c r="W62" s="368"/>
      <c r="Z62" s="368"/>
      <c r="AA62" s="31"/>
      <c r="AB62" s="462"/>
      <c r="AC62" s="462"/>
      <c r="AD62" s="462"/>
      <c r="AE62" s="462"/>
      <c r="AF62" s="462"/>
      <c r="AG62" s="462"/>
      <c r="AH62" s="366"/>
      <c r="AI62" s="58"/>
      <c r="IL62" s="357"/>
      <c r="JA62" s="344"/>
    </row>
    <row r="63" spans="1:296" ht="9" customHeight="1">
      <c r="A63" s="1807"/>
      <c r="B63" s="1807"/>
      <c r="C63" s="58"/>
      <c r="D63" s="58"/>
      <c r="E63" s="58"/>
      <c r="F63" s="58"/>
      <c r="G63" s="48"/>
      <c r="H63" s="20"/>
      <c r="I63" s="48"/>
      <c r="J63" s="1310"/>
      <c r="K63" s="1310"/>
      <c r="L63" s="1310"/>
      <c r="M63" s="1310"/>
      <c r="N63" s="1310"/>
      <c r="O63" s="1310"/>
      <c r="R63" s="221" t="str">
        <f>C64</f>
        <v>PBRA-Assisted</v>
      </c>
      <c r="S63" s="106"/>
      <c r="T63" s="304"/>
      <c r="W63" s="368"/>
      <c r="Z63" s="368"/>
      <c r="AA63" s="31"/>
      <c r="AB63" s="368"/>
      <c r="AC63" s="368"/>
      <c r="AD63" s="368"/>
      <c r="AE63" s="368"/>
      <c r="AF63" s="368"/>
      <c r="AG63" s="368"/>
      <c r="AH63" s="366"/>
      <c r="AI63" s="58"/>
      <c r="IL63" s="357"/>
      <c r="JA63" s="344"/>
    </row>
    <row r="64" spans="1:296" ht="12" customHeight="1">
      <c r="A64" s="1807"/>
      <c r="B64" s="1807"/>
      <c r="C64" s="58" t="s">
        <v>1107</v>
      </c>
      <c r="D64" s="58"/>
      <c r="E64" s="71"/>
      <c r="F64" s="58"/>
      <c r="G64" s="48"/>
      <c r="H64" s="20" t="s">
        <v>1088</v>
      </c>
      <c r="I64" s="48"/>
      <c r="J64" s="1394">
        <f>BA48</f>
        <v>0</v>
      </c>
      <c r="K64" s="1394">
        <f>BB48</f>
        <v>0</v>
      </c>
      <c r="L64" s="1394">
        <f>BC48</f>
        <v>0</v>
      </c>
      <c r="M64" s="1394">
        <f>BD48</f>
        <v>0</v>
      </c>
      <c r="N64" s="1394">
        <f>BE48</f>
        <v>0</v>
      </c>
      <c r="O64" s="1394">
        <f>SUM(J64:N64)</f>
        <v>0</v>
      </c>
      <c r="R64" s="2592"/>
      <c r="S64" s="2654"/>
      <c r="T64" s="2654"/>
      <c r="U64" s="2654"/>
      <c r="V64" s="2593"/>
      <c r="W64" s="368"/>
      <c r="Z64" s="368"/>
      <c r="AA64" s="31"/>
      <c r="AB64" s="462"/>
      <c r="AC64" s="462"/>
      <c r="AD64" s="462"/>
      <c r="AE64" s="462"/>
      <c r="AF64" s="462"/>
      <c r="AG64" s="462"/>
      <c r="AH64" s="31"/>
      <c r="AI64" s="58"/>
      <c r="IL64" s="357"/>
      <c r="JA64" s="344"/>
    </row>
    <row r="65" spans="1:261" ht="12" customHeight="1">
      <c r="A65" s="1807"/>
      <c r="B65" s="1807"/>
      <c r="C65" s="20" t="s">
        <v>1108</v>
      </c>
      <c r="D65" s="58"/>
      <c r="E65" s="71"/>
      <c r="F65" s="58"/>
      <c r="G65" s="48"/>
      <c r="H65" s="20" t="s">
        <v>1086</v>
      </c>
      <c r="I65" s="48"/>
      <c r="J65" s="490">
        <f>AV48</f>
        <v>0</v>
      </c>
      <c r="K65" s="490">
        <f>AW48</f>
        <v>0</v>
      </c>
      <c r="L65" s="490">
        <f>AX48</f>
        <v>0</v>
      </c>
      <c r="M65" s="490">
        <f>AY48</f>
        <v>0</v>
      </c>
      <c r="N65" s="490">
        <f>AZ48</f>
        <v>0</v>
      </c>
      <c r="O65" s="490">
        <f>SUM(J65:N65)</f>
        <v>0</v>
      </c>
      <c r="R65" s="2594"/>
      <c r="S65" s="2655"/>
      <c r="T65" s="2655"/>
      <c r="U65" s="2655"/>
      <c r="V65" s="2595"/>
      <c r="W65" s="31"/>
      <c r="Z65" s="368"/>
      <c r="AA65" s="31"/>
      <c r="AB65" s="462"/>
      <c r="AC65" s="462"/>
      <c r="AD65" s="462"/>
      <c r="AE65" s="462"/>
      <c r="AF65" s="462"/>
      <c r="AG65" s="462"/>
      <c r="AH65" s="31"/>
      <c r="AI65" s="58"/>
      <c r="IL65" s="357"/>
      <c r="JA65" s="344"/>
    </row>
    <row r="66" spans="1:261" ht="12" customHeight="1">
      <c r="A66" s="1807"/>
      <c r="B66" s="1807"/>
      <c r="C66" s="4"/>
      <c r="D66" s="58"/>
      <c r="E66" s="71"/>
      <c r="F66" s="58"/>
      <c r="G66" s="48"/>
      <c r="H66" s="20" t="s">
        <v>478</v>
      </c>
      <c r="I66" s="48"/>
      <c r="J66" s="1474">
        <f>SUM(J64:J65)</f>
        <v>0</v>
      </c>
      <c r="K66" s="1474">
        <f>SUM(K64:K65)</f>
        <v>0</v>
      </c>
      <c r="L66" s="1474">
        <f>SUM(L64:L65)</f>
        <v>0</v>
      </c>
      <c r="M66" s="1474">
        <f>SUM(M64:M65)</f>
        <v>0</v>
      </c>
      <c r="N66" s="1474">
        <f>SUM(N64:N65)</f>
        <v>0</v>
      </c>
      <c r="O66" s="1474">
        <f>SUM(J66:N66)</f>
        <v>0</v>
      </c>
      <c r="R66" s="2600"/>
      <c r="S66" s="2656"/>
      <c r="T66" s="2656"/>
      <c r="U66" s="2656"/>
      <c r="V66" s="2601"/>
      <c r="W66" s="6"/>
      <c r="Z66" s="368"/>
      <c r="AA66" s="31"/>
      <c r="AB66" s="462"/>
      <c r="AC66" s="462"/>
      <c r="AD66" s="462"/>
      <c r="AE66" s="462"/>
      <c r="AF66" s="462"/>
      <c r="AG66" s="462"/>
      <c r="AH66" s="31"/>
      <c r="AI66" s="58"/>
      <c r="IL66" s="357"/>
      <c r="JA66" s="344"/>
    </row>
    <row r="67" spans="1:261" ht="9" customHeight="1">
      <c r="A67" s="1807"/>
      <c r="B67" s="1807"/>
      <c r="C67" s="58"/>
      <c r="D67" s="58"/>
      <c r="E67" s="58"/>
      <c r="F67" s="58"/>
      <c r="G67" s="48"/>
      <c r="H67" s="20"/>
      <c r="I67" s="48"/>
      <c r="J67" s="1310"/>
      <c r="K67" s="1310"/>
      <c r="L67" s="1310"/>
      <c r="M67" s="1310"/>
      <c r="N67" s="1310"/>
      <c r="O67" s="1310"/>
      <c r="R67" s="221" t="str">
        <f>C68</f>
        <v>PHA Operating Subsidy-Assisted</v>
      </c>
      <c r="S67" s="106"/>
      <c r="T67" s="304"/>
      <c r="W67" s="368"/>
      <c r="Z67" s="368"/>
      <c r="AA67" s="31"/>
      <c r="AB67" s="368"/>
      <c r="AC67" s="368"/>
      <c r="AD67" s="368"/>
      <c r="AE67" s="368"/>
      <c r="AF67" s="368"/>
      <c r="AG67" s="368"/>
      <c r="AH67" s="366"/>
      <c r="AI67" s="58"/>
      <c r="IL67" s="357"/>
      <c r="JA67" s="344"/>
    </row>
    <row r="68" spans="1:261" ht="12" customHeight="1">
      <c r="A68" s="1807"/>
      <c r="B68" s="1807"/>
      <c r="C68" s="1808" t="s">
        <v>1109</v>
      </c>
      <c r="D68" s="1808"/>
      <c r="E68" s="1808"/>
      <c r="F68" s="58"/>
      <c r="G68" s="48"/>
      <c r="H68" s="20" t="s">
        <v>1088</v>
      </c>
      <c r="I68" s="48"/>
      <c r="J68" s="1394">
        <f>BP48</f>
        <v>0</v>
      </c>
      <c r="K68" s="1394">
        <f>BQ48</f>
        <v>0</v>
      </c>
      <c r="L68" s="1394">
        <f>BR48</f>
        <v>0</v>
      </c>
      <c r="M68" s="1394">
        <f>BS48</f>
        <v>0</v>
      </c>
      <c r="N68" s="1394">
        <f>BT48</f>
        <v>0</v>
      </c>
      <c r="O68" s="1394">
        <f>SUM(J68:N68)</f>
        <v>0</v>
      </c>
      <c r="R68" s="2592"/>
      <c r="S68" s="2654"/>
      <c r="T68" s="2654"/>
      <c r="U68" s="2654"/>
      <c r="V68" s="2593"/>
      <c r="W68" s="58"/>
      <c r="Z68" s="368"/>
      <c r="AA68" s="31"/>
      <c r="AB68" s="462"/>
      <c r="AC68" s="462"/>
      <c r="AD68" s="462"/>
      <c r="AE68" s="462"/>
      <c r="AF68" s="462"/>
      <c r="AG68" s="462"/>
      <c r="AH68" s="31"/>
      <c r="AI68" s="58"/>
      <c r="IL68" s="357"/>
      <c r="JA68" s="344"/>
    </row>
    <row r="69" spans="1:261" ht="12" customHeight="1">
      <c r="A69" s="1807"/>
      <c r="B69" s="1807"/>
      <c r="C69" s="1808"/>
      <c r="D69" s="1808"/>
      <c r="E69" s="1808"/>
      <c r="F69" s="58"/>
      <c r="G69" s="48"/>
      <c r="H69" s="20" t="s">
        <v>1086</v>
      </c>
      <c r="I69" s="48"/>
      <c r="J69" s="490">
        <f>BK48</f>
        <v>0</v>
      </c>
      <c r="K69" s="490">
        <f>BL48</f>
        <v>0</v>
      </c>
      <c r="L69" s="490">
        <f>BM48</f>
        <v>0</v>
      </c>
      <c r="M69" s="490">
        <f>BN48</f>
        <v>0</v>
      </c>
      <c r="N69" s="490">
        <f>BO48</f>
        <v>0</v>
      </c>
      <c r="O69" s="490">
        <f>SUM(J69:N69)</f>
        <v>0</v>
      </c>
      <c r="R69" s="2594"/>
      <c r="S69" s="2655"/>
      <c r="T69" s="2655"/>
      <c r="U69" s="2655"/>
      <c r="V69" s="2595"/>
      <c r="W69" s="20"/>
      <c r="Z69" s="368"/>
      <c r="AA69" s="31"/>
      <c r="AB69" s="462"/>
      <c r="AC69" s="462"/>
      <c r="AD69" s="462"/>
      <c r="AE69" s="462"/>
      <c r="AF69" s="462"/>
      <c r="AG69" s="462"/>
      <c r="AH69" s="31"/>
      <c r="AI69" s="58"/>
      <c r="IL69" s="357"/>
      <c r="JA69" s="344"/>
    </row>
    <row r="70" spans="1:261" ht="12" customHeight="1">
      <c r="A70" s="1807"/>
      <c r="B70" s="1807"/>
      <c r="C70" s="20" t="s">
        <v>1108</v>
      </c>
      <c r="D70" s="58"/>
      <c r="E70" s="71"/>
      <c r="F70" s="58"/>
      <c r="G70" s="48"/>
      <c r="H70" s="20" t="s">
        <v>478</v>
      </c>
      <c r="I70" s="48"/>
      <c r="J70" s="1474">
        <f>SUM(J68:J69)</f>
        <v>0</v>
      </c>
      <c r="K70" s="1474">
        <f>SUM(K68:K69)</f>
        <v>0</v>
      </c>
      <c r="L70" s="1474">
        <f>SUM(L68:L69)</f>
        <v>0</v>
      </c>
      <c r="M70" s="1474">
        <f>SUM(M68:M69)</f>
        <v>0</v>
      </c>
      <c r="N70" s="1474">
        <f>SUM(N68:N69)</f>
        <v>0</v>
      </c>
      <c r="O70" s="1474">
        <f>SUM(J70:N70)</f>
        <v>0</v>
      </c>
      <c r="R70" s="2600"/>
      <c r="S70" s="2656"/>
      <c r="T70" s="2656"/>
      <c r="U70" s="2656"/>
      <c r="V70" s="2601"/>
      <c r="W70" s="6"/>
      <c r="Z70" s="368"/>
      <c r="AA70" s="31"/>
      <c r="AB70" s="462"/>
      <c r="AC70" s="462"/>
      <c r="AD70" s="462"/>
      <c r="AE70" s="462"/>
      <c r="AF70" s="462"/>
      <c r="AG70" s="462"/>
      <c r="AH70" s="31"/>
      <c r="AI70" s="58"/>
      <c r="IL70" s="357"/>
      <c r="JA70" s="344"/>
    </row>
    <row r="71" spans="1:261" ht="9" customHeight="1">
      <c r="A71" s="1807"/>
      <c r="B71" s="1807"/>
      <c r="C71" s="102"/>
      <c r="D71" s="1311"/>
      <c r="E71" s="71"/>
      <c r="F71" s="58"/>
      <c r="G71" s="48"/>
      <c r="H71" s="20"/>
      <c r="I71" s="48"/>
      <c r="J71" s="1310"/>
      <c r="K71" s="1310"/>
      <c r="L71" s="1310"/>
      <c r="M71" s="1310"/>
      <c r="N71" s="1310"/>
      <c r="O71" s="1310"/>
      <c r="R71" s="221" t="str">
        <f>C72</f>
        <v>Type of Construction Activity</v>
      </c>
      <c r="S71" s="106"/>
      <c r="T71" s="304"/>
      <c r="W71" s="368"/>
      <c r="Z71" s="368"/>
      <c r="AA71" s="31"/>
      <c r="AB71" s="368"/>
      <c r="AC71" s="368"/>
      <c r="AD71" s="368"/>
      <c r="AE71" s="368"/>
      <c r="AF71" s="368"/>
      <c r="AG71" s="368"/>
      <c r="AH71" s="366"/>
      <c r="AI71" s="58"/>
      <c r="IL71" s="357"/>
      <c r="JA71" s="344"/>
    </row>
    <row r="72" spans="1:261" ht="12" customHeight="1">
      <c r="A72" s="1807"/>
      <c r="B72" s="1807"/>
      <c r="C72" s="1809" t="s">
        <v>1110</v>
      </c>
      <c r="D72" s="1809"/>
      <c r="E72" s="64" t="s">
        <v>112</v>
      </c>
      <c r="F72" s="58"/>
      <c r="G72" s="48"/>
      <c r="H72" s="20" t="s">
        <v>1111</v>
      </c>
      <c r="I72" s="48"/>
      <c r="J72" s="1308">
        <f>DD48</f>
        <v>0</v>
      </c>
      <c r="K72" s="1308">
        <f>DE48</f>
        <v>12</v>
      </c>
      <c r="L72" s="1308">
        <f>DF48</f>
        <v>28</v>
      </c>
      <c r="M72" s="1308">
        <f>DG48</f>
        <v>23</v>
      </c>
      <c r="N72" s="1308">
        <f>DH48</f>
        <v>0</v>
      </c>
      <c r="O72" s="1308">
        <f t="shared" ref="O72:O82" si="264">SUM(J72:N72)</f>
        <v>63</v>
      </c>
      <c r="R72" s="2592"/>
      <c r="S72" s="2654"/>
      <c r="T72" s="2654"/>
      <c r="U72" s="2654"/>
      <c r="V72" s="2593"/>
      <c r="W72" s="368"/>
      <c r="Z72" s="368"/>
      <c r="AA72" s="31"/>
      <c r="AB72" s="462"/>
      <c r="AC72" s="462"/>
      <c r="AD72" s="462"/>
      <c r="AE72" s="462"/>
      <c r="AF72" s="462"/>
      <c r="AG72" s="462"/>
      <c r="AH72" s="366"/>
      <c r="GT72" s="344"/>
      <c r="GY72" s="344"/>
      <c r="GZ72" s="344"/>
      <c r="HA72" s="344"/>
      <c r="HB72" s="344"/>
      <c r="HC72" s="344"/>
      <c r="HD72" s="344"/>
      <c r="HE72" s="344"/>
      <c r="HF72" s="344"/>
      <c r="HG72" s="344"/>
      <c r="HH72" s="344"/>
      <c r="HI72" s="344"/>
      <c r="HJ72" s="344"/>
      <c r="HK72" s="344"/>
      <c r="HL72" s="344"/>
      <c r="HM72" s="344"/>
      <c r="HN72" s="344"/>
      <c r="HO72" s="344"/>
      <c r="HP72" s="344"/>
      <c r="HQ72" s="344"/>
      <c r="HR72" s="344"/>
      <c r="HS72" s="344"/>
      <c r="HT72" s="344"/>
      <c r="HU72" s="344"/>
      <c r="HV72" s="344"/>
      <c r="HW72" s="344"/>
      <c r="HX72" s="344"/>
      <c r="HY72" s="344"/>
      <c r="HZ72" s="344"/>
      <c r="IA72" s="344"/>
      <c r="IB72" s="344"/>
      <c r="IC72" s="344"/>
      <c r="ID72" s="344"/>
      <c r="IL72" s="357"/>
      <c r="JA72" s="344"/>
    </row>
    <row r="73" spans="1:261" ht="12" customHeight="1">
      <c r="A73" s="1807"/>
      <c r="B73" s="1807"/>
      <c r="C73" s="1809"/>
      <c r="D73" s="1809"/>
      <c r="E73" s="71"/>
      <c r="F73" s="58"/>
      <c r="G73" s="48"/>
      <c r="H73" s="20" t="s">
        <v>1104</v>
      </c>
      <c r="I73" s="48"/>
      <c r="J73" s="1309">
        <f>DI48</f>
        <v>0</v>
      </c>
      <c r="K73" s="1309">
        <f>DJ48</f>
        <v>0</v>
      </c>
      <c r="L73" s="1309">
        <f>DK48</f>
        <v>4</v>
      </c>
      <c r="M73" s="1309">
        <f>DL48</f>
        <v>5</v>
      </c>
      <c r="N73" s="1309">
        <f>DM48</f>
        <v>0</v>
      </c>
      <c r="O73" s="1309">
        <f t="shared" si="264"/>
        <v>9</v>
      </c>
      <c r="R73" s="2594"/>
      <c r="S73" s="2655"/>
      <c r="T73" s="2655"/>
      <c r="U73" s="2655"/>
      <c r="V73" s="2595"/>
      <c r="W73" s="368"/>
      <c r="Z73" s="368"/>
      <c r="AA73" s="31"/>
      <c r="AB73" s="462"/>
      <c r="AC73" s="462"/>
      <c r="AD73" s="462"/>
      <c r="AE73" s="462"/>
      <c r="AF73" s="462"/>
      <c r="AG73" s="462"/>
      <c r="AH73" s="311"/>
      <c r="AI73" s="58"/>
      <c r="IL73" s="357"/>
      <c r="JA73" s="344"/>
    </row>
    <row r="74" spans="1:261" ht="12" customHeight="1">
      <c r="A74" s="1807"/>
      <c r="B74" s="1807"/>
      <c r="C74" s="1809"/>
      <c r="D74" s="1809"/>
      <c r="E74" s="71"/>
      <c r="F74" s="58"/>
      <c r="G74" s="48"/>
      <c r="H74" s="20" t="s">
        <v>1112</v>
      </c>
      <c r="I74" s="48"/>
      <c r="J74" s="1474">
        <f>SUM(J72:J73)+DN48</f>
        <v>0</v>
      </c>
      <c r="K74" s="1474">
        <f>SUM(K72:K73)+DO48</f>
        <v>12</v>
      </c>
      <c r="L74" s="1474">
        <f>SUM(L72:L73)+DP48</f>
        <v>32</v>
      </c>
      <c r="M74" s="1474">
        <f>SUM(M72:M73)+DQ48</f>
        <v>30</v>
      </c>
      <c r="N74" s="1474">
        <f>SUM(N72:N73)+DR48</f>
        <v>0</v>
      </c>
      <c r="O74" s="1474">
        <f t="shared" si="264"/>
        <v>74</v>
      </c>
      <c r="R74" s="2594"/>
      <c r="S74" s="2655"/>
      <c r="T74" s="2655"/>
      <c r="U74" s="2655"/>
      <c r="V74" s="2595"/>
      <c r="W74" s="6"/>
      <c r="Z74" s="368"/>
      <c r="AA74" s="20"/>
      <c r="AB74" s="462"/>
      <c r="AC74" s="462"/>
      <c r="AD74" s="462"/>
      <c r="AE74" s="462"/>
      <c r="AF74" s="462"/>
      <c r="AG74" s="462"/>
      <c r="AH74" s="31"/>
      <c r="AI74" s="58"/>
      <c r="IL74" s="357"/>
      <c r="JA74" s="344"/>
    </row>
    <row r="75" spans="1:261" ht="12" customHeight="1">
      <c r="A75" s="1807"/>
      <c r="B75" s="1807"/>
      <c r="C75" s="1809"/>
      <c r="D75" s="1809"/>
      <c r="E75" s="64" t="s">
        <v>1113</v>
      </c>
      <c r="F75" s="58"/>
      <c r="G75" s="48"/>
      <c r="H75" s="20" t="s">
        <v>1111</v>
      </c>
      <c r="I75" s="48"/>
      <c r="J75" s="1308">
        <f>DS48</f>
        <v>0</v>
      </c>
      <c r="K75" s="1308">
        <f>DT48</f>
        <v>0</v>
      </c>
      <c r="L75" s="1308">
        <f>DU48</f>
        <v>0</v>
      </c>
      <c r="M75" s="1308">
        <f>DV48</f>
        <v>0</v>
      </c>
      <c r="N75" s="1308">
        <f>DW48</f>
        <v>0</v>
      </c>
      <c r="O75" s="1308">
        <f t="shared" si="264"/>
        <v>0</v>
      </c>
      <c r="R75" s="2594"/>
      <c r="S75" s="2655"/>
      <c r="T75" s="2655"/>
      <c r="U75" s="2655"/>
      <c r="V75" s="2595"/>
      <c r="W75" s="368"/>
      <c r="Z75" s="368"/>
      <c r="AA75" s="31"/>
      <c r="AB75" s="462"/>
      <c r="AC75" s="462"/>
      <c r="AD75" s="462"/>
      <c r="AE75" s="462"/>
      <c r="AF75" s="462"/>
      <c r="AG75" s="462"/>
      <c r="AH75" s="366"/>
      <c r="GT75" s="344"/>
      <c r="GY75" s="344"/>
      <c r="GZ75" s="344"/>
      <c r="HA75" s="344"/>
      <c r="HB75" s="344"/>
      <c r="HC75" s="344"/>
      <c r="HD75" s="344"/>
      <c r="HE75" s="344"/>
      <c r="HF75" s="344"/>
      <c r="HG75" s="344"/>
      <c r="HH75" s="344"/>
      <c r="HI75" s="344"/>
      <c r="HJ75" s="344"/>
      <c r="HK75" s="344"/>
      <c r="HL75" s="344"/>
      <c r="HM75" s="344"/>
      <c r="HN75" s="344"/>
      <c r="HO75" s="344"/>
      <c r="HP75" s="344"/>
      <c r="HQ75" s="344"/>
      <c r="HR75" s="344"/>
      <c r="HS75" s="344"/>
      <c r="HT75" s="344"/>
      <c r="HU75" s="344"/>
      <c r="HV75" s="344"/>
      <c r="HW75" s="344"/>
      <c r="HX75" s="344"/>
      <c r="HY75" s="344"/>
      <c r="HZ75" s="344"/>
      <c r="IA75" s="344"/>
      <c r="IB75" s="344"/>
      <c r="IC75" s="344"/>
      <c r="ID75" s="344"/>
      <c r="IL75" s="357"/>
      <c r="JA75" s="344"/>
    </row>
    <row r="76" spans="1:261" ht="12" customHeight="1">
      <c r="A76" s="1807"/>
      <c r="B76" s="1807"/>
      <c r="C76" s="1809"/>
      <c r="D76" s="1809"/>
      <c r="E76" s="71"/>
      <c r="F76" s="58"/>
      <c r="G76" s="48"/>
      <c r="H76" s="20" t="s">
        <v>1104</v>
      </c>
      <c r="I76" s="48"/>
      <c r="J76" s="1309">
        <f>DX48</f>
        <v>0</v>
      </c>
      <c r="K76" s="1309">
        <f>DY48</f>
        <v>0</v>
      </c>
      <c r="L76" s="1309">
        <f>DZ48</f>
        <v>0</v>
      </c>
      <c r="M76" s="1309">
        <f>EA48</f>
        <v>0</v>
      </c>
      <c r="N76" s="1309">
        <f>EB48</f>
        <v>0</v>
      </c>
      <c r="O76" s="1309">
        <f t="shared" si="264"/>
        <v>0</v>
      </c>
      <c r="R76" s="2594"/>
      <c r="S76" s="2655"/>
      <c r="T76" s="2655"/>
      <c r="U76" s="2655"/>
      <c r="V76" s="2595"/>
      <c r="W76" s="368"/>
      <c r="Z76" s="368"/>
      <c r="AA76" s="31"/>
      <c r="AB76" s="462"/>
      <c r="AC76" s="462"/>
      <c r="AD76" s="462"/>
      <c r="AE76" s="462"/>
      <c r="AF76" s="462"/>
      <c r="AG76" s="462"/>
      <c r="AH76" s="311"/>
      <c r="AI76" s="58"/>
      <c r="IL76" s="357"/>
      <c r="JA76" s="344"/>
    </row>
    <row r="77" spans="1:261" ht="12" customHeight="1">
      <c r="A77" s="1807"/>
      <c r="B77" s="1807"/>
      <c r="C77" s="1809"/>
      <c r="D77" s="1809"/>
      <c r="E77" s="71"/>
      <c r="F77" s="58"/>
      <c r="G77" s="48"/>
      <c r="H77" s="20" t="s">
        <v>1112</v>
      </c>
      <c r="I77" s="48"/>
      <c r="J77" s="1474">
        <f>SUM(J75:J76)+EC48</f>
        <v>0</v>
      </c>
      <c r="K77" s="1474">
        <f>SUM(K75:K76)+ED48</f>
        <v>0</v>
      </c>
      <c r="L77" s="1474">
        <f>SUM(L75:L76)+EE48</f>
        <v>0</v>
      </c>
      <c r="M77" s="1474">
        <f>SUM(M75:M76)+EF48</f>
        <v>0</v>
      </c>
      <c r="N77" s="1474">
        <f>SUM(N75:N76)+EG48</f>
        <v>0</v>
      </c>
      <c r="O77" s="1474">
        <f t="shared" si="264"/>
        <v>0</v>
      </c>
      <c r="R77" s="2594"/>
      <c r="S77" s="2655"/>
      <c r="T77" s="2655"/>
      <c r="U77" s="2655"/>
      <c r="V77" s="2595"/>
      <c r="W77" s="6"/>
      <c r="Z77" s="368"/>
      <c r="AA77" s="20"/>
      <c r="AB77" s="462"/>
      <c r="AC77" s="462"/>
      <c r="AD77" s="462"/>
      <c r="AE77" s="462"/>
      <c r="AF77" s="462"/>
      <c r="AG77" s="462"/>
      <c r="AH77" s="31"/>
      <c r="AI77" s="58"/>
      <c r="IL77" s="357"/>
      <c r="JA77" s="344"/>
    </row>
    <row r="78" spans="1:261" ht="12" customHeight="1">
      <c r="A78" s="1807"/>
      <c r="B78" s="1807"/>
      <c r="C78" s="789"/>
      <c r="D78" s="58"/>
      <c r="E78" s="1810" t="s">
        <v>1114</v>
      </c>
      <c r="F78" s="1810"/>
      <c r="G78" s="48"/>
      <c r="H78" s="20" t="s">
        <v>1111</v>
      </c>
      <c r="I78" s="48"/>
      <c r="J78" s="1308">
        <f>EH48</f>
        <v>0</v>
      </c>
      <c r="K78" s="1308">
        <f>EI48</f>
        <v>0</v>
      </c>
      <c r="L78" s="1308">
        <f>EJ48</f>
        <v>0</v>
      </c>
      <c r="M78" s="1308">
        <f>EK48</f>
        <v>0</v>
      </c>
      <c r="N78" s="1308">
        <f>EL48</f>
        <v>0</v>
      </c>
      <c r="O78" s="1308">
        <f t="shared" si="264"/>
        <v>0</v>
      </c>
      <c r="R78" s="2594"/>
      <c r="S78" s="2655"/>
      <c r="T78" s="2655"/>
      <c r="U78" s="2655"/>
      <c r="V78" s="2595"/>
      <c r="W78" s="368"/>
      <c r="Z78" s="368"/>
      <c r="AA78" s="31"/>
      <c r="AB78" s="462"/>
      <c r="AC78" s="462"/>
      <c r="AD78" s="462"/>
      <c r="AE78" s="462"/>
      <c r="AF78" s="462"/>
      <c r="AG78" s="462"/>
      <c r="AH78" s="366"/>
      <c r="GT78" s="344"/>
      <c r="GY78" s="344"/>
      <c r="GZ78" s="344"/>
      <c r="HA78" s="344"/>
      <c r="HB78" s="344"/>
      <c r="HC78" s="344"/>
      <c r="HD78" s="344"/>
      <c r="HE78" s="344"/>
      <c r="HF78" s="344"/>
      <c r="HG78" s="344"/>
      <c r="HH78" s="344"/>
      <c r="HI78" s="344"/>
      <c r="HJ78" s="344"/>
      <c r="HK78" s="344"/>
      <c r="HL78" s="344"/>
      <c r="HM78" s="344"/>
      <c r="HN78" s="344"/>
      <c r="HO78" s="344"/>
      <c r="HP78" s="344"/>
      <c r="HQ78" s="344"/>
      <c r="HR78" s="344"/>
      <c r="HS78" s="344"/>
      <c r="HT78" s="344"/>
      <c r="HU78" s="344"/>
      <c r="HV78" s="344"/>
      <c r="HW78" s="344"/>
      <c r="HX78" s="344"/>
      <c r="HY78" s="344"/>
      <c r="HZ78" s="344"/>
      <c r="IA78" s="344"/>
      <c r="IB78" s="344"/>
      <c r="IC78" s="344"/>
      <c r="ID78" s="344"/>
      <c r="IL78" s="357"/>
      <c r="JA78" s="344"/>
    </row>
    <row r="79" spans="1:261" ht="12" customHeight="1">
      <c r="A79" s="1807"/>
      <c r="B79" s="1807"/>
      <c r="C79" s="789"/>
      <c r="D79" s="58"/>
      <c r="E79" s="1810"/>
      <c r="F79" s="1810"/>
      <c r="G79" s="48"/>
      <c r="H79" s="20" t="s">
        <v>1104</v>
      </c>
      <c r="I79" s="48"/>
      <c r="J79" s="1309">
        <f>EM48</f>
        <v>0</v>
      </c>
      <c r="K79" s="1309">
        <f>EN48</f>
        <v>0</v>
      </c>
      <c r="L79" s="1309">
        <f>EO48</f>
        <v>0</v>
      </c>
      <c r="M79" s="1309">
        <f>EP48</f>
        <v>0</v>
      </c>
      <c r="N79" s="1309">
        <f>EQ48</f>
        <v>0</v>
      </c>
      <c r="O79" s="1309">
        <f t="shared" si="264"/>
        <v>0</v>
      </c>
      <c r="R79" s="2594"/>
      <c r="S79" s="2655"/>
      <c r="T79" s="2655"/>
      <c r="U79" s="2655"/>
      <c r="V79" s="2595"/>
      <c r="W79" s="368"/>
      <c r="Z79" s="368"/>
      <c r="AA79" s="31"/>
      <c r="AB79" s="462"/>
      <c r="AC79" s="462"/>
      <c r="AD79" s="462"/>
      <c r="AE79" s="462"/>
      <c r="AF79" s="462"/>
      <c r="AG79" s="462"/>
      <c r="AH79" s="311"/>
      <c r="AI79" s="58"/>
      <c r="IL79" s="357"/>
      <c r="JA79" s="344"/>
    </row>
    <row r="80" spans="1:261" ht="12" customHeight="1">
      <c r="A80" s="1807"/>
      <c r="B80" s="1807"/>
      <c r="C80" s="789"/>
      <c r="D80" s="58"/>
      <c r="E80" s="71"/>
      <c r="F80" s="58"/>
      <c r="G80" s="48"/>
      <c r="H80" s="20" t="s">
        <v>1112</v>
      </c>
      <c r="I80" s="48"/>
      <c r="J80" s="1474">
        <f>SUM(J78:J79)+ER48</f>
        <v>0</v>
      </c>
      <c r="K80" s="1474">
        <f>SUM(K78:K79)+ES48</f>
        <v>0</v>
      </c>
      <c r="L80" s="1474">
        <f>SUM(L78:L79)+ET48</f>
        <v>0</v>
      </c>
      <c r="M80" s="1474">
        <f>SUM(M78:M79)+EU48</f>
        <v>0</v>
      </c>
      <c r="N80" s="1474">
        <f>SUM(N78:N79)+EV48</f>
        <v>0</v>
      </c>
      <c r="O80" s="1474">
        <f t="shared" si="264"/>
        <v>0</v>
      </c>
      <c r="R80" s="2594"/>
      <c r="S80" s="2655"/>
      <c r="T80" s="2655"/>
      <c r="U80" s="2655"/>
      <c r="V80" s="2595"/>
      <c r="W80" s="6"/>
      <c r="Z80" s="368"/>
      <c r="AA80" s="20"/>
      <c r="AB80" s="462"/>
      <c r="AC80" s="462"/>
      <c r="AD80" s="462"/>
      <c r="AE80" s="462"/>
      <c r="AF80" s="462"/>
      <c r="AG80" s="462"/>
      <c r="AH80" s="31"/>
      <c r="AI80" s="58"/>
      <c r="IL80" s="357"/>
      <c r="JA80" s="344"/>
    </row>
    <row r="81" spans="1:261" ht="12" customHeight="1">
      <c r="A81" s="1807"/>
      <c r="B81" s="1807"/>
      <c r="C81" s="789"/>
      <c r="D81" s="58"/>
      <c r="E81" s="71" t="s">
        <v>1115</v>
      </c>
      <c r="F81" s="58"/>
      <c r="G81" s="124"/>
      <c r="H81" s="48"/>
      <c r="I81" s="48"/>
      <c r="J81" s="2657"/>
      <c r="K81" s="2657"/>
      <c r="L81" s="2657"/>
      <c r="M81" s="2657"/>
      <c r="N81" s="2657"/>
      <c r="O81" s="1308">
        <f t="shared" si="264"/>
        <v>0</v>
      </c>
      <c r="R81" s="2594"/>
      <c r="S81" s="2655"/>
      <c r="T81" s="2655"/>
      <c r="U81" s="2655"/>
      <c r="V81" s="2595"/>
      <c r="W81" s="368"/>
      <c r="Z81" s="368"/>
      <c r="AA81" s="31"/>
      <c r="AB81" s="462"/>
      <c r="AC81" s="462"/>
      <c r="AD81" s="462"/>
      <c r="AE81" s="462"/>
      <c r="AF81" s="462"/>
      <c r="AG81" s="462"/>
      <c r="AH81" s="311"/>
      <c r="AI81" s="58"/>
      <c r="IL81" s="357"/>
      <c r="JA81" s="344"/>
    </row>
    <row r="82" spans="1:261" ht="12" customHeight="1">
      <c r="A82" s="1801" t="str">
        <f>IF(AND('Part IV-A-Uses of Funds'!$T$165="Yes",'Part IX A-Scoring Criteria'!$O$414&gt;0,O82&lt;1),"SHOW HISTORIC UNITS HERE &gt;&gt;&gt;&gt;","")</f>
        <v/>
      </c>
      <c r="B82" s="1801"/>
      <c r="C82" s="1801"/>
      <c r="D82" s="1801"/>
      <c r="E82" s="389" t="s">
        <v>1116</v>
      </c>
      <c r="F82" s="58"/>
      <c r="G82" s="124"/>
      <c r="H82" s="48"/>
      <c r="I82" s="48"/>
      <c r="J82" s="2658"/>
      <c r="K82" s="2658"/>
      <c r="L82" s="2658"/>
      <c r="M82" s="2658"/>
      <c r="N82" s="2658"/>
      <c r="O82" s="1309">
        <f t="shared" si="264"/>
        <v>0</v>
      </c>
      <c r="R82" s="2594"/>
      <c r="S82" s="2655"/>
      <c r="T82" s="2655"/>
      <c r="U82" s="2655"/>
      <c r="V82" s="2595"/>
      <c r="W82" s="368"/>
      <c r="Z82" s="368"/>
      <c r="AA82" s="31"/>
      <c r="AB82" s="462"/>
      <c r="AC82" s="462"/>
      <c r="AD82" s="462"/>
      <c r="AE82" s="462"/>
      <c r="AF82" s="462"/>
      <c r="AG82" s="462"/>
      <c r="AH82" s="311"/>
      <c r="AI82" s="58"/>
      <c r="IL82" s="357"/>
      <c r="JA82" s="344"/>
    </row>
    <row r="83" spans="1:261" ht="9" customHeight="1">
      <c r="A83" s="946"/>
      <c r="B83" s="946"/>
      <c r="C83" s="946"/>
      <c r="D83" s="946"/>
      <c r="E83" s="389"/>
      <c r="F83" s="58"/>
      <c r="G83" s="124"/>
      <c r="H83" s="48"/>
      <c r="I83" s="48"/>
      <c r="J83" s="20"/>
      <c r="K83" s="20"/>
      <c r="L83" s="20"/>
      <c r="M83" s="20"/>
      <c r="N83" s="20"/>
      <c r="O83" s="20"/>
      <c r="R83" s="2594"/>
      <c r="S83" s="2655"/>
      <c r="T83" s="2655"/>
      <c r="U83" s="2655"/>
      <c r="V83" s="2595"/>
      <c r="W83" s="368"/>
      <c r="Z83" s="368"/>
      <c r="AA83" s="31"/>
      <c r="AB83" s="462"/>
      <c r="AC83" s="462"/>
      <c r="AD83" s="462"/>
      <c r="AE83" s="462"/>
      <c r="AF83" s="462"/>
      <c r="AG83" s="462"/>
      <c r="AH83" s="311"/>
      <c r="AI83" s="58"/>
      <c r="IL83" s="357"/>
      <c r="JA83" s="344"/>
    </row>
    <row r="84" spans="1:261" ht="12" customHeight="1">
      <c r="A84" s="946"/>
      <c r="B84" s="946"/>
      <c r="C84" s="946"/>
      <c r="D84" s="946"/>
      <c r="E84" s="71" t="s">
        <v>115</v>
      </c>
      <c r="F84" s="58"/>
      <c r="G84" s="124"/>
      <c r="H84" s="48"/>
      <c r="I84" s="48"/>
      <c r="J84" s="1474">
        <f>J88+J90+J92+J94+J96+J98+J100+J102</f>
        <v>0</v>
      </c>
      <c r="K84" s="1474">
        <f>K88+K90+K92+K94+K96+K98+K100+K102</f>
        <v>0</v>
      </c>
      <c r="L84" s="1474">
        <f>L88+L90+L92+L94+L96+L98+L100+L102</f>
        <v>0</v>
      </c>
      <c r="M84" s="1474">
        <f>M88+M90+M92+M94+M96+M98+M100+M102</f>
        <v>0</v>
      </c>
      <c r="N84" s="1474">
        <f>N88+N90+N92+N94+N96+N98+N100+N102</f>
        <v>0</v>
      </c>
      <c r="O84" s="1474">
        <f>SUM(J84:N84)</f>
        <v>0</v>
      </c>
      <c r="R84" s="2600"/>
      <c r="S84" s="2656"/>
      <c r="T84" s="2656"/>
      <c r="U84" s="2656"/>
      <c r="V84" s="2601"/>
      <c r="W84" s="368"/>
      <c r="Z84" s="368"/>
      <c r="AA84" s="31"/>
      <c r="AB84" s="462"/>
      <c r="AC84" s="462"/>
      <c r="AD84" s="462"/>
      <c r="AE84" s="462"/>
      <c r="AF84" s="462"/>
      <c r="AG84" s="462"/>
      <c r="AH84" s="311"/>
      <c r="AI84" s="58"/>
      <c r="IL84" s="357"/>
      <c r="JA84" s="344"/>
    </row>
    <row r="85" spans="1:261" ht="9.75" customHeight="1">
      <c r="A85" s="102"/>
      <c r="B85" s="102"/>
      <c r="C85" s="102"/>
      <c r="D85" s="58"/>
      <c r="E85" s="71"/>
      <c r="F85" s="58"/>
      <c r="G85" s="124"/>
      <c r="H85" s="48"/>
      <c r="I85" s="48"/>
      <c r="J85" s="1310"/>
      <c r="K85" s="1310"/>
      <c r="L85" s="1310"/>
      <c r="M85" s="1310"/>
      <c r="N85" s="1310"/>
      <c r="O85" s="1310"/>
      <c r="R85" s="524" t="str">
        <f>C86</f>
        <v>Building Type: (for Utility Allowance, Monitoring Fees and other purposes)</v>
      </c>
      <c r="S85" s="106"/>
      <c r="T85" s="304"/>
      <c r="W85" s="58"/>
      <c r="Z85" s="58"/>
      <c r="AA85" s="31"/>
      <c r="AB85" s="368"/>
      <c r="AC85" s="368"/>
      <c r="AD85" s="368"/>
      <c r="AE85" s="368"/>
      <c r="AF85" s="368"/>
      <c r="AG85" s="368"/>
      <c r="AH85" s="366"/>
      <c r="AI85" s="58"/>
      <c r="IL85" s="357"/>
      <c r="JA85" s="344"/>
    </row>
    <row r="86" spans="1:261" ht="12" customHeight="1">
      <c r="A86" s="102"/>
      <c r="B86" s="102"/>
      <c r="C86" s="1799" t="s">
        <v>1117</v>
      </c>
      <c r="D86" s="1799"/>
      <c r="E86" s="1034" t="s">
        <v>1118</v>
      </c>
      <c r="F86" s="1312"/>
      <c r="G86" s="1035"/>
      <c r="H86" s="1036"/>
      <c r="I86" s="1037"/>
      <c r="J86" s="1474">
        <f t="shared" ref="J86:O86" si="265">SUM(J87:J94)</f>
        <v>0</v>
      </c>
      <c r="K86" s="1474">
        <f t="shared" si="265"/>
        <v>12</v>
      </c>
      <c r="L86" s="1474">
        <f t="shared" si="265"/>
        <v>32</v>
      </c>
      <c r="M86" s="1474">
        <f t="shared" si="265"/>
        <v>30</v>
      </c>
      <c r="N86" s="1474">
        <f t="shared" si="265"/>
        <v>0</v>
      </c>
      <c r="O86" s="1474">
        <f t="shared" si="265"/>
        <v>74</v>
      </c>
      <c r="R86" s="2592"/>
      <c r="S86" s="2654"/>
      <c r="T86" s="2654"/>
      <c r="U86" s="2654"/>
      <c r="V86" s="2593"/>
      <c r="W86" s="58"/>
      <c r="Z86" s="58"/>
      <c r="AA86" s="31"/>
      <c r="AB86" s="462"/>
      <c r="AC86" s="462"/>
      <c r="AD86" s="462"/>
      <c r="AE86" s="462"/>
      <c r="AF86" s="462"/>
      <c r="AG86" s="462"/>
      <c r="AH86" s="366"/>
      <c r="GT86" s="344"/>
      <c r="GY86" s="344"/>
      <c r="GZ86" s="344"/>
      <c r="HA86" s="344"/>
      <c r="HB86" s="344"/>
      <c r="HC86" s="344"/>
      <c r="HD86" s="344"/>
      <c r="HE86" s="344"/>
      <c r="HF86" s="344"/>
      <c r="HG86" s="344"/>
      <c r="HH86" s="344"/>
      <c r="HI86" s="344"/>
      <c r="HJ86" s="344"/>
      <c r="HK86" s="344"/>
      <c r="HL86" s="344"/>
      <c r="HM86" s="344"/>
      <c r="HN86" s="344"/>
      <c r="HO86" s="344"/>
      <c r="HP86" s="344"/>
      <c r="HQ86" s="344"/>
      <c r="HR86" s="344"/>
      <c r="HS86" s="344"/>
      <c r="HT86" s="344"/>
      <c r="HU86" s="344"/>
      <c r="HV86" s="344"/>
      <c r="HW86" s="344"/>
      <c r="HX86" s="344"/>
      <c r="HY86" s="344"/>
      <c r="HZ86" s="344"/>
      <c r="IA86" s="344"/>
      <c r="IB86" s="344"/>
      <c r="IC86" s="344"/>
      <c r="ID86" s="344"/>
      <c r="IL86" s="357"/>
      <c r="JA86" s="344"/>
    </row>
    <row r="87" spans="1:261" ht="12" customHeight="1">
      <c r="A87" s="102"/>
      <c r="B87" s="102"/>
      <c r="C87" s="1800"/>
      <c r="D87" s="1800"/>
      <c r="E87" s="64"/>
      <c r="F87" s="368"/>
      <c r="G87" s="106"/>
      <c r="H87" s="772" t="s">
        <v>1119</v>
      </c>
      <c r="I87" s="1038"/>
      <c r="J87" s="1313">
        <f>GP48</f>
        <v>0</v>
      </c>
      <c r="K87" s="1313">
        <f>GQ48</f>
        <v>0</v>
      </c>
      <c r="L87" s="1313">
        <f>GR48</f>
        <v>0</v>
      </c>
      <c r="M87" s="1313">
        <f>GS48</f>
        <v>0</v>
      </c>
      <c r="N87" s="1313">
        <f>GT48</f>
        <v>0</v>
      </c>
      <c r="O87" s="1313">
        <f t="shared" ref="O87:O102" si="266">SUM(J87:N87)</f>
        <v>0</v>
      </c>
      <c r="R87" s="2594"/>
      <c r="S87" s="2655"/>
      <c r="T87" s="2655"/>
      <c r="U87" s="2655"/>
      <c r="V87" s="2595"/>
      <c r="W87" s="58"/>
      <c r="Z87" s="58"/>
      <c r="AA87" s="31"/>
      <c r="AB87" s="462"/>
      <c r="AC87" s="462"/>
      <c r="AD87" s="462"/>
      <c r="AE87" s="462"/>
      <c r="AF87" s="462"/>
      <c r="AG87" s="462"/>
      <c r="AH87" s="366"/>
      <c r="GT87" s="344"/>
      <c r="GY87" s="344"/>
      <c r="GZ87" s="344"/>
      <c r="HA87" s="344"/>
      <c r="HB87" s="344"/>
      <c r="HC87" s="344"/>
      <c r="HD87" s="344"/>
      <c r="HE87" s="344"/>
      <c r="HF87" s="344"/>
      <c r="HG87" s="344"/>
      <c r="HH87" s="344"/>
      <c r="HI87" s="344"/>
      <c r="HJ87" s="344"/>
      <c r="HK87" s="344"/>
      <c r="HL87" s="344"/>
      <c r="HM87" s="344"/>
      <c r="HN87" s="344"/>
      <c r="HO87" s="344"/>
      <c r="HP87" s="344"/>
      <c r="HQ87" s="344"/>
      <c r="HR87" s="344"/>
      <c r="HS87" s="344"/>
      <c r="HT87" s="344"/>
      <c r="HU87" s="344"/>
      <c r="HV87" s="344"/>
      <c r="HW87" s="344"/>
      <c r="HX87" s="344"/>
      <c r="HY87" s="344"/>
      <c r="HZ87" s="344"/>
      <c r="IA87" s="344"/>
      <c r="IB87" s="344"/>
      <c r="IC87" s="344"/>
      <c r="ID87" s="344"/>
      <c r="IL87" s="357"/>
      <c r="JA87" s="344"/>
    </row>
    <row r="88" spans="1:261" ht="12" customHeight="1">
      <c r="A88" s="102"/>
      <c r="B88" s="102"/>
      <c r="C88" s="1800"/>
      <c r="D88" s="1800"/>
      <c r="E88" s="64"/>
      <c r="F88" s="368"/>
      <c r="G88" s="106"/>
      <c r="H88" s="59" t="s">
        <v>115</v>
      </c>
      <c r="I88" s="1038"/>
      <c r="J88" s="490">
        <f>GU48</f>
        <v>0</v>
      </c>
      <c r="K88" s="490">
        <f>GV48</f>
        <v>0</v>
      </c>
      <c r="L88" s="490">
        <f>GW48</f>
        <v>0</v>
      </c>
      <c r="M88" s="490">
        <f>GX48</f>
        <v>0</v>
      </c>
      <c r="N88" s="490">
        <f>GY48</f>
        <v>0</v>
      </c>
      <c r="O88" s="490">
        <f t="shared" si="266"/>
        <v>0</v>
      </c>
      <c r="R88" s="2594"/>
      <c r="S88" s="2655"/>
      <c r="T88" s="2655"/>
      <c r="U88" s="2655"/>
      <c r="V88" s="2595"/>
      <c r="W88" s="58"/>
      <c r="Z88" s="58"/>
      <c r="AA88" s="31"/>
      <c r="AB88" s="462"/>
      <c r="AC88" s="462"/>
      <c r="AD88" s="462"/>
      <c r="AE88" s="462"/>
      <c r="AF88" s="462"/>
      <c r="AG88" s="462"/>
      <c r="AH88" s="366"/>
      <c r="GT88" s="344"/>
      <c r="GY88" s="344"/>
      <c r="GZ88" s="344"/>
      <c r="HA88" s="344"/>
      <c r="HB88" s="344"/>
      <c r="HC88" s="344"/>
      <c r="HD88" s="344"/>
      <c r="HE88" s="344"/>
      <c r="HF88" s="344"/>
      <c r="HG88" s="344"/>
      <c r="HH88" s="344"/>
      <c r="HI88" s="344"/>
      <c r="HJ88" s="344"/>
      <c r="HK88" s="344"/>
      <c r="HL88" s="344"/>
      <c r="HM88" s="344"/>
      <c r="HN88" s="344"/>
      <c r="HO88" s="344"/>
      <c r="HP88" s="344"/>
      <c r="HQ88" s="344"/>
      <c r="HR88" s="344"/>
      <c r="HS88" s="344"/>
      <c r="HT88" s="344"/>
      <c r="HU88" s="344"/>
      <c r="HV88" s="344"/>
      <c r="HW88" s="344"/>
      <c r="HX88" s="344"/>
      <c r="HY88" s="344"/>
      <c r="HZ88" s="344"/>
      <c r="IA88" s="344"/>
      <c r="IB88" s="344"/>
      <c r="IC88" s="344"/>
      <c r="ID88" s="344"/>
      <c r="IL88" s="357"/>
      <c r="JA88" s="344"/>
    </row>
    <row r="89" spans="1:261" ht="12" customHeight="1">
      <c r="A89" s="102"/>
      <c r="B89" s="102"/>
      <c r="C89" s="1800"/>
      <c r="D89" s="1800"/>
      <c r="E89" s="64"/>
      <c r="F89" s="368"/>
      <c r="G89" s="106"/>
      <c r="H89" s="772" t="s">
        <v>1120</v>
      </c>
      <c r="I89" s="1038"/>
      <c r="J89" s="1313">
        <f>GZ48</f>
        <v>0</v>
      </c>
      <c r="K89" s="1313">
        <f>HA48</f>
        <v>0</v>
      </c>
      <c r="L89" s="1313">
        <f>HB48</f>
        <v>0</v>
      </c>
      <c r="M89" s="1313">
        <f>HC48</f>
        <v>0</v>
      </c>
      <c r="N89" s="1313">
        <f>HD48</f>
        <v>0</v>
      </c>
      <c r="O89" s="831">
        <f t="shared" si="266"/>
        <v>0</v>
      </c>
      <c r="R89" s="2594"/>
      <c r="S89" s="2655"/>
      <c r="T89" s="2655"/>
      <c r="U89" s="2655"/>
      <c r="V89" s="2595"/>
      <c r="W89" s="58"/>
      <c r="Z89" s="58"/>
      <c r="AA89" s="31"/>
      <c r="AB89" s="462"/>
      <c r="AC89" s="462"/>
      <c r="AD89" s="462"/>
      <c r="AE89" s="462"/>
      <c r="AF89" s="462"/>
      <c r="AG89" s="462"/>
      <c r="AH89" s="366"/>
      <c r="GT89" s="344"/>
      <c r="GY89" s="344"/>
      <c r="GZ89" s="344"/>
      <c r="HA89" s="344"/>
      <c r="HB89" s="344"/>
      <c r="HC89" s="344"/>
      <c r="HD89" s="344"/>
      <c r="HE89" s="344"/>
      <c r="HF89" s="344"/>
      <c r="HG89" s="344"/>
      <c r="HH89" s="344"/>
      <c r="HI89" s="344"/>
      <c r="HJ89" s="344"/>
      <c r="HK89" s="344"/>
      <c r="HL89" s="344"/>
      <c r="HM89" s="344"/>
      <c r="HN89" s="344"/>
      <c r="HO89" s="344"/>
      <c r="HP89" s="344"/>
      <c r="HQ89" s="344"/>
      <c r="HR89" s="344"/>
      <c r="HS89" s="344"/>
      <c r="HT89" s="344"/>
      <c r="HU89" s="344"/>
      <c r="HV89" s="344"/>
      <c r="HW89" s="344"/>
      <c r="HX89" s="344"/>
      <c r="HY89" s="344"/>
      <c r="HZ89" s="344"/>
      <c r="IA89" s="344"/>
      <c r="IB89" s="344"/>
      <c r="IC89" s="344"/>
      <c r="ID89" s="344"/>
      <c r="IL89" s="357"/>
      <c r="JA89" s="344"/>
    </row>
    <row r="90" spans="1:261" ht="12" customHeight="1">
      <c r="A90" s="102"/>
      <c r="B90" s="102"/>
      <c r="C90" s="1800"/>
      <c r="D90" s="1800"/>
      <c r="E90" s="64"/>
      <c r="F90" s="368"/>
      <c r="G90" s="106"/>
      <c r="H90" s="59" t="s">
        <v>115</v>
      </c>
      <c r="I90" s="1038"/>
      <c r="J90" s="490">
        <f>HE48</f>
        <v>0</v>
      </c>
      <c r="K90" s="490">
        <f>HF48</f>
        <v>0</v>
      </c>
      <c r="L90" s="490">
        <f>HG48</f>
        <v>0</v>
      </c>
      <c r="M90" s="490">
        <f>HH48</f>
        <v>0</v>
      </c>
      <c r="N90" s="490">
        <f>HI48</f>
        <v>0</v>
      </c>
      <c r="O90" s="490">
        <f t="shared" si="266"/>
        <v>0</v>
      </c>
      <c r="R90" s="2594"/>
      <c r="S90" s="2655"/>
      <c r="T90" s="2655"/>
      <c r="U90" s="2655"/>
      <c r="V90" s="2595"/>
      <c r="W90" s="58"/>
      <c r="Z90" s="58"/>
      <c r="AA90" s="31"/>
      <c r="AB90" s="462"/>
      <c r="AC90" s="462"/>
      <c r="AD90" s="462"/>
      <c r="AE90" s="462"/>
      <c r="AF90" s="462"/>
      <c r="AG90" s="462"/>
      <c r="AH90" s="366"/>
      <c r="GT90" s="344"/>
      <c r="GY90" s="344"/>
      <c r="GZ90" s="344"/>
      <c r="HA90" s="344"/>
      <c r="HB90" s="344"/>
      <c r="HC90" s="344"/>
      <c r="HD90" s="344"/>
      <c r="HE90" s="344"/>
      <c r="HF90" s="344"/>
      <c r="HG90" s="344"/>
      <c r="HH90" s="344"/>
      <c r="HI90" s="344"/>
      <c r="HJ90" s="344"/>
      <c r="HK90" s="344"/>
      <c r="HL90" s="344"/>
      <c r="HM90" s="344"/>
      <c r="HN90" s="344"/>
      <c r="HO90" s="344"/>
      <c r="HP90" s="344"/>
      <c r="HQ90" s="344"/>
      <c r="HR90" s="344"/>
      <c r="HS90" s="344"/>
      <c r="HT90" s="344"/>
      <c r="HU90" s="344"/>
      <c r="HV90" s="344"/>
      <c r="HW90" s="344"/>
      <c r="HX90" s="344"/>
      <c r="HY90" s="344"/>
      <c r="HZ90" s="344"/>
      <c r="IA90" s="344"/>
      <c r="IB90" s="344"/>
      <c r="IC90" s="344"/>
      <c r="ID90" s="344"/>
      <c r="IL90" s="357"/>
      <c r="JA90" s="344"/>
    </row>
    <row r="91" spans="1:261" ht="12" customHeight="1">
      <c r="A91" s="102"/>
      <c r="B91" s="102"/>
      <c r="C91" s="1800"/>
      <c r="D91" s="1800"/>
      <c r="E91" s="64"/>
      <c r="F91" s="368"/>
      <c r="G91" s="106"/>
      <c r="H91" s="772" t="s">
        <v>1121</v>
      </c>
      <c r="I91" s="1038"/>
      <c r="J91" s="1313">
        <f>HJ48</f>
        <v>0</v>
      </c>
      <c r="K91" s="1313">
        <f>HK48</f>
        <v>12</v>
      </c>
      <c r="L91" s="1313">
        <f>HL48</f>
        <v>32</v>
      </c>
      <c r="M91" s="1313">
        <f>HM48</f>
        <v>30</v>
      </c>
      <c r="N91" s="1313">
        <f>HN48</f>
        <v>0</v>
      </c>
      <c r="O91" s="831">
        <f t="shared" si="266"/>
        <v>74</v>
      </c>
      <c r="R91" s="2594"/>
      <c r="S91" s="2655"/>
      <c r="T91" s="2655"/>
      <c r="U91" s="2655"/>
      <c r="V91" s="2595"/>
      <c r="W91" s="58"/>
      <c r="Z91" s="58"/>
      <c r="AA91" s="31"/>
      <c r="AB91" s="462"/>
      <c r="AC91" s="462"/>
      <c r="AD91" s="462"/>
      <c r="AE91" s="462"/>
      <c r="AF91" s="462"/>
      <c r="AG91" s="462"/>
      <c r="AH91" s="366"/>
      <c r="GT91" s="344"/>
      <c r="GY91" s="344"/>
      <c r="GZ91" s="344"/>
      <c r="HA91" s="344"/>
      <c r="HB91" s="344"/>
      <c r="HC91" s="344"/>
      <c r="HD91" s="344"/>
      <c r="HE91" s="344"/>
      <c r="HF91" s="344"/>
      <c r="HG91" s="344"/>
      <c r="HH91" s="344"/>
      <c r="HI91" s="344"/>
      <c r="HJ91" s="344"/>
      <c r="HK91" s="344"/>
      <c r="HL91" s="344"/>
      <c r="HM91" s="344"/>
      <c r="HN91" s="344"/>
      <c r="HO91" s="344"/>
      <c r="HP91" s="344"/>
      <c r="HQ91" s="344"/>
      <c r="HR91" s="344"/>
      <c r="HS91" s="344"/>
      <c r="HT91" s="344"/>
      <c r="HU91" s="344"/>
      <c r="HV91" s="344"/>
      <c r="HW91" s="344"/>
      <c r="HX91" s="344"/>
      <c r="HY91" s="344"/>
      <c r="HZ91" s="344"/>
      <c r="IA91" s="344"/>
      <c r="IB91" s="344"/>
      <c r="IC91" s="344"/>
      <c r="ID91" s="344"/>
      <c r="IL91" s="357"/>
      <c r="JA91" s="344"/>
    </row>
    <row r="92" spans="1:261" ht="12" customHeight="1">
      <c r="A92" s="102"/>
      <c r="B92" s="102"/>
      <c r="C92" s="1800"/>
      <c r="D92" s="1800"/>
      <c r="E92" s="64"/>
      <c r="F92" s="368"/>
      <c r="G92" s="106"/>
      <c r="H92" s="59" t="s">
        <v>115</v>
      </c>
      <c r="I92" s="1038"/>
      <c r="J92" s="490">
        <f>HO48</f>
        <v>0</v>
      </c>
      <c r="K92" s="490">
        <f>HP48</f>
        <v>0</v>
      </c>
      <c r="L92" s="490">
        <f>HQ48</f>
        <v>0</v>
      </c>
      <c r="M92" s="490">
        <f>HR48</f>
        <v>0</v>
      </c>
      <c r="N92" s="490">
        <f>HS48</f>
        <v>0</v>
      </c>
      <c r="O92" s="490">
        <f t="shared" si="266"/>
        <v>0</v>
      </c>
      <c r="R92" s="2594"/>
      <c r="S92" s="2655"/>
      <c r="T92" s="2655"/>
      <c r="U92" s="2655"/>
      <c r="V92" s="2595"/>
      <c r="W92" s="58"/>
      <c r="Z92" s="58"/>
      <c r="AA92" s="31"/>
      <c r="AB92" s="462"/>
      <c r="AC92" s="462"/>
      <c r="AD92" s="462"/>
      <c r="AE92" s="462"/>
      <c r="AF92" s="462"/>
      <c r="AG92" s="462"/>
      <c r="AH92" s="366"/>
      <c r="GT92" s="344"/>
      <c r="GY92" s="344"/>
      <c r="GZ92" s="344"/>
      <c r="HA92" s="344"/>
      <c r="HB92" s="344"/>
      <c r="HC92" s="344"/>
      <c r="HD92" s="344"/>
      <c r="HE92" s="344"/>
      <c r="HF92" s="344"/>
      <c r="HG92" s="344"/>
      <c r="HH92" s="344"/>
      <c r="HI92" s="344"/>
      <c r="HJ92" s="344"/>
      <c r="HK92" s="344"/>
      <c r="HL92" s="344"/>
      <c r="HM92" s="344"/>
      <c r="HN92" s="344"/>
      <c r="HO92" s="344"/>
      <c r="HP92" s="344"/>
      <c r="HQ92" s="344"/>
      <c r="HR92" s="344"/>
      <c r="HS92" s="344"/>
      <c r="HT92" s="344"/>
      <c r="HU92" s="344"/>
      <c r="HV92" s="344"/>
      <c r="HW92" s="344"/>
      <c r="HX92" s="344"/>
      <c r="HY92" s="344"/>
      <c r="HZ92" s="344"/>
      <c r="IA92" s="344"/>
      <c r="IB92" s="344"/>
      <c r="IC92" s="344"/>
      <c r="ID92" s="344"/>
      <c r="IL92" s="357"/>
      <c r="JA92" s="344"/>
    </row>
    <row r="93" spans="1:261" ht="12" customHeight="1">
      <c r="A93" s="102"/>
      <c r="B93" s="102"/>
      <c r="C93" s="1800"/>
      <c r="D93" s="1800"/>
      <c r="E93" s="64"/>
      <c r="F93" s="58"/>
      <c r="G93" s="48"/>
      <c r="H93" s="22" t="s">
        <v>1122</v>
      </c>
      <c r="I93" s="48"/>
      <c r="J93" s="1313">
        <f>HT48</f>
        <v>0</v>
      </c>
      <c r="K93" s="1313">
        <f>HU48</f>
        <v>0</v>
      </c>
      <c r="L93" s="1313">
        <f>HV48</f>
        <v>0</v>
      </c>
      <c r="M93" s="1313">
        <f>HW48</f>
        <v>0</v>
      </c>
      <c r="N93" s="1313">
        <f>HX48</f>
        <v>0</v>
      </c>
      <c r="O93" s="831">
        <f t="shared" si="266"/>
        <v>0</v>
      </c>
      <c r="R93" s="2594"/>
      <c r="S93" s="2655"/>
      <c r="T93" s="2655"/>
      <c r="U93" s="2655"/>
      <c r="V93" s="2595"/>
      <c r="W93" s="58"/>
      <c r="Z93" s="58"/>
      <c r="AA93" s="31"/>
      <c r="AB93" s="462"/>
      <c r="AC93" s="462"/>
      <c r="AD93" s="462"/>
      <c r="AE93" s="462"/>
      <c r="AF93" s="462"/>
      <c r="AG93" s="462"/>
      <c r="AH93" s="366"/>
      <c r="GT93" s="344"/>
      <c r="GY93" s="344"/>
      <c r="GZ93" s="344"/>
      <c r="HA93" s="344"/>
      <c r="HB93" s="344"/>
      <c r="HC93" s="344"/>
      <c r="HD93" s="344"/>
      <c r="HE93" s="344"/>
      <c r="HF93" s="344"/>
      <c r="HG93" s="344"/>
      <c r="HH93" s="344"/>
      <c r="HI93" s="344"/>
      <c r="HJ93" s="344"/>
      <c r="HK93" s="344"/>
      <c r="HL93" s="344"/>
      <c r="HM93" s="344"/>
      <c r="HN93" s="344"/>
      <c r="HO93" s="344"/>
      <c r="HP93" s="344"/>
      <c r="HQ93" s="344"/>
      <c r="HR93" s="344"/>
      <c r="HS93" s="344"/>
      <c r="HT93" s="344"/>
      <c r="HU93" s="344"/>
      <c r="HV93" s="344"/>
      <c r="HW93" s="344"/>
      <c r="HX93" s="344"/>
      <c r="HY93" s="344"/>
      <c r="HZ93" s="344"/>
      <c r="IA93" s="344"/>
      <c r="IB93" s="344"/>
      <c r="IC93" s="344"/>
      <c r="ID93" s="344"/>
      <c r="IL93" s="357"/>
      <c r="JA93" s="344"/>
    </row>
    <row r="94" spans="1:261" ht="12" customHeight="1">
      <c r="A94" s="102"/>
      <c r="B94" s="102"/>
      <c r="C94" s="1800"/>
      <c r="D94" s="1800"/>
      <c r="E94" s="64"/>
      <c r="F94" s="58"/>
      <c r="G94" s="48"/>
      <c r="H94" s="766" t="s">
        <v>115</v>
      </c>
      <c r="I94" s="48"/>
      <c r="J94" s="490">
        <f>HY48</f>
        <v>0</v>
      </c>
      <c r="K94" s="490">
        <f>HZ48</f>
        <v>0</v>
      </c>
      <c r="L94" s="490">
        <f>IA48</f>
        <v>0</v>
      </c>
      <c r="M94" s="490">
        <f>IB48</f>
        <v>0</v>
      </c>
      <c r="N94" s="490">
        <f>IC48</f>
        <v>0</v>
      </c>
      <c r="O94" s="490">
        <f t="shared" si="266"/>
        <v>0</v>
      </c>
      <c r="R94" s="2594"/>
      <c r="S94" s="2655"/>
      <c r="T94" s="2655"/>
      <c r="U94" s="2655"/>
      <c r="V94" s="2595"/>
      <c r="W94" s="58"/>
      <c r="Z94" s="58"/>
      <c r="AA94" s="31"/>
      <c r="AB94" s="462"/>
      <c r="AC94" s="462"/>
      <c r="AD94" s="462"/>
      <c r="AE94" s="462"/>
      <c r="AF94" s="462"/>
      <c r="AG94" s="462"/>
      <c r="AH94" s="366"/>
      <c r="GT94" s="344"/>
      <c r="GY94" s="344"/>
      <c r="GZ94" s="344"/>
      <c r="HA94" s="344"/>
      <c r="HB94" s="344"/>
      <c r="HC94" s="344"/>
      <c r="HD94" s="344"/>
      <c r="HE94" s="344"/>
      <c r="HF94" s="344"/>
      <c r="HG94" s="344"/>
      <c r="HH94" s="344"/>
      <c r="HI94" s="344"/>
      <c r="HJ94" s="344"/>
      <c r="HK94" s="344"/>
      <c r="HL94" s="344"/>
      <c r="HM94" s="344"/>
      <c r="HN94" s="344"/>
      <c r="HO94" s="344"/>
      <c r="HP94" s="344"/>
      <c r="HQ94" s="344"/>
      <c r="HR94" s="344"/>
      <c r="HS94" s="344"/>
      <c r="HT94" s="344"/>
      <c r="HU94" s="344"/>
      <c r="HV94" s="344"/>
      <c r="HW94" s="344"/>
      <c r="HX94" s="344"/>
      <c r="HY94" s="344"/>
      <c r="HZ94" s="344"/>
      <c r="IA94" s="344"/>
      <c r="IB94" s="344"/>
      <c r="IC94" s="344"/>
      <c r="ID94" s="344"/>
      <c r="IL94" s="357"/>
      <c r="JA94" s="344"/>
    </row>
    <row r="95" spans="1:261" ht="12" customHeight="1">
      <c r="A95" s="102"/>
      <c r="B95" s="102"/>
      <c r="C95" s="102"/>
      <c r="D95" s="102"/>
      <c r="E95" s="64" t="s">
        <v>1123</v>
      </c>
      <c r="F95" s="58"/>
      <c r="G95" s="48"/>
      <c r="H95" s="22"/>
      <c r="I95" s="48"/>
      <c r="J95" s="831">
        <f>FB48</f>
        <v>0</v>
      </c>
      <c r="K95" s="831">
        <f>FC48</f>
        <v>0</v>
      </c>
      <c r="L95" s="831">
        <f>FD48</f>
        <v>0</v>
      </c>
      <c r="M95" s="831">
        <f>FE48</f>
        <v>0</v>
      </c>
      <c r="N95" s="831">
        <f>FF48</f>
        <v>0</v>
      </c>
      <c r="O95" s="831">
        <f t="shared" si="266"/>
        <v>0</v>
      </c>
      <c r="R95" s="2594"/>
      <c r="S95" s="2655"/>
      <c r="T95" s="2655"/>
      <c r="U95" s="2655"/>
      <c r="V95" s="2595"/>
      <c r="W95" s="58"/>
      <c r="Z95" s="58"/>
      <c r="AA95" s="31"/>
      <c r="AB95" s="462"/>
      <c r="AC95" s="462"/>
      <c r="AD95" s="462"/>
      <c r="AE95" s="462"/>
      <c r="AF95" s="462"/>
      <c r="AG95" s="462"/>
      <c r="AH95" s="311"/>
      <c r="AI95" s="58"/>
      <c r="IL95" s="357"/>
      <c r="JA95" s="344"/>
    </row>
    <row r="96" spans="1:261" ht="12" customHeight="1">
      <c r="A96" s="102"/>
      <c r="B96" s="102"/>
      <c r="C96" s="102"/>
      <c r="D96" s="102"/>
      <c r="E96" s="64"/>
      <c r="F96" s="58"/>
      <c r="G96" s="48"/>
      <c r="H96" s="766" t="s">
        <v>115</v>
      </c>
      <c r="I96" s="48"/>
      <c r="J96" s="490">
        <f>FG48</f>
        <v>0</v>
      </c>
      <c r="K96" s="490">
        <f>FH48</f>
        <v>0</v>
      </c>
      <c r="L96" s="490">
        <f>FI48</f>
        <v>0</v>
      </c>
      <c r="M96" s="490">
        <f>FJ48</f>
        <v>0</v>
      </c>
      <c r="N96" s="490">
        <f>FK48</f>
        <v>0</v>
      </c>
      <c r="O96" s="490">
        <f t="shared" si="266"/>
        <v>0</v>
      </c>
      <c r="R96" s="2594"/>
      <c r="S96" s="2655"/>
      <c r="T96" s="2655"/>
      <c r="U96" s="2655"/>
      <c r="V96" s="2595"/>
      <c r="W96" s="58"/>
      <c r="Z96" s="58"/>
      <c r="AA96" s="31"/>
      <c r="AB96" s="462"/>
      <c r="AC96" s="462"/>
      <c r="AD96" s="462"/>
      <c r="AE96" s="462"/>
      <c r="AF96" s="462"/>
      <c r="AG96" s="462"/>
      <c r="AH96" s="311"/>
      <c r="AI96" s="58"/>
      <c r="IL96" s="357"/>
      <c r="JA96" s="344"/>
    </row>
    <row r="97" spans="1:261" ht="12" customHeight="1">
      <c r="A97" s="102"/>
      <c r="B97" s="102"/>
      <c r="C97" s="58"/>
      <c r="D97" s="58"/>
      <c r="E97" s="64" t="s">
        <v>1124</v>
      </c>
      <c r="F97" s="58"/>
      <c r="G97" s="48"/>
      <c r="H97" s="22"/>
      <c r="I97" s="48"/>
      <c r="J97" s="831">
        <f>GF48</f>
        <v>0</v>
      </c>
      <c r="K97" s="831">
        <f>GG48</f>
        <v>0</v>
      </c>
      <c r="L97" s="831">
        <f>GH48</f>
        <v>0</v>
      </c>
      <c r="M97" s="831">
        <f>GI48</f>
        <v>0</v>
      </c>
      <c r="N97" s="831">
        <f>GJ48</f>
        <v>0</v>
      </c>
      <c r="O97" s="831">
        <f t="shared" si="266"/>
        <v>0</v>
      </c>
      <c r="R97" s="2594"/>
      <c r="S97" s="2655"/>
      <c r="T97" s="2655"/>
      <c r="U97" s="2655"/>
      <c r="V97" s="2595"/>
      <c r="W97" s="58"/>
      <c r="Z97" s="58"/>
      <c r="AA97" s="31"/>
      <c r="AB97" s="462"/>
      <c r="AC97" s="462"/>
      <c r="AD97" s="462"/>
      <c r="AE97" s="462"/>
      <c r="AF97" s="462"/>
      <c r="AG97" s="462"/>
      <c r="AH97" s="366"/>
      <c r="GT97" s="344"/>
      <c r="GY97" s="344"/>
      <c r="GZ97" s="344"/>
      <c r="HA97" s="344"/>
      <c r="HB97" s="344"/>
      <c r="HC97" s="344"/>
      <c r="HD97" s="344"/>
      <c r="HE97" s="344"/>
      <c r="HF97" s="344"/>
      <c r="HG97" s="344"/>
      <c r="HH97" s="344"/>
      <c r="HI97" s="344"/>
      <c r="HJ97" s="344"/>
      <c r="HK97" s="344"/>
      <c r="HL97" s="344"/>
      <c r="HM97" s="344"/>
      <c r="HN97" s="344"/>
      <c r="HO97" s="344"/>
      <c r="HP97" s="344"/>
      <c r="HQ97" s="344"/>
      <c r="HR97" s="344"/>
      <c r="HS97" s="344"/>
      <c r="HT97" s="344"/>
      <c r="HU97" s="344"/>
      <c r="HV97" s="344"/>
      <c r="HW97" s="344"/>
      <c r="HX97" s="344"/>
      <c r="HY97" s="344"/>
      <c r="HZ97" s="344"/>
      <c r="IA97" s="344"/>
      <c r="IB97" s="344"/>
      <c r="IC97" s="344"/>
      <c r="ID97" s="344"/>
      <c r="IL97" s="357"/>
      <c r="JA97" s="344"/>
    </row>
    <row r="98" spans="1:261" ht="12" customHeight="1">
      <c r="A98" s="102"/>
      <c r="B98" s="102"/>
      <c r="C98" s="58"/>
      <c r="D98" s="58"/>
      <c r="E98" s="64"/>
      <c r="F98" s="58"/>
      <c r="G98" s="48"/>
      <c r="H98" s="766" t="s">
        <v>115</v>
      </c>
      <c r="I98" s="48"/>
      <c r="J98" s="490">
        <f>GK48</f>
        <v>0</v>
      </c>
      <c r="K98" s="490">
        <f>GL48</f>
        <v>0</v>
      </c>
      <c r="L98" s="490">
        <f>GM48</f>
        <v>0</v>
      </c>
      <c r="M98" s="490">
        <f>GN48</f>
        <v>0</v>
      </c>
      <c r="N98" s="490">
        <f>GO48</f>
        <v>0</v>
      </c>
      <c r="O98" s="490">
        <f t="shared" si="266"/>
        <v>0</v>
      </c>
      <c r="R98" s="2594"/>
      <c r="S98" s="2655"/>
      <c r="T98" s="2655"/>
      <c r="U98" s="2655"/>
      <c r="V98" s="2595"/>
      <c r="W98" s="58"/>
      <c r="Z98" s="58"/>
      <c r="AA98" s="31"/>
      <c r="AB98" s="462"/>
      <c r="AC98" s="462"/>
      <c r="AD98" s="462"/>
      <c r="AE98" s="462"/>
      <c r="AF98" s="462"/>
      <c r="AG98" s="462"/>
      <c r="AH98" s="366"/>
      <c r="GT98" s="344"/>
      <c r="GY98" s="344"/>
      <c r="GZ98" s="344"/>
      <c r="HA98" s="344"/>
      <c r="HB98" s="344"/>
      <c r="HC98" s="344"/>
      <c r="HD98" s="344"/>
      <c r="HE98" s="344"/>
      <c r="HF98" s="344"/>
      <c r="HG98" s="344"/>
      <c r="HH98" s="344"/>
      <c r="HI98" s="344"/>
      <c r="HJ98" s="344"/>
      <c r="HK98" s="344"/>
      <c r="HL98" s="344"/>
      <c r="HM98" s="344"/>
      <c r="HN98" s="344"/>
      <c r="HO98" s="344"/>
      <c r="HP98" s="344"/>
      <c r="HQ98" s="344"/>
      <c r="HR98" s="344"/>
      <c r="HS98" s="344"/>
      <c r="HT98" s="344"/>
      <c r="HU98" s="344"/>
      <c r="HV98" s="344"/>
      <c r="HW98" s="344"/>
      <c r="HX98" s="344"/>
      <c r="HY98" s="344"/>
      <c r="HZ98" s="344"/>
      <c r="IA98" s="344"/>
      <c r="IB98" s="344"/>
      <c r="IC98" s="344"/>
      <c r="ID98" s="344"/>
      <c r="IL98" s="357"/>
      <c r="JA98" s="344"/>
    </row>
    <row r="99" spans="1:261" ht="12" customHeight="1">
      <c r="A99" s="102"/>
      <c r="B99" s="102"/>
      <c r="C99" s="58"/>
      <c r="D99" s="58"/>
      <c r="E99" s="71" t="s">
        <v>1125</v>
      </c>
      <c r="F99" s="58"/>
      <c r="G99" s="48"/>
      <c r="H99" s="22"/>
      <c r="I99" s="48"/>
      <c r="J99" s="831">
        <f>FV48</f>
        <v>0</v>
      </c>
      <c r="K99" s="831">
        <f>FW48</f>
        <v>0</v>
      </c>
      <c r="L99" s="831">
        <f>FX48</f>
        <v>0</v>
      </c>
      <c r="M99" s="831">
        <f>FY48</f>
        <v>0</v>
      </c>
      <c r="N99" s="831">
        <f>FZ48</f>
        <v>0</v>
      </c>
      <c r="O99" s="831">
        <f t="shared" si="266"/>
        <v>0</v>
      </c>
      <c r="R99" s="2594"/>
      <c r="S99" s="2655"/>
      <c r="T99" s="2655"/>
      <c r="U99" s="2655"/>
      <c r="V99" s="2595"/>
      <c r="W99" s="58"/>
      <c r="Z99" s="58"/>
      <c r="AA99" s="31"/>
      <c r="AB99" s="462"/>
      <c r="AC99" s="462"/>
      <c r="AD99" s="462"/>
      <c r="AE99" s="462"/>
      <c r="AF99" s="462"/>
      <c r="AG99" s="462"/>
      <c r="AH99" s="311"/>
      <c r="AI99" s="58"/>
      <c r="IL99" s="357"/>
      <c r="JA99" s="344"/>
    </row>
    <row r="100" spans="1:261" ht="12" customHeight="1">
      <c r="A100" s="102"/>
      <c r="B100" s="102"/>
      <c r="C100" s="58"/>
      <c r="D100" s="58"/>
      <c r="E100" s="71"/>
      <c r="F100" s="58"/>
      <c r="G100" s="48"/>
      <c r="H100" s="766" t="s">
        <v>115</v>
      </c>
      <c r="I100" s="48"/>
      <c r="J100" s="1313">
        <f>GA48</f>
        <v>0</v>
      </c>
      <c r="K100" s="1313">
        <f>GB48</f>
        <v>0</v>
      </c>
      <c r="L100" s="1313">
        <f>GC48</f>
        <v>0</v>
      </c>
      <c r="M100" s="1313">
        <f>GD48</f>
        <v>0</v>
      </c>
      <c r="N100" s="1313">
        <f>GE48</f>
        <v>0</v>
      </c>
      <c r="O100" s="490">
        <f t="shared" si="266"/>
        <v>0</v>
      </c>
      <c r="R100" s="2594"/>
      <c r="S100" s="2655"/>
      <c r="T100" s="2655"/>
      <c r="U100" s="2655"/>
      <c r="V100" s="2595"/>
      <c r="W100" s="58"/>
      <c r="Z100" s="58"/>
      <c r="AA100" s="31"/>
      <c r="AB100" s="462"/>
      <c r="AC100" s="462"/>
      <c r="AD100" s="462"/>
      <c r="AE100" s="462"/>
      <c r="AF100" s="462"/>
      <c r="AG100" s="462"/>
      <c r="AH100" s="311"/>
      <c r="AI100" s="58"/>
      <c r="IL100" s="357"/>
      <c r="JA100" s="344"/>
    </row>
    <row r="101" spans="1:261" ht="12" customHeight="1">
      <c r="A101" s="102"/>
      <c r="B101" s="102"/>
      <c r="C101" s="58"/>
      <c r="D101" s="58"/>
      <c r="E101" s="54" t="s">
        <v>1126</v>
      </c>
      <c r="F101" s="58"/>
      <c r="G101" s="48"/>
      <c r="H101" s="22"/>
      <c r="I101" s="48"/>
      <c r="J101" s="831">
        <f>FL48</f>
        <v>0</v>
      </c>
      <c r="K101" s="831">
        <f>FM48</f>
        <v>0</v>
      </c>
      <c r="L101" s="831">
        <f>FN48</f>
        <v>0</v>
      </c>
      <c r="M101" s="831">
        <f>FO48</f>
        <v>0</v>
      </c>
      <c r="N101" s="831">
        <f>FP48</f>
        <v>0</v>
      </c>
      <c r="O101" s="831">
        <f t="shared" si="266"/>
        <v>0</v>
      </c>
      <c r="R101" s="2594"/>
      <c r="S101" s="2655"/>
      <c r="T101" s="2655"/>
      <c r="U101" s="2655"/>
      <c r="V101" s="2595"/>
      <c r="W101" s="58"/>
      <c r="Z101" s="58"/>
      <c r="AA101" s="31"/>
      <c r="AB101" s="462"/>
      <c r="AC101" s="462"/>
      <c r="AD101" s="462"/>
      <c r="AE101" s="462"/>
      <c r="AF101" s="462"/>
      <c r="AG101" s="462"/>
      <c r="AH101" s="366"/>
      <c r="GT101" s="344"/>
      <c r="GY101" s="344"/>
      <c r="GZ101" s="344"/>
      <c r="HA101" s="344"/>
      <c r="HB101" s="344"/>
      <c r="HC101" s="344"/>
      <c r="HD101" s="344"/>
      <c r="HE101" s="344"/>
      <c r="HF101" s="344"/>
      <c r="HG101" s="344"/>
      <c r="HH101" s="344"/>
      <c r="HI101" s="344"/>
      <c r="HJ101" s="344"/>
      <c r="HK101" s="344"/>
      <c r="HL101" s="344"/>
      <c r="HM101" s="344"/>
      <c r="HN101" s="344"/>
      <c r="HO101" s="344"/>
      <c r="HP101" s="344"/>
      <c r="HQ101" s="344"/>
      <c r="HR101" s="344"/>
      <c r="HS101" s="344"/>
      <c r="HT101" s="344"/>
      <c r="HU101" s="344"/>
      <c r="HV101" s="344"/>
      <c r="HW101" s="344"/>
      <c r="HX101" s="344"/>
      <c r="HY101" s="344"/>
      <c r="HZ101" s="344"/>
      <c r="IA101" s="344"/>
      <c r="IB101" s="344"/>
      <c r="IC101" s="344"/>
      <c r="ID101" s="344"/>
      <c r="IL101" s="357"/>
      <c r="JA101" s="344"/>
    </row>
    <row r="102" spans="1:261" ht="12" customHeight="1">
      <c r="A102" s="102"/>
      <c r="B102" s="102"/>
      <c r="C102" s="58"/>
      <c r="D102" s="58"/>
      <c r="E102" s="54"/>
      <c r="F102" s="58"/>
      <c r="G102" s="48"/>
      <c r="H102" s="766" t="s">
        <v>115</v>
      </c>
      <c r="I102" s="48"/>
      <c r="J102" s="832">
        <f>FQ48</f>
        <v>0</v>
      </c>
      <c r="K102" s="832">
        <f>FR48</f>
        <v>0</v>
      </c>
      <c r="L102" s="832">
        <f>FS48</f>
        <v>0</v>
      </c>
      <c r="M102" s="832">
        <f>FT48</f>
        <v>0</v>
      </c>
      <c r="N102" s="832">
        <f>FU48</f>
        <v>0</v>
      </c>
      <c r="O102" s="832">
        <f t="shared" si="266"/>
        <v>0</v>
      </c>
      <c r="R102" s="2600"/>
      <c r="S102" s="2656"/>
      <c r="T102" s="2656"/>
      <c r="U102" s="2656"/>
      <c r="V102" s="2601"/>
      <c r="W102" s="58"/>
      <c r="Z102" s="58"/>
      <c r="AA102" s="31"/>
      <c r="AB102" s="462"/>
      <c r="AC102" s="462"/>
      <c r="AD102" s="462"/>
      <c r="AE102" s="462"/>
      <c r="AF102" s="462"/>
      <c r="AG102" s="462"/>
      <c r="AH102" s="366"/>
      <c r="GT102" s="344"/>
      <c r="GY102" s="344"/>
      <c r="GZ102" s="344"/>
      <c r="HA102" s="344"/>
      <c r="HB102" s="344"/>
      <c r="HC102" s="344"/>
      <c r="HD102" s="344"/>
      <c r="HE102" s="344"/>
      <c r="HF102" s="344"/>
      <c r="HG102" s="344"/>
      <c r="HH102" s="344"/>
      <c r="HI102" s="344"/>
      <c r="HJ102" s="344"/>
      <c r="HK102" s="344"/>
      <c r="HL102" s="344"/>
      <c r="HM102" s="344"/>
      <c r="HN102" s="344"/>
      <c r="HO102" s="344"/>
      <c r="HP102" s="344"/>
      <c r="HQ102" s="344"/>
      <c r="HR102" s="344"/>
      <c r="HS102" s="344"/>
      <c r="HT102" s="344"/>
      <c r="HU102" s="344"/>
      <c r="HV102" s="344"/>
      <c r="HW102" s="344"/>
      <c r="HX102" s="344"/>
      <c r="HY102" s="344"/>
      <c r="HZ102" s="344"/>
      <c r="IA102" s="344"/>
      <c r="IB102" s="344"/>
      <c r="IC102" s="344"/>
      <c r="ID102" s="344"/>
      <c r="IL102" s="357"/>
      <c r="JA102" s="344"/>
    </row>
    <row r="103" spans="1:261" ht="10.5" customHeight="1">
      <c r="A103" s="102"/>
      <c r="B103" s="102"/>
      <c r="C103" s="58"/>
      <c r="D103" s="102"/>
      <c r="E103" s="102"/>
      <c r="F103" s="102"/>
      <c r="G103" s="48"/>
      <c r="H103" s="790"/>
      <c r="I103" s="48"/>
      <c r="J103" s="1314"/>
      <c r="K103" s="1314"/>
      <c r="L103" s="1314"/>
      <c r="M103" s="1314"/>
      <c r="N103" s="1314"/>
      <c r="O103" s="1314"/>
      <c r="R103" s="221" t="str">
        <f>C104</f>
        <v>Building Type:
(for Cost Limit purposes only)</v>
      </c>
    </row>
    <row r="104" spans="1:261" ht="12" customHeight="1">
      <c r="A104" s="102"/>
      <c r="B104" s="102"/>
      <c r="C104" s="1799" t="s">
        <v>1127</v>
      </c>
      <c r="D104" s="1799"/>
      <c r="E104" s="1034" t="s">
        <v>1128</v>
      </c>
      <c r="F104" s="1035"/>
      <c r="G104" s="1036"/>
      <c r="H104" s="1039"/>
      <c r="I104" s="1037"/>
      <c r="J104" s="1394">
        <f t="shared" ref="J104:N105" si="267">J95+J99+J101</f>
        <v>0</v>
      </c>
      <c r="K104" s="1394">
        <f t="shared" si="267"/>
        <v>0</v>
      </c>
      <c r="L104" s="1394">
        <f t="shared" si="267"/>
        <v>0</v>
      </c>
      <c r="M104" s="1394">
        <f t="shared" si="267"/>
        <v>0</v>
      </c>
      <c r="N104" s="1394">
        <f t="shared" si="267"/>
        <v>0</v>
      </c>
      <c r="O104" s="1394">
        <f t="shared" ref="O104:O111" si="268">SUM(J104:N104)</f>
        <v>0</v>
      </c>
      <c r="R104" s="2592"/>
      <c r="S104" s="2654"/>
      <c r="T104" s="2654"/>
      <c r="U104" s="2654"/>
      <c r="V104" s="2593"/>
      <c r="W104" s="58"/>
      <c r="Z104" s="58"/>
      <c r="AA104" s="31"/>
      <c r="AB104" s="462"/>
      <c r="AC104" s="462"/>
      <c r="AD104" s="462"/>
      <c r="AE104" s="462"/>
      <c r="AF104" s="462"/>
      <c r="AG104" s="462"/>
      <c r="AH104" s="366"/>
      <c r="GT104" s="344"/>
      <c r="GY104" s="344"/>
      <c r="GZ104" s="344"/>
      <c r="HA104" s="344"/>
      <c r="HB104" s="344"/>
      <c r="HC104" s="344"/>
      <c r="HD104" s="344"/>
      <c r="HE104" s="344"/>
      <c r="HF104" s="344"/>
      <c r="HG104" s="344"/>
      <c r="HH104" s="344"/>
      <c r="HI104" s="344"/>
      <c r="HJ104" s="344"/>
      <c r="HK104" s="344"/>
      <c r="HL104" s="344"/>
      <c r="HM104" s="344"/>
      <c r="HN104" s="344"/>
      <c r="HO104" s="344"/>
      <c r="HP104" s="344"/>
      <c r="HQ104" s="344"/>
      <c r="HR104" s="344"/>
      <c r="HS104" s="344"/>
      <c r="HT104" s="344"/>
      <c r="HU104" s="344"/>
      <c r="HV104" s="344"/>
      <c r="HW104" s="344"/>
      <c r="HX104" s="344"/>
      <c r="HY104" s="344"/>
      <c r="HZ104" s="344"/>
      <c r="IA104" s="344"/>
      <c r="IB104" s="344"/>
      <c r="IC104" s="344"/>
      <c r="ID104" s="344"/>
      <c r="IL104" s="357"/>
      <c r="JA104" s="344"/>
    </row>
    <row r="105" spans="1:261" ht="12" customHeight="1">
      <c r="A105" s="102"/>
      <c r="B105" s="102"/>
      <c r="C105" s="1800"/>
      <c r="D105" s="1800"/>
      <c r="E105" s="64"/>
      <c r="F105" s="394"/>
      <c r="G105" s="106"/>
      <c r="H105" s="59" t="s">
        <v>115</v>
      </c>
      <c r="I105" s="1038"/>
      <c r="J105" s="490">
        <f t="shared" si="267"/>
        <v>0</v>
      </c>
      <c r="K105" s="490">
        <f t="shared" si="267"/>
        <v>0</v>
      </c>
      <c r="L105" s="490">
        <f t="shared" si="267"/>
        <v>0</v>
      </c>
      <c r="M105" s="490">
        <f t="shared" si="267"/>
        <v>0</v>
      </c>
      <c r="N105" s="490">
        <f t="shared" si="267"/>
        <v>0</v>
      </c>
      <c r="O105" s="490">
        <f t="shared" si="268"/>
        <v>0</v>
      </c>
      <c r="R105" s="2594"/>
      <c r="S105" s="2655"/>
      <c r="T105" s="2655"/>
      <c r="U105" s="2655"/>
      <c r="V105" s="2595"/>
      <c r="W105" s="58"/>
      <c r="Z105" s="58"/>
      <c r="AA105" s="31"/>
      <c r="AB105" s="462"/>
      <c r="AC105" s="462"/>
      <c r="AD105" s="462"/>
      <c r="AE105" s="462"/>
      <c r="AF105" s="462"/>
      <c r="AG105" s="462"/>
      <c r="AH105" s="366"/>
      <c r="GT105" s="344"/>
      <c r="GY105" s="344"/>
      <c r="GZ105" s="344"/>
      <c r="HA105" s="344"/>
      <c r="HB105" s="344"/>
      <c r="HC105" s="344"/>
      <c r="HD105" s="344"/>
      <c r="HE105" s="344"/>
      <c r="HF105" s="344"/>
      <c r="HG105" s="344"/>
      <c r="HH105" s="344"/>
      <c r="HI105" s="344"/>
      <c r="HJ105" s="344"/>
      <c r="HK105" s="344"/>
      <c r="HL105" s="344"/>
      <c r="HM105" s="344"/>
      <c r="HN105" s="344"/>
      <c r="HO105" s="344"/>
      <c r="HP105" s="344"/>
      <c r="HQ105" s="344"/>
      <c r="HR105" s="344"/>
      <c r="HS105" s="344"/>
      <c r="HT105" s="344"/>
      <c r="HU105" s="344"/>
      <c r="HV105" s="344"/>
      <c r="HW105" s="344"/>
      <c r="HX105" s="344"/>
      <c r="HY105" s="344"/>
      <c r="HZ105" s="344"/>
      <c r="IA105" s="344"/>
      <c r="IB105" s="344"/>
      <c r="IC105" s="344"/>
      <c r="ID105" s="344"/>
      <c r="IL105" s="357"/>
      <c r="JA105" s="344"/>
    </row>
    <row r="106" spans="1:261" ht="12" customHeight="1">
      <c r="A106" s="102"/>
      <c r="B106" s="102"/>
      <c r="C106" s="1800"/>
      <c r="D106" s="1800"/>
      <c r="E106" s="64" t="s">
        <v>1129</v>
      </c>
      <c r="F106" s="394"/>
      <c r="G106" s="106"/>
      <c r="H106" s="394"/>
      <c r="I106" s="1038"/>
      <c r="J106" s="831">
        <f>J87+J97</f>
        <v>0</v>
      </c>
      <c r="K106" s="831">
        <f t="shared" ref="K106:N107" si="269">K87+K97</f>
        <v>0</v>
      </c>
      <c r="L106" s="831">
        <f t="shared" si="269"/>
        <v>0</v>
      </c>
      <c r="M106" s="831">
        <f t="shared" si="269"/>
        <v>0</v>
      </c>
      <c r="N106" s="831">
        <f t="shared" si="269"/>
        <v>0</v>
      </c>
      <c r="O106" s="831">
        <f t="shared" si="268"/>
        <v>0</v>
      </c>
      <c r="R106" s="2594"/>
      <c r="S106" s="2655"/>
      <c r="T106" s="2655"/>
      <c r="U106" s="2655"/>
      <c r="V106" s="2595"/>
      <c r="W106" s="58"/>
      <c r="Z106" s="58"/>
      <c r="AA106" s="31"/>
      <c r="AB106" s="462"/>
      <c r="AC106" s="462"/>
      <c r="AD106" s="462"/>
      <c r="AE106" s="462"/>
      <c r="AF106" s="462"/>
      <c r="AG106" s="462"/>
      <c r="AH106" s="366"/>
      <c r="GT106" s="344"/>
      <c r="GY106" s="344"/>
      <c r="GZ106" s="344"/>
      <c r="HA106" s="344"/>
      <c r="HB106" s="344"/>
      <c r="HC106" s="344"/>
      <c r="HD106" s="344"/>
      <c r="HE106" s="344"/>
      <c r="HF106" s="344"/>
      <c r="HG106" s="344"/>
      <c r="HH106" s="344"/>
      <c r="HI106" s="344"/>
      <c r="HJ106" s="344"/>
      <c r="HK106" s="344"/>
      <c r="HL106" s="344"/>
      <c r="HM106" s="344"/>
      <c r="HN106" s="344"/>
      <c r="HO106" s="344"/>
      <c r="HP106" s="344"/>
      <c r="HQ106" s="344"/>
      <c r="HR106" s="344"/>
      <c r="HS106" s="344"/>
      <c r="HT106" s="344"/>
      <c r="HU106" s="344"/>
      <c r="HV106" s="344"/>
      <c r="HW106" s="344"/>
      <c r="HX106" s="344"/>
      <c r="HY106" s="344"/>
      <c r="HZ106" s="344"/>
      <c r="IA106" s="344"/>
      <c r="IB106" s="344"/>
      <c r="IC106" s="344"/>
      <c r="ID106" s="344"/>
      <c r="IL106" s="357"/>
      <c r="JA106" s="344"/>
    </row>
    <row r="107" spans="1:261" ht="12" customHeight="1">
      <c r="A107" s="102"/>
      <c r="B107" s="102"/>
      <c r="C107" s="1800"/>
      <c r="D107" s="1800"/>
      <c r="E107" s="64"/>
      <c r="F107" s="394"/>
      <c r="G107" s="106"/>
      <c r="H107" s="59" t="s">
        <v>115</v>
      </c>
      <c r="I107" s="1038"/>
      <c r="J107" s="490">
        <f>J88+J98</f>
        <v>0</v>
      </c>
      <c r="K107" s="490">
        <f t="shared" si="269"/>
        <v>0</v>
      </c>
      <c r="L107" s="490">
        <f t="shared" si="269"/>
        <v>0</v>
      </c>
      <c r="M107" s="490">
        <f t="shared" si="269"/>
        <v>0</v>
      </c>
      <c r="N107" s="490">
        <f t="shared" si="269"/>
        <v>0</v>
      </c>
      <c r="O107" s="490">
        <f t="shared" si="268"/>
        <v>0</v>
      </c>
      <c r="R107" s="2594"/>
      <c r="S107" s="2655"/>
      <c r="T107" s="2655"/>
      <c r="U107" s="2655"/>
      <c r="V107" s="2595"/>
      <c r="W107" s="58"/>
      <c r="Z107" s="58"/>
      <c r="AA107" s="31"/>
      <c r="AB107" s="462"/>
      <c r="AC107" s="462"/>
      <c r="AD107" s="462"/>
      <c r="AE107" s="462"/>
      <c r="AF107" s="462"/>
      <c r="AG107" s="462"/>
      <c r="AH107" s="366"/>
      <c r="GT107" s="344"/>
      <c r="GY107" s="344"/>
      <c r="GZ107" s="344"/>
      <c r="HA107" s="344"/>
      <c r="HB107" s="344"/>
      <c r="HC107" s="344"/>
      <c r="HD107" s="344"/>
      <c r="HE107" s="344"/>
      <c r="HF107" s="344"/>
      <c r="HG107" s="344"/>
      <c r="HH107" s="344"/>
      <c r="HI107" s="344"/>
      <c r="HJ107" s="344"/>
      <c r="HK107" s="344"/>
      <c r="HL107" s="344"/>
      <c r="HM107" s="344"/>
      <c r="HN107" s="344"/>
      <c r="HO107" s="344"/>
      <c r="HP107" s="344"/>
      <c r="HQ107" s="344"/>
      <c r="HR107" s="344"/>
      <c r="HS107" s="344"/>
      <c r="HT107" s="344"/>
      <c r="HU107" s="344"/>
      <c r="HV107" s="344"/>
      <c r="HW107" s="344"/>
      <c r="HX107" s="344"/>
      <c r="HY107" s="344"/>
      <c r="HZ107" s="344"/>
      <c r="IA107" s="344"/>
      <c r="IB107" s="344"/>
      <c r="IC107" s="344"/>
      <c r="ID107" s="344"/>
      <c r="IL107" s="357"/>
      <c r="JA107" s="344"/>
    </row>
    <row r="108" spans="1:261" ht="12" customHeight="1">
      <c r="A108" s="102"/>
      <c r="B108" s="102"/>
      <c r="C108" s="1800"/>
      <c r="D108" s="1800"/>
      <c r="E108" s="64" t="s">
        <v>1130</v>
      </c>
      <c r="F108" s="394"/>
      <c r="G108" s="106"/>
      <c r="H108" s="772"/>
      <c r="I108" s="1038"/>
      <c r="J108" s="831">
        <f>J91</f>
        <v>0</v>
      </c>
      <c r="K108" s="831">
        <f t="shared" ref="K108:N109" si="270">K91</f>
        <v>12</v>
      </c>
      <c r="L108" s="831">
        <f t="shared" si="270"/>
        <v>32</v>
      </c>
      <c r="M108" s="831">
        <f t="shared" si="270"/>
        <v>30</v>
      </c>
      <c r="N108" s="831">
        <f t="shared" si="270"/>
        <v>0</v>
      </c>
      <c r="O108" s="831">
        <f t="shared" si="268"/>
        <v>74</v>
      </c>
      <c r="R108" s="2594"/>
      <c r="S108" s="2655"/>
      <c r="T108" s="2655"/>
      <c r="U108" s="2655"/>
      <c r="V108" s="2595"/>
      <c r="W108" s="58"/>
      <c r="Z108" s="58"/>
      <c r="AA108" s="31"/>
      <c r="AB108" s="462"/>
      <c r="AC108" s="462"/>
      <c r="AD108" s="462"/>
      <c r="AE108" s="462"/>
      <c r="AF108" s="462"/>
      <c r="AG108" s="462"/>
      <c r="AH108" s="366"/>
      <c r="GT108" s="344"/>
      <c r="GY108" s="344"/>
      <c r="GZ108" s="344"/>
      <c r="HA108" s="344"/>
      <c r="HB108" s="344"/>
      <c r="HC108" s="344"/>
      <c r="HD108" s="344"/>
      <c r="HE108" s="344"/>
      <c r="HF108" s="344"/>
      <c r="HG108" s="344"/>
      <c r="HH108" s="344"/>
      <c r="HI108" s="344"/>
      <c r="HJ108" s="344"/>
      <c r="HK108" s="344"/>
      <c r="HL108" s="344"/>
      <c r="HM108" s="344"/>
      <c r="HN108" s="344"/>
      <c r="HO108" s="344"/>
      <c r="HP108" s="344"/>
      <c r="HQ108" s="344"/>
      <c r="HR108" s="344"/>
      <c r="HS108" s="344"/>
      <c r="HT108" s="344"/>
      <c r="HU108" s="344"/>
      <c r="HV108" s="344"/>
      <c r="HW108" s="344"/>
      <c r="HX108" s="344"/>
      <c r="HY108" s="344"/>
      <c r="HZ108" s="344"/>
      <c r="IA108" s="344"/>
      <c r="IB108" s="344"/>
      <c r="IC108" s="344"/>
      <c r="ID108" s="344"/>
      <c r="IL108" s="357"/>
      <c r="JA108" s="344"/>
    </row>
    <row r="109" spans="1:261" ht="12" customHeight="1">
      <c r="A109" s="102"/>
      <c r="B109" s="102"/>
      <c r="C109" s="1800"/>
      <c r="D109" s="1800"/>
      <c r="E109" s="64"/>
      <c r="F109" s="394"/>
      <c r="G109" s="106"/>
      <c r="H109" s="59" t="s">
        <v>115</v>
      </c>
      <c r="I109" s="1038"/>
      <c r="J109" s="490">
        <f>J92</f>
        <v>0</v>
      </c>
      <c r="K109" s="490">
        <f t="shared" si="270"/>
        <v>0</v>
      </c>
      <c r="L109" s="490">
        <f t="shared" si="270"/>
        <v>0</v>
      </c>
      <c r="M109" s="490">
        <f t="shared" si="270"/>
        <v>0</v>
      </c>
      <c r="N109" s="490">
        <f t="shared" si="270"/>
        <v>0</v>
      </c>
      <c r="O109" s="490">
        <f t="shared" si="268"/>
        <v>0</v>
      </c>
      <c r="R109" s="2594"/>
      <c r="S109" s="2655"/>
      <c r="T109" s="2655"/>
      <c r="U109" s="2655"/>
      <c r="V109" s="2595"/>
      <c r="W109" s="58"/>
      <c r="Z109" s="58"/>
      <c r="AA109" s="31"/>
      <c r="AB109" s="462"/>
      <c r="AC109" s="462"/>
      <c r="AD109" s="462"/>
      <c r="AE109" s="462"/>
      <c r="AF109" s="462"/>
      <c r="AG109" s="462"/>
      <c r="AH109" s="366"/>
      <c r="GT109" s="344"/>
      <c r="GY109" s="344"/>
      <c r="GZ109" s="344"/>
      <c r="HA109" s="344"/>
      <c r="HB109" s="344"/>
      <c r="HC109" s="344"/>
      <c r="HD109" s="344"/>
      <c r="HE109" s="344"/>
      <c r="HF109" s="344"/>
      <c r="HG109" s="344"/>
      <c r="HH109" s="344"/>
      <c r="HI109" s="344"/>
      <c r="HJ109" s="344"/>
      <c r="HK109" s="344"/>
      <c r="HL109" s="344"/>
      <c r="HM109" s="344"/>
      <c r="HN109" s="344"/>
      <c r="HO109" s="344"/>
      <c r="HP109" s="344"/>
      <c r="HQ109" s="344"/>
      <c r="HR109" s="344"/>
      <c r="HS109" s="344"/>
      <c r="HT109" s="344"/>
      <c r="HU109" s="344"/>
      <c r="HV109" s="344"/>
      <c r="HW109" s="344"/>
      <c r="HX109" s="344"/>
      <c r="HY109" s="344"/>
      <c r="HZ109" s="344"/>
      <c r="IA109" s="344"/>
      <c r="IB109" s="344"/>
      <c r="IC109" s="344"/>
      <c r="ID109" s="344"/>
      <c r="IL109" s="357"/>
      <c r="JA109" s="344"/>
    </row>
    <row r="110" spans="1:261" ht="12" customHeight="1">
      <c r="A110" s="102"/>
      <c r="B110" s="102"/>
      <c r="C110" s="1800"/>
      <c r="D110" s="1800"/>
      <c r="E110" s="64" t="s">
        <v>1131</v>
      </c>
      <c r="F110" s="394"/>
      <c r="G110" s="106"/>
      <c r="H110" s="772"/>
      <c r="I110" s="1038"/>
      <c r="J110" s="831">
        <f>J89+J93</f>
        <v>0</v>
      </c>
      <c r="K110" s="831">
        <f t="shared" ref="K110:N111" si="271">K89+K93</f>
        <v>0</v>
      </c>
      <c r="L110" s="831">
        <f t="shared" si="271"/>
        <v>0</v>
      </c>
      <c r="M110" s="831">
        <f t="shared" si="271"/>
        <v>0</v>
      </c>
      <c r="N110" s="831">
        <f t="shared" si="271"/>
        <v>0</v>
      </c>
      <c r="O110" s="831">
        <f t="shared" si="268"/>
        <v>0</v>
      </c>
      <c r="R110" s="2594"/>
      <c r="S110" s="2655"/>
      <c r="T110" s="2655"/>
      <c r="U110" s="2655"/>
      <c r="V110" s="2595"/>
      <c r="W110" s="58"/>
      <c r="Z110" s="58"/>
      <c r="AA110" s="31"/>
      <c r="AB110" s="462"/>
      <c r="AC110" s="462"/>
      <c r="AD110" s="462"/>
      <c r="AE110" s="462"/>
      <c r="AF110" s="462"/>
      <c r="AG110" s="462"/>
      <c r="AH110" s="366"/>
      <c r="GT110" s="344"/>
      <c r="GY110" s="344"/>
      <c r="GZ110" s="344"/>
      <c r="HA110" s="344"/>
      <c r="HB110" s="344"/>
      <c r="HC110" s="344"/>
      <c r="HD110" s="344"/>
      <c r="HE110" s="344"/>
      <c r="HF110" s="344"/>
      <c r="HG110" s="344"/>
      <c r="HH110" s="344"/>
      <c r="HI110" s="344"/>
      <c r="HJ110" s="344"/>
      <c r="HK110" s="344"/>
      <c r="HL110" s="344"/>
      <c r="HM110" s="344"/>
      <c r="HN110" s="344"/>
      <c r="HO110" s="344"/>
      <c r="HP110" s="344"/>
      <c r="HQ110" s="344"/>
      <c r="HR110" s="344"/>
      <c r="HS110" s="344"/>
      <c r="HT110" s="344"/>
      <c r="HU110" s="344"/>
      <c r="HV110" s="344"/>
      <c r="HW110" s="344"/>
      <c r="HX110" s="344"/>
      <c r="HY110" s="344"/>
      <c r="HZ110" s="344"/>
      <c r="IA110" s="344"/>
      <c r="IB110" s="344"/>
      <c r="IC110" s="344"/>
      <c r="ID110" s="344"/>
      <c r="IL110" s="357"/>
      <c r="JA110" s="344"/>
    </row>
    <row r="111" spans="1:261" ht="12" customHeight="1">
      <c r="A111" s="102"/>
      <c r="B111" s="102"/>
      <c r="C111" s="58"/>
      <c r="D111" s="58"/>
      <c r="E111" s="290"/>
      <c r="F111" s="124"/>
      <c r="G111" s="48"/>
      <c r="H111" s="766" t="s">
        <v>115</v>
      </c>
      <c r="I111" s="48"/>
      <c r="J111" s="832">
        <f>J90+J94</f>
        <v>0</v>
      </c>
      <c r="K111" s="832">
        <f t="shared" si="271"/>
        <v>0</v>
      </c>
      <c r="L111" s="832">
        <f t="shared" si="271"/>
        <v>0</v>
      </c>
      <c r="M111" s="832">
        <f t="shared" si="271"/>
        <v>0</v>
      </c>
      <c r="N111" s="832">
        <f t="shared" si="271"/>
        <v>0</v>
      </c>
      <c r="O111" s="832">
        <f t="shared" si="268"/>
        <v>0</v>
      </c>
      <c r="R111" s="2600"/>
      <c r="S111" s="2656"/>
      <c r="T111" s="2656"/>
      <c r="U111" s="2656"/>
      <c r="V111" s="2601"/>
      <c r="W111" s="58"/>
      <c r="Z111" s="58"/>
      <c r="AA111" s="31"/>
      <c r="AB111" s="462"/>
      <c r="AC111" s="462"/>
      <c r="AD111" s="462"/>
      <c r="AE111" s="462"/>
      <c r="AF111" s="462"/>
      <c r="AG111" s="462"/>
      <c r="AH111" s="366"/>
      <c r="GT111" s="344"/>
      <c r="GY111" s="344"/>
      <c r="GZ111" s="344"/>
      <c r="HA111" s="344"/>
      <c r="HB111" s="344"/>
      <c r="HC111" s="344"/>
      <c r="HD111" s="344"/>
      <c r="HE111" s="344"/>
      <c r="HF111" s="344"/>
      <c r="HG111" s="344"/>
      <c r="HH111" s="344"/>
      <c r="HI111" s="344"/>
      <c r="HJ111" s="344"/>
      <c r="HK111" s="344"/>
      <c r="HL111" s="344"/>
      <c r="HM111" s="344"/>
      <c r="HN111" s="344"/>
      <c r="HO111" s="344"/>
      <c r="HP111" s="344"/>
      <c r="HQ111" s="344"/>
      <c r="HR111" s="344"/>
      <c r="HS111" s="344"/>
      <c r="HT111" s="344"/>
      <c r="HU111" s="344"/>
      <c r="HV111" s="344"/>
      <c r="HW111" s="344"/>
      <c r="HX111" s="344"/>
      <c r="HY111" s="344"/>
      <c r="HZ111" s="344"/>
      <c r="IA111" s="344"/>
      <c r="IB111" s="344"/>
      <c r="IC111" s="344"/>
      <c r="ID111" s="344"/>
      <c r="IL111" s="357"/>
      <c r="JA111" s="344"/>
    </row>
    <row r="112" spans="1:261" ht="12" customHeight="1">
      <c r="A112" s="8"/>
      <c r="B112" s="8" t="s">
        <v>1132</v>
      </c>
      <c r="C112" s="58"/>
      <c r="D112" s="58"/>
      <c r="E112" s="58"/>
      <c r="F112" s="58"/>
      <c r="G112" s="48"/>
      <c r="H112" s="22"/>
      <c r="I112" s="48"/>
      <c r="J112" s="1315"/>
      <c r="K112" s="1315"/>
      <c r="L112" s="1315"/>
      <c r="M112" s="1315"/>
      <c r="N112" s="1315"/>
      <c r="O112" s="1315"/>
      <c r="R112" s="1786" t="str">
        <f>B112</f>
        <v>Unit Square Footage:</v>
      </c>
      <c r="S112" s="1786"/>
      <c r="T112" s="1786"/>
      <c r="W112" s="368"/>
      <c r="Z112" s="368"/>
      <c r="AA112" s="31"/>
      <c r="AB112" s="368"/>
      <c r="AC112" s="368"/>
      <c r="AD112" s="368"/>
      <c r="AE112" s="368"/>
      <c r="AF112" s="368"/>
      <c r="AG112" s="368"/>
      <c r="AH112" s="366"/>
      <c r="AI112" s="58"/>
      <c r="IL112" s="357"/>
      <c r="JA112" s="344"/>
    </row>
    <row r="113" spans="1:263" ht="12" customHeight="1">
      <c r="A113" s="102"/>
      <c r="B113" s="102"/>
      <c r="C113" s="368" t="s">
        <v>1133</v>
      </c>
      <c r="D113" s="58"/>
      <c r="E113" s="58"/>
      <c r="F113" s="58"/>
      <c r="G113" s="48"/>
      <c r="H113" s="22" t="s">
        <v>1088</v>
      </c>
      <c r="I113" s="48"/>
      <c r="J113" s="1395">
        <f>BZ48</f>
        <v>0</v>
      </c>
      <c r="K113" s="1395">
        <f>CA48</f>
        <v>7524</v>
      </c>
      <c r="L113" s="1395">
        <f>CB48</f>
        <v>22990</v>
      </c>
      <c r="M113" s="1395">
        <f>CC48</f>
        <v>20774</v>
      </c>
      <c r="N113" s="1395">
        <f>CD48</f>
        <v>0</v>
      </c>
      <c r="O113" s="1395">
        <f t="shared" ref="O113:O119" si="272">SUM(J113:N113)</f>
        <v>51288</v>
      </c>
      <c r="R113" s="2592"/>
      <c r="S113" s="2654"/>
      <c r="T113" s="2654"/>
      <c r="U113" s="2654"/>
      <c r="V113" s="2593"/>
      <c r="W113" s="368"/>
      <c r="Z113" s="368"/>
      <c r="AA113" s="31"/>
      <c r="AB113" s="462"/>
      <c r="AC113" s="462"/>
      <c r="AD113" s="462"/>
      <c r="AE113" s="462"/>
      <c r="AF113" s="462"/>
      <c r="AG113" s="462"/>
      <c r="AH113" s="366"/>
      <c r="AI113" s="58"/>
      <c r="IL113" s="357"/>
      <c r="JA113" s="344"/>
    </row>
    <row r="114" spans="1:263" ht="12" customHeight="1">
      <c r="A114" s="102"/>
      <c r="B114" s="102"/>
      <c r="C114" s="4"/>
      <c r="D114" s="58"/>
      <c r="E114" s="58"/>
      <c r="F114" s="58"/>
      <c r="G114" s="48"/>
      <c r="H114" s="22" t="s">
        <v>1086</v>
      </c>
      <c r="I114" s="48"/>
      <c r="J114" s="1316">
        <f>CE48</f>
        <v>0</v>
      </c>
      <c r="K114" s="1316">
        <f>CF48</f>
        <v>2508</v>
      </c>
      <c r="L114" s="1316">
        <f>CG48</f>
        <v>6270</v>
      </c>
      <c r="M114" s="1316">
        <f>CH48</f>
        <v>7332</v>
      </c>
      <c r="N114" s="1316">
        <f>CI48</f>
        <v>0</v>
      </c>
      <c r="O114" s="1316">
        <f t="shared" si="272"/>
        <v>16110</v>
      </c>
      <c r="R114" s="2594"/>
      <c r="S114" s="2655"/>
      <c r="T114" s="2655"/>
      <c r="U114" s="2655"/>
      <c r="V114" s="2595"/>
      <c r="W114" s="6"/>
      <c r="Z114" s="368"/>
      <c r="AA114" s="31"/>
      <c r="AB114" s="462"/>
      <c r="AC114" s="462"/>
      <c r="AD114" s="462"/>
      <c r="AE114" s="462"/>
      <c r="AF114" s="462"/>
      <c r="AG114" s="462"/>
      <c r="AH114" s="368"/>
      <c r="AI114" s="58"/>
      <c r="IL114" s="357"/>
      <c r="JA114" s="344"/>
    </row>
    <row r="115" spans="1:263" ht="12" customHeight="1">
      <c r="A115" s="102"/>
      <c r="B115" s="102"/>
      <c r="C115" s="4"/>
      <c r="D115" s="58"/>
      <c r="E115" s="58"/>
      <c r="F115" s="58"/>
      <c r="G115" s="48"/>
      <c r="H115" s="22" t="s">
        <v>478</v>
      </c>
      <c r="I115" s="48"/>
      <c r="J115" s="1317">
        <f>SUM(J113:J114)</f>
        <v>0</v>
      </c>
      <c r="K115" s="1317">
        <f>SUM(K113:K114)</f>
        <v>10032</v>
      </c>
      <c r="L115" s="1317">
        <f>SUM(L113:L114)</f>
        <v>29260</v>
      </c>
      <c r="M115" s="1317">
        <f>SUM(M113:M114)</f>
        <v>28106</v>
      </c>
      <c r="N115" s="1317">
        <f>SUM(N113:N114)</f>
        <v>0</v>
      </c>
      <c r="O115" s="1317">
        <f t="shared" si="272"/>
        <v>67398</v>
      </c>
      <c r="R115" s="2594"/>
      <c r="S115" s="2655"/>
      <c r="T115" s="2655"/>
      <c r="U115" s="2655"/>
      <c r="V115" s="2595"/>
      <c r="W115" s="6"/>
      <c r="Z115" s="368"/>
      <c r="AA115" s="31"/>
      <c r="AB115" s="462"/>
      <c r="AC115" s="462"/>
      <c r="AD115" s="462"/>
      <c r="AE115" s="462"/>
      <c r="AF115" s="462"/>
      <c r="AG115" s="462"/>
      <c r="AH115" s="368"/>
      <c r="AI115" s="58"/>
      <c r="IL115" s="357"/>
      <c r="JA115" s="344"/>
    </row>
    <row r="116" spans="1:263" ht="12" customHeight="1">
      <c r="A116" s="102"/>
      <c r="B116" s="102"/>
      <c r="C116" s="58" t="s">
        <v>1104</v>
      </c>
      <c r="D116" s="58"/>
      <c r="E116" s="58"/>
      <c r="F116" s="58"/>
      <c r="G116" s="58"/>
      <c r="H116" s="48"/>
      <c r="I116" s="48"/>
      <c r="J116" s="1318">
        <f>CO48</f>
        <v>0</v>
      </c>
      <c r="K116" s="1318">
        <f>CP48</f>
        <v>0</v>
      </c>
      <c r="L116" s="1318">
        <f>CQ48</f>
        <v>4180</v>
      </c>
      <c r="M116" s="1318">
        <f>CR48</f>
        <v>6110</v>
      </c>
      <c r="N116" s="1318">
        <f>CS48</f>
        <v>0</v>
      </c>
      <c r="O116" s="1318">
        <f t="shared" si="272"/>
        <v>10290</v>
      </c>
      <c r="R116" s="2594"/>
      <c r="S116" s="2655"/>
      <c r="T116" s="2655"/>
      <c r="U116" s="2655"/>
      <c r="V116" s="2595"/>
      <c r="W116" s="58"/>
      <c r="Z116" s="368"/>
      <c r="AA116" s="368"/>
      <c r="AB116" s="462"/>
      <c r="AC116" s="462"/>
      <c r="AD116" s="462"/>
      <c r="AE116" s="462"/>
      <c r="AF116" s="462"/>
      <c r="AG116" s="462"/>
      <c r="AH116" s="366"/>
      <c r="AI116" s="58"/>
      <c r="IL116" s="357"/>
      <c r="JA116" s="344"/>
    </row>
    <row r="117" spans="1:263" ht="12" customHeight="1">
      <c r="A117" s="102"/>
      <c r="B117" s="102"/>
      <c r="C117" s="368" t="s">
        <v>1105</v>
      </c>
      <c r="D117" s="58"/>
      <c r="E117" s="58"/>
      <c r="F117" s="58"/>
      <c r="G117" s="58"/>
      <c r="H117" s="48"/>
      <c r="I117" s="48"/>
      <c r="J117" s="1317">
        <f>SUM(J115:J116)</f>
        <v>0</v>
      </c>
      <c r="K117" s="1317">
        <f>SUM(K115:K116)</f>
        <v>10032</v>
      </c>
      <c r="L117" s="1317">
        <f>SUM(L115:L116)</f>
        <v>33440</v>
      </c>
      <c r="M117" s="1317">
        <f>SUM(M115:M116)</f>
        <v>34216</v>
      </c>
      <c r="N117" s="1317">
        <f>SUM(N115:N116)</f>
        <v>0</v>
      </c>
      <c r="O117" s="1317">
        <f t="shared" si="272"/>
        <v>77688</v>
      </c>
      <c r="R117" s="2594"/>
      <c r="S117" s="2655"/>
      <c r="T117" s="2655"/>
      <c r="U117" s="2655"/>
      <c r="V117" s="2595"/>
      <c r="W117" s="368"/>
      <c r="Z117" s="368"/>
      <c r="AA117" s="368"/>
      <c r="AB117" s="462"/>
      <c r="AC117" s="462"/>
      <c r="AD117" s="462"/>
      <c r="AE117" s="462"/>
      <c r="AF117" s="462"/>
      <c r="AG117" s="462"/>
      <c r="AH117" s="366"/>
      <c r="AI117" s="58"/>
      <c r="IL117" s="357"/>
      <c r="JA117" s="344"/>
    </row>
    <row r="118" spans="1:263" ht="12" customHeight="1">
      <c r="A118" s="102"/>
      <c r="B118" s="102"/>
      <c r="C118" s="368" t="s">
        <v>1090</v>
      </c>
      <c r="D118" s="58"/>
      <c r="E118" s="58"/>
      <c r="F118" s="58"/>
      <c r="G118" s="58"/>
      <c r="H118" s="48"/>
      <c r="I118" s="48"/>
      <c r="J118" s="1318">
        <f>CY48</f>
        <v>0</v>
      </c>
      <c r="K118" s="1318">
        <f>CZ48</f>
        <v>0</v>
      </c>
      <c r="L118" s="1318">
        <f>DA48</f>
        <v>0</v>
      </c>
      <c r="M118" s="1318">
        <f>DB48</f>
        <v>2444</v>
      </c>
      <c r="N118" s="1318">
        <f>DC48</f>
        <v>0</v>
      </c>
      <c r="O118" s="1318">
        <f t="shared" si="272"/>
        <v>2444</v>
      </c>
      <c r="R118" s="2594"/>
      <c r="S118" s="2655"/>
      <c r="T118" s="2655"/>
      <c r="U118" s="2655"/>
      <c r="V118" s="2595"/>
      <c r="W118" s="368"/>
      <c r="Z118" s="368"/>
      <c r="AA118" s="368"/>
      <c r="AB118" s="462"/>
      <c r="AC118" s="462"/>
      <c r="AD118" s="462"/>
      <c r="AE118" s="462"/>
      <c r="AF118" s="462"/>
      <c r="AG118" s="462"/>
      <c r="AH118" s="366"/>
      <c r="AI118" s="58"/>
      <c r="IL118" s="357"/>
      <c r="JA118" s="344"/>
    </row>
    <row r="119" spans="1:263" ht="12" customHeight="1">
      <c r="A119" s="102"/>
      <c r="B119" s="102"/>
      <c r="C119" s="368" t="s">
        <v>478</v>
      </c>
      <c r="D119" s="58"/>
      <c r="E119" s="58"/>
      <c r="F119" s="58"/>
      <c r="G119" s="58"/>
      <c r="H119" s="48"/>
      <c r="I119" s="48"/>
      <c r="J119" s="1475">
        <f>SUM(J117:J118)</f>
        <v>0</v>
      </c>
      <c r="K119" s="1475">
        <f>SUM(K117:K118)</f>
        <v>10032</v>
      </c>
      <c r="L119" s="1475">
        <f>SUM(L117:L118)</f>
        <v>33440</v>
      </c>
      <c r="M119" s="1475">
        <f>SUM(M117:M118)</f>
        <v>36660</v>
      </c>
      <c r="N119" s="1475">
        <f>SUM(N117:N118)</f>
        <v>0</v>
      </c>
      <c r="O119" s="1475">
        <f t="shared" si="272"/>
        <v>80132</v>
      </c>
      <c r="R119" s="2600"/>
      <c r="S119" s="2656"/>
      <c r="T119" s="2656"/>
      <c r="U119" s="2656"/>
      <c r="V119" s="2601"/>
      <c r="W119" s="368"/>
      <c r="Z119" s="368"/>
      <c r="AA119" s="368"/>
      <c r="AB119" s="462"/>
      <c r="AC119" s="462"/>
      <c r="AD119" s="462"/>
      <c r="AE119" s="462"/>
      <c r="AF119" s="462"/>
      <c r="AG119" s="462"/>
      <c r="AH119" s="366"/>
      <c r="AI119" s="58"/>
      <c r="IL119" s="357"/>
      <c r="JA119" s="344"/>
    </row>
    <row r="120" spans="1:263" ht="13.9" customHeight="1">
      <c r="A120" s="8" t="s">
        <v>31</v>
      </c>
      <c r="B120" s="8" t="s">
        <v>1134</v>
      </c>
      <c r="C120" s="102"/>
      <c r="D120" s="102"/>
      <c r="E120" s="102"/>
      <c r="F120" s="102"/>
      <c r="G120" s="102"/>
      <c r="H120" s="102"/>
      <c r="I120" s="102"/>
      <c r="J120" s="102"/>
      <c r="K120" s="102"/>
      <c r="L120" s="102"/>
      <c r="M120" s="102"/>
      <c r="N120" s="102"/>
      <c r="O120" s="102"/>
      <c r="P120" s="102"/>
      <c r="Q120" s="102"/>
      <c r="R120" s="8" t="s">
        <v>851</v>
      </c>
      <c r="T120" s="305"/>
      <c r="GT120" s="344"/>
      <c r="GY120" s="344"/>
      <c r="IE120" s="353"/>
      <c r="IK120" s="344"/>
      <c r="IL120" s="357"/>
      <c r="JA120" s="344"/>
      <c r="JC120" s="357"/>
    </row>
    <row r="121" spans="1:263" ht="2.25" customHeight="1">
      <c r="A121" s="102"/>
      <c r="B121" s="102"/>
      <c r="C121" s="102"/>
      <c r="D121" s="102"/>
      <c r="E121" s="102"/>
      <c r="F121" s="102"/>
      <c r="G121" s="102"/>
      <c r="H121" s="102"/>
      <c r="I121" s="102"/>
      <c r="J121" s="102"/>
      <c r="K121" s="102"/>
      <c r="L121" s="102"/>
      <c r="M121" s="102"/>
      <c r="N121" s="102"/>
      <c r="O121" s="102"/>
      <c r="P121" s="305"/>
      <c r="Q121" s="305"/>
    </row>
    <row r="122" spans="1:263" ht="11.25" customHeight="1">
      <c r="A122" s="102"/>
      <c r="B122" s="794" t="s">
        <v>1135</v>
      </c>
      <c r="C122" s="54"/>
      <c r="D122" s="71"/>
      <c r="E122" s="54"/>
      <c r="F122" s="54"/>
      <c r="G122" s="54"/>
      <c r="H122" s="2659">
        <f>'Part VII-Pro Forma'!B9*L49</f>
        <v>12817.68</v>
      </c>
      <c r="I122" s="2660"/>
      <c r="J122" s="54"/>
      <c r="K122" s="386" t="s">
        <v>1136</v>
      </c>
      <c r="L122" s="54"/>
      <c r="M122" s="54"/>
      <c r="N122" s="54"/>
      <c r="O122" s="1476">
        <f>H122/L49</f>
        <v>0.02</v>
      </c>
      <c r="P122" s="281"/>
      <c r="Q122" s="281"/>
      <c r="R122" s="4" t="str">
        <f>B122</f>
        <v>Ancillary Income</v>
      </c>
    </row>
    <row r="123" spans="1:263" ht="2.25" customHeight="1">
      <c r="A123" s="102"/>
      <c r="B123" s="794"/>
      <c r="C123" s="54"/>
      <c r="D123" s="71"/>
      <c r="E123" s="795"/>
      <c r="F123" s="54"/>
      <c r="G123" s="54"/>
      <c r="H123" s="54"/>
      <c r="I123" s="69"/>
      <c r="J123" s="54"/>
      <c r="K123" s="54"/>
      <c r="L123" s="54"/>
      <c r="M123" s="54"/>
      <c r="N123" s="54"/>
      <c r="O123" s="54"/>
      <c r="P123" s="281"/>
      <c r="Q123" s="281"/>
    </row>
    <row r="124" spans="1:263" ht="11.25" customHeight="1">
      <c r="A124" s="102"/>
      <c r="B124" s="794" t="s">
        <v>1137</v>
      </c>
      <c r="C124" s="54"/>
      <c r="D124" s="54"/>
      <c r="E124" s="54"/>
      <c r="F124" s="54"/>
      <c r="G124" s="54"/>
      <c r="H124" s="54"/>
      <c r="I124" s="794"/>
      <c r="J124" s="54"/>
      <c r="K124" s="796"/>
      <c r="L124" s="54"/>
      <c r="M124" s="54"/>
      <c r="N124" s="54"/>
      <c r="O124" s="54"/>
      <c r="P124" s="72"/>
      <c r="R124" s="1523" t="str">
        <f>B124</f>
        <v>Other Income (OI) by Year:</v>
      </c>
    </row>
    <row r="125" spans="1:263" ht="11.25" customHeight="1">
      <c r="A125" s="102"/>
      <c r="B125" s="797" t="s">
        <v>1138</v>
      </c>
      <c r="C125" s="54"/>
      <c r="D125" s="54"/>
      <c r="E125" s="54"/>
      <c r="F125" s="54"/>
      <c r="G125" s="798">
        <v>1</v>
      </c>
      <c r="H125" s="798">
        <v>2</v>
      </c>
      <c r="I125" s="798">
        <v>3</v>
      </c>
      <c r="J125" s="798">
        <v>4</v>
      </c>
      <c r="K125" s="799">
        <v>5</v>
      </c>
      <c r="L125" s="798">
        <v>6</v>
      </c>
      <c r="M125" s="798">
        <v>7</v>
      </c>
      <c r="N125" s="798">
        <v>8</v>
      </c>
      <c r="O125" s="798">
        <v>9</v>
      </c>
      <c r="P125" s="798">
        <v>10</v>
      </c>
      <c r="Q125" s="514"/>
      <c r="R125" s="58" t="str">
        <f>B125</f>
        <v>Included in Mgt Fee:</v>
      </c>
    </row>
    <row r="126" spans="1:263" ht="11.25" customHeight="1">
      <c r="A126" s="102"/>
      <c r="B126" s="71" t="s">
        <v>1139</v>
      </c>
      <c r="C126" s="71"/>
      <c r="D126" s="71"/>
      <c r="E126" s="71"/>
      <c r="F126" s="71"/>
      <c r="G126" s="2661"/>
      <c r="H126" s="2661"/>
      <c r="I126" s="2661"/>
      <c r="J126" s="2661"/>
      <c r="K126" s="2662"/>
      <c r="L126" s="2661"/>
      <c r="M126" s="2661"/>
      <c r="N126" s="2661"/>
      <c r="O126" s="2661"/>
      <c r="P126" s="2661"/>
      <c r="Q126" s="1321"/>
      <c r="R126" s="2592"/>
      <c r="S126" s="2654"/>
      <c r="T126" s="2654"/>
      <c r="U126" s="2654"/>
      <c r="V126" s="2593"/>
    </row>
    <row r="127" spans="1:263" ht="11.25" customHeight="1">
      <c r="A127" s="102"/>
      <c r="B127" s="71" t="s">
        <v>592</v>
      </c>
      <c r="C127" s="2663"/>
      <c r="D127" s="2664"/>
      <c r="E127" s="2664"/>
      <c r="F127" s="2665"/>
      <c r="G127" s="2666"/>
      <c r="H127" s="2666"/>
      <c r="I127" s="2666"/>
      <c r="J127" s="2666"/>
      <c r="K127" s="2667"/>
      <c r="L127" s="2666"/>
      <c r="M127" s="2666"/>
      <c r="N127" s="2666"/>
      <c r="O127" s="2666"/>
      <c r="P127" s="2666"/>
      <c r="Q127" s="1321"/>
      <c r="R127" s="2594"/>
      <c r="S127" s="2655"/>
      <c r="T127" s="2655"/>
      <c r="U127" s="2655"/>
      <c r="V127" s="2595"/>
    </row>
    <row r="128" spans="1:263" ht="11.25" customHeight="1">
      <c r="A128" s="102"/>
      <c r="B128" s="71"/>
      <c r="C128" s="71" t="s">
        <v>1140</v>
      </c>
      <c r="D128" s="71"/>
      <c r="E128" s="71"/>
      <c r="F128" s="71"/>
      <c r="G128" s="1477">
        <f t="shared" ref="G128:P128" si="273">SUM(G126:G127)</f>
        <v>0</v>
      </c>
      <c r="H128" s="1477">
        <f t="shared" si="273"/>
        <v>0</v>
      </c>
      <c r="I128" s="1477">
        <f t="shared" si="273"/>
        <v>0</v>
      </c>
      <c r="J128" s="1477">
        <f t="shared" si="273"/>
        <v>0</v>
      </c>
      <c r="K128" s="1477">
        <f t="shared" si="273"/>
        <v>0</v>
      </c>
      <c r="L128" s="1477">
        <f t="shared" si="273"/>
        <v>0</v>
      </c>
      <c r="M128" s="1477">
        <f t="shared" si="273"/>
        <v>0</v>
      </c>
      <c r="N128" s="1477">
        <f t="shared" si="273"/>
        <v>0</v>
      </c>
      <c r="O128" s="1477">
        <f t="shared" si="273"/>
        <v>0</v>
      </c>
      <c r="P128" s="1477">
        <f t="shared" si="273"/>
        <v>0</v>
      </c>
      <c r="Q128" s="462"/>
      <c r="R128" s="2600"/>
      <c r="S128" s="2656"/>
      <c r="T128" s="2656"/>
      <c r="U128" s="2656"/>
      <c r="V128" s="2601"/>
    </row>
    <row r="129" spans="2:22" ht="11.25" customHeight="1">
      <c r="B129" s="800" t="s">
        <v>1141</v>
      </c>
      <c r="C129" s="54"/>
      <c r="D129" s="54"/>
      <c r="E129" s="54"/>
      <c r="F129" s="54"/>
      <c r="G129" s="801"/>
      <c r="H129" s="54"/>
      <c r="I129" s="54"/>
      <c r="J129" s="54"/>
      <c r="K129" s="54"/>
      <c r="L129" s="54"/>
      <c r="M129" s="54"/>
      <c r="N129" s="54"/>
      <c r="O129" s="54"/>
      <c r="P129" s="54"/>
      <c r="Q129" s="102"/>
      <c r="R129" s="58" t="str">
        <f>B129</f>
        <v>NOT Included in Mgt Fee:</v>
      </c>
    </row>
    <row r="130" spans="2:22" ht="11.25" customHeight="1">
      <c r="B130" s="71" t="s">
        <v>1142</v>
      </c>
      <c r="C130" s="71"/>
      <c r="D130" s="71"/>
      <c r="E130" s="71"/>
      <c r="F130" s="71"/>
      <c r="G130" s="2661"/>
      <c r="H130" s="2661"/>
      <c r="I130" s="2661"/>
      <c r="J130" s="2661"/>
      <c r="K130" s="2662"/>
      <c r="L130" s="2661"/>
      <c r="M130" s="2661"/>
      <c r="N130" s="2661"/>
      <c r="O130" s="2661"/>
      <c r="P130" s="2661"/>
      <c r="Q130" s="1321"/>
      <c r="R130" s="2592"/>
      <c r="S130" s="2654"/>
      <c r="T130" s="2654"/>
      <c r="U130" s="2654"/>
      <c r="V130" s="2593"/>
    </row>
    <row r="131" spans="2:22" ht="11.25" customHeight="1">
      <c r="B131" s="71" t="s">
        <v>592</v>
      </c>
      <c r="C131" s="2663"/>
      <c r="D131" s="2664"/>
      <c r="E131" s="2664"/>
      <c r="F131" s="2665"/>
      <c r="G131" s="2666"/>
      <c r="H131" s="2666"/>
      <c r="I131" s="2666"/>
      <c r="J131" s="2666"/>
      <c r="K131" s="2667"/>
      <c r="L131" s="2666"/>
      <c r="M131" s="2666"/>
      <c r="N131" s="2666"/>
      <c r="O131" s="2666"/>
      <c r="P131" s="2666"/>
      <c r="Q131" s="1321"/>
      <c r="R131" s="2594"/>
      <c r="S131" s="2655"/>
      <c r="T131" s="2655"/>
      <c r="U131" s="2655"/>
      <c r="V131" s="2595"/>
    </row>
    <row r="132" spans="2:22" ht="11.25" customHeight="1">
      <c r="B132" s="71"/>
      <c r="C132" s="71" t="s">
        <v>1143</v>
      </c>
      <c r="D132" s="71"/>
      <c r="E132" s="71"/>
      <c r="F132" s="71"/>
      <c r="G132" s="1477">
        <f t="shared" ref="G132:P132" si="274">SUM(G130:G131)</f>
        <v>0</v>
      </c>
      <c r="H132" s="1477">
        <f t="shared" si="274"/>
        <v>0</v>
      </c>
      <c r="I132" s="1477">
        <f t="shared" si="274"/>
        <v>0</v>
      </c>
      <c r="J132" s="1477">
        <f t="shared" si="274"/>
        <v>0</v>
      </c>
      <c r="K132" s="1477">
        <f t="shared" si="274"/>
        <v>0</v>
      </c>
      <c r="L132" s="1477">
        <f t="shared" si="274"/>
        <v>0</v>
      </c>
      <c r="M132" s="1477">
        <f t="shared" si="274"/>
        <v>0</v>
      </c>
      <c r="N132" s="1477">
        <f t="shared" si="274"/>
        <v>0</v>
      </c>
      <c r="O132" s="1477">
        <f t="shared" si="274"/>
        <v>0</v>
      </c>
      <c r="P132" s="1477">
        <f t="shared" si="274"/>
        <v>0</v>
      </c>
      <c r="Q132" s="462"/>
      <c r="R132" s="2600"/>
      <c r="S132" s="2656"/>
      <c r="T132" s="2656"/>
      <c r="U132" s="2656"/>
      <c r="V132" s="2601"/>
    </row>
    <row r="133" spans="2:22" ht="3" customHeight="1">
      <c r="B133" s="794"/>
      <c r="C133" s="54"/>
      <c r="D133" s="54"/>
      <c r="E133" s="54"/>
      <c r="F133" s="54"/>
      <c r="G133" s="801"/>
      <c r="H133" s="54"/>
      <c r="I133" s="54"/>
      <c r="J133" s="54"/>
      <c r="K133" s="54"/>
      <c r="L133" s="54"/>
      <c r="M133" s="54"/>
      <c r="N133" s="54"/>
      <c r="O133" s="54"/>
      <c r="P133" s="54"/>
      <c r="Q133" s="102"/>
    </row>
    <row r="134" spans="2:22" ht="11.25" customHeight="1">
      <c r="B134" s="797" t="s">
        <v>1138</v>
      </c>
      <c r="C134" s="54"/>
      <c r="D134" s="54"/>
      <c r="E134" s="54"/>
      <c r="F134" s="54"/>
      <c r="G134" s="798">
        <v>11</v>
      </c>
      <c r="H134" s="798">
        <v>12</v>
      </c>
      <c r="I134" s="798">
        <v>13</v>
      </c>
      <c r="J134" s="798">
        <v>14</v>
      </c>
      <c r="K134" s="798">
        <v>15</v>
      </c>
      <c r="L134" s="798">
        <v>16</v>
      </c>
      <c r="M134" s="798">
        <v>17</v>
      </c>
      <c r="N134" s="798">
        <v>18</v>
      </c>
      <c r="O134" s="798">
        <v>19</v>
      </c>
      <c r="P134" s="798">
        <v>20</v>
      </c>
      <c r="R134" s="97" t="s">
        <v>1144</v>
      </c>
      <c r="S134" s="58" t="str">
        <f>B134</f>
        <v>Included in Mgt Fee:</v>
      </c>
    </row>
    <row r="135" spans="2:22" ht="11.25" customHeight="1">
      <c r="B135" s="71" t="s">
        <v>1139</v>
      </c>
      <c r="C135" s="71"/>
      <c r="D135" s="71"/>
      <c r="E135" s="71"/>
      <c r="F135" s="71"/>
      <c r="G135" s="2661"/>
      <c r="H135" s="2661"/>
      <c r="I135" s="2661"/>
      <c r="J135" s="2661"/>
      <c r="K135" s="2662"/>
      <c r="L135" s="2661"/>
      <c r="M135" s="2661"/>
      <c r="N135" s="2661"/>
      <c r="O135" s="2661"/>
      <c r="P135" s="2661"/>
      <c r="Q135" s="1321"/>
      <c r="R135" s="2592"/>
      <c r="S135" s="2654"/>
      <c r="T135" s="2654"/>
      <c r="U135" s="2654"/>
      <c r="V135" s="2593"/>
    </row>
    <row r="136" spans="2:22" ht="11.25" customHeight="1">
      <c r="B136" s="71" t="s">
        <v>592</v>
      </c>
      <c r="C136" s="2663"/>
      <c r="D136" s="2664"/>
      <c r="E136" s="2664"/>
      <c r="F136" s="2665"/>
      <c r="G136" s="2666"/>
      <c r="H136" s="2666"/>
      <c r="I136" s="2666"/>
      <c r="J136" s="2666"/>
      <c r="K136" s="2667"/>
      <c r="L136" s="2666"/>
      <c r="M136" s="2666"/>
      <c r="N136" s="2666"/>
      <c r="O136" s="2666"/>
      <c r="P136" s="2666"/>
      <c r="Q136" s="1321"/>
      <c r="R136" s="2594"/>
      <c r="S136" s="2655"/>
      <c r="T136" s="2655"/>
      <c r="U136" s="2655"/>
      <c r="V136" s="2595"/>
    </row>
    <row r="137" spans="2:22" ht="11.25" customHeight="1">
      <c r="B137" s="71"/>
      <c r="C137" s="71" t="s">
        <v>1140</v>
      </c>
      <c r="D137" s="71"/>
      <c r="E137" s="71"/>
      <c r="F137" s="71"/>
      <c r="G137" s="1477">
        <f t="shared" ref="G137:P137" si="275">SUM(G135:G136)</f>
        <v>0</v>
      </c>
      <c r="H137" s="1477">
        <f t="shared" si="275"/>
        <v>0</v>
      </c>
      <c r="I137" s="1477">
        <f t="shared" si="275"/>
        <v>0</v>
      </c>
      <c r="J137" s="1477">
        <f t="shared" si="275"/>
        <v>0</v>
      </c>
      <c r="K137" s="1477">
        <f t="shared" si="275"/>
        <v>0</v>
      </c>
      <c r="L137" s="1477">
        <f t="shared" si="275"/>
        <v>0</v>
      </c>
      <c r="M137" s="1477">
        <f t="shared" si="275"/>
        <v>0</v>
      </c>
      <c r="N137" s="1477">
        <f t="shared" si="275"/>
        <v>0</v>
      </c>
      <c r="O137" s="1477">
        <f t="shared" si="275"/>
        <v>0</v>
      </c>
      <c r="P137" s="1477">
        <f t="shared" si="275"/>
        <v>0</v>
      </c>
      <c r="Q137" s="462"/>
      <c r="R137" s="2600"/>
      <c r="S137" s="2656"/>
      <c r="T137" s="2656"/>
      <c r="U137" s="2656"/>
      <c r="V137" s="2601"/>
    </row>
    <row r="138" spans="2:22" ht="11.25" customHeight="1">
      <c r="B138" s="800" t="s">
        <v>1141</v>
      </c>
      <c r="C138" s="54"/>
      <c r="D138" s="54"/>
      <c r="E138" s="54"/>
      <c r="F138" s="54"/>
      <c r="G138" s="801"/>
      <c r="H138" s="54"/>
      <c r="I138" s="54"/>
      <c r="J138" s="54"/>
      <c r="K138" s="54"/>
      <c r="L138" s="54"/>
      <c r="M138" s="54"/>
      <c r="N138" s="54"/>
      <c r="O138" s="54"/>
      <c r="P138" s="54"/>
      <c r="Q138" s="102"/>
      <c r="R138" s="58" t="str">
        <f>B138</f>
        <v>NOT Included in Mgt Fee:</v>
      </c>
    </row>
    <row r="139" spans="2:22" ht="11.25" customHeight="1">
      <c r="B139" s="71" t="s">
        <v>1142</v>
      </c>
      <c r="C139" s="71"/>
      <c r="D139" s="71"/>
      <c r="E139" s="71"/>
      <c r="F139" s="71"/>
      <c r="G139" s="2661"/>
      <c r="H139" s="2661"/>
      <c r="I139" s="2661"/>
      <c r="J139" s="2661"/>
      <c r="K139" s="2662"/>
      <c r="L139" s="2661"/>
      <c r="M139" s="2661"/>
      <c r="N139" s="2661"/>
      <c r="O139" s="2661"/>
      <c r="P139" s="2661"/>
      <c r="Q139" s="1321"/>
      <c r="R139" s="2592"/>
      <c r="S139" s="2654"/>
      <c r="T139" s="2654"/>
      <c r="U139" s="2654"/>
      <c r="V139" s="2593"/>
    </row>
    <row r="140" spans="2:22" ht="11.25" customHeight="1">
      <c r="B140" s="71" t="s">
        <v>592</v>
      </c>
      <c r="C140" s="2663"/>
      <c r="D140" s="2664"/>
      <c r="E140" s="2664"/>
      <c r="F140" s="2665"/>
      <c r="G140" s="2666"/>
      <c r="H140" s="2666"/>
      <c r="I140" s="2666"/>
      <c r="J140" s="2666"/>
      <c r="K140" s="2667"/>
      <c r="L140" s="2666"/>
      <c r="M140" s="2666"/>
      <c r="N140" s="2666"/>
      <c r="O140" s="2666"/>
      <c r="P140" s="2666"/>
      <c r="Q140" s="1321"/>
      <c r="R140" s="2594"/>
      <c r="S140" s="2655"/>
      <c r="T140" s="2655"/>
      <c r="U140" s="2655"/>
      <c r="V140" s="2595"/>
    </row>
    <row r="141" spans="2:22" ht="11.25" customHeight="1">
      <c r="B141" s="71"/>
      <c r="C141" s="71" t="s">
        <v>1143</v>
      </c>
      <c r="D141" s="71"/>
      <c r="E141" s="71"/>
      <c r="F141" s="71"/>
      <c r="G141" s="1477">
        <f t="shared" ref="G141:P141" si="276">SUM(G139:G140)</f>
        <v>0</v>
      </c>
      <c r="H141" s="1477">
        <f t="shared" si="276"/>
        <v>0</v>
      </c>
      <c r="I141" s="1477">
        <f t="shared" si="276"/>
        <v>0</v>
      </c>
      <c r="J141" s="1477">
        <f t="shared" si="276"/>
        <v>0</v>
      </c>
      <c r="K141" s="1477">
        <f t="shared" si="276"/>
        <v>0</v>
      </c>
      <c r="L141" s="1477">
        <f t="shared" si="276"/>
        <v>0</v>
      </c>
      <c r="M141" s="1477">
        <f t="shared" si="276"/>
        <v>0</v>
      </c>
      <c r="N141" s="1477">
        <f t="shared" si="276"/>
        <v>0</v>
      </c>
      <c r="O141" s="1477">
        <f t="shared" si="276"/>
        <v>0</v>
      </c>
      <c r="P141" s="1477">
        <f t="shared" si="276"/>
        <v>0</v>
      </c>
      <c r="Q141" s="462"/>
      <c r="R141" s="2600"/>
      <c r="S141" s="2656"/>
      <c r="T141" s="2656"/>
      <c r="U141" s="2656"/>
      <c r="V141" s="2601"/>
    </row>
    <row r="142" spans="2:22" ht="3" customHeight="1">
      <c r="B142" s="794"/>
      <c r="C142" s="54"/>
      <c r="D142" s="54"/>
      <c r="E142" s="54"/>
      <c r="F142" s="54"/>
      <c r="G142" s="801"/>
      <c r="H142" s="54"/>
      <c r="I142" s="54"/>
      <c r="J142" s="54"/>
      <c r="K142" s="54"/>
      <c r="L142" s="54"/>
      <c r="M142" s="54"/>
      <c r="N142" s="54"/>
      <c r="O142" s="54"/>
      <c r="P142" s="54"/>
      <c r="Q142" s="102"/>
    </row>
    <row r="143" spans="2:22" ht="11.25" customHeight="1">
      <c r="B143" s="797" t="s">
        <v>1138</v>
      </c>
      <c r="C143" s="54"/>
      <c r="D143" s="54"/>
      <c r="E143" s="54"/>
      <c r="F143" s="54"/>
      <c r="G143" s="798">
        <v>21</v>
      </c>
      <c r="H143" s="798">
        <v>22</v>
      </c>
      <c r="I143" s="798">
        <v>23</v>
      </c>
      <c r="J143" s="798">
        <v>24</v>
      </c>
      <c r="K143" s="798">
        <v>25</v>
      </c>
      <c r="L143" s="798">
        <v>26</v>
      </c>
      <c r="M143" s="798">
        <v>27</v>
      </c>
      <c r="N143" s="798">
        <v>28</v>
      </c>
      <c r="O143" s="798">
        <v>29</v>
      </c>
      <c r="P143" s="798">
        <v>30</v>
      </c>
      <c r="Q143" s="514"/>
      <c r="R143" s="97" t="s">
        <v>1145</v>
      </c>
      <c r="S143" s="58" t="str">
        <f>B143</f>
        <v>Included in Mgt Fee:</v>
      </c>
    </row>
    <row r="144" spans="2:22" ht="11.25" customHeight="1">
      <c r="B144" s="71" t="s">
        <v>1139</v>
      </c>
      <c r="C144" s="71"/>
      <c r="D144" s="71"/>
      <c r="E144" s="71"/>
      <c r="F144" s="71"/>
      <c r="G144" s="2661"/>
      <c r="H144" s="2661"/>
      <c r="I144" s="2661"/>
      <c r="J144" s="2661"/>
      <c r="K144" s="2662"/>
      <c r="L144" s="2661"/>
      <c r="M144" s="2661"/>
      <c r="N144" s="2661"/>
      <c r="O144" s="2661"/>
      <c r="P144" s="2661"/>
      <c r="Q144" s="1321"/>
      <c r="R144" s="2592"/>
      <c r="S144" s="2654"/>
      <c r="T144" s="2654"/>
      <c r="U144" s="2654"/>
      <c r="V144" s="2593"/>
    </row>
    <row r="145" spans="2:22" ht="11.25" customHeight="1">
      <c r="B145" s="71" t="s">
        <v>592</v>
      </c>
      <c r="C145" s="2663"/>
      <c r="D145" s="2664"/>
      <c r="E145" s="2664"/>
      <c r="F145" s="2665"/>
      <c r="G145" s="2666"/>
      <c r="H145" s="2666"/>
      <c r="I145" s="2666"/>
      <c r="J145" s="2666"/>
      <c r="K145" s="2667"/>
      <c r="L145" s="2666"/>
      <c r="M145" s="2666"/>
      <c r="N145" s="2666"/>
      <c r="O145" s="2666"/>
      <c r="P145" s="2666"/>
      <c r="Q145" s="1321"/>
      <c r="R145" s="2594"/>
      <c r="S145" s="2655"/>
      <c r="T145" s="2655"/>
      <c r="U145" s="2655"/>
      <c r="V145" s="2595"/>
    </row>
    <row r="146" spans="2:22" ht="11.25" customHeight="1">
      <c r="B146" s="71"/>
      <c r="C146" s="71" t="s">
        <v>1140</v>
      </c>
      <c r="D146" s="71"/>
      <c r="E146" s="71"/>
      <c r="F146" s="71"/>
      <c r="G146" s="1477">
        <f t="shared" ref="G146:P146" si="277">SUM(G144:G145)</f>
        <v>0</v>
      </c>
      <c r="H146" s="1477">
        <f t="shared" si="277"/>
        <v>0</v>
      </c>
      <c r="I146" s="1477">
        <f t="shared" si="277"/>
        <v>0</v>
      </c>
      <c r="J146" s="1477">
        <f t="shared" si="277"/>
        <v>0</v>
      </c>
      <c r="K146" s="1477">
        <f t="shared" si="277"/>
        <v>0</v>
      </c>
      <c r="L146" s="1477">
        <f t="shared" si="277"/>
        <v>0</v>
      </c>
      <c r="M146" s="1477">
        <f t="shared" si="277"/>
        <v>0</v>
      </c>
      <c r="N146" s="1477">
        <f t="shared" si="277"/>
        <v>0</v>
      </c>
      <c r="O146" s="1477">
        <f t="shared" si="277"/>
        <v>0</v>
      </c>
      <c r="P146" s="1477">
        <f t="shared" si="277"/>
        <v>0</v>
      </c>
      <c r="Q146" s="462"/>
      <c r="R146" s="2600"/>
      <c r="S146" s="2656"/>
      <c r="T146" s="2656"/>
      <c r="U146" s="2656"/>
      <c r="V146" s="2601"/>
    </row>
    <row r="147" spans="2:22" ht="11.25" customHeight="1">
      <c r="B147" s="800" t="s">
        <v>1141</v>
      </c>
      <c r="C147" s="54"/>
      <c r="D147" s="54"/>
      <c r="E147" s="54"/>
      <c r="F147" s="54"/>
      <c r="G147" s="801"/>
      <c r="H147" s="54"/>
      <c r="I147" s="54"/>
      <c r="J147" s="54"/>
      <c r="K147" s="54"/>
      <c r="L147" s="54"/>
      <c r="M147" s="54"/>
      <c r="N147" s="54"/>
      <c r="O147" s="54"/>
      <c r="P147" s="54"/>
      <c r="Q147" s="102"/>
      <c r="R147" s="58" t="str">
        <f>B147</f>
        <v>NOT Included in Mgt Fee:</v>
      </c>
    </row>
    <row r="148" spans="2:22" ht="11.25" customHeight="1">
      <c r="B148" s="71" t="s">
        <v>1142</v>
      </c>
      <c r="C148" s="71"/>
      <c r="D148" s="71"/>
      <c r="E148" s="71"/>
      <c r="F148" s="71"/>
      <c r="G148" s="2661"/>
      <c r="H148" s="2661"/>
      <c r="I148" s="2661"/>
      <c r="J148" s="2661"/>
      <c r="K148" s="2662"/>
      <c r="L148" s="2661"/>
      <c r="M148" s="2661"/>
      <c r="N148" s="2661"/>
      <c r="O148" s="2661"/>
      <c r="P148" s="2661"/>
      <c r="Q148" s="1321"/>
      <c r="R148" s="2592"/>
      <c r="S148" s="2654"/>
      <c r="T148" s="2654"/>
      <c r="U148" s="2654"/>
      <c r="V148" s="2593"/>
    </row>
    <row r="149" spans="2:22" ht="11.25" customHeight="1">
      <c r="B149" s="71" t="s">
        <v>592</v>
      </c>
      <c r="C149" s="2663"/>
      <c r="D149" s="2664"/>
      <c r="E149" s="2664"/>
      <c r="F149" s="2665"/>
      <c r="G149" s="2666"/>
      <c r="H149" s="2666"/>
      <c r="I149" s="2666"/>
      <c r="J149" s="2666"/>
      <c r="K149" s="2667"/>
      <c r="L149" s="2666"/>
      <c r="M149" s="2666"/>
      <c r="N149" s="2666"/>
      <c r="O149" s="2666"/>
      <c r="P149" s="2666"/>
      <c r="Q149" s="1321"/>
      <c r="R149" s="2594"/>
      <c r="S149" s="2655"/>
      <c r="T149" s="2655"/>
      <c r="U149" s="2655"/>
      <c r="V149" s="2595"/>
    </row>
    <row r="150" spans="2:22" ht="11.25" customHeight="1">
      <c r="B150" s="71"/>
      <c r="C150" s="71" t="s">
        <v>1143</v>
      </c>
      <c r="D150" s="71"/>
      <c r="E150" s="71"/>
      <c r="F150" s="71"/>
      <c r="G150" s="1477">
        <f t="shared" ref="G150:P150" si="278">SUM(G148:G149)</f>
        <v>0</v>
      </c>
      <c r="H150" s="1477">
        <f t="shared" si="278"/>
        <v>0</v>
      </c>
      <c r="I150" s="1477">
        <f t="shared" si="278"/>
        <v>0</v>
      </c>
      <c r="J150" s="1477">
        <f t="shared" si="278"/>
        <v>0</v>
      </c>
      <c r="K150" s="1477">
        <f t="shared" si="278"/>
        <v>0</v>
      </c>
      <c r="L150" s="1477">
        <f t="shared" si="278"/>
        <v>0</v>
      </c>
      <c r="M150" s="1477">
        <f t="shared" si="278"/>
        <v>0</v>
      </c>
      <c r="N150" s="1477">
        <f t="shared" si="278"/>
        <v>0</v>
      </c>
      <c r="O150" s="1477">
        <f t="shared" si="278"/>
        <v>0</v>
      </c>
      <c r="P150" s="1477">
        <f t="shared" si="278"/>
        <v>0</v>
      </c>
      <c r="Q150" s="462"/>
      <c r="R150" s="2600"/>
      <c r="S150" s="2656"/>
      <c r="T150" s="2656"/>
      <c r="U150" s="2656"/>
      <c r="V150" s="2601"/>
    </row>
    <row r="151" spans="2:22" ht="3" customHeight="1">
      <c r="B151" s="794"/>
      <c r="C151" s="54"/>
      <c r="D151" s="54"/>
      <c r="E151" s="54"/>
      <c r="F151" s="54"/>
      <c r="G151" s="801"/>
      <c r="H151" s="54"/>
      <c r="I151" s="54"/>
      <c r="J151" s="54"/>
      <c r="K151" s="54"/>
      <c r="L151" s="54"/>
      <c r="M151" s="54"/>
      <c r="N151" s="54"/>
      <c r="O151" s="54"/>
      <c r="P151" s="54"/>
      <c r="Q151" s="102"/>
    </row>
    <row r="152" spans="2:22" ht="11.25" customHeight="1">
      <c r="B152" s="797" t="s">
        <v>1138</v>
      </c>
      <c r="C152" s="54"/>
      <c r="D152" s="54"/>
      <c r="E152" s="54"/>
      <c r="F152" s="54"/>
      <c r="G152" s="798">
        <v>31</v>
      </c>
      <c r="H152" s="798">
        <v>32</v>
      </c>
      <c r="I152" s="798">
        <v>33</v>
      </c>
      <c r="J152" s="798">
        <v>34</v>
      </c>
      <c r="K152" s="798">
        <v>35</v>
      </c>
      <c r="L152" s="54"/>
      <c r="M152" s="54"/>
      <c r="N152" s="54"/>
      <c r="O152" s="54"/>
      <c r="P152" s="54"/>
      <c r="R152" s="97" t="s">
        <v>1145</v>
      </c>
      <c r="S152" s="58" t="str">
        <f>B152</f>
        <v>Included in Mgt Fee:</v>
      </c>
    </row>
    <row r="153" spans="2:22" ht="11.25" customHeight="1">
      <c r="B153" s="71" t="s">
        <v>1139</v>
      </c>
      <c r="C153" s="71"/>
      <c r="D153" s="71"/>
      <c r="E153" s="71"/>
      <c r="F153" s="71"/>
      <c r="G153" s="2661"/>
      <c r="H153" s="2661"/>
      <c r="I153" s="2661"/>
      <c r="J153" s="2661"/>
      <c r="K153" s="2662"/>
      <c r="L153" s="54"/>
      <c r="M153" s="54"/>
      <c r="N153" s="54"/>
      <c r="O153" s="54"/>
      <c r="P153" s="54"/>
      <c r="Q153" s="102"/>
      <c r="R153" s="2592"/>
      <c r="S153" s="2654"/>
      <c r="T153" s="2654"/>
      <c r="U153" s="2654"/>
      <c r="V153" s="2593"/>
    </row>
    <row r="154" spans="2:22" ht="11.25" customHeight="1">
      <c r="B154" s="71" t="s">
        <v>592</v>
      </c>
      <c r="C154" s="2663"/>
      <c r="D154" s="2664"/>
      <c r="E154" s="2664"/>
      <c r="F154" s="2665"/>
      <c r="G154" s="2666"/>
      <c r="H154" s="2666"/>
      <c r="I154" s="2666"/>
      <c r="J154" s="2666"/>
      <c r="K154" s="2667"/>
      <c r="L154" s="54"/>
      <c r="M154" s="54"/>
      <c r="N154" s="54"/>
      <c r="O154" s="54"/>
      <c r="P154" s="54"/>
      <c r="Q154" s="102"/>
      <c r="R154" s="2594"/>
      <c r="S154" s="2655"/>
      <c r="T154" s="2655"/>
      <c r="U154" s="2655"/>
      <c r="V154" s="2595"/>
    </row>
    <row r="155" spans="2:22" ht="11.25" customHeight="1">
      <c r="B155" s="71"/>
      <c r="C155" s="71" t="s">
        <v>1140</v>
      </c>
      <c r="D155" s="71"/>
      <c r="E155" s="71"/>
      <c r="F155" s="71"/>
      <c r="G155" s="1477">
        <f>SUM(G153:G154)</f>
        <v>0</v>
      </c>
      <c r="H155" s="1477">
        <f>SUM(H153:H154)</f>
        <v>0</v>
      </c>
      <c r="I155" s="1477">
        <f>SUM(I153:I154)</f>
        <v>0</v>
      </c>
      <c r="J155" s="1477">
        <f>SUM(J153:J154)</f>
        <v>0</v>
      </c>
      <c r="K155" s="1477">
        <f>SUM(K153:K154)</f>
        <v>0</v>
      </c>
      <c r="L155" s="54"/>
      <c r="M155" s="54"/>
      <c r="N155" s="54"/>
      <c r="O155" s="54"/>
      <c r="P155" s="54"/>
      <c r="Q155" s="102"/>
      <c r="R155" s="2600"/>
      <c r="S155" s="2656"/>
      <c r="T155" s="2656"/>
      <c r="U155" s="2656"/>
      <c r="V155" s="2601"/>
    </row>
    <row r="156" spans="2:22" ht="11.25" customHeight="1">
      <c r="B156" s="800" t="s">
        <v>1141</v>
      </c>
      <c r="C156" s="54"/>
      <c r="D156" s="54"/>
      <c r="E156" s="54"/>
      <c r="F156" s="54"/>
      <c r="G156" s="801"/>
      <c r="H156" s="54"/>
      <c r="I156" s="54"/>
      <c r="J156" s="54"/>
      <c r="K156" s="54"/>
      <c r="L156" s="54"/>
      <c r="M156" s="54"/>
      <c r="N156" s="54"/>
      <c r="O156" s="54"/>
      <c r="P156" s="54"/>
      <c r="Q156" s="102"/>
      <c r="R156" s="58" t="str">
        <f>B156</f>
        <v>NOT Included in Mgt Fee:</v>
      </c>
    </row>
    <row r="157" spans="2:22" ht="11.25" customHeight="1">
      <c r="B157" s="71" t="s">
        <v>1142</v>
      </c>
      <c r="C157" s="71"/>
      <c r="D157" s="71"/>
      <c r="E157" s="71"/>
      <c r="F157" s="71"/>
      <c r="G157" s="2661"/>
      <c r="H157" s="2661"/>
      <c r="I157" s="2661"/>
      <c r="J157" s="2661"/>
      <c r="K157" s="2662"/>
      <c r="L157" s="54"/>
      <c r="M157" s="54"/>
      <c r="N157" s="54"/>
      <c r="O157" s="54"/>
      <c r="P157" s="54"/>
      <c r="Q157" s="102"/>
      <c r="R157" s="2592"/>
      <c r="S157" s="2654"/>
      <c r="T157" s="2654"/>
      <c r="U157" s="2654"/>
      <c r="V157" s="2593"/>
    </row>
    <row r="158" spans="2:22" ht="11.25" customHeight="1">
      <c r="B158" s="71" t="s">
        <v>592</v>
      </c>
      <c r="C158" s="2663"/>
      <c r="D158" s="2664"/>
      <c r="E158" s="2664"/>
      <c r="F158" s="2665"/>
      <c r="G158" s="2666"/>
      <c r="H158" s="2666"/>
      <c r="I158" s="2666"/>
      <c r="J158" s="2666"/>
      <c r="K158" s="2667"/>
      <c r="L158" s="54"/>
      <c r="M158" s="54"/>
      <c r="N158" s="54"/>
      <c r="O158" s="54"/>
      <c r="P158" s="54"/>
      <c r="Q158" s="102"/>
      <c r="R158" s="2594"/>
      <c r="S158" s="2655"/>
      <c r="T158" s="2655"/>
      <c r="U158" s="2655"/>
      <c r="V158" s="2595"/>
    </row>
    <row r="159" spans="2:22" ht="11.25" customHeight="1">
      <c r="B159" s="71"/>
      <c r="C159" s="71" t="s">
        <v>1143</v>
      </c>
      <c r="D159" s="71"/>
      <c r="E159" s="71"/>
      <c r="F159" s="71"/>
      <c r="G159" s="1477">
        <f>SUM(G157:G158)</f>
        <v>0</v>
      </c>
      <c r="H159" s="1477">
        <f>SUM(H157:H158)</f>
        <v>0</v>
      </c>
      <c r="I159" s="1477">
        <f>SUM(I157:I158)</f>
        <v>0</v>
      </c>
      <c r="J159" s="1477">
        <f>SUM(J157:J158)</f>
        <v>0</v>
      </c>
      <c r="K159" s="1477">
        <f>SUM(K157:K158)</f>
        <v>0</v>
      </c>
      <c r="L159" s="54"/>
      <c r="M159" s="54"/>
      <c r="N159" s="54"/>
      <c r="O159" s="54"/>
      <c r="P159" s="54"/>
      <c r="Q159" s="102"/>
      <c r="R159" s="2600"/>
      <c r="S159" s="2656"/>
      <c r="T159" s="2656"/>
      <c r="U159" s="2656"/>
      <c r="V159" s="2601"/>
    </row>
    <row r="160" spans="2:22" ht="2.25" customHeight="1">
      <c r="B160" s="8"/>
      <c r="C160" s="102"/>
      <c r="D160" s="102"/>
      <c r="E160" s="102"/>
      <c r="F160" s="1319"/>
      <c r="G160" s="1319"/>
      <c r="H160" s="102"/>
      <c r="I160" s="102"/>
      <c r="J160" s="366"/>
      <c r="K160" s="102"/>
      <c r="L160" s="102"/>
      <c r="M160" s="102"/>
      <c r="N160" s="102"/>
      <c r="O160" s="102"/>
      <c r="P160" s="102"/>
      <c r="Q160" s="102"/>
    </row>
    <row r="161" spans="1:296" s="55" customFormat="1" ht="11.25" customHeight="1">
      <c r="A161" s="4" t="s">
        <v>57</v>
      </c>
      <c r="B161" s="2" t="s">
        <v>1146</v>
      </c>
      <c r="C161" s="2"/>
      <c r="D161" s="2"/>
      <c r="E161" s="2"/>
      <c r="F161" s="2"/>
      <c r="G161" s="2"/>
      <c r="H161" s="2"/>
      <c r="I161" s="2"/>
      <c r="J161" s="2"/>
      <c r="K161" s="2"/>
      <c r="L161" s="58"/>
      <c r="M161" s="9"/>
      <c r="N161" s="45"/>
      <c r="O161" s="45"/>
      <c r="P161" s="58"/>
      <c r="Q161" s="58"/>
      <c r="R161" s="4" t="str">
        <f>B161</f>
        <v>ANNUAL OPERATING EXPENSE BUDGET</v>
      </c>
      <c r="S161" s="48"/>
      <c r="W161" s="102"/>
      <c r="Z161" s="58"/>
      <c r="AA161" s="58"/>
      <c r="AB161" s="58"/>
      <c r="AC161" s="58"/>
      <c r="AD161" s="58"/>
      <c r="AE161" s="58"/>
      <c r="AF161" s="58"/>
      <c r="AG161" s="58"/>
      <c r="AH161" s="58"/>
      <c r="AI161" s="58"/>
      <c r="AJ161" s="58"/>
      <c r="AK161" s="58"/>
      <c r="AL161" s="58"/>
      <c r="AM161" s="58"/>
      <c r="AN161" s="58"/>
      <c r="AO161" s="58"/>
      <c r="AP161" s="58"/>
      <c r="AQ161" s="58"/>
      <c r="AR161" s="58"/>
      <c r="AS161" s="58"/>
      <c r="AT161" s="58"/>
      <c r="AU161" s="58"/>
      <c r="AV161" s="58"/>
      <c r="AW161" s="58"/>
      <c r="AX161" s="58"/>
      <c r="AY161" s="58"/>
      <c r="AZ161" s="58"/>
      <c r="BA161" s="58"/>
      <c r="BB161" s="58"/>
      <c r="BC161" s="58"/>
      <c r="BD161" s="58"/>
      <c r="BE161" s="58"/>
      <c r="BF161" s="58"/>
      <c r="BG161" s="58"/>
      <c r="BH161" s="58"/>
      <c r="BI161" s="58"/>
      <c r="BJ161" s="58"/>
      <c r="BK161" s="58"/>
      <c r="BL161" s="58"/>
      <c r="BM161" s="58"/>
      <c r="BN161" s="58"/>
      <c r="BO161" s="58"/>
      <c r="BP161" s="58"/>
      <c r="BQ161" s="58"/>
      <c r="BR161" s="58"/>
      <c r="BS161" s="58"/>
      <c r="BT161" s="58"/>
      <c r="BU161" s="58"/>
      <c r="BV161" s="58"/>
      <c r="BW161" s="58"/>
      <c r="BX161" s="58"/>
      <c r="BY161" s="58"/>
      <c r="BZ161" s="58"/>
      <c r="CA161" s="58"/>
      <c r="CB161" s="58"/>
      <c r="CC161" s="58"/>
      <c r="CD161" s="58"/>
      <c r="CE161" s="58"/>
      <c r="CF161" s="58"/>
      <c r="CG161" s="58"/>
      <c r="CH161" s="58"/>
      <c r="CI161" s="58"/>
      <c r="CJ161" s="58"/>
      <c r="CK161" s="58"/>
      <c r="CL161" s="58"/>
      <c r="CM161" s="58"/>
      <c r="CN161" s="58"/>
      <c r="CO161" s="58"/>
      <c r="CP161" s="58"/>
      <c r="CQ161" s="58"/>
      <c r="CR161" s="58"/>
      <c r="CS161" s="58"/>
      <c r="CT161" s="58"/>
      <c r="CU161" s="58"/>
      <c r="CV161" s="58"/>
      <c r="CW161" s="58"/>
      <c r="CX161" s="58"/>
      <c r="CY161" s="58"/>
      <c r="CZ161" s="58"/>
      <c r="DA161" s="58"/>
      <c r="DB161" s="58"/>
      <c r="DC161" s="58"/>
      <c r="DD161" s="58"/>
      <c r="DE161" s="58"/>
      <c r="DF161" s="58"/>
      <c r="DG161" s="58"/>
      <c r="DH161" s="58"/>
      <c r="DI161" s="58"/>
      <c r="DJ161" s="58"/>
      <c r="DK161" s="58"/>
      <c r="DL161" s="58"/>
      <c r="DM161" s="58"/>
      <c r="DN161" s="58"/>
      <c r="DO161" s="58"/>
      <c r="DP161" s="58"/>
      <c r="DQ161" s="58"/>
      <c r="DR161" s="58"/>
      <c r="DS161" s="58"/>
      <c r="DT161" s="58"/>
      <c r="DU161" s="58"/>
      <c r="DV161" s="58"/>
      <c r="DW161" s="58"/>
      <c r="DX161" s="58"/>
      <c r="DY161" s="58"/>
      <c r="DZ161" s="58"/>
      <c r="EA161" s="58"/>
      <c r="EB161" s="58"/>
      <c r="EC161" s="58"/>
      <c r="ED161" s="58"/>
      <c r="EE161" s="58"/>
      <c r="EF161" s="58"/>
      <c r="EG161" s="58"/>
      <c r="EH161" s="58"/>
      <c r="EI161" s="58"/>
      <c r="EJ161" s="58"/>
      <c r="EK161" s="58"/>
      <c r="EL161" s="58"/>
      <c r="EM161" s="58"/>
      <c r="EN161" s="58"/>
      <c r="EO161" s="58"/>
      <c r="EP161" s="58"/>
      <c r="EQ161" s="58"/>
      <c r="ER161" s="58"/>
      <c r="ES161" s="58"/>
      <c r="ET161" s="58"/>
      <c r="EU161" s="58"/>
      <c r="EV161" s="58"/>
      <c r="EW161" s="58"/>
      <c r="EX161" s="346"/>
      <c r="EY161" s="346"/>
      <c r="EZ161" s="346"/>
      <c r="FA161" s="346"/>
      <c r="FB161" s="346"/>
      <c r="FC161" s="346"/>
      <c r="FD161" s="346"/>
      <c r="FE161" s="346"/>
      <c r="FF161" s="346"/>
      <c r="FG161" s="346"/>
      <c r="FH161" s="346"/>
      <c r="FI161" s="346"/>
      <c r="FJ161" s="346"/>
      <c r="FK161" s="346"/>
      <c r="FL161" s="346"/>
      <c r="FM161" s="346"/>
      <c r="FN161" s="346"/>
      <c r="FO161" s="346"/>
      <c r="FP161" s="346"/>
      <c r="FQ161" s="346"/>
      <c r="FR161" s="346"/>
      <c r="FS161" s="346"/>
      <c r="FT161" s="346"/>
      <c r="FU161" s="346"/>
      <c r="FV161" s="346"/>
      <c r="FW161" s="346"/>
      <c r="FX161" s="346"/>
      <c r="FY161" s="346"/>
      <c r="FZ161" s="346"/>
      <c r="GA161" s="346"/>
      <c r="GB161" s="346"/>
      <c r="GC161" s="346"/>
      <c r="GD161" s="346"/>
      <c r="GE161" s="346"/>
      <c r="GF161" s="346"/>
      <c r="GG161" s="346"/>
      <c r="GH161" s="346"/>
      <c r="GI161" s="346"/>
      <c r="GJ161" s="346"/>
      <c r="GK161" s="346"/>
      <c r="GL161" s="346"/>
      <c r="GM161" s="346"/>
      <c r="GN161" s="346"/>
      <c r="GO161" s="346"/>
      <c r="GP161" s="346"/>
      <c r="GQ161" s="346"/>
      <c r="GR161" s="346"/>
      <c r="GS161" s="346"/>
      <c r="GT161" s="347"/>
      <c r="GU161" s="346"/>
      <c r="GV161" s="346"/>
      <c r="GW161" s="346"/>
      <c r="GX161" s="346"/>
      <c r="GY161" s="347"/>
      <c r="GZ161" s="347"/>
      <c r="HA161" s="347"/>
      <c r="HB161" s="347"/>
      <c r="HC161" s="347"/>
      <c r="HD161" s="347"/>
      <c r="HE161" s="347"/>
      <c r="HF161" s="347"/>
      <c r="HG161" s="347"/>
      <c r="HH161" s="347"/>
      <c r="HI161" s="347"/>
      <c r="HJ161" s="347"/>
      <c r="HK161" s="347"/>
      <c r="HL161" s="347"/>
      <c r="HM161" s="347"/>
      <c r="HN161" s="347"/>
      <c r="HO161" s="347"/>
      <c r="HP161" s="347"/>
      <c r="HQ161" s="347"/>
      <c r="HR161" s="347"/>
      <c r="HS161" s="347"/>
      <c r="HT161" s="347"/>
      <c r="HU161" s="347"/>
      <c r="HV161" s="347"/>
      <c r="HW161" s="347"/>
      <c r="HX161" s="347"/>
      <c r="HY161" s="347"/>
      <c r="HZ161" s="347"/>
      <c r="IA161" s="347"/>
      <c r="IB161" s="347"/>
      <c r="IC161" s="347"/>
      <c r="ID161" s="347"/>
      <c r="IE161" s="346"/>
      <c r="IF161" s="346"/>
      <c r="IG161" s="346"/>
      <c r="IH161" s="346"/>
      <c r="II161" s="346"/>
      <c r="IJ161" s="346"/>
      <c r="IK161" s="348"/>
      <c r="IL161" s="346"/>
      <c r="IM161" s="346"/>
      <c r="IN161" s="346"/>
      <c r="IO161" s="346"/>
      <c r="IP161" s="346"/>
      <c r="IQ161" s="346"/>
      <c r="IR161" s="346"/>
      <c r="IS161" s="346"/>
      <c r="IT161" s="346"/>
      <c r="IU161" s="346"/>
      <c r="IV161" s="346"/>
      <c r="IW161" s="346"/>
      <c r="IX161" s="346"/>
      <c r="IY161" s="346"/>
      <c r="IZ161" s="346"/>
      <c r="JA161" s="348"/>
      <c r="JB161" s="348"/>
      <c r="JC161" s="346"/>
      <c r="JD161" s="346"/>
      <c r="JE161" s="346"/>
      <c r="JF161" s="346"/>
      <c r="JG161" s="346"/>
      <c r="JH161" s="346"/>
      <c r="JI161" s="346"/>
      <c r="JJ161" s="346"/>
      <c r="JK161" s="346"/>
      <c r="JL161" s="346"/>
      <c r="JM161" s="346"/>
      <c r="JN161" s="346"/>
      <c r="JO161" s="346"/>
      <c r="JP161" s="346"/>
      <c r="JQ161" s="346"/>
      <c r="JR161" s="58"/>
      <c r="JS161" s="58"/>
      <c r="JT161" s="346"/>
      <c r="JU161" s="346"/>
      <c r="JV161" s="346"/>
      <c r="JW161" s="346"/>
      <c r="JX161" s="346"/>
      <c r="JY161" s="346"/>
      <c r="JZ161" s="346"/>
      <c r="KA161" s="346"/>
      <c r="KB161" s="346"/>
      <c r="KC161" s="346"/>
      <c r="KD161" s="346"/>
      <c r="KE161" s="346"/>
      <c r="KF161" s="346"/>
      <c r="KG161" s="346"/>
      <c r="KH161" s="346"/>
      <c r="KI161" s="346"/>
      <c r="KJ161" s="346"/>
    </row>
    <row r="162" spans="1:296" s="55" customFormat="1" ht="9" customHeight="1">
      <c r="A162" s="58"/>
      <c r="B162" s="2"/>
      <c r="C162" s="2"/>
      <c r="D162" s="2"/>
      <c r="E162" s="2"/>
      <c r="F162" s="2"/>
      <c r="G162" s="2"/>
      <c r="H162" s="2"/>
      <c r="I162" s="2"/>
      <c r="J162" s="2"/>
      <c r="K162" s="58"/>
      <c r="L162" s="58"/>
      <c r="M162" s="58"/>
      <c r="N162" s="58"/>
      <c r="O162" s="58"/>
      <c r="P162" s="58"/>
      <c r="Q162" s="58"/>
      <c r="R162" s="53" t="s">
        <v>851</v>
      </c>
      <c r="S162" s="53"/>
      <c r="W162" s="58"/>
      <c r="Z162" s="58"/>
      <c r="AA162" s="58"/>
      <c r="AB162" s="58"/>
      <c r="AC162" s="58"/>
      <c r="AD162" s="58"/>
      <c r="AE162" s="58"/>
      <c r="AF162" s="58"/>
      <c r="AG162" s="58"/>
      <c r="AH162" s="58"/>
      <c r="AI162" s="58"/>
      <c r="AJ162" s="58"/>
      <c r="AK162" s="58"/>
      <c r="AL162" s="58"/>
      <c r="AM162" s="58"/>
      <c r="AN162" s="58"/>
      <c r="AO162" s="58"/>
      <c r="AP162" s="58"/>
      <c r="AQ162" s="58"/>
      <c r="AR162" s="58"/>
      <c r="AS162" s="58"/>
      <c r="AT162" s="58"/>
      <c r="AU162" s="58"/>
      <c r="AV162" s="58"/>
      <c r="AW162" s="58"/>
      <c r="AX162" s="58"/>
      <c r="AY162" s="58"/>
      <c r="AZ162" s="58"/>
      <c r="BA162" s="58"/>
      <c r="BB162" s="58"/>
      <c r="BC162" s="58"/>
      <c r="BD162" s="58"/>
      <c r="BE162" s="58"/>
      <c r="BF162" s="58"/>
      <c r="BG162" s="58"/>
      <c r="BH162" s="58"/>
      <c r="BI162" s="58"/>
      <c r="BJ162" s="58"/>
      <c r="BK162" s="58"/>
      <c r="BL162" s="58"/>
      <c r="BM162" s="58"/>
      <c r="BN162" s="58"/>
      <c r="BO162" s="58"/>
      <c r="BP162" s="58"/>
      <c r="BQ162" s="58"/>
      <c r="BR162" s="58"/>
      <c r="BS162" s="58"/>
      <c r="BT162" s="58"/>
      <c r="BU162" s="58"/>
      <c r="BV162" s="58"/>
      <c r="BW162" s="58"/>
      <c r="BX162" s="58"/>
      <c r="BY162" s="58"/>
      <c r="BZ162" s="58"/>
      <c r="CA162" s="58"/>
      <c r="CB162" s="58"/>
      <c r="CC162" s="58"/>
      <c r="CD162" s="58"/>
      <c r="CE162" s="58"/>
      <c r="CF162" s="58"/>
      <c r="CG162" s="58"/>
      <c r="CH162" s="58"/>
      <c r="CI162" s="58"/>
      <c r="CJ162" s="58"/>
      <c r="CK162" s="58"/>
      <c r="CL162" s="58"/>
      <c r="CM162" s="58"/>
      <c r="CN162" s="58"/>
      <c r="CO162" s="58"/>
      <c r="CP162" s="58"/>
      <c r="CQ162" s="58"/>
      <c r="CR162" s="58"/>
      <c r="CS162" s="58"/>
      <c r="CT162" s="58"/>
      <c r="CU162" s="58"/>
      <c r="CV162" s="58"/>
      <c r="CW162" s="58"/>
      <c r="CX162" s="58"/>
      <c r="CY162" s="58"/>
      <c r="CZ162" s="58"/>
      <c r="DA162" s="58"/>
      <c r="DB162" s="58"/>
      <c r="DC162" s="58"/>
      <c r="DD162" s="58"/>
      <c r="DE162" s="58"/>
      <c r="DF162" s="58"/>
      <c r="DG162" s="58"/>
      <c r="DH162" s="58"/>
      <c r="DI162" s="58"/>
      <c r="DJ162" s="58"/>
      <c r="DK162" s="58"/>
      <c r="DL162" s="58"/>
      <c r="DM162" s="58"/>
      <c r="DN162" s="58"/>
      <c r="DO162" s="58"/>
      <c r="DP162" s="58"/>
      <c r="DQ162" s="58"/>
      <c r="DR162" s="58"/>
      <c r="DS162" s="58"/>
      <c r="DT162" s="58"/>
      <c r="DU162" s="58"/>
      <c r="DV162" s="58"/>
      <c r="DW162" s="58"/>
      <c r="DX162" s="58"/>
      <c r="DY162" s="58"/>
      <c r="DZ162" s="58"/>
      <c r="EA162" s="58"/>
      <c r="EB162" s="58"/>
      <c r="EC162" s="58"/>
      <c r="ED162" s="58"/>
      <c r="EE162" s="58"/>
      <c r="EF162" s="58"/>
      <c r="EG162" s="58"/>
      <c r="EH162" s="58"/>
      <c r="EI162" s="58"/>
      <c r="EJ162" s="58"/>
      <c r="EK162" s="58"/>
      <c r="EL162" s="58"/>
      <c r="EM162" s="58"/>
      <c r="EN162" s="58"/>
      <c r="EO162" s="58"/>
      <c r="EP162" s="58"/>
      <c r="EQ162" s="58"/>
      <c r="ER162" s="58"/>
      <c r="ES162" s="58"/>
      <c r="ET162" s="58"/>
      <c r="EU162" s="58"/>
      <c r="EV162" s="58"/>
      <c r="EW162" s="58"/>
      <c r="EX162" s="346"/>
      <c r="EY162" s="346"/>
      <c r="EZ162" s="346"/>
      <c r="FA162" s="346"/>
      <c r="FB162" s="346"/>
      <c r="FC162" s="346"/>
      <c r="FD162" s="346"/>
      <c r="FE162" s="346"/>
      <c r="FF162" s="346"/>
      <c r="FG162" s="346"/>
      <c r="FH162" s="346"/>
      <c r="FI162" s="346"/>
      <c r="FJ162" s="346"/>
      <c r="FK162" s="346"/>
      <c r="FL162" s="346"/>
      <c r="FM162" s="346"/>
      <c r="FN162" s="346"/>
      <c r="FO162" s="346"/>
      <c r="FP162" s="346"/>
      <c r="FQ162" s="346"/>
      <c r="FR162" s="346"/>
      <c r="FS162" s="346"/>
      <c r="FT162" s="346"/>
      <c r="FU162" s="346"/>
      <c r="FV162" s="346"/>
      <c r="FW162" s="346"/>
      <c r="FX162" s="346"/>
      <c r="FY162" s="346"/>
      <c r="FZ162" s="346"/>
      <c r="GA162" s="346"/>
      <c r="GB162" s="346"/>
      <c r="GC162" s="346"/>
      <c r="GD162" s="346"/>
      <c r="GE162" s="346"/>
      <c r="GF162" s="346"/>
      <c r="GG162" s="346"/>
      <c r="GH162" s="346"/>
      <c r="GI162" s="346"/>
      <c r="GJ162" s="346"/>
      <c r="GK162" s="346"/>
      <c r="GL162" s="346"/>
      <c r="GM162" s="346"/>
      <c r="GN162" s="346"/>
      <c r="GO162" s="346"/>
      <c r="GP162" s="346"/>
      <c r="GQ162" s="346"/>
      <c r="GR162" s="346"/>
      <c r="GS162" s="346"/>
      <c r="GT162" s="347"/>
      <c r="GU162" s="346"/>
      <c r="GV162" s="346"/>
      <c r="GW162" s="346"/>
      <c r="GX162" s="346"/>
      <c r="GY162" s="347"/>
      <c r="GZ162" s="347"/>
      <c r="HA162" s="347"/>
      <c r="HB162" s="347"/>
      <c r="HC162" s="347"/>
      <c r="HD162" s="347"/>
      <c r="HE162" s="347"/>
      <c r="HF162" s="347"/>
      <c r="HG162" s="347"/>
      <c r="HH162" s="347"/>
      <c r="HI162" s="347"/>
      <c r="HJ162" s="347"/>
      <c r="HK162" s="347"/>
      <c r="HL162" s="347"/>
      <c r="HM162" s="347"/>
      <c r="HN162" s="347"/>
      <c r="HO162" s="347"/>
      <c r="HP162" s="347"/>
      <c r="HQ162" s="347"/>
      <c r="HR162" s="347"/>
      <c r="HS162" s="347"/>
      <c r="HT162" s="347"/>
      <c r="HU162" s="347"/>
      <c r="HV162" s="347"/>
      <c r="HW162" s="347"/>
      <c r="HX162" s="347"/>
      <c r="HY162" s="347"/>
      <c r="HZ162" s="347"/>
      <c r="IA162" s="347"/>
      <c r="IB162" s="347"/>
      <c r="IC162" s="347"/>
      <c r="ID162" s="347"/>
      <c r="IE162" s="346"/>
      <c r="IF162" s="346"/>
      <c r="IG162" s="346"/>
      <c r="IH162" s="346"/>
      <c r="II162" s="346"/>
      <c r="IJ162" s="346"/>
      <c r="IK162" s="348"/>
      <c r="IL162" s="346"/>
      <c r="IM162" s="346"/>
      <c r="IN162" s="346"/>
      <c r="IO162" s="346"/>
      <c r="IP162" s="346"/>
      <c r="IQ162" s="346"/>
      <c r="IR162" s="346"/>
      <c r="IS162" s="346"/>
      <c r="IT162" s="346"/>
      <c r="IU162" s="346"/>
      <c r="IV162" s="346"/>
      <c r="IW162" s="346"/>
      <c r="IX162" s="346"/>
      <c r="IY162" s="346"/>
      <c r="IZ162" s="346"/>
      <c r="JA162" s="348"/>
      <c r="JB162" s="348"/>
      <c r="JC162" s="346"/>
      <c r="JD162" s="346"/>
      <c r="JE162" s="346"/>
      <c r="JF162" s="346"/>
      <c r="JG162" s="346"/>
      <c r="JH162" s="346"/>
      <c r="JI162" s="346"/>
      <c r="JJ162" s="346"/>
      <c r="JK162" s="346"/>
      <c r="JL162" s="346"/>
      <c r="JM162" s="346"/>
      <c r="JN162" s="346"/>
      <c r="JO162" s="346"/>
      <c r="JP162" s="346"/>
      <c r="JQ162" s="346"/>
      <c r="JR162" s="58"/>
      <c r="JS162" s="58"/>
      <c r="JT162" s="346"/>
      <c r="JU162" s="346"/>
      <c r="JV162" s="346"/>
      <c r="JW162" s="346"/>
      <c r="JX162" s="346"/>
      <c r="JY162" s="346"/>
      <c r="JZ162" s="346"/>
      <c r="KA162" s="346"/>
      <c r="KB162" s="346"/>
      <c r="KC162" s="346"/>
      <c r="KD162" s="346"/>
      <c r="KE162" s="346"/>
      <c r="KF162" s="346"/>
      <c r="KG162" s="346"/>
      <c r="KH162" s="346"/>
      <c r="KI162" s="346"/>
      <c r="KJ162" s="346"/>
    </row>
    <row r="163" spans="1:296" s="55" customFormat="1" ht="13.15" customHeight="1">
      <c r="A163" s="58"/>
      <c r="B163" s="6" t="s">
        <v>1147</v>
      </c>
      <c r="C163" s="58"/>
      <c r="D163" s="58"/>
      <c r="E163" s="58"/>
      <c r="F163" s="12"/>
      <c r="G163" s="12"/>
      <c r="H163" s="58"/>
      <c r="I163" s="6" t="s">
        <v>1148</v>
      </c>
      <c r="J163" s="58"/>
      <c r="K163" s="58"/>
      <c r="L163" s="58"/>
      <c r="M163" s="58"/>
      <c r="N163" s="6" t="s">
        <v>1149</v>
      </c>
      <c r="O163" s="58"/>
      <c r="P163" s="58"/>
      <c r="Q163" s="58"/>
      <c r="R163" s="2592"/>
      <c r="S163" s="2654"/>
      <c r="T163" s="2654"/>
      <c r="U163" s="2654"/>
      <c r="V163" s="2593"/>
      <c r="W163" s="102"/>
      <c r="Z163" s="58"/>
      <c r="AA163" s="58"/>
      <c r="AB163" s="58"/>
      <c r="AC163" s="58"/>
      <c r="AD163" s="58"/>
      <c r="AE163" s="58"/>
      <c r="AF163" s="58"/>
      <c r="AG163" s="58"/>
      <c r="AH163" s="58"/>
      <c r="AI163" s="58"/>
      <c r="AJ163" s="58"/>
      <c r="AK163" s="58"/>
      <c r="AL163" s="58"/>
      <c r="AM163" s="58"/>
      <c r="AN163" s="58"/>
      <c r="AO163" s="58"/>
      <c r="AP163" s="58"/>
      <c r="AQ163" s="58"/>
      <c r="AR163" s="58"/>
      <c r="AS163" s="58"/>
      <c r="AT163" s="58"/>
      <c r="AU163" s="58"/>
      <c r="AV163" s="58"/>
      <c r="AW163" s="58"/>
      <c r="AX163" s="58"/>
      <c r="AY163" s="58"/>
      <c r="AZ163" s="58"/>
      <c r="BA163" s="58"/>
      <c r="BB163" s="58"/>
      <c r="BC163" s="58"/>
      <c r="BD163" s="58"/>
      <c r="BE163" s="58"/>
      <c r="BF163" s="58"/>
      <c r="BG163" s="58"/>
      <c r="BH163" s="58"/>
      <c r="BI163" s="58"/>
      <c r="BJ163" s="58"/>
      <c r="BK163" s="58"/>
      <c r="BL163" s="58"/>
      <c r="BM163" s="58"/>
      <c r="BN163" s="58"/>
      <c r="BO163" s="58"/>
      <c r="BP163" s="58"/>
      <c r="BQ163" s="58"/>
      <c r="BR163" s="58"/>
      <c r="BS163" s="58"/>
      <c r="BT163" s="58"/>
      <c r="BU163" s="58"/>
      <c r="BV163" s="58"/>
      <c r="BW163" s="58"/>
      <c r="BX163" s="58"/>
      <c r="BY163" s="58"/>
      <c r="BZ163" s="58"/>
      <c r="CA163" s="58"/>
      <c r="CB163" s="58"/>
      <c r="CC163" s="58"/>
      <c r="CD163" s="58"/>
      <c r="CE163" s="58"/>
      <c r="CF163" s="58"/>
      <c r="CG163" s="58"/>
      <c r="CH163" s="58"/>
      <c r="CI163" s="58"/>
      <c r="CJ163" s="58"/>
      <c r="CK163" s="58"/>
      <c r="CL163" s="58"/>
      <c r="CM163" s="58"/>
      <c r="CN163" s="58"/>
      <c r="CO163" s="58"/>
      <c r="CP163" s="58"/>
      <c r="CQ163" s="58"/>
      <c r="CR163" s="58"/>
      <c r="CS163" s="58"/>
      <c r="CT163" s="58"/>
      <c r="CU163" s="58"/>
      <c r="CV163" s="58"/>
      <c r="CW163" s="58"/>
      <c r="CX163" s="58"/>
      <c r="CY163" s="58"/>
      <c r="CZ163" s="58"/>
      <c r="DA163" s="58"/>
      <c r="DB163" s="58"/>
      <c r="DC163" s="58"/>
      <c r="DD163" s="58"/>
      <c r="DE163" s="58"/>
      <c r="DF163" s="58"/>
      <c r="DG163" s="58"/>
      <c r="DH163" s="58"/>
      <c r="DI163" s="58"/>
      <c r="DJ163" s="58"/>
      <c r="DK163" s="58"/>
      <c r="DL163" s="58"/>
      <c r="DM163" s="58"/>
      <c r="DN163" s="58"/>
      <c r="DO163" s="58"/>
      <c r="DP163" s="58"/>
      <c r="DQ163" s="58"/>
      <c r="DR163" s="58"/>
      <c r="DS163" s="58"/>
      <c r="DT163" s="58"/>
      <c r="DU163" s="58"/>
      <c r="DV163" s="58"/>
      <c r="DW163" s="58"/>
      <c r="DX163" s="58"/>
      <c r="DY163" s="58"/>
      <c r="DZ163" s="58"/>
      <c r="EA163" s="58"/>
      <c r="EB163" s="58"/>
      <c r="EC163" s="58"/>
      <c r="ED163" s="58"/>
      <c r="EE163" s="58"/>
      <c r="EF163" s="58"/>
      <c r="EG163" s="58"/>
      <c r="EH163" s="58"/>
      <c r="EI163" s="58"/>
      <c r="EJ163" s="58"/>
      <c r="EK163" s="58"/>
      <c r="EL163" s="58"/>
      <c r="EM163" s="58"/>
      <c r="EN163" s="58"/>
      <c r="EO163" s="58"/>
      <c r="EP163" s="58"/>
      <c r="EQ163" s="58"/>
      <c r="ER163" s="58"/>
      <c r="ES163" s="58"/>
      <c r="ET163" s="58"/>
      <c r="EU163" s="58"/>
      <c r="EV163" s="58"/>
      <c r="EW163" s="58"/>
      <c r="EX163" s="346"/>
      <c r="EY163" s="346"/>
      <c r="EZ163" s="346"/>
      <c r="FA163" s="346"/>
      <c r="FB163" s="346"/>
      <c r="FC163" s="346"/>
      <c r="FD163" s="346"/>
      <c r="FE163" s="346"/>
      <c r="FF163" s="346"/>
      <c r="FG163" s="346"/>
      <c r="FH163" s="346"/>
      <c r="FI163" s="346"/>
      <c r="FJ163" s="346"/>
      <c r="FK163" s="346"/>
      <c r="FL163" s="346"/>
      <c r="FM163" s="346"/>
      <c r="FN163" s="346"/>
      <c r="FO163" s="346"/>
      <c r="FP163" s="346"/>
      <c r="FQ163" s="346"/>
      <c r="FR163" s="346"/>
      <c r="FS163" s="346"/>
      <c r="FT163" s="346"/>
      <c r="FU163" s="346"/>
      <c r="FV163" s="346"/>
      <c r="FW163" s="346"/>
      <c r="FX163" s="346"/>
      <c r="FY163" s="346"/>
      <c r="FZ163" s="346"/>
      <c r="GA163" s="346"/>
      <c r="GB163" s="346"/>
      <c r="GC163" s="346"/>
      <c r="GD163" s="346"/>
      <c r="GE163" s="346"/>
      <c r="GF163" s="346"/>
      <c r="GG163" s="346"/>
      <c r="GH163" s="346"/>
      <c r="GI163" s="346"/>
      <c r="GJ163" s="346"/>
      <c r="GK163" s="346"/>
      <c r="GL163" s="346"/>
      <c r="GM163" s="346"/>
      <c r="GN163" s="346"/>
      <c r="GO163" s="346"/>
      <c r="GP163" s="346"/>
      <c r="GQ163" s="346"/>
      <c r="GR163" s="346"/>
      <c r="GS163" s="346"/>
      <c r="GT163" s="347"/>
      <c r="GU163" s="346"/>
      <c r="GV163" s="346"/>
      <c r="GW163" s="346"/>
      <c r="GX163" s="346"/>
      <c r="GY163" s="347"/>
      <c r="GZ163" s="347"/>
      <c r="HA163" s="347"/>
      <c r="HB163" s="347"/>
      <c r="HC163" s="347"/>
      <c r="HD163" s="347"/>
      <c r="HE163" s="347"/>
      <c r="HF163" s="347"/>
      <c r="HG163" s="347"/>
      <c r="HH163" s="347"/>
      <c r="HI163" s="347"/>
      <c r="HJ163" s="347"/>
      <c r="HK163" s="347"/>
      <c r="HL163" s="347"/>
      <c r="HM163" s="347"/>
      <c r="HN163" s="347"/>
      <c r="HO163" s="347"/>
      <c r="HP163" s="347"/>
      <c r="HQ163" s="347"/>
      <c r="HR163" s="347"/>
      <c r="HS163" s="347"/>
      <c r="HT163" s="347"/>
      <c r="HU163" s="347"/>
      <c r="HV163" s="347"/>
      <c r="HW163" s="347"/>
      <c r="HX163" s="347"/>
      <c r="HY163" s="347"/>
      <c r="HZ163" s="347"/>
      <c r="IA163" s="347"/>
      <c r="IB163" s="347"/>
      <c r="IC163" s="347"/>
      <c r="ID163" s="347"/>
      <c r="IE163" s="346"/>
      <c r="IF163" s="346"/>
      <c r="IG163" s="346"/>
      <c r="IH163" s="346"/>
      <c r="II163" s="346"/>
      <c r="IJ163" s="346"/>
      <c r="IK163" s="348"/>
      <c r="IL163" s="346"/>
      <c r="IM163" s="346"/>
      <c r="IN163" s="346"/>
      <c r="IO163" s="346"/>
      <c r="IP163" s="346"/>
      <c r="IQ163" s="346"/>
      <c r="IR163" s="346"/>
      <c r="IS163" s="346"/>
      <c r="IT163" s="346"/>
      <c r="IU163" s="346"/>
      <c r="IV163" s="346"/>
      <c r="IW163" s="346"/>
      <c r="IX163" s="346"/>
      <c r="IY163" s="346"/>
      <c r="IZ163" s="346"/>
      <c r="JA163" s="348"/>
      <c r="JB163" s="348"/>
      <c r="JC163" s="346"/>
      <c r="JD163" s="346"/>
      <c r="JE163" s="346"/>
      <c r="JF163" s="346"/>
      <c r="JG163" s="346"/>
      <c r="JH163" s="346"/>
      <c r="JI163" s="346"/>
      <c r="JJ163" s="346"/>
      <c r="JK163" s="346"/>
      <c r="JL163" s="346"/>
      <c r="JM163" s="346"/>
      <c r="JN163" s="346"/>
      <c r="JO163" s="346"/>
      <c r="JP163" s="346"/>
      <c r="JQ163" s="346"/>
      <c r="JR163" s="58"/>
      <c r="JS163" s="58"/>
      <c r="JT163" s="346"/>
      <c r="JU163" s="346"/>
      <c r="JV163" s="346"/>
      <c r="JW163" s="346"/>
      <c r="JX163" s="346"/>
      <c r="JY163" s="346"/>
      <c r="JZ163" s="346"/>
      <c r="KA163" s="346"/>
      <c r="KB163" s="346"/>
      <c r="KC163" s="346"/>
      <c r="KD163" s="346"/>
      <c r="KE163" s="346"/>
      <c r="KF163" s="346"/>
      <c r="KG163" s="346"/>
      <c r="KH163" s="346"/>
      <c r="KI163" s="346"/>
      <c r="KJ163" s="346"/>
    </row>
    <row r="164" spans="1:296" s="55" customFormat="1" ht="15.6" customHeight="1">
      <c r="A164" s="58"/>
      <c r="B164" s="58" t="s">
        <v>1150</v>
      </c>
      <c r="C164" s="58"/>
      <c r="D164" s="58"/>
      <c r="E164" s="58"/>
      <c r="F164" s="2668">
        <f>43500+7400-7400</f>
        <v>43500</v>
      </c>
      <c r="G164" s="2669"/>
      <c r="H164" s="58"/>
      <c r="I164" s="58" t="s">
        <v>1151</v>
      </c>
      <c r="J164" s="58"/>
      <c r="K164" s="2668"/>
      <c r="L164" s="2669"/>
      <c r="M164" s="58"/>
      <c r="N164" s="58" t="s">
        <v>1152</v>
      </c>
      <c r="O164" s="58"/>
      <c r="P164" s="2670">
        <f>95500+19500</f>
        <v>115000</v>
      </c>
      <c r="Q164" s="1321"/>
      <c r="R164" s="2594"/>
      <c r="S164" s="2655"/>
      <c r="T164" s="2655"/>
      <c r="U164" s="2655"/>
      <c r="V164" s="2595"/>
      <c r="W164" s="102"/>
      <c r="Z164" s="58"/>
      <c r="AA164" s="58"/>
      <c r="AB164" s="58"/>
      <c r="AC164" s="58"/>
      <c r="AD164" s="58"/>
      <c r="AE164" s="58"/>
      <c r="AF164" s="58"/>
      <c r="AG164" s="58"/>
      <c r="AH164" s="58"/>
      <c r="AI164" s="58"/>
      <c r="AJ164" s="58"/>
      <c r="AK164" s="58"/>
      <c r="AL164" s="58"/>
      <c r="AM164" s="58"/>
      <c r="AN164" s="58"/>
      <c r="AO164" s="58"/>
      <c r="AP164" s="58"/>
      <c r="AQ164" s="58"/>
      <c r="AR164" s="58"/>
      <c r="AS164" s="58"/>
      <c r="AT164" s="58"/>
      <c r="AU164" s="58"/>
      <c r="AV164" s="58"/>
      <c r="AW164" s="58"/>
      <c r="AX164" s="58"/>
      <c r="AY164" s="58"/>
      <c r="AZ164" s="58"/>
      <c r="BA164" s="58"/>
      <c r="BB164" s="58"/>
      <c r="BC164" s="58"/>
      <c r="BD164" s="58"/>
      <c r="BE164" s="58"/>
      <c r="BF164" s="58"/>
      <c r="BG164" s="58"/>
      <c r="BH164" s="58"/>
      <c r="BI164" s="58"/>
      <c r="BJ164" s="58"/>
      <c r="BK164" s="58"/>
      <c r="BL164" s="58"/>
      <c r="BM164" s="58"/>
      <c r="BN164" s="58"/>
      <c r="BO164" s="58"/>
      <c r="BP164" s="58"/>
      <c r="BQ164" s="58"/>
      <c r="BR164" s="58"/>
      <c r="BS164" s="58"/>
      <c r="BT164" s="58"/>
      <c r="BU164" s="58"/>
      <c r="BV164" s="58"/>
      <c r="BW164" s="58"/>
      <c r="BX164" s="58"/>
      <c r="BY164" s="58"/>
      <c r="BZ164" s="58"/>
      <c r="CA164" s="58"/>
      <c r="CB164" s="58"/>
      <c r="CC164" s="58"/>
      <c r="CD164" s="58"/>
      <c r="CE164" s="58"/>
      <c r="CF164" s="58"/>
      <c r="CG164" s="58"/>
      <c r="CH164" s="58"/>
      <c r="CI164" s="58"/>
      <c r="CJ164" s="58"/>
      <c r="CK164" s="58"/>
      <c r="CL164" s="58"/>
      <c r="CM164" s="58"/>
      <c r="CN164" s="58"/>
      <c r="CO164" s="58"/>
      <c r="CP164" s="58"/>
      <c r="CQ164" s="58"/>
      <c r="CR164" s="58"/>
      <c r="CS164" s="58"/>
      <c r="CT164" s="58"/>
      <c r="CU164" s="58"/>
      <c r="CV164" s="58"/>
      <c r="CW164" s="58"/>
      <c r="CX164" s="58"/>
      <c r="CY164" s="58"/>
      <c r="CZ164" s="58"/>
      <c r="DA164" s="58"/>
      <c r="DB164" s="58"/>
      <c r="DC164" s="58"/>
      <c r="DD164" s="58"/>
      <c r="DE164" s="58"/>
      <c r="DF164" s="58"/>
      <c r="DG164" s="58"/>
      <c r="DH164" s="58"/>
      <c r="DI164" s="58"/>
      <c r="DJ164" s="58"/>
      <c r="DK164" s="58"/>
      <c r="DL164" s="58"/>
      <c r="DM164" s="58"/>
      <c r="DN164" s="58"/>
      <c r="DO164" s="58"/>
      <c r="DP164" s="58"/>
      <c r="DQ164" s="58"/>
      <c r="DR164" s="58"/>
      <c r="DS164" s="58"/>
      <c r="DT164" s="58"/>
      <c r="DU164" s="58"/>
      <c r="DV164" s="58"/>
      <c r="DW164" s="58"/>
      <c r="DX164" s="58"/>
      <c r="DY164" s="58"/>
      <c r="DZ164" s="58"/>
      <c r="EA164" s="58"/>
      <c r="EB164" s="58"/>
      <c r="EC164" s="58"/>
      <c r="ED164" s="58"/>
      <c r="EE164" s="58"/>
      <c r="EF164" s="58"/>
      <c r="EG164" s="58"/>
      <c r="EH164" s="58"/>
      <c r="EI164" s="58"/>
      <c r="EJ164" s="58"/>
      <c r="EK164" s="58"/>
      <c r="EL164" s="58"/>
      <c r="EM164" s="58"/>
      <c r="EN164" s="58"/>
      <c r="EO164" s="58"/>
      <c r="EP164" s="58"/>
      <c r="EQ164" s="58"/>
      <c r="ER164" s="58"/>
      <c r="ES164" s="58"/>
      <c r="ET164" s="58"/>
      <c r="EU164" s="58"/>
      <c r="EV164" s="58"/>
      <c r="EW164" s="58"/>
      <c r="EX164" s="346"/>
      <c r="EY164" s="346"/>
      <c r="EZ164" s="346"/>
      <c r="FA164" s="346"/>
      <c r="FB164" s="346"/>
      <c r="FC164" s="346"/>
      <c r="FD164" s="346"/>
      <c r="FE164" s="346"/>
      <c r="FF164" s="346"/>
      <c r="FG164" s="346"/>
      <c r="FH164" s="346"/>
      <c r="FI164" s="346"/>
      <c r="FJ164" s="346"/>
      <c r="FK164" s="346"/>
      <c r="FL164" s="346"/>
      <c r="FM164" s="346"/>
      <c r="FN164" s="346"/>
      <c r="FO164" s="346"/>
      <c r="FP164" s="346"/>
      <c r="FQ164" s="346"/>
      <c r="FR164" s="346"/>
      <c r="FS164" s="346"/>
      <c r="FT164" s="346"/>
      <c r="FU164" s="346"/>
      <c r="FV164" s="346"/>
      <c r="FW164" s="346"/>
      <c r="FX164" s="346"/>
      <c r="FY164" s="346"/>
      <c r="FZ164" s="346"/>
      <c r="GA164" s="346"/>
      <c r="GB164" s="346"/>
      <c r="GC164" s="346"/>
      <c r="GD164" s="346"/>
      <c r="GE164" s="346"/>
      <c r="GF164" s="346"/>
      <c r="GG164" s="346"/>
      <c r="GH164" s="346"/>
      <c r="GI164" s="346"/>
      <c r="GJ164" s="346"/>
      <c r="GK164" s="346"/>
      <c r="GL164" s="346"/>
      <c r="GM164" s="346"/>
      <c r="GN164" s="346"/>
      <c r="GO164" s="346"/>
      <c r="GP164" s="346"/>
      <c r="GQ164" s="346"/>
      <c r="GR164" s="346"/>
      <c r="GS164" s="346"/>
      <c r="GT164" s="347"/>
      <c r="GU164" s="346"/>
      <c r="GV164" s="346"/>
      <c r="GW164" s="346"/>
      <c r="GX164" s="346"/>
      <c r="GY164" s="347"/>
      <c r="GZ164" s="347"/>
      <c r="HA164" s="347"/>
      <c r="HB164" s="347"/>
      <c r="HC164" s="347"/>
      <c r="HD164" s="347"/>
      <c r="HE164" s="347"/>
      <c r="HF164" s="347"/>
      <c r="HG164" s="347"/>
      <c r="HH164" s="347"/>
      <c r="HI164" s="347"/>
      <c r="HJ164" s="347"/>
      <c r="HK164" s="347"/>
      <c r="HL164" s="347"/>
      <c r="HM164" s="347"/>
      <c r="HN164" s="347"/>
      <c r="HO164" s="347"/>
      <c r="HP164" s="347"/>
      <c r="HQ164" s="347"/>
      <c r="HR164" s="347"/>
      <c r="HS164" s="347"/>
      <c r="HT164" s="347"/>
      <c r="HU164" s="347"/>
      <c r="HV164" s="347"/>
      <c r="HW164" s="347"/>
      <c r="HX164" s="347"/>
      <c r="HY164" s="347"/>
      <c r="HZ164" s="347"/>
      <c r="IA164" s="347"/>
      <c r="IB164" s="347"/>
      <c r="IC164" s="347"/>
      <c r="ID164" s="347"/>
      <c r="IE164" s="346"/>
      <c r="IF164" s="346"/>
      <c r="IG164" s="346"/>
      <c r="IH164" s="346"/>
      <c r="II164" s="346"/>
      <c r="IJ164" s="346"/>
      <c r="IK164" s="348"/>
      <c r="IL164" s="346"/>
      <c r="IM164" s="346"/>
      <c r="IN164" s="346"/>
      <c r="IO164" s="346"/>
      <c r="IP164" s="346"/>
      <c r="IQ164" s="346"/>
      <c r="IR164" s="346"/>
      <c r="IS164" s="346"/>
      <c r="IT164" s="346"/>
      <c r="IU164" s="346"/>
      <c r="IV164" s="346"/>
      <c r="IW164" s="346"/>
      <c r="IX164" s="346"/>
      <c r="IY164" s="346"/>
      <c r="IZ164" s="346"/>
      <c r="JA164" s="348"/>
      <c r="JB164" s="348"/>
      <c r="JC164" s="346"/>
      <c r="JD164" s="346"/>
      <c r="JE164" s="346"/>
      <c r="JF164" s="346"/>
      <c r="JG164" s="346"/>
      <c r="JH164" s="346"/>
      <c r="JI164" s="346"/>
      <c r="JJ164" s="346"/>
      <c r="JK164" s="346"/>
      <c r="JL164" s="346"/>
      <c r="JM164" s="346"/>
      <c r="JN164" s="346"/>
      <c r="JO164" s="346"/>
      <c r="JP164" s="346"/>
      <c r="JQ164" s="346"/>
      <c r="JR164" s="58"/>
      <c r="JS164" s="58"/>
      <c r="JT164" s="346"/>
      <c r="JU164" s="346"/>
      <c r="JV164" s="346"/>
      <c r="JW164" s="346"/>
      <c r="JX164" s="346"/>
      <c r="JY164" s="346"/>
      <c r="JZ164" s="346"/>
      <c r="KA164" s="346"/>
      <c r="KB164" s="346"/>
      <c r="KC164" s="346"/>
      <c r="KD164" s="346"/>
      <c r="KE164" s="346"/>
      <c r="KF164" s="346"/>
      <c r="KG164" s="346"/>
      <c r="KH164" s="346"/>
      <c r="KI164" s="346"/>
      <c r="KJ164" s="346"/>
    </row>
    <row r="165" spans="1:296" s="55" customFormat="1" ht="15.6" customHeight="1" thickBot="1">
      <c r="A165" s="58"/>
      <c r="B165" s="58" t="s">
        <v>1153</v>
      </c>
      <c r="C165" s="58"/>
      <c r="D165" s="58"/>
      <c r="E165" s="58"/>
      <c r="F165" s="2668">
        <f>43500+3700-3700</f>
        <v>43500</v>
      </c>
      <c r="G165" s="2669"/>
      <c r="H165" s="58"/>
      <c r="I165" s="58" t="s">
        <v>1154</v>
      </c>
      <c r="J165" s="58"/>
      <c r="K165" s="2668">
        <f>2800+1000</f>
        <v>3800</v>
      </c>
      <c r="L165" s="2669"/>
      <c r="M165" s="58"/>
      <c r="N165" s="58" t="s">
        <v>1155</v>
      </c>
      <c r="O165" s="58"/>
      <c r="P165" s="2670">
        <v>18200</v>
      </c>
      <c r="Q165" s="1321"/>
      <c r="R165" s="2594"/>
      <c r="S165" s="2655"/>
      <c r="T165" s="2655"/>
      <c r="U165" s="2655"/>
      <c r="V165" s="2595"/>
      <c r="W165" s="102"/>
      <c r="Z165" s="58"/>
      <c r="AA165" s="58"/>
      <c r="AB165" s="58"/>
      <c r="AC165" s="58"/>
      <c r="AD165" s="58"/>
      <c r="AE165" s="58"/>
      <c r="AF165" s="58"/>
      <c r="AG165" s="58"/>
      <c r="AH165" s="58"/>
      <c r="AI165" s="58"/>
      <c r="AJ165" s="58"/>
      <c r="AK165" s="58"/>
      <c r="AL165" s="58"/>
      <c r="AM165" s="58"/>
      <c r="AN165" s="58"/>
      <c r="AO165" s="58"/>
      <c r="AP165" s="58"/>
      <c r="AQ165" s="58"/>
      <c r="AR165" s="58"/>
      <c r="AS165" s="58"/>
      <c r="AT165" s="58"/>
      <c r="AU165" s="58"/>
      <c r="AV165" s="58"/>
      <c r="AW165" s="58"/>
      <c r="AX165" s="58"/>
      <c r="AY165" s="58"/>
      <c r="AZ165" s="58"/>
      <c r="BA165" s="58"/>
      <c r="BB165" s="58"/>
      <c r="BC165" s="58"/>
      <c r="BD165" s="58"/>
      <c r="BE165" s="58"/>
      <c r="BF165" s="58"/>
      <c r="BG165" s="58"/>
      <c r="BH165" s="58"/>
      <c r="BI165" s="58"/>
      <c r="BJ165" s="58"/>
      <c r="BK165" s="58"/>
      <c r="BL165" s="58"/>
      <c r="BM165" s="58"/>
      <c r="BN165" s="58"/>
      <c r="BO165" s="58"/>
      <c r="BP165" s="58"/>
      <c r="BQ165" s="58"/>
      <c r="BR165" s="58"/>
      <c r="BS165" s="58"/>
      <c r="BT165" s="58"/>
      <c r="BU165" s="58"/>
      <c r="BV165" s="58"/>
      <c r="BW165" s="58"/>
      <c r="BX165" s="58"/>
      <c r="BY165" s="58"/>
      <c r="BZ165" s="58"/>
      <c r="CA165" s="58"/>
      <c r="CB165" s="58"/>
      <c r="CC165" s="58"/>
      <c r="CD165" s="58"/>
      <c r="CE165" s="58"/>
      <c r="CF165" s="58"/>
      <c r="CG165" s="58"/>
      <c r="CH165" s="58"/>
      <c r="CI165" s="58"/>
      <c r="CJ165" s="58"/>
      <c r="CK165" s="58"/>
      <c r="CL165" s="58"/>
      <c r="CM165" s="58"/>
      <c r="CN165" s="58"/>
      <c r="CO165" s="58"/>
      <c r="CP165" s="58"/>
      <c r="CQ165" s="58"/>
      <c r="CR165" s="58"/>
      <c r="CS165" s="58"/>
      <c r="CT165" s="58"/>
      <c r="CU165" s="58"/>
      <c r="CV165" s="58"/>
      <c r="CW165" s="58"/>
      <c r="CX165" s="58"/>
      <c r="CY165" s="58"/>
      <c r="CZ165" s="58"/>
      <c r="DA165" s="58"/>
      <c r="DB165" s="58"/>
      <c r="DC165" s="58"/>
      <c r="DD165" s="58"/>
      <c r="DE165" s="58"/>
      <c r="DF165" s="58"/>
      <c r="DG165" s="58"/>
      <c r="DH165" s="58"/>
      <c r="DI165" s="58"/>
      <c r="DJ165" s="58"/>
      <c r="DK165" s="58"/>
      <c r="DL165" s="58"/>
      <c r="DM165" s="58"/>
      <c r="DN165" s="58"/>
      <c r="DO165" s="58"/>
      <c r="DP165" s="58"/>
      <c r="DQ165" s="58"/>
      <c r="DR165" s="58"/>
      <c r="DS165" s="58"/>
      <c r="DT165" s="58"/>
      <c r="DU165" s="58"/>
      <c r="DV165" s="58"/>
      <c r="DW165" s="58"/>
      <c r="DX165" s="58"/>
      <c r="DY165" s="58"/>
      <c r="DZ165" s="58"/>
      <c r="EA165" s="58"/>
      <c r="EB165" s="58"/>
      <c r="EC165" s="58"/>
      <c r="ED165" s="58"/>
      <c r="EE165" s="58"/>
      <c r="EF165" s="58"/>
      <c r="EG165" s="58"/>
      <c r="EH165" s="58"/>
      <c r="EI165" s="58"/>
      <c r="EJ165" s="58"/>
      <c r="EK165" s="58"/>
      <c r="EL165" s="58"/>
      <c r="EM165" s="58"/>
      <c r="EN165" s="58"/>
      <c r="EO165" s="58"/>
      <c r="EP165" s="58"/>
      <c r="EQ165" s="58"/>
      <c r="ER165" s="58"/>
      <c r="ES165" s="58"/>
      <c r="ET165" s="58"/>
      <c r="EU165" s="58"/>
      <c r="EV165" s="58"/>
      <c r="EW165" s="58"/>
      <c r="EX165" s="346"/>
      <c r="EY165" s="346"/>
      <c r="EZ165" s="346"/>
      <c r="FA165" s="346"/>
      <c r="FB165" s="346"/>
      <c r="FC165" s="346"/>
      <c r="FD165" s="346"/>
      <c r="FE165" s="346"/>
      <c r="FF165" s="346"/>
      <c r="FG165" s="346"/>
      <c r="FH165" s="346"/>
      <c r="FI165" s="346"/>
      <c r="FJ165" s="346"/>
      <c r="FK165" s="346"/>
      <c r="FL165" s="346"/>
      <c r="FM165" s="346"/>
      <c r="FN165" s="346"/>
      <c r="FO165" s="346"/>
      <c r="FP165" s="346"/>
      <c r="FQ165" s="346"/>
      <c r="FR165" s="346"/>
      <c r="FS165" s="346"/>
      <c r="FT165" s="346"/>
      <c r="FU165" s="346"/>
      <c r="FV165" s="346"/>
      <c r="FW165" s="346"/>
      <c r="FX165" s="346"/>
      <c r="FY165" s="346"/>
      <c r="FZ165" s="346"/>
      <c r="GA165" s="346"/>
      <c r="GB165" s="346"/>
      <c r="GC165" s="346"/>
      <c r="GD165" s="346"/>
      <c r="GE165" s="346"/>
      <c r="GF165" s="346"/>
      <c r="GG165" s="346"/>
      <c r="GH165" s="346"/>
      <c r="GI165" s="346"/>
      <c r="GJ165" s="346"/>
      <c r="GK165" s="346"/>
      <c r="GL165" s="346"/>
      <c r="GM165" s="346"/>
      <c r="GN165" s="346"/>
      <c r="GO165" s="346"/>
      <c r="GP165" s="346"/>
      <c r="GQ165" s="346"/>
      <c r="GR165" s="346"/>
      <c r="GS165" s="346"/>
      <c r="GT165" s="347"/>
      <c r="GU165" s="346"/>
      <c r="GV165" s="346"/>
      <c r="GW165" s="346"/>
      <c r="GX165" s="346"/>
      <c r="GY165" s="347"/>
      <c r="GZ165" s="347"/>
      <c r="HA165" s="347"/>
      <c r="HB165" s="347"/>
      <c r="HC165" s="347"/>
      <c r="HD165" s="347"/>
      <c r="HE165" s="347"/>
      <c r="HF165" s="347"/>
      <c r="HG165" s="347"/>
      <c r="HH165" s="347"/>
      <c r="HI165" s="347"/>
      <c r="HJ165" s="347"/>
      <c r="HK165" s="347"/>
      <c r="HL165" s="347"/>
      <c r="HM165" s="347"/>
      <c r="HN165" s="347"/>
      <c r="HO165" s="347"/>
      <c r="HP165" s="347"/>
      <c r="HQ165" s="347"/>
      <c r="HR165" s="347"/>
      <c r="HS165" s="347"/>
      <c r="HT165" s="347"/>
      <c r="HU165" s="347"/>
      <c r="HV165" s="347"/>
      <c r="HW165" s="347"/>
      <c r="HX165" s="347"/>
      <c r="HY165" s="347"/>
      <c r="HZ165" s="347"/>
      <c r="IA165" s="347"/>
      <c r="IB165" s="347"/>
      <c r="IC165" s="347"/>
      <c r="ID165" s="347"/>
      <c r="IE165" s="346"/>
      <c r="IF165" s="346"/>
      <c r="IG165" s="346"/>
      <c r="IH165" s="346"/>
      <c r="II165" s="346"/>
      <c r="IJ165" s="346"/>
      <c r="IK165" s="348"/>
      <c r="IL165" s="346"/>
      <c r="IM165" s="346"/>
      <c r="IN165" s="346"/>
      <c r="IO165" s="346"/>
      <c r="IP165" s="346"/>
      <c r="IQ165" s="346"/>
      <c r="IR165" s="346"/>
      <c r="IS165" s="346"/>
      <c r="IT165" s="346"/>
      <c r="IU165" s="346"/>
      <c r="IV165" s="346"/>
      <c r="IW165" s="346"/>
      <c r="IX165" s="346"/>
      <c r="IY165" s="346"/>
      <c r="IZ165" s="346"/>
      <c r="JA165" s="348"/>
      <c r="JB165" s="348"/>
      <c r="JC165" s="346"/>
      <c r="JD165" s="346"/>
      <c r="JE165" s="346"/>
      <c r="JF165" s="346"/>
      <c r="JG165" s="346"/>
      <c r="JH165" s="346"/>
      <c r="JI165" s="346"/>
      <c r="JJ165" s="346"/>
      <c r="JK165" s="346"/>
      <c r="JL165" s="346"/>
      <c r="JM165" s="346"/>
      <c r="JN165" s="346"/>
      <c r="JO165" s="346"/>
      <c r="JP165" s="346"/>
      <c r="JQ165" s="346"/>
      <c r="JR165" s="58"/>
      <c r="JS165" s="58"/>
      <c r="JT165" s="346"/>
      <c r="JU165" s="346"/>
      <c r="JV165" s="346"/>
      <c r="JW165" s="346"/>
      <c r="JX165" s="346"/>
      <c r="JY165" s="346"/>
      <c r="JZ165" s="346"/>
      <c r="KA165" s="346"/>
      <c r="KB165" s="346"/>
      <c r="KC165" s="346"/>
      <c r="KD165" s="346"/>
      <c r="KE165" s="346"/>
      <c r="KF165" s="346"/>
      <c r="KG165" s="346"/>
      <c r="KH165" s="346"/>
      <c r="KI165" s="346"/>
      <c r="KJ165" s="346"/>
    </row>
    <row r="166" spans="1:296" s="55" customFormat="1" ht="15.6" customHeight="1" thickTop="1" thickBot="1">
      <c r="A166" s="58"/>
      <c r="B166" s="58" t="s">
        <v>1156</v>
      </c>
      <c r="C166" s="58"/>
      <c r="D166" s="58"/>
      <c r="E166" s="58"/>
      <c r="F166" s="2668"/>
      <c r="G166" s="2669"/>
      <c r="H166" s="58"/>
      <c r="I166" s="58"/>
      <c r="J166" s="81" t="s">
        <v>665</v>
      </c>
      <c r="K166" s="1796">
        <f>SUM(K164:L165)</f>
        <v>3800</v>
      </c>
      <c r="L166" s="1797"/>
      <c r="M166" s="58"/>
      <c r="N166" s="2671" t="s">
        <v>1157</v>
      </c>
      <c r="O166" s="2672"/>
      <c r="P166" s="2673"/>
      <c r="Q166" s="1321"/>
      <c r="R166" s="2594"/>
      <c r="S166" s="2655"/>
      <c r="T166" s="2655"/>
      <c r="U166" s="2655"/>
      <c r="V166" s="2595"/>
      <c r="W166" s="102"/>
      <c r="Z166" s="58"/>
      <c r="AA166" s="58"/>
      <c r="AB166" s="58"/>
      <c r="AC166" s="58"/>
      <c r="AD166" s="58"/>
      <c r="AE166" s="58"/>
      <c r="AF166" s="58"/>
      <c r="AG166" s="58"/>
      <c r="AH166" s="58"/>
      <c r="AI166" s="58"/>
      <c r="AJ166" s="58"/>
      <c r="AK166" s="58"/>
      <c r="AL166" s="58"/>
      <c r="AM166" s="58"/>
      <c r="AN166" s="58"/>
      <c r="AO166" s="58"/>
      <c r="AP166" s="58"/>
      <c r="AQ166" s="58"/>
      <c r="AR166" s="58"/>
      <c r="AS166" s="58"/>
      <c r="AT166" s="58"/>
      <c r="AU166" s="58"/>
      <c r="AV166" s="58"/>
      <c r="AW166" s="58"/>
      <c r="AX166" s="58"/>
      <c r="AY166" s="58"/>
      <c r="AZ166" s="58"/>
      <c r="BA166" s="58"/>
      <c r="BB166" s="58"/>
      <c r="BC166" s="58"/>
      <c r="BD166" s="58"/>
      <c r="BE166" s="58"/>
      <c r="BF166" s="58"/>
      <c r="BG166" s="58"/>
      <c r="BH166" s="58"/>
      <c r="BI166" s="58"/>
      <c r="BJ166" s="58"/>
      <c r="BK166" s="58"/>
      <c r="BL166" s="58"/>
      <c r="BM166" s="58"/>
      <c r="BN166" s="58"/>
      <c r="BO166" s="58"/>
      <c r="BP166" s="58"/>
      <c r="BQ166" s="58"/>
      <c r="BR166" s="58"/>
      <c r="BS166" s="58"/>
      <c r="BT166" s="58"/>
      <c r="BU166" s="58"/>
      <c r="BV166" s="58"/>
      <c r="BW166" s="58"/>
      <c r="BX166" s="58"/>
      <c r="BY166" s="58"/>
      <c r="BZ166" s="58"/>
      <c r="CA166" s="58"/>
      <c r="CB166" s="58"/>
      <c r="CC166" s="58"/>
      <c r="CD166" s="58"/>
      <c r="CE166" s="58"/>
      <c r="CF166" s="58"/>
      <c r="CG166" s="58"/>
      <c r="CH166" s="58"/>
      <c r="CI166" s="58"/>
      <c r="CJ166" s="58"/>
      <c r="CK166" s="58"/>
      <c r="CL166" s="58"/>
      <c r="CM166" s="58"/>
      <c r="CN166" s="58"/>
      <c r="CO166" s="58"/>
      <c r="CP166" s="58"/>
      <c r="CQ166" s="58"/>
      <c r="CR166" s="58"/>
      <c r="CS166" s="58"/>
      <c r="CT166" s="58"/>
      <c r="CU166" s="58"/>
      <c r="CV166" s="58"/>
      <c r="CW166" s="58"/>
      <c r="CX166" s="58"/>
      <c r="CY166" s="58"/>
      <c r="CZ166" s="58"/>
      <c r="DA166" s="58"/>
      <c r="DB166" s="58"/>
      <c r="DC166" s="58"/>
      <c r="DD166" s="58"/>
      <c r="DE166" s="58"/>
      <c r="DF166" s="58"/>
      <c r="DG166" s="58"/>
      <c r="DH166" s="58"/>
      <c r="DI166" s="58"/>
      <c r="DJ166" s="58"/>
      <c r="DK166" s="58"/>
      <c r="DL166" s="58"/>
      <c r="DM166" s="58"/>
      <c r="DN166" s="58"/>
      <c r="DO166" s="58"/>
      <c r="DP166" s="58"/>
      <c r="DQ166" s="58"/>
      <c r="DR166" s="58"/>
      <c r="DS166" s="58"/>
      <c r="DT166" s="58"/>
      <c r="DU166" s="58"/>
      <c r="DV166" s="58"/>
      <c r="DW166" s="58"/>
      <c r="DX166" s="58"/>
      <c r="DY166" s="58"/>
      <c r="DZ166" s="58"/>
      <c r="EA166" s="58"/>
      <c r="EB166" s="58"/>
      <c r="EC166" s="58"/>
      <c r="ED166" s="58"/>
      <c r="EE166" s="58"/>
      <c r="EF166" s="58"/>
      <c r="EG166" s="58"/>
      <c r="EH166" s="58"/>
      <c r="EI166" s="58"/>
      <c r="EJ166" s="58"/>
      <c r="EK166" s="58"/>
      <c r="EL166" s="58"/>
      <c r="EM166" s="58"/>
      <c r="EN166" s="58"/>
      <c r="EO166" s="58"/>
      <c r="EP166" s="58"/>
      <c r="EQ166" s="58"/>
      <c r="ER166" s="58"/>
      <c r="ES166" s="58"/>
      <c r="ET166" s="58"/>
      <c r="EU166" s="58"/>
      <c r="EV166" s="58"/>
      <c r="EW166" s="58"/>
      <c r="EX166" s="346"/>
      <c r="EY166" s="346"/>
      <c r="EZ166" s="346"/>
      <c r="FA166" s="346"/>
      <c r="FB166" s="346"/>
      <c r="FC166" s="346"/>
      <c r="FD166" s="346"/>
      <c r="FE166" s="346"/>
      <c r="FF166" s="346"/>
      <c r="FG166" s="346"/>
      <c r="FH166" s="346"/>
      <c r="FI166" s="346"/>
      <c r="FJ166" s="346"/>
      <c r="FK166" s="346"/>
      <c r="FL166" s="346"/>
      <c r="FM166" s="346"/>
      <c r="FN166" s="346"/>
      <c r="FO166" s="346"/>
      <c r="FP166" s="346"/>
      <c r="FQ166" s="346"/>
      <c r="FR166" s="346"/>
      <c r="FS166" s="346"/>
      <c r="FT166" s="346"/>
      <c r="FU166" s="346"/>
      <c r="FV166" s="346"/>
      <c r="FW166" s="346"/>
      <c r="FX166" s="346"/>
      <c r="FY166" s="346"/>
      <c r="FZ166" s="346"/>
      <c r="GA166" s="346"/>
      <c r="GB166" s="346"/>
      <c r="GC166" s="346"/>
      <c r="GD166" s="346"/>
      <c r="GE166" s="346"/>
      <c r="GF166" s="346"/>
      <c r="GG166" s="346"/>
      <c r="GH166" s="346"/>
      <c r="GI166" s="346"/>
      <c r="GJ166" s="346"/>
      <c r="GK166" s="346"/>
      <c r="GL166" s="346"/>
      <c r="GM166" s="346"/>
      <c r="GN166" s="346"/>
      <c r="GO166" s="346"/>
      <c r="GP166" s="346"/>
      <c r="GQ166" s="346"/>
      <c r="GR166" s="346"/>
      <c r="GS166" s="346"/>
      <c r="GT166" s="347"/>
      <c r="GU166" s="346"/>
      <c r="GV166" s="346"/>
      <c r="GW166" s="346"/>
      <c r="GX166" s="346"/>
      <c r="GY166" s="347"/>
      <c r="GZ166" s="347"/>
      <c r="HA166" s="347"/>
      <c r="HB166" s="347"/>
      <c r="HC166" s="347"/>
      <c r="HD166" s="347"/>
      <c r="HE166" s="347"/>
      <c r="HF166" s="347"/>
      <c r="HG166" s="347"/>
      <c r="HH166" s="347"/>
      <c r="HI166" s="347"/>
      <c r="HJ166" s="347"/>
      <c r="HK166" s="347"/>
      <c r="HL166" s="347"/>
      <c r="HM166" s="347"/>
      <c r="HN166" s="347"/>
      <c r="HO166" s="347"/>
      <c r="HP166" s="347"/>
      <c r="HQ166" s="347"/>
      <c r="HR166" s="347"/>
      <c r="HS166" s="347"/>
      <c r="HT166" s="347"/>
      <c r="HU166" s="347"/>
      <c r="HV166" s="347"/>
      <c r="HW166" s="347"/>
      <c r="HX166" s="347"/>
      <c r="HY166" s="347"/>
      <c r="HZ166" s="347"/>
      <c r="IA166" s="347"/>
      <c r="IB166" s="347"/>
      <c r="IC166" s="347"/>
      <c r="ID166" s="347"/>
      <c r="IE166" s="346"/>
      <c r="IF166" s="346"/>
      <c r="IG166" s="346"/>
      <c r="IH166" s="346"/>
      <c r="II166" s="346"/>
      <c r="IJ166" s="346"/>
      <c r="IK166" s="348"/>
      <c r="IL166" s="346"/>
      <c r="IM166" s="346"/>
      <c r="IN166" s="346"/>
      <c r="IO166" s="346"/>
      <c r="IP166" s="346"/>
      <c r="IQ166" s="346"/>
      <c r="IR166" s="346"/>
      <c r="IS166" s="346"/>
      <c r="IT166" s="346"/>
      <c r="IU166" s="346"/>
      <c r="IV166" s="346"/>
      <c r="IW166" s="346"/>
      <c r="IX166" s="346"/>
      <c r="IY166" s="346"/>
      <c r="IZ166" s="346"/>
      <c r="JA166" s="348"/>
      <c r="JB166" s="348"/>
      <c r="JC166" s="346"/>
      <c r="JD166" s="346"/>
      <c r="JE166" s="346"/>
      <c r="JF166" s="346"/>
      <c r="JG166" s="346"/>
      <c r="JH166" s="346"/>
      <c r="JI166" s="346"/>
      <c r="JJ166" s="346"/>
      <c r="JK166" s="346"/>
      <c r="JL166" s="346"/>
      <c r="JM166" s="346"/>
      <c r="JN166" s="346"/>
      <c r="JO166" s="346"/>
      <c r="JP166" s="346"/>
      <c r="JQ166" s="346"/>
      <c r="JR166" s="58"/>
      <c r="JS166" s="58"/>
      <c r="JT166" s="346"/>
      <c r="JU166" s="346"/>
      <c r="JV166" s="346"/>
      <c r="JW166" s="346"/>
      <c r="JX166" s="346"/>
      <c r="JY166" s="346"/>
      <c r="JZ166" s="346"/>
      <c r="KA166" s="346"/>
      <c r="KB166" s="346"/>
      <c r="KC166" s="346"/>
      <c r="KD166" s="346"/>
      <c r="KE166" s="346"/>
      <c r="KF166" s="346"/>
      <c r="KG166" s="346"/>
      <c r="KH166" s="346"/>
      <c r="KI166" s="346"/>
      <c r="KJ166" s="346"/>
    </row>
    <row r="167" spans="1:296" s="55" customFormat="1" ht="15.6" customHeight="1" thickTop="1" thickBot="1">
      <c r="A167" s="58"/>
      <c r="B167" s="2674" t="s">
        <v>1158</v>
      </c>
      <c r="C167" s="2675"/>
      <c r="D167" s="2675"/>
      <c r="E167" s="2676"/>
      <c r="F167" s="2677">
        <f>23088</f>
        <v>23088</v>
      </c>
      <c r="G167" s="2678"/>
      <c r="H167" s="58"/>
      <c r="I167" s="58"/>
      <c r="J167" s="58"/>
      <c r="K167" s="58"/>
      <c r="L167" s="58"/>
      <c r="M167" s="58"/>
      <c r="N167" s="7" t="s">
        <v>665</v>
      </c>
      <c r="O167" s="58"/>
      <c r="P167" s="1320">
        <f>SUM(P164:P166)</f>
        <v>133200</v>
      </c>
      <c r="Q167" s="1321"/>
      <c r="R167" s="2594"/>
      <c r="S167" s="2655"/>
      <c r="T167" s="2655"/>
      <c r="U167" s="2655"/>
      <c r="V167" s="2595"/>
      <c r="W167" s="102"/>
      <c r="Z167" s="58"/>
      <c r="AA167" s="58"/>
      <c r="AB167" s="58"/>
      <c r="AC167" s="58"/>
      <c r="AD167" s="58"/>
      <c r="AE167" s="58"/>
      <c r="AF167" s="58"/>
      <c r="AG167" s="58"/>
      <c r="AH167" s="58"/>
      <c r="AI167" s="58"/>
      <c r="AJ167" s="58"/>
      <c r="AK167" s="58"/>
      <c r="AL167" s="58"/>
      <c r="AM167" s="58"/>
      <c r="AN167" s="58"/>
      <c r="AO167" s="58"/>
      <c r="AP167" s="58"/>
      <c r="AQ167" s="58"/>
      <c r="AR167" s="58"/>
      <c r="AS167" s="58"/>
      <c r="AT167" s="58"/>
      <c r="AU167" s="58"/>
      <c r="AV167" s="58"/>
      <c r="AW167" s="58"/>
      <c r="AX167" s="58"/>
      <c r="AY167" s="58"/>
      <c r="AZ167" s="58"/>
      <c r="BA167" s="58"/>
      <c r="BB167" s="58"/>
      <c r="BC167" s="58"/>
      <c r="BD167" s="58"/>
      <c r="BE167" s="58"/>
      <c r="BF167" s="58"/>
      <c r="BG167" s="58"/>
      <c r="BH167" s="58"/>
      <c r="BI167" s="58"/>
      <c r="BJ167" s="58"/>
      <c r="BK167" s="58"/>
      <c r="BL167" s="58"/>
      <c r="BM167" s="58"/>
      <c r="BN167" s="58"/>
      <c r="BO167" s="58"/>
      <c r="BP167" s="58"/>
      <c r="BQ167" s="58"/>
      <c r="BR167" s="58"/>
      <c r="BS167" s="58"/>
      <c r="BT167" s="58"/>
      <c r="BU167" s="58"/>
      <c r="BV167" s="58"/>
      <c r="BW167" s="58"/>
      <c r="BX167" s="58"/>
      <c r="BY167" s="58"/>
      <c r="BZ167" s="58"/>
      <c r="CA167" s="58"/>
      <c r="CB167" s="58"/>
      <c r="CC167" s="58"/>
      <c r="CD167" s="58"/>
      <c r="CE167" s="58"/>
      <c r="CF167" s="58"/>
      <c r="CG167" s="58"/>
      <c r="CH167" s="58"/>
      <c r="CI167" s="58"/>
      <c r="CJ167" s="58"/>
      <c r="CK167" s="58"/>
      <c r="CL167" s="58"/>
      <c r="CM167" s="58"/>
      <c r="CN167" s="58"/>
      <c r="CO167" s="58"/>
      <c r="CP167" s="58"/>
      <c r="CQ167" s="58"/>
      <c r="CR167" s="58"/>
      <c r="CS167" s="58"/>
      <c r="CT167" s="58"/>
      <c r="CU167" s="58"/>
      <c r="CV167" s="58"/>
      <c r="CW167" s="58"/>
      <c r="CX167" s="58"/>
      <c r="CY167" s="58"/>
      <c r="CZ167" s="58"/>
      <c r="DA167" s="58"/>
      <c r="DB167" s="58"/>
      <c r="DC167" s="58"/>
      <c r="DD167" s="58"/>
      <c r="DE167" s="58"/>
      <c r="DF167" s="58"/>
      <c r="DG167" s="58"/>
      <c r="DH167" s="58"/>
      <c r="DI167" s="58"/>
      <c r="DJ167" s="58"/>
      <c r="DK167" s="58"/>
      <c r="DL167" s="58"/>
      <c r="DM167" s="58"/>
      <c r="DN167" s="58"/>
      <c r="DO167" s="58"/>
      <c r="DP167" s="58"/>
      <c r="DQ167" s="58"/>
      <c r="DR167" s="58"/>
      <c r="DS167" s="58"/>
      <c r="DT167" s="58"/>
      <c r="DU167" s="58"/>
      <c r="DV167" s="58"/>
      <c r="DW167" s="58"/>
      <c r="DX167" s="58"/>
      <c r="DY167" s="58"/>
      <c r="DZ167" s="58"/>
      <c r="EA167" s="58"/>
      <c r="EB167" s="58"/>
      <c r="EC167" s="58"/>
      <c r="ED167" s="58"/>
      <c r="EE167" s="58"/>
      <c r="EF167" s="58"/>
      <c r="EG167" s="58"/>
      <c r="EH167" s="58"/>
      <c r="EI167" s="58"/>
      <c r="EJ167" s="58"/>
      <c r="EK167" s="58"/>
      <c r="EL167" s="58"/>
      <c r="EM167" s="58"/>
      <c r="EN167" s="58"/>
      <c r="EO167" s="58"/>
      <c r="EP167" s="58"/>
      <c r="EQ167" s="58"/>
      <c r="ER167" s="58"/>
      <c r="ES167" s="58"/>
      <c r="ET167" s="58"/>
      <c r="EU167" s="58"/>
      <c r="EV167" s="58"/>
      <c r="EW167" s="58"/>
      <c r="EX167" s="346"/>
      <c r="EY167" s="346"/>
      <c r="EZ167" s="346"/>
      <c r="FA167" s="346"/>
      <c r="FB167" s="346"/>
      <c r="FC167" s="346"/>
      <c r="FD167" s="346"/>
      <c r="FE167" s="346"/>
      <c r="FF167" s="346"/>
      <c r="FG167" s="346"/>
      <c r="FH167" s="346"/>
      <c r="FI167" s="346"/>
      <c r="FJ167" s="346"/>
      <c r="FK167" s="346"/>
      <c r="FL167" s="346"/>
      <c r="FM167" s="346"/>
      <c r="FN167" s="346"/>
      <c r="FO167" s="346"/>
      <c r="FP167" s="346"/>
      <c r="FQ167" s="346"/>
      <c r="FR167" s="346"/>
      <c r="FS167" s="346"/>
      <c r="FT167" s="346"/>
      <c r="FU167" s="346"/>
      <c r="FV167" s="346"/>
      <c r="FW167" s="346"/>
      <c r="FX167" s="346"/>
      <c r="FY167" s="346"/>
      <c r="FZ167" s="346"/>
      <c r="GA167" s="346"/>
      <c r="GB167" s="346"/>
      <c r="GC167" s="346"/>
      <c r="GD167" s="346"/>
      <c r="GE167" s="346"/>
      <c r="GF167" s="346"/>
      <c r="GG167" s="346"/>
      <c r="GH167" s="346"/>
      <c r="GI167" s="346"/>
      <c r="GJ167" s="346"/>
      <c r="GK167" s="346"/>
      <c r="GL167" s="346"/>
      <c r="GM167" s="346"/>
      <c r="GN167" s="346"/>
      <c r="GO167" s="346"/>
      <c r="GP167" s="346"/>
      <c r="GQ167" s="346"/>
      <c r="GR167" s="346"/>
      <c r="GS167" s="346"/>
      <c r="GT167" s="347"/>
      <c r="GU167" s="346"/>
      <c r="GV167" s="346"/>
      <c r="GW167" s="346"/>
      <c r="GX167" s="346"/>
      <c r="GY167" s="347"/>
      <c r="GZ167" s="347"/>
      <c r="HA167" s="347"/>
      <c r="HB167" s="347"/>
      <c r="HC167" s="347"/>
      <c r="HD167" s="347"/>
      <c r="HE167" s="347"/>
      <c r="HF167" s="347"/>
      <c r="HG167" s="347"/>
      <c r="HH167" s="347"/>
      <c r="HI167" s="347"/>
      <c r="HJ167" s="347"/>
      <c r="HK167" s="347"/>
      <c r="HL167" s="347"/>
      <c r="HM167" s="347"/>
      <c r="HN167" s="347"/>
      <c r="HO167" s="347"/>
      <c r="HP167" s="347"/>
      <c r="HQ167" s="347"/>
      <c r="HR167" s="347"/>
      <c r="HS167" s="347"/>
      <c r="HT167" s="347"/>
      <c r="HU167" s="347"/>
      <c r="HV167" s="347"/>
      <c r="HW167" s="347"/>
      <c r="HX167" s="347"/>
      <c r="HY167" s="347"/>
      <c r="HZ167" s="347"/>
      <c r="IA167" s="347"/>
      <c r="IB167" s="347"/>
      <c r="IC167" s="347"/>
      <c r="ID167" s="347"/>
      <c r="IE167" s="346"/>
      <c r="IF167" s="346"/>
      <c r="IG167" s="346"/>
      <c r="IH167" s="346"/>
      <c r="II167" s="346"/>
      <c r="IJ167" s="346"/>
      <c r="IK167" s="348"/>
      <c r="IL167" s="346"/>
      <c r="IM167" s="346"/>
      <c r="IN167" s="346"/>
      <c r="IO167" s="346"/>
      <c r="IP167" s="346"/>
      <c r="IQ167" s="346"/>
      <c r="IR167" s="346"/>
      <c r="IS167" s="346"/>
      <c r="IT167" s="346"/>
      <c r="IU167" s="346"/>
      <c r="IV167" s="346"/>
      <c r="IW167" s="346"/>
      <c r="IX167" s="346"/>
      <c r="IY167" s="346"/>
      <c r="IZ167" s="346"/>
      <c r="JA167" s="348"/>
      <c r="JB167" s="348"/>
      <c r="JC167" s="346"/>
      <c r="JD167" s="346"/>
      <c r="JE167" s="346"/>
      <c r="JF167" s="346"/>
      <c r="JG167" s="346"/>
      <c r="JH167" s="346"/>
      <c r="JI167" s="346"/>
      <c r="JJ167" s="346"/>
      <c r="JK167" s="346"/>
      <c r="JL167" s="346"/>
      <c r="JM167" s="346"/>
      <c r="JN167" s="346"/>
      <c r="JO167" s="346"/>
      <c r="JP167" s="346"/>
      <c r="JQ167" s="346"/>
      <c r="JR167" s="58"/>
      <c r="JS167" s="58"/>
      <c r="JT167" s="346"/>
      <c r="JU167" s="346"/>
      <c r="JV167" s="346"/>
      <c r="JW167" s="346"/>
      <c r="JX167" s="346"/>
      <c r="JY167" s="346"/>
      <c r="JZ167" s="346"/>
      <c r="KA167" s="346"/>
      <c r="KB167" s="346"/>
      <c r="KC167" s="346"/>
      <c r="KD167" s="346"/>
      <c r="KE167" s="346"/>
      <c r="KF167" s="346"/>
      <c r="KG167" s="346"/>
      <c r="KH167" s="346"/>
      <c r="KI167" s="346"/>
      <c r="KJ167" s="346"/>
    </row>
    <row r="168" spans="1:296" s="55" customFormat="1" ht="15.6" customHeight="1" thickTop="1">
      <c r="A168" s="58"/>
      <c r="B168" s="58"/>
      <c r="C168" s="7" t="s">
        <v>665</v>
      </c>
      <c r="D168" s="58"/>
      <c r="E168" s="58"/>
      <c r="F168" s="1796">
        <f>SUM(F164:G167)</f>
        <v>110088</v>
      </c>
      <c r="G168" s="1797"/>
      <c r="H168" s="58"/>
      <c r="I168" s="58"/>
      <c r="J168" s="1322"/>
      <c r="K168" s="58"/>
      <c r="L168" s="58"/>
      <c r="M168" s="58"/>
      <c r="N168" s="58"/>
      <c r="O168" s="58"/>
      <c r="P168" s="58"/>
      <c r="Q168" s="58"/>
      <c r="R168" s="2594"/>
      <c r="S168" s="2655"/>
      <c r="T168" s="2655"/>
      <c r="U168" s="2655"/>
      <c r="V168" s="2595"/>
      <c r="W168" s="102"/>
      <c r="Z168" s="58"/>
      <c r="AA168" s="58"/>
      <c r="AB168" s="58"/>
      <c r="AC168" s="58"/>
      <c r="AD168" s="58"/>
      <c r="AE168" s="58"/>
      <c r="AF168" s="58"/>
      <c r="AG168" s="58"/>
      <c r="AH168" s="58"/>
      <c r="AI168" s="58"/>
      <c r="AJ168" s="58"/>
      <c r="AK168" s="58"/>
      <c r="AL168" s="58"/>
      <c r="AM168" s="58"/>
      <c r="AN168" s="58"/>
      <c r="AO168" s="58"/>
      <c r="AP168" s="58"/>
      <c r="AQ168" s="58"/>
      <c r="AR168" s="58"/>
      <c r="AS168" s="58"/>
      <c r="AT168" s="58"/>
      <c r="AU168" s="58"/>
      <c r="AV168" s="58"/>
      <c r="AW168" s="58"/>
      <c r="AX168" s="58"/>
      <c r="AY168" s="58"/>
      <c r="AZ168" s="58"/>
      <c r="BA168" s="58"/>
      <c r="BB168" s="58"/>
      <c r="BC168" s="58"/>
      <c r="BD168" s="58"/>
      <c r="BE168" s="58"/>
      <c r="BF168" s="58"/>
      <c r="BG168" s="58"/>
      <c r="BH168" s="58"/>
      <c r="BI168" s="58"/>
      <c r="BJ168" s="58"/>
      <c r="BK168" s="58"/>
      <c r="BL168" s="58"/>
      <c r="BM168" s="58"/>
      <c r="BN168" s="58"/>
      <c r="BO168" s="58"/>
      <c r="BP168" s="58"/>
      <c r="BQ168" s="58"/>
      <c r="BR168" s="58"/>
      <c r="BS168" s="58"/>
      <c r="BT168" s="58"/>
      <c r="BU168" s="58"/>
      <c r="BV168" s="58"/>
      <c r="BW168" s="58"/>
      <c r="BX168" s="58"/>
      <c r="BY168" s="58"/>
      <c r="BZ168" s="58"/>
      <c r="CA168" s="58"/>
      <c r="CB168" s="58"/>
      <c r="CC168" s="58"/>
      <c r="CD168" s="58"/>
      <c r="CE168" s="58"/>
      <c r="CF168" s="58"/>
      <c r="CG168" s="58"/>
      <c r="CH168" s="58"/>
      <c r="CI168" s="58"/>
      <c r="CJ168" s="58"/>
      <c r="CK168" s="58"/>
      <c r="CL168" s="58"/>
      <c r="CM168" s="58"/>
      <c r="CN168" s="58"/>
      <c r="CO168" s="58"/>
      <c r="CP168" s="58"/>
      <c r="CQ168" s="58"/>
      <c r="CR168" s="58"/>
      <c r="CS168" s="58"/>
      <c r="CT168" s="58"/>
      <c r="CU168" s="58"/>
      <c r="CV168" s="58"/>
      <c r="CW168" s="58"/>
      <c r="CX168" s="58"/>
      <c r="CY168" s="58"/>
      <c r="CZ168" s="58"/>
      <c r="DA168" s="58"/>
      <c r="DB168" s="58"/>
      <c r="DC168" s="58"/>
      <c r="DD168" s="58"/>
      <c r="DE168" s="58"/>
      <c r="DF168" s="58"/>
      <c r="DG168" s="58"/>
      <c r="DH168" s="58"/>
      <c r="DI168" s="58"/>
      <c r="DJ168" s="58"/>
      <c r="DK168" s="58"/>
      <c r="DL168" s="58"/>
      <c r="DM168" s="58"/>
      <c r="DN168" s="58"/>
      <c r="DO168" s="58"/>
      <c r="DP168" s="58"/>
      <c r="DQ168" s="58"/>
      <c r="DR168" s="58"/>
      <c r="DS168" s="58"/>
      <c r="DT168" s="58"/>
      <c r="DU168" s="58"/>
      <c r="DV168" s="58"/>
      <c r="DW168" s="58"/>
      <c r="DX168" s="58"/>
      <c r="DY168" s="58"/>
      <c r="DZ168" s="58"/>
      <c r="EA168" s="58"/>
      <c r="EB168" s="58"/>
      <c r="EC168" s="58"/>
      <c r="ED168" s="58"/>
      <c r="EE168" s="58"/>
      <c r="EF168" s="58"/>
      <c r="EG168" s="58"/>
      <c r="EH168" s="58"/>
      <c r="EI168" s="58"/>
      <c r="EJ168" s="58"/>
      <c r="EK168" s="58"/>
      <c r="EL168" s="58"/>
      <c r="EM168" s="58"/>
      <c r="EN168" s="58"/>
      <c r="EO168" s="58"/>
      <c r="EP168" s="58"/>
      <c r="EQ168" s="58"/>
      <c r="ER168" s="58"/>
      <c r="ES168" s="58"/>
      <c r="ET168" s="58"/>
      <c r="EU168" s="58"/>
      <c r="EV168" s="58"/>
      <c r="EW168" s="58"/>
      <c r="EX168" s="346"/>
      <c r="EY168" s="346"/>
      <c r="EZ168" s="346"/>
      <c r="FA168" s="346"/>
      <c r="FB168" s="346"/>
      <c r="FC168" s="346"/>
      <c r="FD168" s="346"/>
      <c r="FE168" s="346"/>
      <c r="FF168" s="346"/>
      <c r="FG168" s="346"/>
      <c r="FH168" s="346"/>
      <c r="FI168" s="346"/>
      <c r="FJ168" s="346"/>
      <c r="FK168" s="346"/>
      <c r="FL168" s="346"/>
      <c r="FM168" s="346"/>
      <c r="FN168" s="346"/>
      <c r="FO168" s="346"/>
      <c r="FP168" s="346"/>
      <c r="FQ168" s="346"/>
      <c r="FR168" s="346"/>
      <c r="FS168" s="346"/>
      <c r="FT168" s="346"/>
      <c r="FU168" s="346"/>
      <c r="FV168" s="346"/>
      <c r="FW168" s="346"/>
      <c r="FX168" s="346"/>
      <c r="FY168" s="346"/>
      <c r="FZ168" s="346"/>
      <c r="GA168" s="346"/>
      <c r="GB168" s="346"/>
      <c r="GC168" s="346"/>
      <c r="GD168" s="346"/>
      <c r="GE168" s="346"/>
      <c r="GF168" s="346"/>
      <c r="GG168" s="346"/>
      <c r="GH168" s="346"/>
      <c r="GI168" s="346"/>
      <c r="GJ168" s="346"/>
      <c r="GK168" s="346"/>
      <c r="GL168" s="346"/>
      <c r="GM168" s="346"/>
      <c r="GN168" s="346"/>
      <c r="GO168" s="346"/>
      <c r="GP168" s="346"/>
      <c r="GQ168" s="346"/>
      <c r="GR168" s="346"/>
      <c r="GS168" s="346"/>
      <c r="GT168" s="347"/>
      <c r="GU168" s="346"/>
      <c r="GV168" s="346"/>
      <c r="GW168" s="346"/>
      <c r="GX168" s="346"/>
      <c r="GY168" s="347"/>
      <c r="GZ168" s="347"/>
      <c r="HA168" s="347"/>
      <c r="HB168" s="347"/>
      <c r="HC168" s="347"/>
      <c r="HD168" s="347"/>
      <c r="HE168" s="347"/>
      <c r="HF168" s="347"/>
      <c r="HG168" s="347"/>
      <c r="HH168" s="347"/>
      <c r="HI168" s="347"/>
      <c r="HJ168" s="347"/>
      <c r="HK168" s="347"/>
      <c r="HL168" s="347"/>
      <c r="HM168" s="347"/>
      <c r="HN168" s="347"/>
      <c r="HO168" s="347"/>
      <c r="HP168" s="347"/>
      <c r="HQ168" s="347"/>
      <c r="HR168" s="347"/>
      <c r="HS168" s="347"/>
      <c r="HT168" s="347"/>
      <c r="HU168" s="347"/>
      <c r="HV168" s="347"/>
      <c r="HW168" s="347"/>
      <c r="HX168" s="347"/>
      <c r="HY168" s="347"/>
      <c r="HZ168" s="347"/>
      <c r="IA168" s="347"/>
      <c r="IB168" s="347"/>
      <c r="IC168" s="347"/>
      <c r="ID168" s="347"/>
      <c r="IE168" s="346"/>
      <c r="IF168" s="346"/>
      <c r="IG168" s="346"/>
      <c r="IH168" s="346"/>
      <c r="II168" s="346"/>
      <c r="IJ168" s="346"/>
      <c r="IK168" s="348"/>
      <c r="IL168" s="346"/>
      <c r="IM168" s="346"/>
      <c r="IN168" s="346"/>
      <c r="IO168" s="346"/>
      <c r="IP168" s="346"/>
      <c r="IQ168" s="346"/>
      <c r="IR168" s="346"/>
      <c r="IS168" s="346"/>
      <c r="IT168" s="346"/>
      <c r="IU168" s="346"/>
      <c r="IV168" s="346"/>
      <c r="IW168" s="346"/>
      <c r="IX168" s="346"/>
      <c r="IY168" s="346"/>
      <c r="IZ168" s="346"/>
      <c r="JA168" s="348"/>
      <c r="JB168" s="348"/>
      <c r="JC168" s="346"/>
      <c r="JD168" s="346"/>
      <c r="JE168" s="346"/>
      <c r="JF168" s="346"/>
      <c r="JG168" s="346"/>
      <c r="JH168" s="346"/>
      <c r="JI168" s="346"/>
      <c r="JJ168" s="346"/>
      <c r="JK168" s="346"/>
      <c r="JL168" s="346"/>
      <c r="JM168" s="346"/>
      <c r="JN168" s="346"/>
      <c r="JO168" s="346"/>
      <c r="JP168" s="346"/>
      <c r="JQ168" s="346"/>
      <c r="JR168" s="58"/>
      <c r="JS168" s="58"/>
      <c r="JT168" s="346"/>
      <c r="JU168" s="346"/>
      <c r="JV168" s="346"/>
      <c r="JW168" s="346"/>
      <c r="JX168" s="346"/>
      <c r="JY168" s="346"/>
      <c r="JZ168" s="346"/>
      <c r="KA168" s="346"/>
      <c r="KB168" s="346"/>
      <c r="KC168" s="346"/>
      <c r="KD168" s="346"/>
      <c r="KE168" s="346"/>
      <c r="KF168" s="346"/>
      <c r="KG168" s="346"/>
      <c r="KH168" s="346"/>
      <c r="KI168" s="346"/>
      <c r="KJ168" s="346"/>
    </row>
    <row r="169" spans="1:296" s="55" customFormat="1" ht="6" customHeight="1" thickBot="1">
      <c r="A169" s="58"/>
      <c r="B169" s="58"/>
      <c r="C169" s="6"/>
      <c r="D169" s="7"/>
      <c r="E169" s="58"/>
      <c r="F169" s="1322"/>
      <c r="G169" s="1322"/>
      <c r="H169" s="58"/>
      <c r="I169" s="58"/>
      <c r="J169" s="1322"/>
      <c r="K169" s="58"/>
      <c r="L169" s="58"/>
      <c r="M169" s="6"/>
      <c r="N169" s="58"/>
      <c r="O169" s="7"/>
      <c r="P169" s="368"/>
      <c r="Q169" s="368"/>
      <c r="R169" s="2594"/>
      <c r="S169" s="2655"/>
      <c r="T169" s="2655"/>
      <c r="U169" s="2655"/>
      <c r="V169" s="2595"/>
      <c r="W169" s="58"/>
      <c r="Z169" s="58"/>
      <c r="AA169" s="58"/>
      <c r="AB169" s="58"/>
      <c r="AC169" s="58"/>
      <c r="AD169" s="58"/>
      <c r="AE169" s="58"/>
      <c r="AF169" s="58"/>
      <c r="AG169" s="58"/>
      <c r="AH169" s="58"/>
      <c r="AI169" s="58"/>
      <c r="AJ169" s="58"/>
      <c r="AK169" s="58"/>
      <c r="AL169" s="58"/>
      <c r="AM169" s="58"/>
      <c r="AN169" s="58"/>
      <c r="AO169" s="58"/>
      <c r="AP169" s="58"/>
      <c r="AQ169" s="58"/>
      <c r="AR169" s="58"/>
      <c r="AS169" s="58"/>
      <c r="AT169" s="58"/>
      <c r="AU169" s="58"/>
      <c r="AV169" s="58"/>
      <c r="AW169" s="58"/>
      <c r="AX169" s="58"/>
      <c r="AY169" s="58"/>
      <c r="AZ169" s="58"/>
      <c r="BA169" s="58"/>
      <c r="BB169" s="58"/>
      <c r="BC169" s="58"/>
      <c r="BD169" s="58"/>
      <c r="BE169" s="58"/>
      <c r="BF169" s="58"/>
      <c r="BG169" s="58"/>
      <c r="BH169" s="58"/>
      <c r="BI169" s="58"/>
      <c r="BJ169" s="58"/>
      <c r="BK169" s="58"/>
      <c r="BL169" s="58"/>
      <c r="BM169" s="58"/>
      <c r="BN169" s="58"/>
      <c r="BO169" s="58"/>
      <c r="BP169" s="58"/>
      <c r="BQ169" s="58"/>
      <c r="BR169" s="58"/>
      <c r="BS169" s="58"/>
      <c r="BT169" s="58"/>
      <c r="BU169" s="58"/>
      <c r="BV169" s="58"/>
      <c r="BW169" s="58"/>
      <c r="BX169" s="58"/>
      <c r="BY169" s="58"/>
      <c r="BZ169" s="58"/>
      <c r="CA169" s="58"/>
      <c r="CB169" s="58"/>
      <c r="CC169" s="58"/>
      <c r="CD169" s="58"/>
      <c r="CE169" s="58"/>
      <c r="CF169" s="58"/>
      <c r="CG169" s="58"/>
      <c r="CH169" s="58"/>
      <c r="CI169" s="58"/>
      <c r="CJ169" s="58"/>
      <c r="CK169" s="58"/>
      <c r="CL169" s="58"/>
      <c r="CM169" s="58"/>
      <c r="CN169" s="58"/>
      <c r="CO169" s="58"/>
      <c r="CP169" s="58"/>
      <c r="CQ169" s="58"/>
      <c r="CR169" s="58"/>
      <c r="CS169" s="58"/>
      <c r="CT169" s="58"/>
      <c r="CU169" s="58"/>
      <c r="CV169" s="58"/>
      <c r="CW169" s="58"/>
      <c r="CX169" s="58"/>
      <c r="CY169" s="58"/>
      <c r="CZ169" s="58"/>
      <c r="DA169" s="58"/>
      <c r="DB169" s="58"/>
      <c r="DC169" s="58"/>
      <c r="DD169" s="58"/>
      <c r="DE169" s="58"/>
      <c r="DF169" s="58"/>
      <c r="DG169" s="58"/>
      <c r="DH169" s="58"/>
      <c r="DI169" s="58"/>
      <c r="DJ169" s="58"/>
      <c r="DK169" s="58"/>
      <c r="DL169" s="58"/>
      <c r="DM169" s="58"/>
      <c r="DN169" s="58"/>
      <c r="DO169" s="58"/>
      <c r="DP169" s="58"/>
      <c r="DQ169" s="58"/>
      <c r="DR169" s="58"/>
      <c r="DS169" s="58"/>
      <c r="DT169" s="58"/>
      <c r="DU169" s="58"/>
      <c r="DV169" s="58"/>
      <c r="DW169" s="58"/>
      <c r="DX169" s="58"/>
      <c r="DY169" s="58"/>
      <c r="DZ169" s="58"/>
      <c r="EA169" s="58"/>
      <c r="EB169" s="58"/>
      <c r="EC169" s="58"/>
      <c r="ED169" s="58"/>
      <c r="EE169" s="58"/>
      <c r="EF169" s="58"/>
      <c r="EG169" s="58"/>
      <c r="EH169" s="58"/>
      <c r="EI169" s="58"/>
      <c r="EJ169" s="58"/>
      <c r="EK169" s="58"/>
      <c r="EL169" s="58"/>
      <c r="EM169" s="58"/>
      <c r="EN169" s="58"/>
      <c r="EO169" s="58"/>
      <c r="EP169" s="58"/>
      <c r="EQ169" s="58"/>
      <c r="ER169" s="58"/>
      <c r="ES169" s="58"/>
      <c r="ET169" s="58"/>
      <c r="EU169" s="58"/>
      <c r="EV169" s="58"/>
      <c r="EW169" s="58"/>
      <c r="EX169" s="346"/>
      <c r="EY169" s="346"/>
      <c r="EZ169" s="346"/>
      <c r="FA169" s="346"/>
      <c r="FB169" s="346"/>
      <c r="FC169" s="346"/>
      <c r="FD169" s="346"/>
      <c r="FE169" s="346"/>
      <c r="FF169" s="346"/>
      <c r="FG169" s="346"/>
      <c r="FH169" s="346"/>
      <c r="FI169" s="346"/>
      <c r="FJ169" s="346"/>
      <c r="FK169" s="346"/>
      <c r="FL169" s="346"/>
      <c r="FM169" s="346"/>
      <c r="FN169" s="346"/>
      <c r="FO169" s="346"/>
      <c r="FP169" s="346"/>
      <c r="FQ169" s="346"/>
      <c r="FR169" s="346"/>
      <c r="FS169" s="346"/>
      <c r="FT169" s="346"/>
      <c r="FU169" s="346"/>
      <c r="FV169" s="346"/>
      <c r="FW169" s="346"/>
      <c r="FX169" s="346"/>
      <c r="FY169" s="346"/>
      <c r="FZ169" s="346"/>
      <c r="GA169" s="346"/>
      <c r="GB169" s="346"/>
      <c r="GC169" s="346"/>
      <c r="GD169" s="346"/>
      <c r="GE169" s="346"/>
      <c r="GF169" s="346"/>
      <c r="GG169" s="346"/>
      <c r="GH169" s="346"/>
      <c r="GI169" s="346"/>
      <c r="GJ169" s="346"/>
      <c r="GK169" s="346"/>
      <c r="GL169" s="346"/>
      <c r="GM169" s="346"/>
      <c r="GN169" s="346"/>
      <c r="GO169" s="346"/>
      <c r="GP169" s="346"/>
      <c r="GQ169" s="346"/>
      <c r="GR169" s="346"/>
      <c r="GS169" s="346"/>
      <c r="GT169" s="347"/>
      <c r="GU169" s="346"/>
      <c r="GV169" s="346"/>
      <c r="GW169" s="346"/>
      <c r="GX169" s="346"/>
      <c r="GY169" s="347"/>
      <c r="GZ169" s="347"/>
      <c r="HA169" s="347"/>
      <c r="HB169" s="347"/>
      <c r="HC169" s="347"/>
      <c r="HD169" s="347"/>
      <c r="HE169" s="347"/>
      <c r="HF169" s="347"/>
      <c r="HG169" s="347"/>
      <c r="HH169" s="347"/>
      <c r="HI169" s="347"/>
      <c r="HJ169" s="347"/>
      <c r="HK169" s="347"/>
      <c r="HL169" s="347"/>
      <c r="HM169" s="347"/>
      <c r="HN169" s="347"/>
      <c r="HO169" s="347"/>
      <c r="HP169" s="347"/>
      <c r="HQ169" s="347"/>
      <c r="HR169" s="347"/>
      <c r="HS169" s="347"/>
      <c r="HT169" s="347"/>
      <c r="HU169" s="347"/>
      <c r="HV169" s="347"/>
      <c r="HW169" s="347"/>
      <c r="HX169" s="347"/>
      <c r="HY169" s="347"/>
      <c r="HZ169" s="347"/>
      <c r="IA169" s="347"/>
      <c r="IB169" s="347"/>
      <c r="IC169" s="347"/>
      <c r="ID169" s="347"/>
      <c r="IE169" s="346"/>
      <c r="IF169" s="346"/>
      <c r="IG169" s="346"/>
      <c r="IH169" s="346"/>
      <c r="II169" s="346"/>
      <c r="IJ169" s="346"/>
      <c r="IK169" s="348"/>
      <c r="IL169" s="346"/>
      <c r="IM169" s="346"/>
      <c r="IN169" s="346"/>
      <c r="IO169" s="346"/>
      <c r="IP169" s="346"/>
      <c r="IQ169" s="346"/>
      <c r="IR169" s="346"/>
      <c r="IS169" s="346"/>
      <c r="IT169" s="346"/>
      <c r="IU169" s="346"/>
      <c r="IV169" s="346"/>
      <c r="IW169" s="346"/>
      <c r="IX169" s="346"/>
      <c r="IY169" s="346"/>
      <c r="IZ169" s="346"/>
      <c r="JA169" s="348"/>
      <c r="JB169" s="348"/>
      <c r="JC169" s="346"/>
      <c r="JD169" s="346"/>
      <c r="JE169" s="346"/>
      <c r="JF169" s="346"/>
      <c r="JG169" s="346"/>
      <c r="JH169" s="346"/>
      <c r="JI169" s="346"/>
      <c r="JJ169" s="346"/>
      <c r="JK169" s="346"/>
      <c r="JL169" s="346"/>
      <c r="JM169" s="346"/>
      <c r="JN169" s="346"/>
      <c r="JO169" s="346"/>
      <c r="JP169" s="346"/>
      <c r="JQ169" s="346"/>
      <c r="JR169" s="58"/>
      <c r="JS169" s="58"/>
      <c r="JT169" s="346"/>
      <c r="JU169" s="346"/>
      <c r="JV169" s="346"/>
      <c r="JW169" s="346"/>
      <c r="JX169" s="346"/>
      <c r="JY169" s="346"/>
      <c r="JZ169" s="346"/>
      <c r="KA169" s="346"/>
      <c r="KB169" s="346"/>
      <c r="KC169" s="346"/>
      <c r="KD169" s="346"/>
      <c r="KE169" s="346"/>
      <c r="KF169" s="346"/>
      <c r="KG169" s="346"/>
      <c r="KH169" s="346"/>
      <c r="KI169" s="346"/>
      <c r="KJ169" s="346"/>
    </row>
    <row r="170" spans="1:296" s="55" customFormat="1" ht="13.15" customHeight="1" thickBot="1">
      <c r="A170" s="58"/>
      <c r="B170" s="6" t="s">
        <v>1159</v>
      </c>
      <c r="C170" s="58"/>
      <c r="D170" s="1323"/>
      <c r="E170" s="58"/>
      <c r="F170" s="58"/>
      <c r="G170" s="58"/>
      <c r="H170" s="58"/>
      <c r="I170" s="6" t="s">
        <v>1160</v>
      </c>
      <c r="J170" s="58"/>
      <c r="K170" s="58"/>
      <c r="L170" s="58"/>
      <c r="M170" s="58"/>
      <c r="N170" s="6" t="s">
        <v>1161</v>
      </c>
      <c r="O170" s="58"/>
      <c r="P170" s="1324">
        <f>IF(OR('Part VII-Pro Forma'!$B$20 = "Choose Mgt Fee",'Part VII-Pro Forma'!$B$20 = "Choose One!"), 0,- 'Part VII-Pro Forma'!$B$20)</f>
        <v>30397</v>
      </c>
      <c r="Q170" s="1325"/>
      <c r="R170" s="2594"/>
      <c r="S170" s="2655"/>
      <c r="T170" s="2655"/>
      <c r="U170" s="2655"/>
      <c r="V170" s="2595"/>
      <c r="W170" s="102"/>
      <c r="Z170" s="58"/>
      <c r="AA170" s="58"/>
      <c r="AB170" s="58"/>
      <c r="AC170" s="58"/>
      <c r="AD170" s="58"/>
      <c r="AE170" s="58"/>
      <c r="AF170" s="58"/>
      <c r="AG170" s="58"/>
      <c r="AH170" s="58"/>
      <c r="AI170" s="58"/>
      <c r="AJ170" s="58"/>
      <c r="AK170" s="58"/>
      <c r="AL170" s="58"/>
      <c r="AM170" s="58"/>
      <c r="AN170" s="58"/>
      <c r="AO170" s="58"/>
      <c r="AP170" s="58"/>
      <c r="AQ170" s="58"/>
      <c r="AR170" s="58"/>
      <c r="AS170" s="58"/>
      <c r="AT170" s="58"/>
      <c r="AU170" s="58"/>
      <c r="AV170" s="58"/>
      <c r="AW170" s="58"/>
      <c r="AX170" s="58"/>
      <c r="AY170" s="58"/>
      <c r="AZ170" s="58"/>
      <c r="BA170" s="58"/>
      <c r="BB170" s="58"/>
      <c r="BC170" s="58"/>
      <c r="BD170" s="58"/>
      <c r="BE170" s="58"/>
      <c r="BF170" s="58"/>
      <c r="BG170" s="58"/>
      <c r="BH170" s="58"/>
      <c r="BI170" s="58"/>
      <c r="BJ170" s="58"/>
      <c r="BK170" s="58"/>
      <c r="BL170" s="58"/>
      <c r="BM170" s="58"/>
      <c r="BN170" s="58"/>
      <c r="BO170" s="58"/>
      <c r="BP170" s="58"/>
      <c r="BQ170" s="58"/>
      <c r="BR170" s="58"/>
      <c r="BS170" s="58"/>
      <c r="BT170" s="58"/>
      <c r="BU170" s="58"/>
      <c r="BV170" s="58"/>
      <c r="BW170" s="58"/>
      <c r="BX170" s="58"/>
      <c r="BY170" s="58"/>
      <c r="BZ170" s="58"/>
      <c r="CA170" s="58"/>
      <c r="CB170" s="58"/>
      <c r="CC170" s="58"/>
      <c r="CD170" s="58"/>
      <c r="CE170" s="58"/>
      <c r="CF170" s="58"/>
      <c r="CG170" s="58"/>
      <c r="CH170" s="58"/>
      <c r="CI170" s="58"/>
      <c r="CJ170" s="58"/>
      <c r="CK170" s="58"/>
      <c r="CL170" s="58"/>
      <c r="CM170" s="58"/>
      <c r="CN170" s="58"/>
      <c r="CO170" s="58"/>
      <c r="CP170" s="58"/>
      <c r="CQ170" s="58"/>
      <c r="CR170" s="58"/>
      <c r="CS170" s="58"/>
      <c r="CT170" s="58"/>
      <c r="CU170" s="58"/>
      <c r="CV170" s="58"/>
      <c r="CW170" s="58"/>
      <c r="CX170" s="58"/>
      <c r="CY170" s="58"/>
      <c r="CZ170" s="58"/>
      <c r="DA170" s="58"/>
      <c r="DB170" s="58"/>
      <c r="DC170" s="58"/>
      <c r="DD170" s="58"/>
      <c r="DE170" s="58"/>
      <c r="DF170" s="58"/>
      <c r="DG170" s="58"/>
      <c r="DH170" s="58"/>
      <c r="DI170" s="58"/>
      <c r="DJ170" s="58"/>
      <c r="DK170" s="58"/>
      <c r="DL170" s="58"/>
      <c r="DM170" s="58"/>
      <c r="DN170" s="58"/>
      <c r="DO170" s="58"/>
      <c r="DP170" s="58"/>
      <c r="DQ170" s="58"/>
      <c r="DR170" s="58"/>
      <c r="DS170" s="58"/>
      <c r="DT170" s="58"/>
      <c r="DU170" s="58"/>
      <c r="DV170" s="58"/>
      <c r="DW170" s="58"/>
      <c r="DX170" s="58"/>
      <c r="DY170" s="58"/>
      <c r="DZ170" s="58"/>
      <c r="EA170" s="58"/>
      <c r="EB170" s="58"/>
      <c r="EC170" s="58"/>
      <c r="ED170" s="58"/>
      <c r="EE170" s="58"/>
      <c r="EF170" s="58"/>
      <c r="EG170" s="58"/>
      <c r="EH170" s="58"/>
      <c r="EI170" s="58"/>
      <c r="EJ170" s="58"/>
      <c r="EK170" s="58"/>
      <c r="EL170" s="58"/>
      <c r="EM170" s="58"/>
      <c r="EN170" s="58"/>
      <c r="EO170" s="58"/>
      <c r="EP170" s="58"/>
      <c r="EQ170" s="58"/>
      <c r="ER170" s="58"/>
      <c r="ES170" s="58"/>
      <c r="ET170" s="58"/>
      <c r="EU170" s="58"/>
      <c r="EV170" s="58"/>
      <c r="EW170" s="58"/>
      <c r="EX170" s="346"/>
      <c r="EY170" s="346"/>
      <c r="EZ170" s="346"/>
      <c r="FA170" s="346"/>
      <c r="FB170" s="346"/>
      <c r="FC170" s="346"/>
      <c r="FD170" s="346"/>
      <c r="FE170" s="346"/>
      <c r="FF170" s="346"/>
      <c r="FG170" s="346"/>
      <c r="FH170" s="346"/>
      <c r="FI170" s="346"/>
      <c r="FJ170" s="346"/>
      <c r="FK170" s="346"/>
      <c r="FL170" s="346"/>
      <c r="FM170" s="346"/>
      <c r="FN170" s="346"/>
      <c r="FO170" s="346"/>
      <c r="FP170" s="346"/>
      <c r="FQ170" s="346"/>
      <c r="FR170" s="346"/>
      <c r="FS170" s="346"/>
      <c r="FT170" s="346"/>
      <c r="FU170" s="346"/>
      <c r="FV170" s="346"/>
      <c r="FW170" s="346"/>
      <c r="FX170" s="346"/>
      <c r="FY170" s="346"/>
      <c r="FZ170" s="346"/>
      <c r="GA170" s="346"/>
      <c r="GB170" s="346"/>
      <c r="GC170" s="346"/>
      <c r="GD170" s="346"/>
      <c r="GE170" s="346"/>
      <c r="GF170" s="346"/>
      <c r="GG170" s="346"/>
      <c r="GH170" s="346"/>
      <c r="GI170" s="346"/>
      <c r="GJ170" s="346"/>
      <c r="GK170" s="346"/>
      <c r="GL170" s="346"/>
      <c r="GM170" s="346"/>
      <c r="GN170" s="346"/>
      <c r="GO170" s="346"/>
      <c r="GP170" s="346"/>
      <c r="GQ170" s="346"/>
      <c r="GR170" s="346"/>
      <c r="GS170" s="346"/>
      <c r="GT170" s="347"/>
      <c r="GU170" s="346"/>
      <c r="GV170" s="346"/>
      <c r="GW170" s="346"/>
      <c r="GX170" s="346"/>
      <c r="GY170" s="347"/>
      <c r="GZ170" s="347"/>
      <c r="HA170" s="347"/>
      <c r="HB170" s="347"/>
      <c r="HC170" s="347"/>
      <c r="HD170" s="347"/>
      <c r="HE170" s="347"/>
      <c r="HF170" s="347"/>
      <c r="HG170" s="347"/>
      <c r="HH170" s="347"/>
      <c r="HI170" s="347"/>
      <c r="HJ170" s="347"/>
      <c r="HK170" s="347"/>
      <c r="HL170" s="347"/>
      <c r="HM170" s="347"/>
      <c r="HN170" s="347"/>
      <c r="HO170" s="347"/>
      <c r="HP170" s="347"/>
      <c r="HQ170" s="347"/>
      <c r="HR170" s="347"/>
      <c r="HS170" s="347"/>
      <c r="HT170" s="347"/>
      <c r="HU170" s="347"/>
      <c r="HV170" s="347"/>
      <c r="HW170" s="347"/>
      <c r="HX170" s="347"/>
      <c r="HY170" s="347"/>
      <c r="HZ170" s="347"/>
      <c r="IA170" s="347"/>
      <c r="IB170" s="347"/>
      <c r="IC170" s="347"/>
      <c r="ID170" s="347"/>
      <c r="IE170" s="346"/>
      <c r="IF170" s="346"/>
      <c r="IG170" s="346"/>
      <c r="IH170" s="346"/>
      <c r="II170" s="346"/>
      <c r="IJ170" s="346"/>
      <c r="IK170" s="348"/>
      <c r="IL170" s="346"/>
      <c r="IM170" s="346"/>
      <c r="IN170" s="346"/>
      <c r="IO170" s="346"/>
      <c r="IP170" s="346"/>
      <c r="IQ170" s="346"/>
      <c r="IR170" s="346"/>
      <c r="IS170" s="346"/>
      <c r="IT170" s="346"/>
      <c r="IU170" s="346"/>
      <c r="IV170" s="346"/>
      <c r="IW170" s="346"/>
      <c r="IX170" s="346"/>
      <c r="IY170" s="346"/>
      <c r="IZ170" s="346"/>
      <c r="JA170" s="348"/>
      <c r="JB170" s="348"/>
      <c r="JC170" s="346"/>
      <c r="JD170" s="346"/>
      <c r="JE170" s="346"/>
      <c r="JF170" s="346"/>
      <c r="JG170" s="346"/>
      <c r="JH170" s="346"/>
      <c r="JI170" s="346"/>
      <c r="JJ170" s="346"/>
      <c r="JK170" s="346"/>
      <c r="JL170" s="346"/>
      <c r="JM170" s="346"/>
      <c r="JN170" s="346"/>
      <c r="JO170" s="346"/>
      <c r="JP170" s="346"/>
      <c r="JQ170" s="346"/>
      <c r="JR170" s="58"/>
      <c r="JS170" s="58"/>
      <c r="JT170" s="346"/>
      <c r="JU170" s="346"/>
      <c r="JV170" s="346"/>
      <c r="JW170" s="346"/>
      <c r="JX170" s="346"/>
      <c r="JY170" s="346"/>
      <c r="JZ170" s="346"/>
      <c r="KA170" s="346"/>
      <c r="KB170" s="346"/>
      <c r="KC170" s="346"/>
      <c r="KD170" s="346"/>
      <c r="KE170" s="346"/>
      <c r="KF170" s="346"/>
      <c r="KG170" s="346"/>
      <c r="KH170" s="346"/>
      <c r="KI170" s="346"/>
      <c r="KJ170" s="346"/>
    </row>
    <row r="171" spans="1:296" s="55" customFormat="1" ht="15.6" customHeight="1">
      <c r="A171" s="58"/>
      <c r="B171" s="58" t="s">
        <v>1162</v>
      </c>
      <c r="C171" s="58"/>
      <c r="D171" s="1323"/>
      <c r="E171" s="58"/>
      <c r="F171" s="2668">
        <v>2400</v>
      </c>
      <c r="G171" s="2669"/>
      <c r="H171" s="58"/>
      <c r="I171" s="58" t="s">
        <v>1163</v>
      </c>
      <c r="J171" s="58"/>
      <c r="K171" s="2679">
        <v>1200</v>
      </c>
      <c r="L171" s="2680"/>
      <c r="M171" s="58"/>
      <c r="N171" s="295">
        <f>+P170/(O62*0.93)</f>
        <v>441.68846265620454</v>
      </c>
      <c r="O171" s="41" t="s">
        <v>1164</v>
      </c>
      <c r="P171" s="58"/>
      <c r="Q171" s="58"/>
      <c r="R171" s="2594"/>
      <c r="S171" s="2655"/>
      <c r="T171" s="2655"/>
      <c r="U171" s="2655"/>
      <c r="V171" s="2595"/>
      <c r="W171" s="102"/>
      <c r="Z171" s="58"/>
      <c r="AA171" s="58"/>
      <c r="AB171" s="58"/>
      <c r="AC171" s="58"/>
      <c r="AD171" s="58"/>
      <c r="AE171" s="58"/>
      <c r="AF171" s="58"/>
      <c r="AG171" s="58"/>
      <c r="AH171" s="58"/>
      <c r="AI171" s="58"/>
      <c r="AJ171" s="58"/>
      <c r="AK171" s="58"/>
      <c r="AL171" s="58"/>
      <c r="AM171" s="58"/>
      <c r="AN171" s="58"/>
      <c r="AO171" s="58"/>
      <c r="AP171" s="58"/>
      <c r="AQ171" s="58"/>
      <c r="AR171" s="58"/>
      <c r="AS171" s="58"/>
      <c r="AT171" s="58"/>
      <c r="AU171" s="58"/>
      <c r="AV171" s="58"/>
      <c r="AW171" s="58"/>
      <c r="AX171" s="58"/>
      <c r="AY171" s="58"/>
      <c r="AZ171" s="58"/>
      <c r="BA171" s="58"/>
      <c r="BB171" s="58"/>
      <c r="BC171" s="58"/>
      <c r="BD171" s="58"/>
      <c r="BE171" s="58"/>
      <c r="BF171" s="58"/>
      <c r="BG171" s="58"/>
      <c r="BH171" s="58"/>
      <c r="BI171" s="58"/>
      <c r="BJ171" s="58"/>
      <c r="BK171" s="58"/>
      <c r="BL171" s="58"/>
      <c r="BM171" s="58"/>
      <c r="BN171" s="58"/>
      <c r="BO171" s="58"/>
      <c r="BP171" s="58"/>
      <c r="BQ171" s="58"/>
      <c r="BR171" s="58"/>
      <c r="BS171" s="58"/>
      <c r="BT171" s="58"/>
      <c r="BU171" s="58"/>
      <c r="BV171" s="58"/>
      <c r="BW171" s="58"/>
      <c r="BX171" s="58"/>
      <c r="BY171" s="58"/>
      <c r="BZ171" s="58"/>
      <c r="CA171" s="58"/>
      <c r="CB171" s="58"/>
      <c r="CC171" s="58"/>
      <c r="CD171" s="58"/>
      <c r="CE171" s="58"/>
      <c r="CF171" s="58"/>
      <c r="CG171" s="58"/>
      <c r="CH171" s="58"/>
      <c r="CI171" s="58"/>
      <c r="CJ171" s="58"/>
      <c r="CK171" s="58"/>
      <c r="CL171" s="58"/>
      <c r="CM171" s="58"/>
      <c r="CN171" s="58"/>
      <c r="CO171" s="58"/>
      <c r="CP171" s="58"/>
      <c r="CQ171" s="58"/>
      <c r="CR171" s="58"/>
      <c r="CS171" s="58"/>
      <c r="CT171" s="58"/>
      <c r="CU171" s="58"/>
      <c r="CV171" s="58"/>
      <c r="CW171" s="58"/>
      <c r="CX171" s="58"/>
      <c r="CY171" s="58"/>
      <c r="CZ171" s="58"/>
      <c r="DA171" s="58"/>
      <c r="DB171" s="58"/>
      <c r="DC171" s="58"/>
      <c r="DD171" s="58"/>
      <c r="DE171" s="58"/>
      <c r="DF171" s="58"/>
      <c r="DG171" s="58"/>
      <c r="DH171" s="58"/>
      <c r="DI171" s="58"/>
      <c r="DJ171" s="58"/>
      <c r="DK171" s="58"/>
      <c r="DL171" s="58"/>
      <c r="DM171" s="58"/>
      <c r="DN171" s="58"/>
      <c r="DO171" s="58"/>
      <c r="DP171" s="58"/>
      <c r="DQ171" s="58"/>
      <c r="DR171" s="58"/>
      <c r="DS171" s="58"/>
      <c r="DT171" s="58"/>
      <c r="DU171" s="58"/>
      <c r="DV171" s="58"/>
      <c r="DW171" s="58"/>
      <c r="DX171" s="58"/>
      <c r="DY171" s="58"/>
      <c r="DZ171" s="58"/>
      <c r="EA171" s="58"/>
      <c r="EB171" s="58"/>
      <c r="EC171" s="58"/>
      <c r="ED171" s="58"/>
      <c r="EE171" s="58"/>
      <c r="EF171" s="58"/>
      <c r="EG171" s="58"/>
      <c r="EH171" s="58"/>
      <c r="EI171" s="58"/>
      <c r="EJ171" s="58"/>
      <c r="EK171" s="58"/>
      <c r="EL171" s="58"/>
      <c r="EM171" s="58"/>
      <c r="EN171" s="58"/>
      <c r="EO171" s="58"/>
      <c r="EP171" s="58"/>
      <c r="EQ171" s="58"/>
      <c r="ER171" s="58"/>
      <c r="ES171" s="58"/>
      <c r="ET171" s="58"/>
      <c r="EU171" s="58"/>
      <c r="EV171" s="58"/>
      <c r="EW171" s="58"/>
      <c r="EX171" s="346"/>
      <c r="EY171" s="346"/>
      <c r="EZ171" s="346"/>
      <c r="FA171" s="346"/>
      <c r="FB171" s="346"/>
      <c r="FC171" s="346"/>
      <c r="FD171" s="346"/>
      <c r="FE171" s="346"/>
      <c r="FF171" s="346"/>
      <c r="FG171" s="346"/>
      <c r="FH171" s="346"/>
      <c r="FI171" s="346"/>
      <c r="FJ171" s="346"/>
      <c r="FK171" s="346"/>
      <c r="FL171" s="346"/>
      <c r="FM171" s="346"/>
      <c r="FN171" s="346"/>
      <c r="FO171" s="346"/>
      <c r="FP171" s="346"/>
      <c r="FQ171" s="346"/>
      <c r="FR171" s="346"/>
      <c r="FS171" s="346"/>
      <c r="FT171" s="346"/>
      <c r="FU171" s="346"/>
      <c r="FV171" s="346"/>
      <c r="FW171" s="346"/>
      <c r="FX171" s="346"/>
      <c r="FY171" s="346"/>
      <c r="FZ171" s="346"/>
      <c r="GA171" s="346"/>
      <c r="GB171" s="346"/>
      <c r="GC171" s="346"/>
      <c r="GD171" s="346"/>
      <c r="GE171" s="346"/>
      <c r="GF171" s="346"/>
      <c r="GG171" s="346"/>
      <c r="GH171" s="346"/>
      <c r="GI171" s="346"/>
      <c r="GJ171" s="346"/>
      <c r="GK171" s="346"/>
      <c r="GL171" s="346"/>
      <c r="GM171" s="346"/>
      <c r="GN171" s="346"/>
      <c r="GO171" s="346"/>
      <c r="GP171" s="346"/>
      <c r="GQ171" s="346"/>
      <c r="GR171" s="346"/>
      <c r="GS171" s="346"/>
      <c r="GT171" s="347"/>
      <c r="GU171" s="346"/>
      <c r="GV171" s="346"/>
      <c r="GW171" s="346"/>
      <c r="GX171" s="346"/>
      <c r="GY171" s="347"/>
      <c r="GZ171" s="347"/>
      <c r="HA171" s="347"/>
      <c r="HB171" s="347"/>
      <c r="HC171" s="347"/>
      <c r="HD171" s="347"/>
      <c r="HE171" s="347"/>
      <c r="HF171" s="347"/>
      <c r="HG171" s="347"/>
      <c r="HH171" s="347"/>
      <c r="HI171" s="347"/>
      <c r="HJ171" s="347"/>
      <c r="HK171" s="347"/>
      <c r="HL171" s="347"/>
      <c r="HM171" s="347"/>
      <c r="HN171" s="347"/>
      <c r="HO171" s="347"/>
      <c r="HP171" s="347"/>
      <c r="HQ171" s="347"/>
      <c r="HR171" s="347"/>
      <c r="HS171" s="347"/>
      <c r="HT171" s="347"/>
      <c r="HU171" s="347"/>
      <c r="HV171" s="347"/>
      <c r="HW171" s="347"/>
      <c r="HX171" s="347"/>
      <c r="HY171" s="347"/>
      <c r="HZ171" s="347"/>
      <c r="IA171" s="347"/>
      <c r="IB171" s="347"/>
      <c r="IC171" s="347"/>
      <c r="ID171" s="347"/>
      <c r="IE171" s="346"/>
      <c r="IF171" s="346"/>
      <c r="IG171" s="346"/>
      <c r="IH171" s="346"/>
      <c r="II171" s="346"/>
      <c r="IJ171" s="346"/>
      <c r="IK171" s="348"/>
      <c r="IL171" s="346"/>
      <c r="IM171" s="346"/>
      <c r="IN171" s="346"/>
      <c r="IO171" s="346"/>
      <c r="IP171" s="346"/>
      <c r="IQ171" s="346"/>
      <c r="IR171" s="346"/>
      <c r="IS171" s="346"/>
      <c r="IT171" s="346"/>
      <c r="IU171" s="346"/>
      <c r="IV171" s="346"/>
      <c r="IW171" s="346"/>
      <c r="IX171" s="346"/>
      <c r="IY171" s="346"/>
      <c r="IZ171" s="346"/>
      <c r="JA171" s="348"/>
      <c r="JB171" s="348"/>
      <c r="JC171" s="346"/>
      <c r="JD171" s="346"/>
      <c r="JE171" s="346"/>
      <c r="JF171" s="346"/>
      <c r="JG171" s="346"/>
      <c r="JH171" s="346"/>
      <c r="JI171" s="346"/>
      <c r="JJ171" s="346"/>
      <c r="JK171" s="346"/>
      <c r="JL171" s="346"/>
      <c r="JM171" s="346"/>
      <c r="JN171" s="346"/>
      <c r="JO171" s="346"/>
      <c r="JP171" s="346"/>
      <c r="JQ171" s="346"/>
      <c r="JR171" s="58"/>
      <c r="JS171" s="58"/>
      <c r="JT171" s="346"/>
      <c r="JU171" s="346"/>
      <c r="JV171" s="346"/>
      <c r="JW171" s="346"/>
      <c r="JX171" s="346"/>
      <c r="JY171" s="346"/>
      <c r="JZ171" s="346"/>
      <c r="KA171" s="346"/>
      <c r="KB171" s="346"/>
      <c r="KC171" s="346"/>
      <c r="KD171" s="346"/>
      <c r="KE171" s="346"/>
      <c r="KF171" s="346"/>
      <c r="KG171" s="346"/>
      <c r="KH171" s="346"/>
      <c r="KI171" s="346"/>
      <c r="KJ171" s="346"/>
    </row>
    <row r="172" spans="1:296" s="55" customFormat="1" ht="15.6" customHeight="1">
      <c r="A172" s="58"/>
      <c r="B172" s="58" t="s">
        <v>1165</v>
      </c>
      <c r="C172" s="58"/>
      <c r="D172" s="1323"/>
      <c r="E172" s="58"/>
      <c r="F172" s="2668">
        <v>4800</v>
      </c>
      <c r="G172" s="2669"/>
      <c r="H172" s="58"/>
      <c r="I172" s="58" t="s">
        <v>720</v>
      </c>
      <c r="J172" s="58"/>
      <c r="K172" s="2681">
        <v>6000</v>
      </c>
      <c r="L172" s="2682"/>
      <c r="M172" s="58"/>
      <c r="N172" s="295">
        <f>+P170/(O62*0.93)/12</f>
        <v>36.807371888017045</v>
      </c>
      <c r="O172" s="41" t="s">
        <v>1166</v>
      </c>
      <c r="P172" s="58"/>
      <c r="Q172" s="58"/>
      <c r="R172" s="2594"/>
      <c r="S172" s="2655"/>
      <c r="T172" s="2655"/>
      <c r="U172" s="2655"/>
      <c r="V172" s="2595"/>
      <c r="W172" s="102"/>
      <c r="Z172" s="58"/>
      <c r="AA172" s="58"/>
      <c r="AB172" s="58"/>
      <c r="AC172" s="58"/>
      <c r="AD172" s="58"/>
      <c r="AE172" s="58"/>
      <c r="AF172" s="58"/>
      <c r="AG172" s="58"/>
      <c r="AH172" s="58"/>
      <c r="AI172" s="58"/>
      <c r="AJ172" s="58"/>
      <c r="AK172" s="58"/>
      <c r="AL172" s="58"/>
      <c r="AM172" s="58"/>
      <c r="AN172" s="58"/>
      <c r="AO172" s="58"/>
      <c r="AP172" s="58"/>
      <c r="AQ172" s="58"/>
      <c r="AR172" s="58"/>
      <c r="AS172" s="58"/>
      <c r="AT172" s="58"/>
      <c r="AU172" s="58"/>
      <c r="AV172" s="58"/>
      <c r="AW172" s="58"/>
      <c r="AX172" s="58"/>
      <c r="AY172" s="58"/>
      <c r="AZ172" s="58"/>
      <c r="BA172" s="58"/>
      <c r="BB172" s="58"/>
      <c r="BC172" s="58"/>
      <c r="BD172" s="58"/>
      <c r="BE172" s="58"/>
      <c r="BF172" s="58"/>
      <c r="BG172" s="58"/>
      <c r="BH172" s="58"/>
      <c r="BI172" s="58"/>
      <c r="BJ172" s="58"/>
      <c r="BK172" s="58"/>
      <c r="BL172" s="58"/>
      <c r="BM172" s="58"/>
      <c r="BN172" s="58"/>
      <c r="BO172" s="58"/>
      <c r="BP172" s="58"/>
      <c r="BQ172" s="58"/>
      <c r="BR172" s="58"/>
      <c r="BS172" s="58"/>
      <c r="BT172" s="58"/>
      <c r="BU172" s="58"/>
      <c r="BV172" s="58"/>
      <c r="BW172" s="58"/>
      <c r="BX172" s="58"/>
      <c r="BY172" s="58"/>
      <c r="BZ172" s="58"/>
      <c r="CA172" s="58"/>
      <c r="CB172" s="58"/>
      <c r="CC172" s="58"/>
      <c r="CD172" s="58"/>
      <c r="CE172" s="58"/>
      <c r="CF172" s="58"/>
      <c r="CG172" s="58"/>
      <c r="CH172" s="58"/>
      <c r="CI172" s="58"/>
      <c r="CJ172" s="58"/>
      <c r="CK172" s="58"/>
      <c r="CL172" s="58"/>
      <c r="CM172" s="58"/>
      <c r="CN172" s="58"/>
      <c r="CO172" s="58"/>
      <c r="CP172" s="58"/>
      <c r="CQ172" s="58"/>
      <c r="CR172" s="58"/>
      <c r="CS172" s="58"/>
      <c r="CT172" s="58"/>
      <c r="CU172" s="58"/>
      <c r="CV172" s="58"/>
      <c r="CW172" s="58"/>
      <c r="CX172" s="58"/>
      <c r="CY172" s="58"/>
      <c r="CZ172" s="58"/>
      <c r="DA172" s="58"/>
      <c r="DB172" s="58"/>
      <c r="DC172" s="58"/>
      <c r="DD172" s="58"/>
      <c r="DE172" s="58"/>
      <c r="DF172" s="58"/>
      <c r="DG172" s="58"/>
      <c r="DH172" s="58"/>
      <c r="DI172" s="58"/>
      <c r="DJ172" s="58"/>
      <c r="DK172" s="58"/>
      <c r="DL172" s="58"/>
      <c r="DM172" s="58"/>
      <c r="DN172" s="58"/>
      <c r="DO172" s="58"/>
      <c r="DP172" s="58"/>
      <c r="DQ172" s="58"/>
      <c r="DR172" s="58"/>
      <c r="DS172" s="58"/>
      <c r="DT172" s="58"/>
      <c r="DU172" s="58"/>
      <c r="DV172" s="58"/>
      <c r="DW172" s="58"/>
      <c r="DX172" s="58"/>
      <c r="DY172" s="58"/>
      <c r="DZ172" s="58"/>
      <c r="EA172" s="58"/>
      <c r="EB172" s="58"/>
      <c r="EC172" s="58"/>
      <c r="ED172" s="58"/>
      <c r="EE172" s="58"/>
      <c r="EF172" s="58"/>
      <c r="EG172" s="58"/>
      <c r="EH172" s="58"/>
      <c r="EI172" s="58"/>
      <c r="EJ172" s="58"/>
      <c r="EK172" s="58"/>
      <c r="EL172" s="58"/>
      <c r="EM172" s="58"/>
      <c r="EN172" s="58"/>
      <c r="EO172" s="58"/>
      <c r="EP172" s="58"/>
      <c r="EQ172" s="58"/>
      <c r="ER172" s="58"/>
      <c r="ES172" s="58"/>
      <c r="ET172" s="58"/>
      <c r="EU172" s="58"/>
      <c r="EV172" s="58"/>
      <c r="EW172" s="58"/>
      <c r="EX172" s="346"/>
      <c r="EY172" s="346"/>
      <c r="EZ172" s="346"/>
      <c r="FA172" s="346"/>
      <c r="FB172" s="346"/>
      <c r="FC172" s="346"/>
      <c r="FD172" s="346"/>
      <c r="FE172" s="346"/>
      <c r="FF172" s="346"/>
      <c r="FG172" s="346"/>
      <c r="FH172" s="346"/>
      <c r="FI172" s="346"/>
      <c r="FJ172" s="346"/>
      <c r="FK172" s="346"/>
      <c r="FL172" s="346"/>
      <c r="FM172" s="346"/>
      <c r="FN172" s="346"/>
      <c r="FO172" s="346"/>
      <c r="FP172" s="346"/>
      <c r="FQ172" s="346"/>
      <c r="FR172" s="346"/>
      <c r="FS172" s="346"/>
      <c r="FT172" s="346"/>
      <c r="FU172" s="346"/>
      <c r="FV172" s="346"/>
      <c r="FW172" s="346"/>
      <c r="FX172" s="346"/>
      <c r="FY172" s="346"/>
      <c r="FZ172" s="346"/>
      <c r="GA172" s="346"/>
      <c r="GB172" s="346"/>
      <c r="GC172" s="346"/>
      <c r="GD172" s="346"/>
      <c r="GE172" s="346"/>
      <c r="GF172" s="346"/>
      <c r="GG172" s="346"/>
      <c r="GH172" s="346"/>
      <c r="GI172" s="346"/>
      <c r="GJ172" s="346"/>
      <c r="GK172" s="346"/>
      <c r="GL172" s="346"/>
      <c r="GM172" s="346"/>
      <c r="GN172" s="346"/>
      <c r="GO172" s="346"/>
      <c r="GP172" s="346"/>
      <c r="GQ172" s="346"/>
      <c r="GR172" s="346"/>
      <c r="GS172" s="346"/>
      <c r="GT172" s="347"/>
      <c r="GU172" s="346"/>
      <c r="GV172" s="346"/>
      <c r="GW172" s="346"/>
      <c r="GX172" s="346"/>
      <c r="GY172" s="347"/>
      <c r="GZ172" s="347"/>
      <c r="HA172" s="347"/>
      <c r="HB172" s="347"/>
      <c r="HC172" s="347"/>
      <c r="HD172" s="347"/>
      <c r="HE172" s="347"/>
      <c r="HF172" s="347"/>
      <c r="HG172" s="347"/>
      <c r="HH172" s="347"/>
      <c r="HI172" s="347"/>
      <c r="HJ172" s="347"/>
      <c r="HK172" s="347"/>
      <c r="HL172" s="347"/>
      <c r="HM172" s="347"/>
      <c r="HN172" s="347"/>
      <c r="HO172" s="347"/>
      <c r="HP172" s="347"/>
      <c r="HQ172" s="347"/>
      <c r="HR172" s="347"/>
      <c r="HS172" s="347"/>
      <c r="HT172" s="347"/>
      <c r="HU172" s="347"/>
      <c r="HV172" s="347"/>
      <c r="HW172" s="347"/>
      <c r="HX172" s="347"/>
      <c r="HY172" s="347"/>
      <c r="HZ172" s="347"/>
      <c r="IA172" s="347"/>
      <c r="IB172" s="347"/>
      <c r="IC172" s="347"/>
      <c r="ID172" s="347"/>
      <c r="IE172" s="346"/>
      <c r="IF172" s="346"/>
      <c r="IG172" s="346"/>
      <c r="IH172" s="346"/>
      <c r="II172" s="346"/>
      <c r="IJ172" s="346"/>
      <c r="IK172" s="348"/>
      <c r="IL172" s="346"/>
      <c r="IM172" s="346"/>
      <c r="IN172" s="346"/>
      <c r="IO172" s="346"/>
      <c r="IP172" s="346"/>
      <c r="IQ172" s="346"/>
      <c r="IR172" s="346"/>
      <c r="IS172" s="346"/>
      <c r="IT172" s="346"/>
      <c r="IU172" s="346"/>
      <c r="IV172" s="346"/>
      <c r="IW172" s="346"/>
      <c r="IX172" s="346"/>
      <c r="IY172" s="346"/>
      <c r="IZ172" s="346"/>
      <c r="JA172" s="348"/>
      <c r="JB172" s="348"/>
      <c r="JC172" s="346"/>
      <c r="JD172" s="346"/>
      <c r="JE172" s="346"/>
      <c r="JF172" s="346"/>
      <c r="JG172" s="346"/>
      <c r="JH172" s="346"/>
      <c r="JI172" s="346"/>
      <c r="JJ172" s="346"/>
      <c r="JK172" s="346"/>
      <c r="JL172" s="346"/>
      <c r="JM172" s="346"/>
      <c r="JN172" s="346"/>
      <c r="JO172" s="346"/>
      <c r="JP172" s="346"/>
      <c r="JQ172" s="346"/>
      <c r="JR172" s="58"/>
      <c r="JS172" s="58"/>
      <c r="JT172" s="346"/>
      <c r="JU172" s="346"/>
      <c r="JV172" s="346"/>
      <c r="JW172" s="346"/>
      <c r="JX172" s="346"/>
      <c r="JY172" s="346"/>
      <c r="JZ172" s="346"/>
      <c r="KA172" s="346"/>
      <c r="KB172" s="346"/>
      <c r="KC172" s="346"/>
      <c r="KD172" s="346"/>
      <c r="KE172" s="346"/>
      <c r="KF172" s="346"/>
      <c r="KG172" s="346"/>
      <c r="KH172" s="346"/>
      <c r="KI172" s="346"/>
      <c r="KJ172" s="346"/>
    </row>
    <row r="173" spans="1:296" s="55" customFormat="1" ht="15.6" customHeight="1">
      <c r="A173" s="58"/>
      <c r="B173" s="58" t="s">
        <v>1167</v>
      </c>
      <c r="C173" s="58"/>
      <c r="D173" s="1323"/>
      <c r="E173" s="58"/>
      <c r="F173" s="2668">
        <v>1000</v>
      </c>
      <c r="G173" s="2669"/>
      <c r="H173" s="58"/>
      <c r="I173" s="58" t="s">
        <v>1168</v>
      </c>
      <c r="J173" s="58"/>
      <c r="K173" s="2681">
        <f>1800+700+1500-1500-700</f>
        <v>1800</v>
      </c>
      <c r="L173" s="2682"/>
      <c r="M173" s="58"/>
      <c r="N173" s="20" t="s">
        <v>1169</v>
      </c>
      <c r="O173" s="841"/>
      <c r="P173" s="841"/>
      <c r="Q173" s="1543"/>
      <c r="R173" s="2594"/>
      <c r="S173" s="2655"/>
      <c r="T173" s="2655"/>
      <c r="U173" s="2655"/>
      <c r="V173" s="2595"/>
      <c r="W173" s="102"/>
      <c r="Z173" s="58"/>
      <c r="AA173" s="58"/>
      <c r="AB173" s="58"/>
      <c r="AC173" s="58"/>
      <c r="AD173" s="58"/>
      <c r="AE173" s="58"/>
      <c r="AF173" s="58"/>
      <c r="AG173" s="58"/>
      <c r="AH173" s="58"/>
      <c r="AI173" s="58"/>
      <c r="AJ173" s="58"/>
      <c r="AK173" s="58"/>
      <c r="AL173" s="58"/>
      <c r="AM173" s="58"/>
      <c r="AN173" s="58"/>
      <c r="AO173" s="58"/>
      <c r="AP173" s="58"/>
      <c r="AQ173" s="58"/>
      <c r="AR173" s="58"/>
      <c r="AS173" s="58"/>
      <c r="AT173" s="58"/>
      <c r="AU173" s="58"/>
      <c r="AV173" s="58"/>
      <c r="AW173" s="58"/>
      <c r="AX173" s="58"/>
      <c r="AY173" s="58"/>
      <c r="AZ173" s="58"/>
      <c r="BA173" s="58"/>
      <c r="BB173" s="58"/>
      <c r="BC173" s="58"/>
      <c r="BD173" s="58"/>
      <c r="BE173" s="58"/>
      <c r="BF173" s="58"/>
      <c r="BG173" s="58"/>
      <c r="BH173" s="58"/>
      <c r="BI173" s="58"/>
      <c r="BJ173" s="58"/>
      <c r="BK173" s="58"/>
      <c r="BL173" s="58"/>
      <c r="BM173" s="58"/>
      <c r="BN173" s="58"/>
      <c r="BO173" s="58"/>
      <c r="BP173" s="58"/>
      <c r="BQ173" s="58"/>
      <c r="BR173" s="58"/>
      <c r="BS173" s="58"/>
      <c r="BT173" s="58"/>
      <c r="BU173" s="58"/>
      <c r="BV173" s="58"/>
      <c r="BW173" s="58"/>
      <c r="BX173" s="58"/>
      <c r="BY173" s="58"/>
      <c r="BZ173" s="58"/>
      <c r="CA173" s="58"/>
      <c r="CB173" s="58"/>
      <c r="CC173" s="58"/>
      <c r="CD173" s="58"/>
      <c r="CE173" s="58"/>
      <c r="CF173" s="58"/>
      <c r="CG173" s="58"/>
      <c r="CH173" s="58"/>
      <c r="CI173" s="58"/>
      <c r="CJ173" s="58"/>
      <c r="CK173" s="58"/>
      <c r="CL173" s="58"/>
      <c r="CM173" s="58"/>
      <c r="CN173" s="58"/>
      <c r="CO173" s="58"/>
      <c r="CP173" s="58"/>
      <c r="CQ173" s="58"/>
      <c r="CR173" s="58"/>
      <c r="CS173" s="58"/>
      <c r="CT173" s="58"/>
      <c r="CU173" s="58"/>
      <c r="CV173" s="58"/>
      <c r="CW173" s="58"/>
      <c r="CX173" s="58"/>
      <c r="CY173" s="58"/>
      <c r="CZ173" s="58"/>
      <c r="DA173" s="58"/>
      <c r="DB173" s="58"/>
      <c r="DC173" s="58"/>
      <c r="DD173" s="58"/>
      <c r="DE173" s="58"/>
      <c r="DF173" s="58"/>
      <c r="DG173" s="58"/>
      <c r="DH173" s="58"/>
      <c r="DI173" s="58"/>
      <c r="DJ173" s="58"/>
      <c r="DK173" s="58"/>
      <c r="DL173" s="58"/>
      <c r="DM173" s="58"/>
      <c r="DN173" s="58"/>
      <c r="DO173" s="58"/>
      <c r="DP173" s="58"/>
      <c r="DQ173" s="58"/>
      <c r="DR173" s="58"/>
      <c r="DS173" s="58"/>
      <c r="DT173" s="58"/>
      <c r="DU173" s="58"/>
      <c r="DV173" s="58"/>
      <c r="DW173" s="58"/>
      <c r="DX173" s="58"/>
      <c r="DY173" s="58"/>
      <c r="DZ173" s="58"/>
      <c r="EA173" s="58"/>
      <c r="EB173" s="58"/>
      <c r="EC173" s="58"/>
      <c r="ED173" s="58"/>
      <c r="EE173" s="58"/>
      <c r="EF173" s="58"/>
      <c r="EG173" s="58"/>
      <c r="EH173" s="58"/>
      <c r="EI173" s="58"/>
      <c r="EJ173" s="58"/>
      <c r="EK173" s="58"/>
      <c r="EL173" s="58"/>
      <c r="EM173" s="58"/>
      <c r="EN173" s="58"/>
      <c r="EO173" s="58"/>
      <c r="EP173" s="58"/>
      <c r="EQ173" s="58"/>
      <c r="ER173" s="58"/>
      <c r="ES173" s="58"/>
      <c r="ET173" s="58"/>
      <c r="EU173" s="58"/>
      <c r="EV173" s="58"/>
      <c r="EW173" s="58"/>
      <c r="EX173" s="346"/>
      <c r="EY173" s="346"/>
      <c r="EZ173" s="346"/>
      <c r="FA173" s="346"/>
      <c r="FB173" s="346"/>
      <c r="FC173" s="346"/>
      <c r="FD173" s="346"/>
      <c r="FE173" s="346"/>
      <c r="FF173" s="346"/>
      <c r="FG173" s="346"/>
      <c r="FH173" s="346"/>
      <c r="FI173" s="346"/>
      <c r="FJ173" s="346"/>
      <c r="FK173" s="346"/>
      <c r="FL173" s="346"/>
      <c r="FM173" s="346"/>
      <c r="FN173" s="346"/>
      <c r="FO173" s="346"/>
      <c r="FP173" s="346"/>
      <c r="FQ173" s="346"/>
      <c r="FR173" s="346"/>
      <c r="FS173" s="346"/>
      <c r="FT173" s="346"/>
      <c r="FU173" s="346"/>
      <c r="FV173" s="346"/>
      <c r="FW173" s="346"/>
      <c r="FX173" s="346"/>
      <c r="FY173" s="346"/>
      <c r="FZ173" s="346"/>
      <c r="GA173" s="346"/>
      <c r="GB173" s="346"/>
      <c r="GC173" s="346"/>
      <c r="GD173" s="346"/>
      <c r="GE173" s="346"/>
      <c r="GF173" s="346"/>
      <c r="GG173" s="346"/>
      <c r="GH173" s="346"/>
      <c r="GI173" s="346"/>
      <c r="GJ173" s="346"/>
      <c r="GK173" s="346"/>
      <c r="GL173" s="346"/>
      <c r="GM173" s="346"/>
      <c r="GN173" s="346"/>
      <c r="GO173" s="346"/>
      <c r="GP173" s="346"/>
      <c r="GQ173" s="346"/>
      <c r="GR173" s="346"/>
      <c r="GS173" s="346"/>
      <c r="GT173" s="347"/>
      <c r="GU173" s="346"/>
      <c r="GV173" s="346"/>
      <c r="GW173" s="346"/>
      <c r="GX173" s="346"/>
      <c r="GY173" s="347"/>
      <c r="GZ173" s="347"/>
      <c r="HA173" s="347"/>
      <c r="HB173" s="347"/>
      <c r="HC173" s="347"/>
      <c r="HD173" s="347"/>
      <c r="HE173" s="347"/>
      <c r="HF173" s="347"/>
      <c r="HG173" s="347"/>
      <c r="HH173" s="347"/>
      <c r="HI173" s="347"/>
      <c r="HJ173" s="347"/>
      <c r="HK173" s="347"/>
      <c r="HL173" s="347"/>
      <c r="HM173" s="347"/>
      <c r="HN173" s="347"/>
      <c r="HO173" s="347"/>
      <c r="HP173" s="347"/>
      <c r="HQ173" s="347"/>
      <c r="HR173" s="347"/>
      <c r="HS173" s="347"/>
      <c r="HT173" s="347"/>
      <c r="HU173" s="347"/>
      <c r="HV173" s="347"/>
      <c r="HW173" s="347"/>
      <c r="HX173" s="347"/>
      <c r="HY173" s="347"/>
      <c r="HZ173" s="347"/>
      <c r="IA173" s="347"/>
      <c r="IB173" s="347"/>
      <c r="IC173" s="347"/>
      <c r="ID173" s="347"/>
      <c r="IE173" s="346"/>
      <c r="IF173" s="346"/>
      <c r="IG173" s="346"/>
      <c r="IH173" s="346"/>
      <c r="II173" s="346"/>
      <c r="IJ173" s="346"/>
      <c r="IK173" s="348"/>
      <c r="IL173" s="346"/>
      <c r="IM173" s="346"/>
      <c r="IN173" s="346"/>
      <c r="IO173" s="346"/>
      <c r="IP173" s="346"/>
      <c r="IQ173" s="346"/>
      <c r="IR173" s="346"/>
      <c r="IS173" s="346"/>
      <c r="IT173" s="346"/>
      <c r="IU173" s="346"/>
      <c r="IV173" s="346"/>
      <c r="IW173" s="346"/>
      <c r="IX173" s="346"/>
      <c r="IY173" s="346"/>
      <c r="IZ173" s="346"/>
      <c r="JA173" s="348"/>
      <c r="JB173" s="348"/>
      <c r="JC173" s="346"/>
      <c r="JD173" s="346"/>
      <c r="JE173" s="346"/>
      <c r="JF173" s="346"/>
      <c r="JG173" s="346"/>
      <c r="JH173" s="346"/>
      <c r="JI173" s="346"/>
      <c r="JJ173" s="346"/>
      <c r="JK173" s="346"/>
      <c r="JL173" s="346"/>
      <c r="JM173" s="346"/>
      <c r="JN173" s="346"/>
      <c r="JO173" s="346"/>
      <c r="JP173" s="346"/>
      <c r="JQ173" s="346"/>
      <c r="JR173" s="58"/>
      <c r="JS173" s="58"/>
      <c r="JT173" s="346"/>
      <c r="JU173" s="346"/>
      <c r="JV173" s="346"/>
      <c r="JW173" s="346"/>
      <c r="JX173" s="346"/>
      <c r="JY173" s="346"/>
      <c r="JZ173" s="346"/>
      <c r="KA173" s="346"/>
      <c r="KB173" s="346"/>
      <c r="KC173" s="346"/>
      <c r="KD173" s="346"/>
      <c r="KE173" s="346"/>
      <c r="KF173" s="346"/>
      <c r="KG173" s="346"/>
      <c r="KH173" s="346"/>
      <c r="KI173" s="346"/>
      <c r="KJ173" s="346"/>
    </row>
    <row r="174" spans="1:296" s="55" customFormat="1" ht="15.6" customHeight="1" thickBot="1">
      <c r="A174" s="58"/>
      <c r="B174" s="58" t="s">
        <v>1170</v>
      </c>
      <c r="C174" s="58"/>
      <c r="D174" s="1323"/>
      <c r="E174" s="58"/>
      <c r="F174" s="2668"/>
      <c r="G174" s="2669"/>
      <c r="H174" s="58"/>
      <c r="I174" s="2671" t="s">
        <v>1157</v>
      </c>
      <c r="J174" s="2672"/>
      <c r="K174" s="2679"/>
      <c r="L174" s="2680"/>
      <c r="M174" s="58"/>
      <c r="N174" s="841"/>
      <c r="O174" s="841"/>
      <c r="P174" s="841"/>
      <c r="Q174" s="1543"/>
      <c r="R174" s="2594"/>
      <c r="S174" s="2655"/>
      <c r="T174" s="2655"/>
      <c r="U174" s="2655"/>
      <c r="V174" s="2595"/>
      <c r="W174" s="102"/>
      <c r="Z174" s="58"/>
      <c r="AA174" s="58"/>
      <c r="AB174" s="58"/>
      <c r="AC174" s="58"/>
      <c r="AD174" s="58"/>
      <c r="AE174" s="58"/>
      <c r="AF174" s="58"/>
      <c r="AG174" s="58"/>
      <c r="AH174" s="58"/>
      <c r="AI174" s="58"/>
      <c r="AJ174" s="58"/>
      <c r="AK174" s="58"/>
      <c r="AL174" s="58"/>
      <c r="AM174" s="58"/>
      <c r="AN174" s="58"/>
      <c r="AO174" s="58"/>
      <c r="AP174" s="58"/>
      <c r="AQ174" s="58"/>
      <c r="AR174" s="58"/>
      <c r="AS174" s="58"/>
      <c r="AT174" s="58"/>
      <c r="AU174" s="58"/>
      <c r="AV174" s="58"/>
      <c r="AW174" s="58"/>
      <c r="AX174" s="58"/>
      <c r="AY174" s="58"/>
      <c r="AZ174" s="58"/>
      <c r="BA174" s="58"/>
      <c r="BB174" s="58"/>
      <c r="BC174" s="58"/>
      <c r="BD174" s="58"/>
      <c r="BE174" s="58"/>
      <c r="BF174" s="58"/>
      <c r="BG174" s="58"/>
      <c r="BH174" s="58"/>
      <c r="BI174" s="58"/>
      <c r="BJ174" s="58"/>
      <c r="BK174" s="58"/>
      <c r="BL174" s="58"/>
      <c r="BM174" s="58"/>
      <c r="BN174" s="58"/>
      <c r="BO174" s="58"/>
      <c r="BP174" s="58"/>
      <c r="BQ174" s="58"/>
      <c r="BR174" s="58"/>
      <c r="BS174" s="58"/>
      <c r="BT174" s="58"/>
      <c r="BU174" s="58"/>
      <c r="BV174" s="58"/>
      <c r="BW174" s="58"/>
      <c r="BX174" s="58"/>
      <c r="BY174" s="58"/>
      <c r="BZ174" s="58"/>
      <c r="CA174" s="58"/>
      <c r="CB174" s="58"/>
      <c r="CC174" s="58"/>
      <c r="CD174" s="58"/>
      <c r="CE174" s="58"/>
      <c r="CF174" s="58"/>
      <c r="CG174" s="58"/>
      <c r="CH174" s="58"/>
      <c r="CI174" s="58"/>
      <c r="CJ174" s="58"/>
      <c r="CK174" s="58"/>
      <c r="CL174" s="58"/>
      <c r="CM174" s="58"/>
      <c r="CN174" s="58"/>
      <c r="CO174" s="58"/>
      <c r="CP174" s="58"/>
      <c r="CQ174" s="58"/>
      <c r="CR174" s="58"/>
      <c r="CS174" s="58"/>
      <c r="CT174" s="58"/>
      <c r="CU174" s="58"/>
      <c r="CV174" s="58"/>
      <c r="CW174" s="58"/>
      <c r="CX174" s="58"/>
      <c r="CY174" s="58"/>
      <c r="CZ174" s="58"/>
      <c r="DA174" s="58"/>
      <c r="DB174" s="58"/>
      <c r="DC174" s="58"/>
      <c r="DD174" s="58"/>
      <c r="DE174" s="58"/>
      <c r="DF174" s="58"/>
      <c r="DG174" s="58"/>
      <c r="DH174" s="58"/>
      <c r="DI174" s="58"/>
      <c r="DJ174" s="58"/>
      <c r="DK174" s="58"/>
      <c r="DL174" s="58"/>
      <c r="DM174" s="58"/>
      <c r="DN174" s="58"/>
      <c r="DO174" s="58"/>
      <c r="DP174" s="58"/>
      <c r="DQ174" s="58"/>
      <c r="DR174" s="58"/>
      <c r="DS174" s="58"/>
      <c r="DT174" s="58"/>
      <c r="DU174" s="58"/>
      <c r="DV174" s="58"/>
      <c r="DW174" s="58"/>
      <c r="DX174" s="58"/>
      <c r="DY174" s="58"/>
      <c r="DZ174" s="58"/>
      <c r="EA174" s="58"/>
      <c r="EB174" s="58"/>
      <c r="EC174" s="58"/>
      <c r="ED174" s="58"/>
      <c r="EE174" s="58"/>
      <c r="EF174" s="58"/>
      <c r="EG174" s="58"/>
      <c r="EH174" s="58"/>
      <c r="EI174" s="58"/>
      <c r="EJ174" s="58"/>
      <c r="EK174" s="58"/>
      <c r="EL174" s="58"/>
      <c r="EM174" s="58"/>
      <c r="EN174" s="58"/>
      <c r="EO174" s="58"/>
      <c r="EP174" s="58"/>
      <c r="EQ174" s="58"/>
      <c r="ER174" s="58"/>
      <c r="ES174" s="58"/>
      <c r="ET174" s="58"/>
      <c r="EU174" s="58"/>
      <c r="EV174" s="58"/>
      <c r="EW174" s="58"/>
      <c r="EX174" s="346"/>
      <c r="EY174" s="346"/>
      <c r="EZ174" s="346"/>
      <c r="FA174" s="346"/>
      <c r="FB174" s="346"/>
      <c r="FC174" s="346"/>
      <c r="FD174" s="346"/>
      <c r="FE174" s="346"/>
      <c r="FF174" s="346"/>
      <c r="FG174" s="346"/>
      <c r="FH174" s="346"/>
      <c r="FI174" s="346"/>
      <c r="FJ174" s="346"/>
      <c r="FK174" s="346"/>
      <c r="FL174" s="346"/>
      <c r="FM174" s="346"/>
      <c r="FN174" s="346"/>
      <c r="FO174" s="346"/>
      <c r="FP174" s="346"/>
      <c r="FQ174" s="346"/>
      <c r="FR174" s="346"/>
      <c r="FS174" s="346"/>
      <c r="FT174" s="346"/>
      <c r="FU174" s="346"/>
      <c r="FV174" s="346"/>
      <c r="FW174" s="346"/>
      <c r="FX174" s="346"/>
      <c r="FY174" s="346"/>
      <c r="FZ174" s="346"/>
      <c r="GA174" s="346"/>
      <c r="GB174" s="346"/>
      <c r="GC174" s="346"/>
      <c r="GD174" s="346"/>
      <c r="GE174" s="346"/>
      <c r="GF174" s="346"/>
      <c r="GG174" s="346"/>
      <c r="GH174" s="346"/>
      <c r="GI174" s="346"/>
      <c r="GJ174" s="346"/>
      <c r="GK174" s="346"/>
      <c r="GL174" s="346"/>
      <c r="GM174" s="346"/>
      <c r="GN174" s="346"/>
      <c r="GO174" s="346"/>
      <c r="GP174" s="346"/>
      <c r="GQ174" s="346"/>
      <c r="GR174" s="346"/>
      <c r="GS174" s="346"/>
      <c r="GT174" s="347"/>
      <c r="GU174" s="346"/>
      <c r="GV174" s="346"/>
      <c r="GW174" s="346"/>
      <c r="GX174" s="346"/>
      <c r="GY174" s="347"/>
      <c r="GZ174" s="347"/>
      <c r="HA174" s="347"/>
      <c r="HB174" s="347"/>
      <c r="HC174" s="347"/>
      <c r="HD174" s="347"/>
      <c r="HE174" s="347"/>
      <c r="HF174" s="347"/>
      <c r="HG174" s="347"/>
      <c r="HH174" s="347"/>
      <c r="HI174" s="347"/>
      <c r="HJ174" s="347"/>
      <c r="HK174" s="347"/>
      <c r="HL174" s="347"/>
      <c r="HM174" s="347"/>
      <c r="HN174" s="347"/>
      <c r="HO174" s="347"/>
      <c r="HP174" s="347"/>
      <c r="HQ174" s="347"/>
      <c r="HR174" s="347"/>
      <c r="HS174" s="347"/>
      <c r="HT174" s="347"/>
      <c r="HU174" s="347"/>
      <c r="HV174" s="347"/>
      <c r="HW174" s="347"/>
      <c r="HX174" s="347"/>
      <c r="HY174" s="347"/>
      <c r="HZ174" s="347"/>
      <c r="IA174" s="347"/>
      <c r="IB174" s="347"/>
      <c r="IC174" s="347"/>
      <c r="ID174" s="347"/>
      <c r="IE174" s="346"/>
      <c r="IF174" s="346"/>
      <c r="IG174" s="346"/>
      <c r="IH174" s="346"/>
      <c r="II174" s="346"/>
      <c r="IJ174" s="346"/>
      <c r="IK174" s="348"/>
      <c r="IL174" s="346"/>
      <c r="IM174" s="346"/>
      <c r="IN174" s="346"/>
      <c r="IO174" s="346"/>
      <c r="IP174" s="346"/>
      <c r="IQ174" s="346"/>
      <c r="IR174" s="346"/>
      <c r="IS174" s="346"/>
      <c r="IT174" s="346"/>
      <c r="IU174" s="346"/>
      <c r="IV174" s="346"/>
      <c r="IW174" s="346"/>
      <c r="IX174" s="346"/>
      <c r="IY174" s="346"/>
      <c r="IZ174" s="346"/>
      <c r="JA174" s="348"/>
      <c r="JB174" s="348"/>
      <c r="JC174" s="346"/>
      <c r="JD174" s="346"/>
      <c r="JE174" s="346"/>
      <c r="JF174" s="346"/>
      <c r="JG174" s="346"/>
      <c r="JH174" s="346"/>
      <c r="JI174" s="346"/>
      <c r="JJ174" s="346"/>
      <c r="JK174" s="346"/>
      <c r="JL174" s="346"/>
      <c r="JM174" s="346"/>
      <c r="JN174" s="346"/>
      <c r="JO174" s="346"/>
      <c r="JP174" s="346"/>
      <c r="JQ174" s="346"/>
      <c r="JR174" s="58"/>
      <c r="JS174" s="58"/>
      <c r="JT174" s="346"/>
      <c r="JU174" s="346"/>
      <c r="JV174" s="346"/>
      <c r="JW174" s="346"/>
      <c r="JX174" s="346"/>
      <c r="JY174" s="346"/>
      <c r="JZ174" s="346"/>
      <c r="KA174" s="346"/>
      <c r="KB174" s="346"/>
      <c r="KC174" s="346"/>
      <c r="KD174" s="346"/>
      <c r="KE174" s="346"/>
      <c r="KF174" s="346"/>
      <c r="KG174" s="346"/>
      <c r="KH174" s="346"/>
      <c r="KI174" s="346"/>
      <c r="KJ174" s="346"/>
    </row>
    <row r="175" spans="1:296" s="55" customFormat="1" ht="15.6" customHeight="1" thickTop="1" thickBot="1">
      <c r="A175" s="58"/>
      <c r="B175" s="58" t="s">
        <v>1171</v>
      </c>
      <c r="C175" s="58"/>
      <c r="D175" s="1323"/>
      <c r="E175" s="58"/>
      <c r="F175" s="2668">
        <f>3600+2000-2000</f>
        <v>3600</v>
      </c>
      <c r="G175" s="2669"/>
      <c r="H175" s="58"/>
      <c r="I175" s="6"/>
      <c r="J175" s="7" t="s">
        <v>665</v>
      </c>
      <c r="K175" s="1788">
        <f>SUM(K171:K174)</f>
        <v>9000</v>
      </c>
      <c r="L175" s="1789"/>
      <c r="M175" s="1798" t="str">
        <f>IF(P177="","",IF(P175&lt;P177, "WARNING! OE below required minimum.",""))</f>
        <v/>
      </c>
      <c r="N175" s="6" t="s">
        <v>1172</v>
      </c>
      <c r="O175" s="368"/>
      <c r="P175" s="1326">
        <f>F168+F177+F188+K166+K175+K185+P167+P170</f>
        <v>380485</v>
      </c>
      <c r="R175" s="2594"/>
      <c r="S175" s="2655"/>
      <c r="T175" s="2655"/>
      <c r="U175" s="2655"/>
      <c r="V175" s="2595"/>
      <c r="W175" s="102"/>
      <c r="Z175" s="58"/>
      <c r="AA175" s="58"/>
      <c r="AB175" s="58"/>
      <c r="AC175" s="58"/>
      <c r="AD175" s="58"/>
      <c r="AE175" s="58"/>
      <c r="AF175" s="58"/>
      <c r="AG175" s="58"/>
      <c r="AH175" s="58"/>
      <c r="AI175" s="58"/>
      <c r="AJ175" s="58"/>
      <c r="AK175" s="58"/>
      <c r="AL175" s="58"/>
      <c r="AM175" s="58"/>
      <c r="AN175" s="58"/>
      <c r="AO175" s="58"/>
      <c r="AP175" s="58"/>
      <c r="AQ175" s="58"/>
      <c r="AR175" s="58"/>
      <c r="AS175" s="58"/>
      <c r="AT175" s="58"/>
      <c r="AU175" s="58"/>
      <c r="AV175" s="58"/>
      <c r="AW175" s="58"/>
      <c r="AX175" s="58"/>
      <c r="AY175" s="58"/>
      <c r="AZ175" s="58"/>
      <c r="BA175" s="58"/>
      <c r="BB175" s="58"/>
      <c r="BC175" s="58"/>
      <c r="BD175" s="58"/>
      <c r="BE175" s="58"/>
      <c r="BF175" s="58"/>
      <c r="BG175" s="58"/>
      <c r="BH175" s="58"/>
      <c r="BI175" s="58"/>
      <c r="BJ175" s="58"/>
      <c r="BK175" s="58"/>
      <c r="BL175" s="58"/>
      <c r="BM175" s="58"/>
      <c r="BN175" s="58"/>
      <c r="BO175" s="58"/>
      <c r="BP175" s="58"/>
      <c r="BQ175" s="58"/>
      <c r="BR175" s="58"/>
      <c r="BS175" s="58"/>
      <c r="BT175" s="58"/>
      <c r="BU175" s="58"/>
      <c r="BV175" s="58"/>
      <c r="BW175" s="58"/>
      <c r="BX175" s="58"/>
      <c r="BY175" s="58"/>
      <c r="BZ175" s="58"/>
      <c r="CA175" s="58"/>
      <c r="CB175" s="58"/>
      <c r="CC175" s="58"/>
      <c r="CD175" s="58"/>
      <c r="CE175" s="58"/>
      <c r="CF175" s="58"/>
      <c r="CG175" s="58"/>
      <c r="CH175" s="58"/>
      <c r="CI175" s="58"/>
      <c r="CJ175" s="58"/>
      <c r="CK175" s="58"/>
      <c r="CL175" s="58"/>
      <c r="CM175" s="58"/>
      <c r="CN175" s="58"/>
      <c r="CO175" s="58"/>
      <c r="CP175" s="58"/>
      <c r="CQ175" s="58"/>
      <c r="CR175" s="58"/>
      <c r="CS175" s="58"/>
      <c r="CT175" s="58"/>
      <c r="CU175" s="58"/>
      <c r="CV175" s="58"/>
      <c r="CW175" s="58"/>
      <c r="CX175" s="58"/>
      <c r="CY175" s="58"/>
      <c r="CZ175" s="58"/>
      <c r="DA175" s="58"/>
      <c r="DB175" s="58"/>
      <c r="DC175" s="58"/>
      <c r="DD175" s="58"/>
      <c r="DE175" s="58"/>
      <c r="DF175" s="58"/>
      <c r="DG175" s="58"/>
      <c r="DH175" s="58"/>
      <c r="DI175" s="58"/>
      <c r="DJ175" s="58"/>
      <c r="DK175" s="58"/>
      <c r="DL175" s="58"/>
      <c r="DM175" s="58"/>
      <c r="DN175" s="58"/>
      <c r="DO175" s="58"/>
      <c r="DP175" s="58"/>
      <c r="DQ175" s="58"/>
      <c r="DR175" s="58"/>
      <c r="DS175" s="58"/>
      <c r="DT175" s="58"/>
      <c r="DU175" s="58"/>
      <c r="DV175" s="58"/>
      <c r="DW175" s="58"/>
      <c r="DX175" s="58"/>
      <c r="DY175" s="58"/>
      <c r="DZ175" s="58"/>
      <c r="EA175" s="58"/>
      <c r="EB175" s="58"/>
      <c r="EC175" s="58"/>
      <c r="ED175" s="58"/>
      <c r="EE175" s="58"/>
      <c r="EF175" s="58"/>
      <c r="EG175" s="58"/>
      <c r="EH175" s="58"/>
      <c r="EI175" s="58"/>
      <c r="EJ175" s="58"/>
      <c r="EK175" s="58"/>
      <c r="EL175" s="58"/>
      <c r="EM175" s="58"/>
      <c r="EN175" s="58"/>
      <c r="EO175" s="58"/>
      <c r="EP175" s="58"/>
      <c r="EQ175" s="58"/>
      <c r="ER175" s="58"/>
      <c r="ES175" s="58"/>
      <c r="ET175" s="58"/>
      <c r="EU175" s="58"/>
      <c r="EV175" s="58"/>
      <c r="EW175" s="58"/>
      <c r="EX175" s="346"/>
      <c r="EY175" s="346"/>
      <c r="EZ175" s="346"/>
      <c r="FA175" s="346"/>
      <c r="FB175" s="346"/>
      <c r="FC175" s="346"/>
      <c r="FD175" s="346"/>
      <c r="FE175" s="346"/>
      <c r="FF175" s="346"/>
      <c r="FG175" s="346"/>
      <c r="FH175" s="346"/>
      <c r="FI175" s="346"/>
      <c r="FJ175" s="346"/>
      <c r="FK175" s="346"/>
      <c r="FL175" s="346"/>
      <c r="FM175" s="346"/>
      <c r="FN175" s="346"/>
      <c r="FO175" s="346"/>
      <c r="FP175" s="346"/>
      <c r="FQ175" s="346"/>
      <c r="FR175" s="346"/>
      <c r="FS175" s="346"/>
      <c r="FT175" s="346"/>
      <c r="FU175" s="346"/>
      <c r="FV175" s="346"/>
      <c r="FW175" s="346"/>
      <c r="FX175" s="346"/>
      <c r="FY175" s="346"/>
      <c r="FZ175" s="346"/>
      <c r="GA175" s="346"/>
      <c r="GB175" s="346"/>
      <c r="GC175" s="346"/>
      <c r="GD175" s="346"/>
      <c r="GE175" s="346"/>
      <c r="GF175" s="346"/>
      <c r="GG175" s="346"/>
      <c r="GH175" s="346"/>
      <c r="GI175" s="346"/>
      <c r="GJ175" s="346"/>
      <c r="GK175" s="346"/>
      <c r="GL175" s="346"/>
      <c r="GM175" s="346"/>
      <c r="GN175" s="346"/>
      <c r="GO175" s="346"/>
      <c r="GP175" s="346"/>
      <c r="GQ175" s="346"/>
      <c r="GR175" s="346"/>
      <c r="GS175" s="346"/>
      <c r="GT175" s="347"/>
      <c r="GU175" s="346"/>
      <c r="GV175" s="346"/>
      <c r="GW175" s="346"/>
      <c r="GX175" s="346"/>
      <c r="GY175" s="347"/>
      <c r="GZ175" s="347"/>
      <c r="HA175" s="347"/>
      <c r="HB175" s="347"/>
      <c r="HC175" s="347"/>
      <c r="HD175" s="347"/>
      <c r="HE175" s="347"/>
      <c r="HF175" s="347"/>
      <c r="HG175" s="347"/>
      <c r="HH175" s="347"/>
      <c r="HI175" s="347"/>
      <c r="HJ175" s="347"/>
      <c r="HK175" s="347"/>
      <c r="HL175" s="347"/>
      <c r="HM175" s="347"/>
      <c r="HN175" s="347"/>
      <c r="HO175" s="347"/>
      <c r="HP175" s="347"/>
      <c r="HQ175" s="347"/>
      <c r="HR175" s="347"/>
      <c r="HS175" s="347"/>
      <c r="HT175" s="347"/>
      <c r="HU175" s="347"/>
      <c r="HV175" s="347"/>
      <c r="HW175" s="347"/>
      <c r="HX175" s="347"/>
      <c r="HY175" s="347"/>
      <c r="HZ175" s="347"/>
      <c r="IA175" s="347"/>
      <c r="IB175" s="347"/>
      <c r="IC175" s="347"/>
      <c r="ID175" s="347"/>
      <c r="IE175" s="346"/>
      <c r="IF175" s="346"/>
      <c r="IG175" s="346"/>
      <c r="IH175" s="346"/>
      <c r="II175" s="346"/>
      <c r="IJ175" s="346"/>
      <c r="IK175" s="348"/>
      <c r="IL175" s="346"/>
      <c r="IM175" s="346"/>
      <c r="IN175" s="346"/>
      <c r="IO175" s="346"/>
      <c r="IP175" s="346"/>
      <c r="IQ175" s="346"/>
      <c r="IR175" s="346"/>
      <c r="IS175" s="346"/>
      <c r="IT175" s="346"/>
      <c r="IU175" s="346"/>
      <c r="IV175" s="346"/>
      <c r="IW175" s="346"/>
      <c r="IX175" s="346"/>
      <c r="IY175" s="346"/>
      <c r="IZ175" s="346"/>
      <c r="JA175" s="348"/>
      <c r="JB175" s="348"/>
      <c r="JC175" s="346"/>
      <c r="JD175" s="346"/>
      <c r="JE175" s="346"/>
      <c r="JF175" s="346"/>
      <c r="JG175" s="346"/>
      <c r="JH175" s="346"/>
      <c r="JI175" s="346"/>
      <c r="JJ175" s="346"/>
      <c r="JK175" s="346"/>
      <c r="JL175" s="346"/>
      <c r="JM175" s="346"/>
      <c r="JN175" s="346"/>
      <c r="JO175" s="346"/>
      <c r="JP175" s="346"/>
      <c r="JQ175" s="346"/>
      <c r="JR175" s="58"/>
      <c r="JS175" s="58"/>
      <c r="JT175" s="346"/>
      <c r="JU175" s="346"/>
      <c r="JV175" s="346"/>
      <c r="JW175" s="346"/>
      <c r="JX175" s="346"/>
      <c r="JY175" s="346"/>
      <c r="JZ175" s="346"/>
      <c r="KA175" s="346"/>
      <c r="KB175" s="346"/>
      <c r="KC175" s="346"/>
      <c r="KD175" s="346"/>
      <c r="KE175" s="346"/>
      <c r="KF175" s="346"/>
      <c r="KG175" s="346"/>
      <c r="KH175" s="346"/>
      <c r="KI175" s="346"/>
      <c r="KJ175" s="346"/>
    </row>
    <row r="176" spans="1:296" s="55" customFormat="1" ht="15.6" customHeight="1" thickBot="1">
      <c r="A176" s="58"/>
      <c r="B176" s="2674" t="s">
        <v>1157</v>
      </c>
      <c r="C176" s="2675"/>
      <c r="D176" s="2675"/>
      <c r="E176" s="2676"/>
      <c r="F176" s="2677"/>
      <c r="G176" s="2678"/>
      <c r="H176" s="58"/>
      <c r="I176" s="58"/>
      <c r="J176" s="1322"/>
      <c r="K176" s="58"/>
      <c r="L176" s="58"/>
      <c r="M176" s="1798"/>
      <c r="N176" s="41" t="s">
        <v>1173</v>
      </c>
      <c r="O176" s="295">
        <f>+P175/O62</f>
        <v>5141.6891891891892</v>
      </c>
      <c r="Q176" s="1321"/>
      <c r="R176" s="2594"/>
      <c r="S176" s="2655"/>
      <c r="T176" s="2655"/>
      <c r="U176" s="2655"/>
      <c r="V176" s="2595"/>
      <c r="W176" s="102"/>
      <c r="Z176" s="58"/>
      <c r="AA176" s="58"/>
      <c r="AB176" s="58"/>
      <c r="AC176" s="58"/>
      <c r="AD176" s="58"/>
      <c r="AE176" s="58"/>
      <c r="AF176" s="58"/>
      <c r="AG176" s="58"/>
      <c r="AH176" s="58"/>
      <c r="AI176" s="58"/>
      <c r="AJ176" s="58"/>
      <c r="AK176" s="58"/>
      <c r="AL176" s="58"/>
      <c r="AM176" s="58"/>
      <c r="AN176" s="58"/>
      <c r="AO176" s="58"/>
      <c r="AP176" s="58"/>
      <c r="AQ176" s="58"/>
      <c r="AR176" s="58"/>
      <c r="AS176" s="58"/>
      <c r="AT176" s="58"/>
      <c r="AU176" s="58"/>
      <c r="AV176" s="58"/>
      <c r="AW176" s="58"/>
      <c r="AX176" s="58"/>
      <c r="AY176" s="58"/>
      <c r="AZ176" s="58"/>
      <c r="BA176" s="58"/>
      <c r="BB176" s="58"/>
      <c r="BC176" s="58"/>
      <c r="BD176" s="58"/>
      <c r="BE176" s="58"/>
      <c r="BF176" s="58"/>
      <c r="BG176" s="58"/>
      <c r="BH176" s="58"/>
      <c r="BI176" s="58"/>
      <c r="BJ176" s="58"/>
      <c r="BK176" s="58"/>
      <c r="BL176" s="58"/>
      <c r="BM176" s="58"/>
      <c r="BN176" s="58"/>
      <c r="BO176" s="58"/>
      <c r="BP176" s="58"/>
      <c r="BQ176" s="58"/>
      <c r="BR176" s="58"/>
      <c r="BS176" s="58"/>
      <c r="BT176" s="58"/>
      <c r="BU176" s="58"/>
      <c r="BV176" s="58"/>
      <c r="BW176" s="58"/>
      <c r="BX176" s="58"/>
      <c r="BY176" s="58"/>
      <c r="BZ176" s="58"/>
      <c r="CA176" s="58"/>
      <c r="CB176" s="58"/>
      <c r="CC176" s="58"/>
      <c r="CD176" s="58"/>
      <c r="CE176" s="58"/>
      <c r="CF176" s="58"/>
      <c r="CG176" s="58"/>
      <c r="CH176" s="58"/>
      <c r="CI176" s="58"/>
      <c r="CJ176" s="58"/>
      <c r="CK176" s="58"/>
      <c r="CL176" s="58"/>
      <c r="CM176" s="58"/>
      <c r="CN176" s="58"/>
      <c r="CO176" s="58"/>
      <c r="CP176" s="58"/>
      <c r="CQ176" s="58"/>
      <c r="CR176" s="58"/>
      <c r="CS176" s="58"/>
      <c r="CT176" s="58"/>
      <c r="CU176" s="58"/>
      <c r="CV176" s="58"/>
      <c r="CW176" s="58"/>
      <c r="CX176" s="58"/>
      <c r="CY176" s="58"/>
      <c r="CZ176" s="58"/>
      <c r="DA176" s="58"/>
      <c r="DB176" s="58"/>
      <c r="DC176" s="58"/>
      <c r="DD176" s="58"/>
      <c r="DE176" s="58"/>
      <c r="DF176" s="58"/>
      <c r="DG176" s="58"/>
      <c r="DH176" s="58"/>
      <c r="DI176" s="58"/>
      <c r="DJ176" s="58"/>
      <c r="DK176" s="58"/>
      <c r="DL176" s="58"/>
      <c r="DM176" s="58"/>
      <c r="DN176" s="58"/>
      <c r="DO176" s="58"/>
      <c r="DP176" s="58"/>
      <c r="DQ176" s="58"/>
      <c r="DR176" s="58"/>
      <c r="DS176" s="58"/>
      <c r="DT176" s="58"/>
      <c r="DU176" s="58"/>
      <c r="DV176" s="58"/>
      <c r="DW176" s="58"/>
      <c r="DX176" s="58"/>
      <c r="DY176" s="58"/>
      <c r="DZ176" s="58"/>
      <c r="EA176" s="58"/>
      <c r="EB176" s="58"/>
      <c r="EC176" s="58"/>
      <c r="ED176" s="58"/>
      <c r="EE176" s="58"/>
      <c r="EF176" s="58"/>
      <c r="EG176" s="58"/>
      <c r="EH176" s="58"/>
      <c r="EI176" s="58"/>
      <c r="EJ176" s="58"/>
      <c r="EK176" s="58"/>
      <c r="EL176" s="58"/>
      <c r="EM176" s="58"/>
      <c r="EN176" s="58"/>
      <c r="EO176" s="58"/>
      <c r="EP176" s="58"/>
      <c r="EQ176" s="58"/>
      <c r="ER176" s="58"/>
      <c r="ES176" s="58"/>
      <c r="ET176" s="58"/>
      <c r="EU176" s="58"/>
      <c r="EV176" s="58"/>
      <c r="EW176" s="58"/>
      <c r="EX176" s="346"/>
      <c r="EY176" s="346"/>
      <c r="EZ176" s="346"/>
      <c r="FA176" s="346"/>
      <c r="FB176" s="346"/>
      <c r="FC176" s="346"/>
      <c r="FD176" s="346"/>
      <c r="FE176" s="346"/>
      <c r="FF176" s="346"/>
      <c r="FG176" s="346"/>
      <c r="FH176" s="346"/>
      <c r="FI176" s="346"/>
      <c r="FJ176" s="346"/>
      <c r="FK176" s="346"/>
      <c r="FL176" s="346"/>
      <c r="FM176" s="346"/>
      <c r="FN176" s="346"/>
      <c r="FO176" s="346"/>
      <c r="FP176" s="346"/>
      <c r="FQ176" s="346"/>
      <c r="FR176" s="346"/>
      <c r="FS176" s="346"/>
      <c r="FT176" s="346"/>
      <c r="FU176" s="346"/>
      <c r="FV176" s="346"/>
      <c r="FW176" s="346"/>
      <c r="FX176" s="346"/>
      <c r="FY176" s="346"/>
      <c r="FZ176" s="346"/>
      <c r="GA176" s="346"/>
      <c r="GB176" s="346"/>
      <c r="GC176" s="346"/>
      <c r="GD176" s="346"/>
      <c r="GE176" s="346"/>
      <c r="GF176" s="346"/>
      <c r="GG176" s="346"/>
      <c r="GH176" s="346"/>
      <c r="GI176" s="346"/>
      <c r="GJ176" s="346"/>
      <c r="GK176" s="346"/>
      <c r="GL176" s="346"/>
      <c r="GM176" s="346"/>
      <c r="GN176" s="346"/>
      <c r="GO176" s="346"/>
      <c r="GP176" s="346"/>
      <c r="GQ176" s="346"/>
      <c r="GR176" s="346"/>
      <c r="GS176" s="346"/>
      <c r="GT176" s="347"/>
      <c r="GU176" s="346"/>
      <c r="GV176" s="346"/>
      <c r="GW176" s="346"/>
      <c r="GX176" s="346"/>
      <c r="GY176" s="347"/>
      <c r="GZ176" s="347"/>
      <c r="HA176" s="347"/>
      <c r="HB176" s="347"/>
      <c r="HC176" s="347"/>
      <c r="HD176" s="347"/>
      <c r="HE176" s="347"/>
      <c r="HF176" s="347"/>
      <c r="HG176" s="347"/>
      <c r="HH176" s="347"/>
      <c r="HI176" s="347"/>
      <c r="HJ176" s="347"/>
      <c r="HK176" s="347"/>
      <c r="HL176" s="347"/>
      <c r="HM176" s="347"/>
      <c r="HN176" s="347"/>
      <c r="HO176" s="347"/>
      <c r="HP176" s="347"/>
      <c r="HQ176" s="347"/>
      <c r="HR176" s="347"/>
      <c r="HS176" s="347"/>
      <c r="HT176" s="347"/>
      <c r="HU176" s="347"/>
      <c r="HV176" s="347"/>
      <c r="HW176" s="347"/>
      <c r="HX176" s="347"/>
      <c r="HY176" s="347"/>
      <c r="HZ176" s="347"/>
      <c r="IA176" s="347"/>
      <c r="IB176" s="347"/>
      <c r="IC176" s="347"/>
      <c r="ID176" s="347"/>
      <c r="IE176" s="346"/>
      <c r="IF176" s="346"/>
      <c r="IG176" s="346"/>
      <c r="IH176" s="346"/>
      <c r="II176" s="346"/>
      <c r="IJ176" s="346"/>
      <c r="IK176" s="348"/>
      <c r="IL176" s="346"/>
      <c r="IM176" s="346"/>
      <c r="IN176" s="346"/>
      <c r="IO176" s="346"/>
      <c r="IP176" s="346"/>
      <c r="IQ176" s="346"/>
      <c r="IR176" s="346"/>
      <c r="IS176" s="346"/>
      <c r="IT176" s="346"/>
      <c r="IU176" s="346"/>
      <c r="IV176" s="346"/>
      <c r="IW176" s="346"/>
      <c r="IX176" s="346"/>
      <c r="IY176" s="346"/>
      <c r="IZ176" s="346"/>
      <c r="JA176" s="348"/>
      <c r="JB176" s="348"/>
      <c r="JC176" s="346"/>
      <c r="JD176" s="346"/>
      <c r="JE176" s="346"/>
      <c r="JF176" s="346"/>
      <c r="JG176" s="346"/>
      <c r="JH176" s="346"/>
      <c r="JI176" s="346"/>
      <c r="JJ176" s="346"/>
      <c r="JK176" s="346"/>
      <c r="JL176" s="346"/>
      <c r="JM176" s="346"/>
      <c r="JN176" s="346"/>
      <c r="JO176" s="346"/>
      <c r="JP176" s="346"/>
      <c r="JQ176" s="346"/>
      <c r="JR176" s="58"/>
      <c r="JS176" s="58"/>
      <c r="JT176" s="346"/>
      <c r="JU176" s="346"/>
      <c r="JV176" s="346"/>
      <c r="JW176" s="346"/>
      <c r="JX176" s="346"/>
      <c r="JY176" s="346"/>
      <c r="JZ176" s="346"/>
      <c r="KA176" s="346"/>
      <c r="KB176" s="346"/>
      <c r="KC176" s="346"/>
      <c r="KD176" s="346"/>
      <c r="KE176" s="346"/>
      <c r="KF176" s="346"/>
      <c r="KG176" s="346"/>
      <c r="KH176" s="346"/>
      <c r="KI176" s="346"/>
      <c r="KJ176" s="346"/>
    </row>
    <row r="177" spans="1:296" s="55" customFormat="1" ht="15.6" customHeight="1" thickTop="1">
      <c r="A177" s="58"/>
      <c r="B177" s="58"/>
      <c r="C177" s="7" t="s">
        <v>665</v>
      </c>
      <c r="D177" s="58"/>
      <c r="E177" s="58"/>
      <c r="F177" s="1796">
        <f>SUM(F171:G176)</f>
        <v>11800</v>
      </c>
      <c r="G177" s="1797"/>
      <c r="H177" s="58"/>
      <c r="I177" s="58"/>
      <c r="J177" s="1322"/>
      <c r="K177" s="58"/>
      <c r="L177" s="58"/>
      <c r="M177" s="1798"/>
      <c r="O177" s="842" t="s">
        <v>1174</v>
      </c>
      <c r="P177" s="8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259000</v>
      </c>
      <c r="R177" s="2594"/>
      <c r="S177" s="2655"/>
      <c r="T177" s="2655"/>
      <c r="U177" s="2655"/>
      <c r="V177" s="2595"/>
      <c r="W177" s="102"/>
      <c r="Z177" s="58"/>
      <c r="AA177" s="58"/>
      <c r="AB177" s="58"/>
      <c r="AC177" s="58"/>
      <c r="AD177" s="58"/>
      <c r="AE177" s="58"/>
      <c r="AF177" s="58"/>
      <c r="AG177" s="58"/>
      <c r="AH177" s="58"/>
      <c r="AI177" s="58"/>
      <c r="AJ177" s="58"/>
      <c r="AK177" s="58"/>
      <c r="AL177" s="58"/>
      <c r="AM177" s="58"/>
      <c r="AN177" s="58"/>
      <c r="AO177" s="58"/>
      <c r="AP177" s="58"/>
      <c r="AQ177" s="58"/>
      <c r="AR177" s="58"/>
      <c r="AS177" s="58"/>
      <c r="AT177" s="58"/>
      <c r="AU177" s="58"/>
      <c r="AV177" s="58"/>
      <c r="AW177" s="58"/>
      <c r="AX177" s="58"/>
      <c r="AY177" s="58"/>
      <c r="AZ177" s="58"/>
      <c r="BA177" s="58"/>
      <c r="BB177" s="58"/>
      <c r="BC177" s="58"/>
      <c r="BD177" s="58"/>
      <c r="BE177" s="58"/>
      <c r="BF177" s="58"/>
      <c r="BG177" s="58"/>
      <c r="BH177" s="58"/>
      <c r="BI177" s="58"/>
      <c r="BJ177" s="58"/>
      <c r="BK177" s="58"/>
      <c r="BL177" s="58"/>
      <c r="BM177" s="58"/>
      <c r="BN177" s="58"/>
      <c r="BO177" s="58"/>
      <c r="BP177" s="58"/>
      <c r="BQ177" s="58"/>
      <c r="BR177" s="58"/>
      <c r="BS177" s="58"/>
      <c r="BT177" s="58"/>
      <c r="BU177" s="58"/>
      <c r="BV177" s="58"/>
      <c r="BW177" s="58"/>
      <c r="BX177" s="58"/>
      <c r="BY177" s="58"/>
      <c r="BZ177" s="58"/>
      <c r="CA177" s="58"/>
      <c r="CB177" s="58"/>
      <c r="CC177" s="58"/>
      <c r="CD177" s="58"/>
      <c r="CE177" s="58"/>
      <c r="CF177" s="58"/>
      <c r="CG177" s="58"/>
      <c r="CH177" s="58"/>
      <c r="CI177" s="58"/>
      <c r="CJ177" s="58"/>
      <c r="CK177" s="58"/>
      <c r="CL177" s="58"/>
      <c r="CM177" s="58"/>
      <c r="CN177" s="58"/>
      <c r="CO177" s="58"/>
      <c r="CP177" s="58"/>
      <c r="CQ177" s="58"/>
      <c r="CR177" s="58"/>
      <c r="CS177" s="58"/>
      <c r="CT177" s="58"/>
      <c r="CU177" s="58"/>
      <c r="CV177" s="58"/>
      <c r="CW177" s="58"/>
      <c r="CX177" s="58"/>
      <c r="CY177" s="58"/>
      <c r="CZ177" s="58"/>
      <c r="DA177" s="58"/>
      <c r="DB177" s="58"/>
      <c r="DC177" s="58"/>
      <c r="DD177" s="58"/>
      <c r="DE177" s="58"/>
      <c r="DF177" s="58"/>
      <c r="DG177" s="58"/>
      <c r="DH177" s="58"/>
      <c r="DI177" s="58"/>
      <c r="DJ177" s="58"/>
      <c r="DK177" s="58"/>
      <c r="DL177" s="58"/>
      <c r="DM177" s="58"/>
      <c r="DN177" s="58"/>
      <c r="DO177" s="58"/>
      <c r="DP177" s="58"/>
      <c r="DQ177" s="58"/>
      <c r="DR177" s="58"/>
      <c r="DS177" s="58"/>
      <c r="DT177" s="58"/>
      <c r="DU177" s="58"/>
      <c r="DV177" s="58"/>
      <c r="DW177" s="58"/>
      <c r="DX177" s="58"/>
      <c r="DY177" s="58"/>
      <c r="DZ177" s="58"/>
      <c r="EA177" s="58"/>
      <c r="EB177" s="58"/>
      <c r="EC177" s="58"/>
      <c r="ED177" s="58"/>
      <c r="EE177" s="58"/>
      <c r="EF177" s="58"/>
      <c r="EG177" s="58"/>
      <c r="EH177" s="58"/>
      <c r="EI177" s="58"/>
      <c r="EJ177" s="58"/>
      <c r="EK177" s="58"/>
      <c r="EL177" s="58"/>
      <c r="EM177" s="58"/>
      <c r="EN177" s="58"/>
      <c r="EO177" s="58"/>
      <c r="EP177" s="58"/>
      <c r="EQ177" s="58"/>
      <c r="ER177" s="58"/>
      <c r="ES177" s="58"/>
      <c r="ET177" s="58"/>
      <c r="EU177" s="58"/>
      <c r="EV177" s="58"/>
      <c r="EW177" s="58"/>
      <c r="EX177" s="346"/>
      <c r="EY177" s="346"/>
      <c r="EZ177" s="346"/>
      <c r="FA177" s="346"/>
      <c r="FB177" s="346"/>
      <c r="FC177" s="346"/>
      <c r="FD177" s="346"/>
      <c r="FE177" s="346"/>
      <c r="FF177" s="346"/>
      <c r="FG177" s="346"/>
      <c r="FH177" s="346"/>
      <c r="FI177" s="346"/>
      <c r="FJ177" s="346"/>
      <c r="FK177" s="346"/>
      <c r="FL177" s="346"/>
      <c r="FM177" s="346"/>
      <c r="FN177" s="346"/>
      <c r="FO177" s="346"/>
      <c r="FP177" s="346"/>
      <c r="FQ177" s="346"/>
      <c r="FR177" s="346"/>
      <c r="FS177" s="346"/>
      <c r="FT177" s="346"/>
      <c r="FU177" s="346"/>
      <c r="FV177" s="346"/>
      <c r="FW177" s="346"/>
      <c r="FX177" s="346"/>
      <c r="FY177" s="346"/>
      <c r="FZ177" s="346"/>
      <c r="GA177" s="346"/>
      <c r="GB177" s="346"/>
      <c r="GC177" s="346"/>
      <c r="GD177" s="346"/>
      <c r="GE177" s="346"/>
      <c r="GF177" s="346"/>
      <c r="GG177" s="346"/>
      <c r="GH177" s="346"/>
      <c r="GI177" s="346"/>
      <c r="GJ177" s="346"/>
      <c r="GK177" s="346"/>
      <c r="GL177" s="346"/>
      <c r="GM177" s="346"/>
      <c r="GN177" s="346"/>
      <c r="GO177" s="346"/>
      <c r="GP177" s="346"/>
      <c r="GQ177" s="346"/>
      <c r="GR177" s="346"/>
      <c r="GS177" s="346"/>
      <c r="GT177" s="347"/>
      <c r="GU177" s="346"/>
      <c r="GV177" s="346"/>
      <c r="GW177" s="346"/>
      <c r="GX177" s="346"/>
      <c r="GY177" s="347"/>
      <c r="GZ177" s="347"/>
      <c r="HA177" s="347"/>
      <c r="HB177" s="347"/>
      <c r="HC177" s="347"/>
      <c r="HD177" s="347"/>
      <c r="HE177" s="347"/>
      <c r="HF177" s="347"/>
      <c r="HG177" s="347"/>
      <c r="HH177" s="347"/>
      <c r="HI177" s="347"/>
      <c r="HJ177" s="347"/>
      <c r="HK177" s="347"/>
      <c r="HL177" s="347"/>
      <c r="HM177" s="347"/>
      <c r="HN177" s="347"/>
      <c r="HO177" s="347"/>
      <c r="HP177" s="347"/>
      <c r="HQ177" s="347"/>
      <c r="HR177" s="347"/>
      <c r="HS177" s="347"/>
      <c r="HT177" s="347"/>
      <c r="HU177" s="347"/>
      <c r="HV177" s="347"/>
      <c r="HW177" s="347"/>
      <c r="HX177" s="347"/>
      <c r="HY177" s="347"/>
      <c r="HZ177" s="347"/>
      <c r="IA177" s="347"/>
      <c r="IB177" s="347"/>
      <c r="IC177" s="347"/>
      <c r="ID177" s="347"/>
      <c r="IE177" s="346"/>
      <c r="IF177" s="346"/>
      <c r="IG177" s="346"/>
      <c r="IH177" s="346"/>
      <c r="II177" s="346"/>
      <c r="IJ177" s="346"/>
      <c r="IK177" s="348"/>
      <c r="IL177" s="346"/>
      <c r="IM177" s="346"/>
      <c r="IN177" s="346"/>
      <c r="IO177" s="346"/>
      <c r="IP177" s="346"/>
      <c r="IQ177" s="346"/>
      <c r="IR177" s="346"/>
      <c r="IS177" s="346"/>
      <c r="IT177" s="346"/>
      <c r="IU177" s="346"/>
      <c r="IV177" s="346"/>
      <c r="IW177" s="346"/>
      <c r="IX177" s="346"/>
      <c r="IY177" s="346"/>
      <c r="IZ177" s="346"/>
      <c r="JA177" s="348"/>
      <c r="JB177" s="348"/>
      <c r="JC177" s="346"/>
      <c r="JD177" s="346"/>
      <c r="JE177" s="346"/>
      <c r="JF177" s="346"/>
      <c r="JG177" s="346"/>
      <c r="JH177" s="346"/>
      <c r="JI177" s="346"/>
      <c r="JJ177" s="346"/>
      <c r="JK177" s="346"/>
      <c r="JL177" s="346"/>
      <c r="JM177" s="346"/>
      <c r="JN177" s="346"/>
      <c r="JO177" s="346"/>
      <c r="JP177" s="346"/>
      <c r="JQ177" s="346"/>
      <c r="JR177" s="58"/>
      <c r="JS177" s="58"/>
      <c r="JT177" s="346"/>
      <c r="JU177" s="346"/>
      <c r="JV177" s="346"/>
      <c r="JW177" s="346"/>
      <c r="JX177" s="346"/>
      <c r="JY177" s="346"/>
      <c r="JZ177" s="346"/>
      <c r="KA177" s="346"/>
      <c r="KB177" s="346"/>
      <c r="KC177" s="346"/>
      <c r="KD177" s="346"/>
      <c r="KE177" s="346"/>
      <c r="KF177" s="346"/>
      <c r="KG177" s="346"/>
      <c r="KH177" s="346"/>
      <c r="KI177" s="346"/>
      <c r="KJ177" s="346"/>
    </row>
    <row r="178" spans="1:296" s="55" customFormat="1" ht="6" customHeight="1" thickBot="1">
      <c r="A178" s="58"/>
      <c r="B178" s="58"/>
      <c r="C178" s="58"/>
      <c r="D178" s="7"/>
      <c r="E178" s="58"/>
      <c r="F178" s="1322"/>
      <c r="G178" s="1322"/>
      <c r="H178" s="58"/>
      <c r="I178" s="58"/>
      <c r="J178" s="1322"/>
      <c r="K178" s="58"/>
      <c r="L178" s="58"/>
      <c r="M178" s="1798"/>
      <c r="N178" s="58"/>
      <c r="O178" s="58"/>
      <c r="P178" s="368"/>
      <c r="Q178" s="368"/>
      <c r="R178" s="2594"/>
      <c r="S178" s="2655"/>
      <c r="T178" s="2655"/>
      <c r="U178" s="2655"/>
      <c r="V178" s="2595"/>
      <c r="W178" s="58"/>
      <c r="Z178" s="58"/>
      <c r="AA178" s="58"/>
      <c r="AB178" s="58"/>
      <c r="AC178" s="58"/>
      <c r="AD178" s="58"/>
      <c r="AE178" s="58"/>
      <c r="AF178" s="58"/>
      <c r="AG178" s="58"/>
      <c r="AH178" s="58"/>
      <c r="AI178" s="58"/>
      <c r="AJ178" s="58"/>
      <c r="AK178" s="58"/>
      <c r="AL178" s="58"/>
      <c r="AM178" s="58"/>
      <c r="AN178" s="58"/>
      <c r="AO178" s="58"/>
      <c r="AP178" s="58"/>
      <c r="AQ178" s="58"/>
      <c r="AR178" s="58"/>
      <c r="AS178" s="58"/>
      <c r="AT178" s="58"/>
      <c r="AU178" s="58"/>
      <c r="AV178" s="58"/>
      <c r="AW178" s="58"/>
      <c r="AX178" s="58"/>
      <c r="AY178" s="58"/>
      <c r="AZ178" s="58"/>
      <c r="BA178" s="58"/>
      <c r="BB178" s="58"/>
      <c r="BC178" s="58"/>
      <c r="BD178" s="58"/>
      <c r="BE178" s="58"/>
      <c r="BF178" s="58"/>
      <c r="BG178" s="58"/>
      <c r="BH178" s="58"/>
      <c r="BI178" s="58"/>
      <c r="BJ178" s="58"/>
      <c r="BK178" s="58"/>
      <c r="BL178" s="58"/>
      <c r="BM178" s="58"/>
      <c r="BN178" s="58"/>
      <c r="BO178" s="58"/>
      <c r="BP178" s="58"/>
      <c r="BQ178" s="58"/>
      <c r="BR178" s="58"/>
      <c r="BS178" s="58"/>
      <c r="BT178" s="58"/>
      <c r="BU178" s="58"/>
      <c r="BV178" s="58"/>
      <c r="BW178" s="58"/>
      <c r="BX178" s="58"/>
      <c r="BY178" s="58"/>
      <c r="BZ178" s="58"/>
      <c r="CA178" s="58"/>
      <c r="CB178" s="58"/>
      <c r="CC178" s="58"/>
      <c r="CD178" s="58"/>
      <c r="CE178" s="58"/>
      <c r="CF178" s="58"/>
      <c r="CG178" s="58"/>
      <c r="CH178" s="58"/>
      <c r="CI178" s="58"/>
      <c r="CJ178" s="58"/>
      <c r="CK178" s="58"/>
      <c r="CL178" s="58"/>
      <c r="CM178" s="58"/>
      <c r="CN178" s="58"/>
      <c r="CO178" s="58"/>
      <c r="CP178" s="58"/>
      <c r="CQ178" s="58"/>
      <c r="CR178" s="58"/>
      <c r="CS178" s="58"/>
      <c r="CT178" s="58"/>
      <c r="CU178" s="58"/>
      <c r="CV178" s="58"/>
      <c r="CW178" s="58"/>
      <c r="CX178" s="58"/>
      <c r="CY178" s="58"/>
      <c r="CZ178" s="58"/>
      <c r="DA178" s="58"/>
      <c r="DB178" s="58"/>
      <c r="DC178" s="58"/>
      <c r="DD178" s="58"/>
      <c r="DE178" s="58"/>
      <c r="DF178" s="58"/>
      <c r="DG178" s="58"/>
      <c r="DH178" s="58"/>
      <c r="DI178" s="58"/>
      <c r="DJ178" s="58"/>
      <c r="DK178" s="58"/>
      <c r="DL178" s="58"/>
      <c r="DM178" s="58"/>
      <c r="DN178" s="58"/>
      <c r="DO178" s="58"/>
      <c r="DP178" s="58"/>
      <c r="DQ178" s="58"/>
      <c r="DR178" s="58"/>
      <c r="DS178" s="58"/>
      <c r="DT178" s="58"/>
      <c r="DU178" s="58"/>
      <c r="DV178" s="58"/>
      <c r="DW178" s="58"/>
      <c r="DX178" s="58"/>
      <c r="DY178" s="58"/>
      <c r="DZ178" s="58"/>
      <c r="EA178" s="58"/>
      <c r="EB178" s="58"/>
      <c r="EC178" s="58"/>
      <c r="ED178" s="58"/>
      <c r="EE178" s="58"/>
      <c r="EF178" s="58"/>
      <c r="EG178" s="58"/>
      <c r="EH178" s="58"/>
      <c r="EI178" s="58"/>
      <c r="EJ178" s="58"/>
      <c r="EK178" s="58"/>
      <c r="EL178" s="58"/>
      <c r="EM178" s="58"/>
      <c r="EN178" s="58"/>
      <c r="EO178" s="58"/>
      <c r="EP178" s="58"/>
      <c r="EQ178" s="58"/>
      <c r="ER178" s="58"/>
      <c r="ES178" s="58"/>
      <c r="ET178" s="58"/>
      <c r="EU178" s="58"/>
      <c r="EV178" s="58"/>
      <c r="EW178" s="58"/>
      <c r="EX178" s="346"/>
      <c r="EY178" s="346"/>
      <c r="EZ178" s="346"/>
      <c r="FA178" s="346"/>
      <c r="FB178" s="346"/>
      <c r="FC178" s="346"/>
      <c r="FD178" s="346"/>
      <c r="FE178" s="346"/>
      <c r="FF178" s="346"/>
      <c r="FG178" s="346"/>
      <c r="FH178" s="346"/>
      <c r="FI178" s="346"/>
      <c r="FJ178" s="346"/>
      <c r="FK178" s="346"/>
      <c r="FL178" s="346"/>
      <c r="FM178" s="346"/>
      <c r="FN178" s="346"/>
      <c r="FO178" s="346"/>
      <c r="FP178" s="346"/>
      <c r="FQ178" s="346"/>
      <c r="FR178" s="346"/>
      <c r="FS178" s="346"/>
      <c r="FT178" s="346"/>
      <c r="FU178" s="346"/>
      <c r="FV178" s="346"/>
      <c r="FW178" s="346"/>
      <c r="FX178" s="346"/>
      <c r="FY178" s="346"/>
      <c r="FZ178" s="346"/>
      <c r="GA178" s="346"/>
      <c r="GB178" s="346"/>
      <c r="GC178" s="346"/>
      <c r="GD178" s="346"/>
      <c r="GE178" s="346"/>
      <c r="GF178" s="346"/>
      <c r="GG178" s="346"/>
      <c r="GH178" s="346"/>
      <c r="GI178" s="346"/>
      <c r="GJ178" s="346"/>
      <c r="GK178" s="346"/>
      <c r="GL178" s="346"/>
      <c r="GM178" s="346"/>
      <c r="GN178" s="346"/>
      <c r="GO178" s="346"/>
      <c r="GP178" s="346"/>
      <c r="GQ178" s="346"/>
      <c r="GR178" s="346"/>
      <c r="GS178" s="346"/>
      <c r="GT178" s="347"/>
      <c r="GU178" s="346"/>
      <c r="GV178" s="346"/>
      <c r="GW178" s="346"/>
      <c r="GX178" s="346"/>
      <c r="GY178" s="347"/>
      <c r="GZ178" s="347"/>
      <c r="HA178" s="347"/>
      <c r="HB178" s="347"/>
      <c r="HC178" s="347"/>
      <c r="HD178" s="347"/>
      <c r="HE178" s="347"/>
      <c r="HF178" s="347"/>
      <c r="HG178" s="347"/>
      <c r="HH178" s="347"/>
      <c r="HI178" s="347"/>
      <c r="HJ178" s="347"/>
      <c r="HK178" s="347"/>
      <c r="HL178" s="347"/>
      <c r="HM178" s="347"/>
      <c r="HN178" s="347"/>
      <c r="HO178" s="347"/>
      <c r="HP178" s="347"/>
      <c r="HQ178" s="347"/>
      <c r="HR178" s="347"/>
      <c r="HS178" s="347"/>
      <c r="HT178" s="347"/>
      <c r="HU178" s="347"/>
      <c r="HV178" s="347"/>
      <c r="HW178" s="347"/>
      <c r="HX178" s="347"/>
      <c r="HY178" s="347"/>
      <c r="HZ178" s="347"/>
      <c r="IA178" s="347"/>
      <c r="IB178" s="347"/>
      <c r="IC178" s="347"/>
      <c r="ID178" s="347"/>
      <c r="IE178" s="346"/>
      <c r="IF178" s="346"/>
      <c r="IG178" s="346"/>
      <c r="IH178" s="346"/>
      <c r="II178" s="346"/>
      <c r="IJ178" s="346"/>
      <c r="IK178" s="348"/>
      <c r="IL178" s="346"/>
      <c r="IM178" s="346"/>
      <c r="IN178" s="346"/>
      <c r="IO178" s="346"/>
      <c r="IP178" s="346"/>
      <c r="IQ178" s="346"/>
      <c r="IR178" s="346"/>
      <c r="IS178" s="346"/>
      <c r="IT178" s="346"/>
      <c r="IU178" s="346"/>
      <c r="IV178" s="346"/>
      <c r="IW178" s="346"/>
      <c r="IX178" s="346"/>
      <c r="IY178" s="346"/>
      <c r="IZ178" s="346"/>
      <c r="JA178" s="348"/>
      <c r="JB178" s="348"/>
      <c r="JC178" s="346"/>
      <c r="JD178" s="346"/>
      <c r="JE178" s="346"/>
      <c r="JF178" s="346"/>
      <c r="JG178" s="346"/>
      <c r="JH178" s="346"/>
      <c r="JI178" s="346"/>
      <c r="JJ178" s="346"/>
      <c r="JK178" s="346"/>
      <c r="JL178" s="346"/>
      <c r="JM178" s="346"/>
      <c r="JN178" s="346"/>
      <c r="JO178" s="346"/>
      <c r="JP178" s="346"/>
      <c r="JQ178" s="346"/>
      <c r="JR178" s="58"/>
      <c r="JS178" s="58"/>
      <c r="JT178" s="346"/>
      <c r="JU178" s="346"/>
      <c r="JV178" s="346"/>
      <c r="JW178" s="346"/>
      <c r="JX178" s="346"/>
      <c r="JY178" s="346"/>
      <c r="JZ178" s="346"/>
      <c r="KA178" s="346"/>
      <c r="KB178" s="346"/>
      <c r="KC178" s="346"/>
      <c r="KD178" s="346"/>
      <c r="KE178" s="346"/>
      <c r="KF178" s="346"/>
      <c r="KG178" s="346"/>
      <c r="KH178" s="346"/>
      <c r="KI178" s="346"/>
      <c r="KJ178" s="346"/>
    </row>
    <row r="179" spans="1:296" s="55" customFormat="1" ht="15.75" customHeight="1" thickBot="1">
      <c r="A179" s="58"/>
      <c r="B179" s="6" t="s">
        <v>1175</v>
      </c>
      <c r="C179" s="58"/>
      <c r="D179" s="1323"/>
      <c r="E179" s="58"/>
      <c r="F179" s="58"/>
      <c r="G179" s="58"/>
      <c r="H179" s="58"/>
      <c r="I179" s="6" t="s">
        <v>1176</v>
      </c>
      <c r="J179" s="1501" t="s">
        <v>1177</v>
      </c>
      <c r="K179" s="58"/>
      <c r="L179" s="58"/>
      <c r="M179" s="58"/>
      <c r="N179" s="6" t="s">
        <v>1178</v>
      </c>
      <c r="O179" s="6"/>
      <c r="P179" s="2683">
        <f>P188</f>
        <v>18500</v>
      </c>
      <c r="Q179" s="1325"/>
      <c r="R179" s="2594"/>
      <c r="S179" s="2655"/>
      <c r="T179" s="2655"/>
      <c r="U179" s="2655"/>
      <c r="V179" s="2595"/>
      <c r="W179" s="102"/>
      <c r="Z179" s="58"/>
      <c r="AA179" s="58"/>
      <c r="AB179" s="58"/>
      <c r="AC179" s="58"/>
      <c r="AD179" s="58"/>
      <c r="AE179" s="58"/>
      <c r="AF179" s="58"/>
      <c r="AG179" s="58"/>
      <c r="AH179" s="58"/>
      <c r="AI179" s="58"/>
      <c r="AJ179" s="58"/>
      <c r="AK179" s="58"/>
      <c r="AL179" s="58"/>
      <c r="AM179" s="58"/>
      <c r="AN179" s="58"/>
      <c r="AO179" s="58"/>
      <c r="AP179" s="58"/>
      <c r="AQ179" s="58"/>
      <c r="AR179" s="58"/>
      <c r="AS179" s="58"/>
      <c r="AT179" s="58"/>
      <c r="AU179" s="58"/>
      <c r="AV179" s="58"/>
      <c r="AW179" s="58"/>
      <c r="AX179" s="58"/>
      <c r="AY179" s="58"/>
      <c r="AZ179" s="58"/>
      <c r="BA179" s="58"/>
      <c r="BB179" s="58"/>
      <c r="BC179" s="58"/>
      <c r="BD179" s="58"/>
      <c r="BE179" s="58"/>
      <c r="BF179" s="58"/>
      <c r="BG179" s="58"/>
      <c r="BH179" s="58"/>
      <c r="BI179" s="58"/>
      <c r="BJ179" s="58"/>
      <c r="BK179" s="58"/>
      <c r="BL179" s="58"/>
      <c r="BM179" s="58"/>
      <c r="BN179" s="58"/>
      <c r="BO179" s="58"/>
      <c r="BP179" s="58"/>
      <c r="BQ179" s="58"/>
      <c r="BR179" s="58"/>
      <c r="BS179" s="58"/>
      <c r="BT179" s="58"/>
      <c r="BU179" s="58"/>
      <c r="BV179" s="58"/>
      <c r="BW179" s="58"/>
      <c r="BX179" s="58"/>
      <c r="BY179" s="58"/>
      <c r="BZ179" s="58"/>
      <c r="CA179" s="58"/>
      <c r="CB179" s="58"/>
      <c r="CC179" s="58"/>
      <c r="CD179" s="58"/>
      <c r="CE179" s="58"/>
      <c r="CF179" s="58"/>
      <c r="CG179" s="58"/>
      <c r="CH179" s="58"/>
      <c r="CI179" s="58"/>
      <c r="CJ179" s="58"/>
      <c r="CK179" s="58"/>
      <c r="CL179" s="58"/>
      <c r="CM179" s="58"/>
      <c r="CN179" s="58"/>
      <c r="CO179" s="58"/>
      <c r="CP179" s="58"/>
      <c r="CQ179" s="58"/>
      <c r="CR179" s="58"/>
      <c r="CS179" s="58"/>
      <c r="CT179" s="58"/>
      <c r="CU179" s="58"/>
      <c r="CV179" s="58"/>
      <c r="CW179" s="58"/>
      <c r="CX179" s="58"/>
      <c r="CY179" s="58"/>
      <c r="CZ179" s="58"/>
      <c r="DA179" s="58"/>
      <c r="DB179" s="58"/>
      <c r="DC179" s="58"/>
      <c r="DD179" s="58"/>
      <c r="DE179" s="58"/>
      <c r="DF179" s="58"/>
      <c r="DG179" s="58"/>
      <c r="DH179" s="58"/>
      <c r="DI179" s="58"/>
      <c r="DJ179" s="58"/>
      <c r="DK179" s="58"/>
      <c r="DL179" s="58"/>
      <c r="DM179" s="58"/>
      <c r="DN179" s="58"/>
      <c r="DO179" s="58"/>
      <c r="DP179" s="58"/>
      <c r="DQ179" s="58"/>
      <c r="DR179" s="58"/>
      <c r="DS179" s="58"/>
      <c r="DT179" s="58"/>
      <c r="DU179" s="58"/>
      <c r="DV179" s="58"/>
      <c r="DW179" s="58"/>
      <c r="DX179" s="58"/>
      <c r="DY179" s="58"/>
      <c r="DZ179" s="58"/>
      <c r="EA179" s="58"/>
      <c r="EB179" s="58"/>
      <c r="EC179" s="58"/>
      <c r="ED179" s="58"/>
      <c r="EE179" s="58"/>
      <c r="EF179" s="58"/>
      <c r="EG179" s="58"/>
      <c r="EH179" s="58"/>
      <c r="EI179" s="58"/>
      <c r="EJ179" s="58"/>
      <c r="EK179" s="58"/>
      <c r="EL179" s="58"/>
      <c r="EM179" s="58"/>
      <c r="EN179" s="58"/>
      <c r="EO179" s="58"/>
      <c r="EP179" s="58"/>
      <c r="EQ179" s="58"/>
      <c r="ER179" s="58"/>
      <c r="ES179" s="58"/>
      <c r="ET179" s="58"/>
      <c r="EU179" s="58"/>
      <c r="EV179" s="58"/>
      <c r="EW179" s="58"/>
      <c r="EX179" s="346"/>
      <c r="EY179" s="346"/>
      <c r="EZ179" s="346"/>
      <c r="FA179" s="346"/>
      <c r="FB179" s="346"/>
      <c r="FC179" s="346"/>
      <c r="FD179" s="346"/>
      <c r="FE179" s="346"/>
      <c r="FF179" s="346"/>
      <c r="FG179" s="346"/>
      <c r="FH179" s="346"/>
      <c r="FI179" s="346"/>
      <c r="FJ179" s="346"/>
      <c r="FK179" s="346"/>
      <c r="FL179" s="346"/>
      <c r="FM179" s="346"/>
      <c r="FN179" s="346"/>
      <c r="FO179" s="346"/>
      <c r="FP179" s="346"/>
      <c r="FQ179" s="346"/>
      <c r="FR179" s="346"/>
      <c r="FS179" s="346"/>
      <c r="FT179" s="346"/>
      <c r="FU179" s="346"/>
      <c r="FV179" s="346"/>
      <c r="FW179" s="346"/>
      <c r="FX179" s="346"/>
      <c r="FY179" s="346"/>
      <c r="FZ179" s="346"/>
      <c r="GA179" s="346"/>
      <c r="GB179" s="346"/>
      <c r="GC179" s="346"/>
      <c r="GD179" s="346"/>
      <c r="GE179" s="346"/>
      <c r="GF179" s="346"/>
      <c r="GG179" s="346"/>
      <c r="GH179" s="346"/>
      <c r="GI179" s="346"/>
      <c r="GJ179" s="346"/>
      <c r="GK179" s="346"/>
      <c r="GL179" s="346"/>
      <c r="GM179" s="346"/>
      <c r="GN179" s="346"/>
      <c r="GO179" s="346"/>
      <c r="GP179" s="346"/>
      <c r="GQ179" s="346"/>
      <c r="GR179" s="346"/>
      <c r="GS179" s="346"/>
      <c r="GT179" s="347"/>
      <c r="GU179" s="346"/>
      <c r="GV179" s="346"/>
      <c r="GW179" s="346"/>
      <c r="GX179" s="346"/>
      <c r="GY179" s="347"/>
      <c r="GZ179" s="347"/>
      <c r="HA179" s="347"/>
      <c r="HB179" s="347"/>
      <c r="HC179" s="347"/>
      <c r="HD179" s="347"/>
      <c r="HE179" s="347"/>
      <c r="HF179" s="347"/>
      <c r="HG179" s="347"/>
      <c r="HH179" s="347"/>
      <c r="HI179" s="347"/>
      <c r="HJ179" s="347"/>
      <c r="HK179" s="347"/>
      <c r="HL179" s="347"/>
      <c r="HM179" s="347"/>
      <c r="HN179" s="347"/>
      <c r="HO179" s="347"/>
      <c r="HP179" s="347"/>
      <c r="HQ179" s="347"/>
      <c r="HR179" s="347"/>
      <c r="HS179" s="347"/>
      <c r="HT179" s="347"/>
      <c r="HU179" s="347"/>
      <c r="HV179" s="347"/>
      <c r="HW179" s="347"/>
      <c r="HX179" s="347"/>
      <c r="HY179" s="347"/>
      <c r="HZ179" s="347"/>
      <c r="IA179" s="347"/>
      <c r="IB179" s="347"/>
      <c r="IC179" s="347"/>
      <c r="ID179" s="347"/>
      <c r="IE179" s="346"/>
      <c r="IF179" s="346"/>
      <c r="IG179" s="346"/>
      <c r="IH179" s="346"/>
      <c r="II179" s="346"/>
      <c r="IJ179" s="346"/>
      <c r="IK179" s="348"/>
      <c r="IL179" s="346"/>
      <c r="IM179" s="346"/>
      <c r="IN179" s="346"/>
      <c r="IO179" s="346"/>
      <c r="IP179" s="346"/>
      <c r="IQ179" s="346"/>
      <c r="IR179" s="346"/>
      <c r="IS179" s="346"/>
      <c r="IT179" s="346"/>
      <c r="IU179" s="346"/>
      <c r="IV179" s="346"/>
      <c r="IW179" s="346"/>
      <c r="IX179" s="346"/>
      <c r="IY179" s="346"/>
      <c r="IZ179" s="346"/>
      <c r="JA179" s="348"/>
      <c r="JB179" s="348"/>
      <c r="JC179" s="346"/>
      <c r="JD179" s="346"/>
      <c r="JE179" s="346"/>
      <c r="JF179" s="346"/>
      <c r="JG179" s="346"/>
      <c r="JH179" s="346"/>
      <c r="JI179" s="346"/>
      <c r="JJ179" s="346"/>
      <c r="JK179" s="346"/>
      <c r="JL179" s="346"/>
      <c r="JM179" s="346"/>
      <c r="JN179" s="346"/>
      <c r="JO179" s="346"/>
      <c r="JP179" s="346"/>
      <c r="JQ179" s="346"/>
      <c r="JR179" s="58"/>
      <c r="JS179" s="58"/>
      <c r="JT179" s="346"/>
      <c r="JU179" s="346"/>
      <c r="JV179" s="346"/>
      <c r="JW179" s="346"/>
      <c r="JX179" s="346"/>
      <c r="JY179" s="346"/>
      <c r="JZ179" s="346"/>
      <c r="KA179" s="346"/>
      <c r="KB179" s="346"/>
      <c r="KC179" s="346"/>
      <c r="KD179" s="346"/>
      <c r="KE179" s="346"/>
      <c r="KF179" s="346"/>
      <c r="KG179" s="346"/>
      <c r="KH179" s="346"/>
      <c r="KI179" s="346"/>
      <c r="KJ179" s="346"/>
    </row>
    <row r="180" spans="1:296" s="55" customFormat="1" ht="15.6" customHeight="1" thickBot="1">
      <c r="A180" s="58"/>
      <c r="B180" s="58" t="s">
        <v>1179</v>
      </c>
      <c r="C180" s="58"/>
      <c r="D180" s="1323"/>
      <c r="E180" s="58"/>
      <c r="F180" s="2684">
        <v>6600</v>
      </c>
      <c r="G180" s="2685"/>
      <c r="H180" s="58"/>
      <c r="I180" s="58" t="s">
        <v>1180</v>
      </c>
      <c r="J180" s="360">
        <f>K180/12/O62</f>
        <v>20.27027027027027</v>
      </c>
      <c r="K180" s="2681">
        <v>18000</v>
      </c>
      <c r="L180" s="2682"/>
      <c r="M180" s="1792" t="str">
        <f>IF(P179&lt;P188, "WARNING! RR proposed is below the DCA required minimum.","")</f>
        <v/>
      </c>
      <c r="N180" s="863" t="s">
        <v>1181</v>
      </c>
      <c r="O180" s="1312"/>
      <c r="P180" s="864">
        <f>P179/O188</f>
        <v>250</v>
      </c>
      <c r="Q180" s="1560"/>
      <c r="R180" s="2594"/>
      <c r="S180" s="2655"/>
      <c r="T180" s="2655"/>
      <c r="U180" s="2655"/>
      <c r="V180" s="2595"/>
      <c r="W180" s="102"/>
      <c r="Z180" s="58"/>
      <c r="AA180" s="58"/>
      <c r="AB180" s="58"/>
      <c r="AC180" s="58"/>
      <c r="AD180" s="58"/>
      <c r="AE180" s="58"/>
      <c r="AF180" s="58"/>
      <c r="AG180" s="58"/>
      <c r="AH180" s="58"/>
      <c r="AI180" s="58"/>
      <c r="AJ180" s="58"/>
      <c r="AK180" s="58"/>
      <c r="AL180" s="58"/>
      <c r="AM180" s="58"/>
      <c r="AN180" s="58"/>
      <c r="AO180" s="58"/>
      <c r="AP180" s="58"/>
      <c r="AQ180" s="58"/>
      <c r="AR180" s="58"/>
      <c r="AS180" s="58"/>
      <c r="AT180" s="58"/>
      <c r="AU180" s="58"/>
      <c r="AV180" s="58"/>
      <c r="AW180" s="58"/>
      <c r="AX180" s="58"/>
      <c r="AY180" s="58"/>
      <c r="AZ180" s="58"/>
      <c r="BA180" s="58"/>
      <c r="BB180" s="58"/>
      <c r="BC180" s="58"/>
      <c r="BD180" s="58"/>
      <c r="BE180" s="58"/>
      <c r="BF180" s="58"/>
      <c r="BG180" s="58"/>
      <c r="BH180" s="58"/>
      <c r="BI180" s="58"/>
      <c r="BJ180" s="58"/>
      <c r="BK180" s="58"/>
      <c r="BL180" s="58"/>
      <c r="BM180" s="58"/>
      <c r="BN180" s="58"/>
      <c r="BO180" s="58"/>
      <c r="BP180" s="58"/>
      <c r="BQ180" s="58"/>
      <c r="BR180" s="58"/>
      <c r="BS180" s="58"/>
      <c r="BT180" s="58"/>
      <c r="BU180" s="58"/>
      <c r="BV180" s="58"/>
      <c r="BW180" s="58"/>
      <c r="BX180" s="58"/>
      <c r="BY180" s="58"/>
      <c r="BZ180" s="58"/>
      <c r="CA180" s="58"/>
      <c r="CB180" s="58"/>
      <c r="CC180" s="58"/>
      <c r="CD180" s="58"/>
      <c r="CE180" s="58"/>
      <c r="CF180" s="58"/>
      <c r="CG180" s="58"/>
      <c r="CH180" s="58"/>
      <c r="CI180" s="58"/>
      <c r="CJ180" s="58"/>
      <c r="CK180" s="58"/>
      <c r="CL180" s="58"/>
      <c r="CM180" s="58"/>
      <c r="CN180" s="58"/>
      <c r="CO180" s="58"/>
      <c r="CP180" s="58"/>
      <c r="CQ180" s="58"/>
      <c r="CR180" s="58"/>
      <c r="CS180" s="58"/>
      <c r="CT180" s="58"/>
      <c r="CU180" s="58"/>
      <c r="CV180" s="58"/>
      <c r="CW180" s="58"/>
      <c r="CX180" s="58"/>
      <c r="CY180" s="58"/>
      <c r="CZ180" s="58"/>
      <c r="DA180" s="58"/>
      <c r="DB180" s="58"/>
      <c r="DC180" s="58"/>
      <c r="DD180" s="58"/>
      <c r="DE180" s="58"/>
      <c r="DF180" s="58"/>
      <c r="DG180" s="58"/>
      <c r="DH180" s="58"/>
      <c r="DI180" s="58"/>
      <c r="DJ180" s="58"/>
      <c r="DK180" s="58"/>
      <c r="DL180" s="58"/>
      <c r="DM180" s="58"/>
      <c r="DN180" s="58"/>
      <c r="DO180" s="58"/>
      <c r="DP180" s="58"/>
      <c r="DQ180" s="58"/>
      <c r="DR180" s="58"/>
      <c r="DS180" s="58"/>
      <c r="DT180" s="58"/>
      <c r="DU180" s="58"/>
      <c r="DV180" s="58"/>
      <c r="DW180" s="58"/>
      <c r="DX180" s="58"/>
      <c r="DY180" s="58"/>
      <c r="DZ180" s="58"/>
      <c r="EA180" s="58"/>
      <c r="EB180" s="58"/>
      <c r="EC180" s="58"/>
      <c r="ED180" s="58"/>
      <c r="EE180" s="58"/>
      <c r="EF180" s="58"/>
      <c r="EG180" s="58"/>
      <c r="EH180" s="58"/>
      <c r="EI180" s="58"/>
      <c r="EJ180" s="58"/>
      <c r="EK180" s="58"/>
      <c r="EL180" s="58"/>
      <c r="EM180" s="58"/>
      <c r="EN180" s="58"/>
      <c r="EO180" s="58"/>
      <c r="EP180" s="58"/>
      <c r="EQ180" s="58"/>
      <c r="ER180" s="58"/>
      <c r="ES180" s="58"/>
      <c r="ET180" s="58"/>
      <c r="EU180" s="58"/>
      <c r="EV180" s="58"/>
      <c r="EW180" s="58"/>
      <c r="EX180" s="346"/>
      <c r="EY180" s="346"/>
      <c r="EZ180" s="346"/>
      <c r="FA180" s="346"/>
      <c r="FB180" s="346"/>
      <c r="FC180" s="346"/>
      <c r="FD180" s="346"/>
      <c r="FE180" s="346"/>
      <c r="FF180" s="346"/>
      <c r="FG180" s="346"/>
      <c r="FH180" s="346"/>
      <c r="FI180" s="346"/>
      <c r="FJ180" s="346"/>
      <c r="FK180" s="346"/>
      <c r="FL180" s="346"/>
      <c r="FM180" s="346"/>
      <c r="FN180" s="346"/>
      <c r="FO180" s="346"/>
      <c r="FP180" s="346"/>
      <c r="FQ180" s="346"/>
      <c r="FR180" s="346"/>
      <c r="FS180" s="346"/>
      <c r="FT180" s="346"/>
      <c r="FU180" s="346"/>
      <c r="FV180" s="346"/>
      <c r="FW180" s="346"/>
      <c r="FX180" s="346"/>
      <c r="FY180" s="346"/>
      <c r="FZ180" s="346"/>
      <c r="GA180" s="346"/>
      <c r="GB180" s="346"/>
      <c r="GC180" s="346"/>
      <c r="GD180" s="346"/>
      <c r="GE180" s="346"/>
      <c r="GF180" s="346"/>
      <c r="GG180" s="346"/>
      <c r="GH180" s="346"/>
      <c r="GI180" s="346"/>
      <c r="GJ180" s="346"/>
      <c r="GK180" s="346"/>
      <c r="GL180" s="346"/>
      <c r="GM180" s="346"/>
      <c r="GN180" s="346"/>
      <c r="GO180" s="346"/>
      <c r="GP180" s="346"/>
      <c r="GQ180" s="346"/>
      <c r="GR180" s="346"/>
      <c r="GS180" s="346"/>
      <c r="GT180" s="347"/>
      <c r="GU180" s="346"/>
      <c r="GV180" s="346"/>
      <c r="GW180" s="346"/>
      <c r="GX180" s="346"/>
      <c r="GY180" s="347"/>
      <c r="GZ180" s="347"/>
      <c r="HA180" s="347"/>
      <c r="HB180" s="347"/>
      <c r="HC180" s="347"/>
      <c r="HD180" s="347"/>
      <c r="HE180" s="347"/>
      <c r="HF180" s="347"/>
      <c r="HG180" s="347"/>
      <c r="HH180" s="347"/>
      <c r="HI180" s="347"/>
      <c r="HJ180" s="347"/>
      <c r="HK180" s="347"/>
      <c r="HL180" s="347"/>
      <c r="HM180" s="347"/>
      <c r="HN180" s="347"/>
      <c r="HO180" s="347"/>
      <c r="HP180" s="347"/>
      <c r="HQ180" s="347"/>
      <c r="HR180" s="347"/>
      <c r="HS180" s="347"/>
      <c r="HT180" s="347"/>
      <c r="HU180" s="347"/>
      <c r="HV180" s="347"/>
      <c r="HW180" s="347"/>
      <c r="HX180" s="347"/>
      <c r="HY180" s="347"/>
      <c r="HZ180" s="347"/>
      <c r="IA180" s="347"/>
      <c r="IB180" s="347"/>
      <c r="IC180" s="347"/>
      <c r="ID180" s="347"/>
      <c r="IE180" s="346"/>
      <c r="IF180" s="346"/>
      <c r="IG180" s="346"/>
      <c r="IH180" s="346"/>
      <c r="II180" s="346"/>
      <c r="IJ180" s="346"/>
      <c r="IK180" s="348"/>
      <c r="IL180" s="346"/>
      <c r="IM180" s="346"/>
      <c r="IN180" s="346"/>
      <c r="IO180" s="346"/>
      <c r="IP180" s="346"/>
      <c r="IQ180" s="346"/>
      <c r="IR180" s="346"/>
      <c r="IS180" s="346"/>
      <c r="IT180" s="346"/>
      <c r="IU180" s="346"/>
      <c r="IV180" s="346"/>
      <c r="IW180" s="346"/>
      <c r="IX180" s="346"/>
      <c r="IY180" s="346"/>
      <c r="IZ180" s="346"/>
      <c r="JA180" s="348"/>
      <c r="JB180" s="348"/>
      <c r="JC180" s="346"/>
      <c r="JD180" s="346"/>
      <c r="JE180" s="346"/>
      <c r="JF180" s="346"/>
      <c r="JG180" s="346"/>
      <c r="JH180" s="346"/>
      <c r="JI180" s="346"/>
      <c r="JJ180" s="346"/>
      <c r="JK180" s="346"/>
      <c r="JL180" s="346"/>
      <c r="JM180" s="346"/>
      <c r="JN180" s="346"/>
      <c r="JO180" s="346"/>
      <c r="JP180" s="346"/>
      <c r="JQ180" s="346"/>
      <c r="JR180" s="58"/>
      <c r="JS180" s="58"/>
      <c r="JT180" s="346"/>
      <c r="JU180" s="346"/>
      <c r="JV180" s="346"/>
      <c r="JW180" s="346"/>
      <c r="JX180" s="346"/>
      <c r="JY180" s="346"/>
      <c r="JZ180" s="346"/>
      <c r="KA180" s="346"/>
      <c r="KB180" s="346"/>
      <c r="KC180" s="346"/>
      <c r="KD180" s="346"/>
      <c r="KE180" s="346"/>
      <c r="KF180" s="346"/>
      <c r="KG180" s="346"/>
      <c r="KH180" s="346"/>
      <c r="KI180" s="346"/>
      <c r="KJ180" s="346"/>
    </row>
    <row r="181" spans="1:296" s="55" customFormat="1" ht="15.6" customHeight="1">
      <c r="A181" s="58"/>
      <c r="B181" s="58" t="s">
        <v>1182</v>
      </c>
      <c r="C181" s="58"/>
      <c r="D181" s="1323"/>
      <c r="E181" s="58"/>
      <c r="F181" s="2684">
        <v>6600</v>
      </c>
      <c r="G181" s="2685"/>
      <c r="H181" s="58"/>
      <c r="I181" s="58" t="s">
        <v>1183</v>
      </c>
      <c r="J181" s="360">
        <f>K181/12/O62</f>
        <v>0</v>
      </c>
      <c r="K181" s="2681"/>
      <c r="L181" s="2682"/>
      <c r="M181" s="1792"/>
      <c r="N181" s="1793" t="s">
        <v>1184</v>
      </c>
      <c r="O181" s="1794"/>
      <c r="P181" s="1795"/>
      <c r="R181" s="2594"/>
      <c r="S181" s="2655"/>
      <c r="T181" s="2655"/>
      <c r="U181" s="2655"/>
      <c r="V181" s="2595"/>
      <c r="W181" s="102"/>
      <c r="Z181" s="58"/>
      <c r="AA181" s="58"/>
      <c r="AB181" s="58"/>
      <c r="AC181" s="58"/>
      <c r="AD181" s="58"/>
      <c r="AE181" s="58"/>
      <c r="AF181" s="58"/>
      <c r="AG181" s="58"/>
      <c r="AH181" s="58"/>
      <c r="AI181" s="58"/>
      <c r="AJ181" s="58"/>
      <c r="AK181" s="58"/>
      <c r="AL181" s="58"/>
      <c r="AM181" s="58"/>
      <c r="AN181" s="58"/>
      <c r="AO181" s="58"/>
      <c r="AP181" s="58"/>
      <c r="AQ181" s="58"/>
      <c r="AR181" s="58"/>
      <c r="AS181" s="58"/>
      <c r="AT181" s="58"/>
      <c r="AU181" s="58"/>
      <c r="AV181" s="58"/>
      <c r="AW181" s="58"/>
      <c r="AX181" s="58"/>
      <c r="AY181" s="58"/>
      <c r="AZ181" s="58"/>
      <c r="BA181" s="58"/>
      <c r="BB181" s="58"/>
      <c r="BC181" s="58"/>
      <c r="BD181" s="58"/>
      <c r="BE181" s="58"/>
      <c r="BF181" s="58"/>
      <c r="BG181" s="58"/>
      <c r="BH181" s="58"/>
      <c r="BI181" s="58"/>
      <c r="BJ181" s="58"/>
      <c r="BK181" s="58"/>
      <c r="BL181" s="58"/>
      <c r="BM181" s="58"/>
      <c r="BN181" s="58"/>
      <c r="BO181" s="58"/>
      <c r="BP181" s="58"/>
      <c r="BQ181" s="58"/>
      <c r="BR181" s="58"/>
      <c r="BS181" s="58"/>
      <c r="BT181" s="58"/>
      <c r="BU181" s="58"/>
      <c r="BV181" s="58"/>
      <c r="BW181" s="58"/>
      <c r="BX181" s="58"/>
      <c r="BY181" s="58"/>
      <c r="BZ181" s="58"/>
      <c r="CA181" s="58"/>
      <c r="CB181" s="58"/>
      <c r="CC181" s="58"/>
      <c r="CD181" s="58"/>
      <c r="CE181" s="58"/>
      <c r="CF181" s="58"/>
      <c r="CG181" s="58"/>
      <c r="CH181" s="58"/>
      <c r="CI181" s="58"/>
      <c r="CJ181" s="58"/>
      <c r="CK181" s="58"/>
      <c r="CL181" s="58"/>
      <c r="CM181" s="58"/>
      <c r="CN181" s="58"/>
      <c r="CO181" s="58"/>
      <c r="CP181" s="58"/>
      <c r="CQ181" s="58"/>
      <c r="CR181" s="58"/>
      <c r="CS181" s="58"/>
      <c r="CT181" s="58"/>
      <c r="CU181" s="58"/>
      <c r="CV181" s="58"/>
      <c r="CW181" s="58"/>
      <c r="CX181" s="58"/>
      <c r="CY181" s="58"/>
      <c r="CZ181" s="58"/>
      <c r="DA181" s="58"/>
      <c r="DB181" s="58"/>
      <c r="DC181" s="58"/>
      <c r="DD181" s="58"/>
      <c r="DE181" s="58"/>
      <c r="DF181" s="58"/>
      <c r="DG181" s="58"/>
      <c r="DH181" s="58"/>
      <c r="DI181" s="58"/>
      <c r="DJ181" s="58"/>
      <c r="DK181" s="58"/>
      <c r="DL181" s="58"/>
      <c r="DM181" s="58"/>
      <c r="DN181" s="58"/>
      <c r="DO181" s="58"/>
      <c r="DP181" s="58"/>
      <c r="DQ181" s="58"/>
      <c r="DR181" s="58"/>
      <c r="DS181" s="58"/>
      <c r="DT181" s="58"/>
      <c r="DU181" s="58"/>
      <c r="DV181" s="58"/>
      <c r="DW181" s="58"/>
      <c r="DX181" s="58"/>
      <c r="DY181" s="58"/>
      <c r="DZ181" s="58"/>
      <c r="EA181" s="58"/>
      <c r="EB181" s="58"/>
      <c r="EC181" s="58"/>
      <c r="ED181" s="58"/>
      <c r="EE181" s="58"/>
      <c r="EF181" s="58"/>
      <c r="EG181" s="58"/>
      <c r="EH181" s="58"/>
      <c r="EI181" s="58"/>
      <c r="EJ181" s="58"/>
      <c r="EK181" s="58"/>
      <c r="EL181" s="58"/>
      <c r="EM181" s="58"/>
      <c r="EN181" s="58"/>
      <c r="EO181" s="58"/>
      <c r="EP181" s="58"/>
      <c r="EQ181" s="58"/>
      <c r="ER181" s="58"/>
      <c r="ES181" s="58"/>
      <c r="ET181" s="58"/>
      <c r="EU181" s="58"/>
      <c r="EV181" s="58"/>
      <c r="EW181" s="58"/>
      <c r="EX181" s="346"/>
      <c r="EY181" s="346"/>
      <c r="EZ181" s="346"/>
      <c r="FA181" s="346"/>
      <c r="FB181" s="346"/>
      <c r="FC181" s="346"/>
      <c r="FD181" s="346"/>
      <c r="FE181" s="346"/>
      <c r="FF181" s="346"/>
      <c r="FG181" s="346"/>
      <c r="FH181" s="346"/>
      <c r="FI181" s="346"/>
      <c r="FJ181" s="346"/>
      <c r="FK181" s="346"/>
      <c r="FL181" s="346"/>
      <c r="FM181" s="346"/>
      <c r="FN181" s="346"/>
      <c r="FO181" s="346"/>
      <c r="FP181" s="346"/>
      <c r="FQ181" s="346"/>
      <c r="FR181" s="346"/>
      <c r="FS181" s="346"/>
      <c r="FT181" s="346"/>
      <c r="FU181" s="346"/>
      <c r="FV181" s="346"/>
      <c r="FW181" s="346"/>
      <c r="FX181" s="346"/>
      <c r="FY181" s="346"/>
      <c r="FZ181" s="346"/>
      <c r="GA181" s="346"/>
      <c r="GB181" s="346"/>
      <c r="GC181" s="346"/>
      <c r="GD181" s="346"/>
      <c r="GE181" s="346"/>
      <c r="GF181" s="346"/>
      <c r="GG181" s="346"/>
      <c r="GH181" s="346"/>
      <c r="GI181" s="346"/>
      <c r="GJ181" s="346"/>
      <c r="GK181" s="346"/>
      <c r="GL181" s="346"/>
      <c r="GM181" s="346"/>
      <c r="GN181" s="346"/>
      <c r="GO181" s="346"/>
      <c r="GP181" s="346"/>
      <c r="GQ181" s="346"/>
      <c r="GR181" s="346"/>
      <c r="GS181" s="346"/>
      <c r="GT181" s="347"/>
      <c r="GU181" s="346"/>
      <c r="GV181" s="346"/>
      <c r="GW181" s="346"/>
      <c r="GX181" s="346"/>
      <c r="GY181" s="347"/>
      <c r="GZ181" s="347"/>
      <c r="HA181" s="347"/>
      <c r="HB181" s="347"/>
      <c r="HC181" s="347"/>
      <c r="HD181" s="347"/>
      <c r="HE181" s="347"/>
      <c r="HF181" s="347"/>
      <c r="HG181" s="347"/>
      <c r="HH181" s="347"/>
      <c r="HI181" s="347"/>
      <c r="HJ181" s="347"/>
      <c r="HK181" s="347"/>
      <c r="HL181" s="347"/>
      <c r="HM181" s="347"/>
      <c r="HN181" s="347"/>
      <c r="HO181" s="347"/>
      <c r="HP181" s="347"/>
      <c r="HQ181" s="347"/>
      <c r="HR181" s="347"/>
      <c r="HS181" s="347"/>
      <c r="HT181" s="347"/>
      <c r="HU181" s="347"/>
      <c r="HV181" s="347"/>
      <c r="HW181" s="347"/>
      <c r="HX181" s="347"/>
      <c r="HY181" s="347"/>
      <c r="HZ181" s="347"/>
      <c r="IA181" s="347"/>
      <c r="IB181" s="347"/>
      <c r="IC181" s="347"/>
      <c r="ID181" s="347"/>
      <c r="IE181" s="346"/>
      <c r="IF181" s="346"/>
      <c r="IG181" s="346"/>
      <c r="IH181" s="346"/>
      <c r="II181" s="346"/>
      <c r="IJ181" s="346"/>
      <c r="IK181" s="348"/>
      <c r="IL181" s="346"/>
      <c r="IM181" s="346"/>
      <c r="IN181" s="346"/>
      <c r="IO181" s="346"/>
      <c r="IP181" s="346"/>
      <c r="IQ181" s="346"/>
      <c r="IR181" s="346"/>
      <c r="IS181" s="346"/>
      <c r="IT181" s="346"/>
      <c r="IU181" s="346"/>
      <c r="IV181" s="346"/>
      <c r="IW181" s="346"/>
      <c r="IX181" s="346"/>
      <c r="IY181" s="346"/>
      <c r="IZ181" s="346"/>
      <c r="JA181" s="348"/>
      <c r="JB181" s="348"/>
      <c r="JC181" s="346"/>
      <c r="JD181" s="346"/>
      <c r="JE181" s="346"/>
      <c r="JF181" s="346"/>
      <c r="JG181" s="346"/>
      <c r="JH181" s="346"/>
      <c r="JI181" s="346"/>
      <c r="JJ181" s="346"/>
      <c r="JK181" s="346"/>
      <c r="JL181" s="346"/>
      <c r="JM181" s="346"/>
      <c r="JN181" s="346"/>
      <c r="JO181" s="346"/>
      <c r="JP181" s="346"/>
      <c r="JQ181" s="346"/>
      <c r="JR181" s="58"/>
      <c r="JS181" s="58"/>
      <c r="JT181" s="346"/>
      <c r="JU181" s="346"/>
      <c r="JV181" s="346"/>
      <c r="JW181" s="346"/>
      <c r="JX181" s="346"/>
      <c r="JY181" s="346"/>
      <c r="JZ181" s="346"/>
      <c r="KA181" s="346"/>
      <c r="KB181" s="346"/>
      <c r="KC181" s="346"/>
      <c r="KD181" s="346"/>
      <c r="KE181" s="346"/>
      <c r="KF181" s="346"/>
      <c r="KG181" s="346"/>
      <c r="KH181" s="346"/>
      <c r="KI181" s="346"/>
      <c r="KJ181" s="346"/>
    </row>
    <row r="182" spans="1:296" s="55" customFormat="1" ht="15.6" customHeight="1">
      <c r="A182" s="58"/>
      <c r="B182" s="58" t="s">
        <v>1185</v>
      </c>
      <c r="C182" s="58"/>
      <c r="D182" s="1323"/>
      <c r="E182" s="58"/>
      <c r="F182" s="2684">
        <v>18000</v>
      </c>
      <c r="G182" s="2685"/>
      <c r="H182" s="58"/>
      <c r="I182" s="58" t="s">
        <v>1186</v>
      </c>
      <c r="J182" s="360">
        <f>K182/12/O62</f>
        <v>2.7027027027027026</v>
      </c>
      <c r="K182" s="2681">
        <v>2400</v>
      </c>
      <c r="L182" s="2682"/>
      <c r="M182" s="1792"/>
      <c r="N182" s="858" t="s">
        <v>1187</v>
      </c>
      <c r="O182" s="744" t="s">
        <v>1188</v>
      </c>
      <c r="P182" s="859" t="s">
        <v>1189</v>
      </c>
      <c r="Q182" s="744"/>
      <c r="R182" s="2594"/>
      <c r="S182" s="2655"/>
      <c r="T182" s="2655"/>
      <c r="U182" s="2655"/>
      <c r="V182" s="2595"/>
      <c r="W182" s="102"/>
      <c r="Z182" s="58"/>
      <c r="AA182" s="58"/>
      <c r="AB182" s="58"/>
      <c r="AC182" s="58"/>
      <c r="AD182" s="58"/>
      <c r="AE182" s="58"/>
      <c r="AF182" s="58"/>
      <c r="AG182" s="58"/>
      <c r="AH182" s="58"/>
      <c r="AI182" s="58"/>
      <c r="AJ182" s="58"/>
      <c r="AK182" s="58"/>
      <c r="AL182" s="58"/>
      <c r="AM182" s="58"/>
      <c r="AN182" s="58"/>
      <c r="AO182" s="58"/>
      <c r="AP182" s="58"/>
      <c r="AQ182" s="58"/>
      <c r="AR182" s="58"/>
      <c r="AS182" s="58"/>
      <c r="AT182" s="58"/>
      <c r="AU182" s="58"/>
      <c r="AV182" s="58"/>
      <c r="AW182" s="58"/>
      <c r="AX182" s="58"/>
      <c r="AY182" s="58"/>
      <c r="AZ182" s="58"/>
      <c r="BA182" s="58"/>
      <c r="BB182" s="58"/>
      <c r="BC182" s="58"/>
      <c r="BD182" s="58"/>
      <c r="BE182" s="58"/>
      <c r="BF182" s="58"/>
      <c r="BG182" s="58"/>
      <c r="BH182" s="58"/>
      <c r="BI182" s="58"/>
      <c r="BJ182" s="58"/>
      <c r="BK182" s="58"/>
      <c r="BL182" s="58"/>
      <c r="BM182" s="58"/>
      <c r="BN182" s="58"/>
      <c r="BO182" s="58"/>
      <c r="BP182" s="58"/>
      <c r="BQ182" s="58"/>
      <c r="BR182" s="58"/>
      <c r="BS182" s="58"/>
      <c r="BT182" s="58"/>
      <c r="BU182" s="58"/>
      <c r="BV182" s="58"/>
      <c r="BW182" s="58"/>
      <c r="BX182" s="58"/>
      <c r="BY182" s="58"/>
      <c r="BZ182" s="58"/>
      <c r="CA182" s="58"/>
      <c r="CB182" s="58"/>
      <c r="CC182" s="58"/>
      <c r="CD182" s="58"/>
      <c r="CE182" s="58"/>
      <c r="CF182" s="58"/>
      <c r="CG182" s="58"/>
      <c r="CH182" s="58"/>
      <c r="CI182" s="58"/>
      <c r="CJ182" s="58"/>
      <c r="CK182" s="58"/>
      <c r="CL182" s="58"/>
      <c r="CM182" s="58"/>
      <c r="CN182" s="58"/>
      <c r="CO182" s="58"/>
      <c r="CP182" s="58"/>
      <c r="CQ182" s="58"/>
      <c r="CR182" s="58"/>
      <c r="CS182" s="58"/>
      <c r="CT182" s="58"/>
      <c r="CU182" s="58"/>
      <c r="CV182" s="58"/>
      <c r="CW182" s="58"/>
      <c r="CX182" s="58"/>
      <c r="CY182" s="58"/>
      <c r="CZ182" s="58"/>
      <c r="DA182" s="58"/>
      <c r="DB182" s="58"/>
      <c r="DC182" s="58"/>
      <c r="DD182" s="58"/>
      <c r="DE182" s="58"/>
      <c r="DF182" s="58"/>
      <c r="DG182" s="58"/>
      <c r="DH182" s="58"/>
      <c r="DI182" s="58"/>
      <c r="DJ182" s="58"/>
      <c r="DK182" s="58"/>
      <c r="DL182" s="58"/>
      <c r="DM182" s="58"/>
      <c r="DN182" s="58"/>
      <c r="DO182" s="58"/>
      <c r="DP182" s="58"/>
      <c r="DQ182" s="58"/>
      <c r="DR182" s="58"/>
      <c r="DS182" s="58"/>
      <c r="DT182" s="58"/>
      <c r="DU182" s="58"/>
      <c r="DV182" s="58"/>
      <c r="DW182" s="58"/>
      <c r="DX182" s="58"/>
      <c r="DY182" s="58"/>
      <c r="DZ182" s="58"/>
      <c r="EA182" s="58"/>
      <c r="EB182" s="58"/>
      <c r="EC182" s="58"/>
      <c r="ED182" s="58"/>
      <c r="EE182" s="58"/>
      <c r="EF182" s="58"/>
      <c r="EG182" s="58"/>
      <c r="EH182" s="58"/>
      <c r="EI182" s="58"/>
      <c r="EJ182" s="58"/>
      <c r="EK182" s="58"/>
      <c r="EL182" s="58"/>
      <c r="EM182" s="58"/>
      <c r="EN182" s="58"/>
      <c r="EO182" s="58"/>
      <c r="EP182" s="58"/>
      <c r="EQ182" s="58"/>
      <c r="ER182" s="58"/>
      <c r="ES182" s="58"/>
      <c r="ET182" s="58"/>
      <c r="EU182" s="58"/>
      <c r="EV182" s="58"/>
      <c r="EW182" s="58"/>
      <c r="EX182" s="346"/>
      <c r="EY182" s="346"/>
      <c r="EZ182" s="346"/>
      <c r="FA182" s="346"/>
      <c r="FB182" s="346"/>
      <c r="FC182" s="346"/>
      <c r="FD182" s="346"/>
      <c r="FE182" s="346"/>
      <c r="FF182" s="346"/>
      <c r="FG182" s="346"/>
      <c r="FH182" s="346"/>
      <c r="FI182" s="346"/>
      <c r="FJ182" s="346"/>
      <c r="FK182" s="346"/>
      <c r="FL182" s="346"/>
      <c r="FM182" s="346"/>
      <c r="FN182" s="346"/>
      <c r="FO182" s="346"/>
      <c r="FP182" s="346"/>
      <c r="FQ182" s="346"/>
      <c r="FR182" s="346"/>
      <c r="FS182" s="346"/>
      <c r="FT182" s="346"/>
      <c r="FU182" s="346"/>
      <c r="FV182" s="346"/>
      <c r="FW182" s="346"/>
      <c r="FX182" s="346"/>
      <c r="FY182" s="346"/>
      <c r="FZ182" s="346"/>
      <c r="GA182" s="346"/>
      <c r="GB182" s="346"/>
      <c r="GC182" s="346"/>
      <c r="GD182" s="346"/>
      <c r="GE182" s="346"/>
      <c r="GF182" s="346"/>
      <c r="GG182" s="346"/>
      <c r="GH182" s="346"/>
      <c r="GI182" s="346"/>
      <c r="GJ182" s="346"/>
      <c r="GK182" s="346"/>
      <c r="GL182" s="346"/>
      <c r="GM182" s="346"/>
      <c r="GN182" s="346"/>
      <c r="GO182" s="346"/>
      <c r="GP182" s="346"/>
      <c r="GQ182" s="346"/>
      <c r="GR182" s="346"/>
      <c r="GS182" s="346"/>
      <c r="GT182" s="347"/>
      <c r="GU182" s="346"/>
      <c r="GV182" s="346"/>
      <c r="GW182" s="346"/>
      <c r="GX182" s="346"/>
      <c r="GY182" s="347"/>
      <c r="GZ182" s="347"/>
      <c r="HA182" s="347"/>
      <c r="HB182" s="347"/>
      <c r="HC182" s="347"/>
      <c r="HD182" s="347"/>
      <c r="HE182" s="347"/>
      <c r="HF182" s="347"/>
      <c r="HG182" s="347"/>
      <c r="HH182" s="347"/>
      <c r="HI182" s="347"/>
      <c r="HJ182" s="347"/>
      <c r="HK182" s="347"/>
      <c r="HL182" s="347"/>
      <c r="HM182" s="347"/>
      <c r="HN182" s="347"/>
      <c r="HO182" s="347"/>
      <c r="HP182" s="347"/>
      <c r="HQ182" s="347"/>
      <c r="HR182" s="347"/>
      <c r="HS182" s="347"/>
      <c r="HT182" s="347"/>
      <c r="HU182" s="347"/>
      <c r="HV182" s="347"/>
      <c r="HW182" s="347"/>
      <c r="HX182" s="347"/>
      <c r="HY182" s="347"/>
      <c r="HZ182" s="347"/>
      <c r="IA182" s="347"/>
      <c r="IB182" s="347"/>
      <c r="IC182" s="347"/>
      <c r="ID182" s="347"/>
      <c r="IE182" s="346"/>
      <c r="IF182" s="346"/>
      <c r="IG182" s="346"/>
      <c r="IH182" s="346"/>
      <c r="II182" s="346"/>
      <c r="IJ182" s="346"/>
      <c r="IK182" s="348"/>
      <c r="IL182" s="346"/>
      <c r="IM182" s="346"/>
      <c r="IN182" s="346"/>
      <c r="IO182" s="346"/>
      <c r="IP182" s="346"/>
      <c r="IQ182" s="346"/>
      <c r="IR182" s="346"/>
      <c r="IS182" s="346"/>
      <c r="IT182" s="346"/>
      <c r="IU182" s="346"/>
      <c r="IV182" s="346"/>
      <c r="IW182" s="346"/>
      <c r="IX182" s="346"/>
      <c r="IY182" s="346"/>
      <c r="IZ182" s="346"/>
      <c r="JA182" s="348"/>
      <c r="JB182" s="348"/>
      <c r="JC182" s="346"/>
      <c r="JD182" s="346"/>
      <c r="JE182" s="346"/>
      <c r="JF182" s="346"/>
      <c r="JG182" s="346"/>
      <c r="JH182" s="346"/>
      <c r="JI182" s="346"/>
      <c r="JJ182" s="346"/>
      <c r="JK182" s="346"/>
      <c r="JL182" s="346"/>
      <c r="JM182" s="346"/>
      <c r="JN182" s="346"/>
      <c r="JO182" s="346"/>
      <c r="JP182" s="346"/>
      <c r="JQ182" s="346"/>
      <c r="JR182" s="58"/>
      <c r="JS182" s="58"/>
      <c r="JT182" s="346"/>
      <c r="JU182" s="346"/>
      <c r="JV182" s="346"/>
      <c r="JW182" s="346"/>
      <c r="JX182" s="346"/>
      <c r="JY182" s="346"/>
      <c r="JZ182" s="346"/>
      <c r="KA182" s="346"/>
      <c r="KB182" s="346"/>
      <c r="KC182" s="346"/>
      <c r="KD182" s="346"/>
      <c r="KE182" s="346"/>
      <c r="KF182" s="346"/>
      <c r="KG182" s="346"/>
      <c r="KH182" s="346"/>
      <c r="KI182" s="346"/>
      <c r="KJ182" s="346"/>
    </row>
    <row r="183" spans="1:296" s="55" customFormat="1" ht="15.6" customHeight="1">
      <c r="A183" s="58"/>
      <c r="B183" s="58" t="s">
        <v>1190</v>
      </c>
      <c r="C183" s="58"/>
      <c r="D183" s="1323"/>
      <c r="E183" s="58"/>
      <c r="F183" s="2668">
        <v>3600</v>
      </c>
      <c r="G183" s="2669"/>
      <c r="H183" s="58"/>
      <c r="I183" s="58" t="s">
        <v>1191</v>
      </c>
      <c r="J183" s="58"/>
      <c r="K183" s="2681">
        <v>12000</v>
      </c>
      <c r="L183" s="2682"/>
      <c r="M183" s="1792"/>
      <c r="N183" s="515" t="s">
        <v>1118</v>
      </c>
      <c r="O183" s="516"/>
      <c r="P183" s="517"/>
      <c r="Q183" s="516"/>
      <c r="R183" s="2594"/>
      <c r="S183" s="2655"/>
      <c r="T183" s="2655"/>
      <c r="U183" s="2655"/>
      <c r="V183" s="2595"/>
      <c r="W183" s="102"/>
      <c r="Z183" s="58"/>
      <c r="AA183" s="58"/>
      <c r="AB183" s="58"/>
      <c r="AC183" s="58"/>
      <c r="AD183" s="58"/>
      <c r="AE183" s="58"/>
      <c r="AF183" s="58"/>
      <c r="AG183" s="58"/>
      <c r="AH183" s="58"/>
      <c r="AI183" s="58"/>
      <c r="AJ183" s="58"/>
      <c r="AK183" s="58"/>
      <c r="AL183" s="58"/>
      <c r="AM183" s="58"/>
      <c r="AN183" s="58"/>
      <c r="AO183" s="58"/>
      <c r="AP183" s="58"/>
      <c r="AQ183" s="58"/>
      <c r="AR183" s="58"/>
      <c r="AS183" s="58"/>
      <c r="AT183" s="58"/>
      <c r="AU183" s="58"/>
      <c r="AV183" s="58"/>
      <c r="AW183" s="58"/>
      <c r="AX183" s="58"/>
      <c r="AY183" s="58"/>
      <c r="AZ183" s="58"/>
      <c r="BA183" s="58"/>
      <c r="BB183" s="58"/>
      <c r="BC183" s="58"/>
      <c r="BD183" s="58"/>
      <c r="BE183" s="58"/>
      <c r="BF183" s="58"/>
      <c r="BG183" s="58"/>
      <c r="BH183" s="58"/>
      <c r="BI183" s="58"/>
      <c r="BJ183" s="58"/>
      <c r="BK183" s="58"/>
      <c r="BL183" s="58"/>
      <c r="BM183" s="58"/>
      <c r="BN183" s="58"/>
      <c r="BO183" s="58"/>
      <c r="BP183" s="58"/>
      <c r="BQ183" s="58"/>
      <c r="BR183" s="58"/>
      <c r="BS183" s="58"/>
      <c r="BT183" s="58"/>
      <c r="BU183" s="58"/>
      <c r="BV183" s="58"/>
      <c r="BW183" s="58"/>
      <c r="BX183" s="58"/>
      <c r="BY183" s="58"/>
      <c r="BZ183" s="58"/>
      <c r="CA183" s="58"/>
      <c r="CB183" s="58"/>
      <c r="CC183" s="58"/>
      <c r="CD183" s="58"/>
      <c r="CE183" s="58"/>
      <c r="CF183" s="58"/>
      <c r="CG183" s="58"/>
      <c r="CH183" s="58"/>
      <c r="CI183" s="58"/>
      <c r="CJ183" s="58"/>
      <c r="CK183" s="58"/>
      <c r="CL183" s="58"/>
      <c r="CM183" s="58"/>
      <c r="CN183" s="58"/>
      <c r="CO183" s="58"/>
      <c r="CP183" s="58"/>
      <c r="CQ183" s="58"/>
      <c r="CR183" s="58"/>
      <c r="CS183" s="58"/>
      <c r="CT183" s="58"/>
      <c r="CU183" s="58"/>
      <c r="CV183" s="58"/>
      <c r="CW183" s="58"/>
      <c r="CX183" s="58"/>
      <c r="CY183" s="58"/>
      <c r="CZ183" s="58"/>
      <c r="DA183" s="58"/>
      <c r="DB183" s="58"/>
      <c r="DC183" s="58"/>
      <c r="DD183" s="58"/>
      <c r="DE183" s="58"/>
      <c r="DF183" s="58"/>
      <c r="DG183" s="58"/>
      <c r="DH183" s="58"/>
      <c r="DI183" s="58"/>
      <c r="DJ183" s="58"/>
      <c r="DK183" s="58"/>
      <c r="DL183" s="58"/>
      <c r="DM183" s="58"/>
      <c r="DN183" s="58"/>
      <c r="DO183" s="58"/>
      <c r="DP183" s="58"/>
      <c r="DQ183" s="58"/>
      <c r="DR183" s="58"/>
      <c r="DS183" s="58"/>
      <c r="DT183" s="58"/>
      <c r="DU183" s="58"/>
      <c r="DV183" s="58"/>
      <c r="DW183" s="58"/>
      <c r="DX183" s="58"/>
      <c r="DY183" s="58"/>
      <c r="DZ183" s="58"/>
      <c r="EA183" s="58"/>
      <c r="EB183" s="58"/>
      <c r="EC183" s="58"/>
      <c r="ED183" s="58"/>
      <c r="EE183" s="58"/>
      <c r="EF183" s="58"/>
      <c r="EG183" s="58"/>
      <c r="EH183" s="58"/>
      <c r="EI183" s="58"/>
      <c r="EJ183" s="58"/>
      <c r="EK183" s="58"/>
      <c r="EL183" s="58"/>
      <c r="EM183" s="58"/>
      <c r="EN183" s="58"/>
      <c r="EO183" s="58"/>
      <c r="EP183" s="58"/>
      <c r="EQ183" s="58"/>
      <c r="ER183" s="58"/>
      <c r="ES183" s="58"/>
      <c r="ET183" s="58"/>
      <c r="EU183" s="58"/>
      <c r="EV183" s="58"/>
      <c r="EW183" s="58"/>
      <c r="EX183" s="346"/>
      <c r="EY183" s="346"/>
      <c r="EZ183" s="346"/>
      <c r="FA183" s="346"/>
      <c r="FB183" s="346"/>
      <c r="FC183" s="346"/>
      <c r="FD183" s="346"/>
      <c r="FE183" s="346"/>
      <c r="FF183" s="346"/>
      <c r="FG183" s="346"/>
      <c r="FH183" s="346"/>
      <c r="FI183" s="346"/>
      <c r="FJ183" s="346"/>
      <c r="FK183" s="346"/>
      <c r="FL183" s="346"/>
      <c r="FM183" s="346"/>
      <c r="FN183" s="346"/>
      <c r="FO183" s="346"/>
      <c r="FP183" s="346"/>
      <c r="FQ183" s="346"/>
      <c r="FR183" s="346"/>
      <c r="FS183" s="346"/>
      <c r="FT183" s="346"/>
      <c r="FU183" s="346"/>
      <c r="FV183" s="346"/>
      <c r="FW183" s="346"/>
      <c r="FX183" s="346"/>
      <c r="FY183" s="346"/>
      <c r="FZ183" s="346"/>
      <c r="GA183" s="346"/>
      <c r="GB183" s="346"/>
      <c r="GC183" s="346"/>
      <c r="GD183" s="346"/>
      <c r="GE183" s="346"/>
      <c r="GF183" s="346"/>
      <c r="GG183" s="346"/>
      <c r="GH183" s="346"/>
      <c r="GI183" s="346"/>
      <c r="GJ183" s="346"/>
      <c r="GK183" s="346"/>
      <c r="GL183" s="346"/>
      <c r="GM183" s="346"/>
      <c r="GN183" s="346"/>
      <c r="GO183" s="346"/>
      <c r="GP183" s="346"/>
      <c r="GQ183" s="346"/>
      <c r="GR183" s="346"/>
      <c r="GS183" s="346"/>
      <c r="GT183" s="347"/>
      <c r="GU183" s="346"/>
      <c r="GV183" s="346"/>
      <c r="GW183" s="346"/>
      <c r="GX183" s="346"/>
      <c r="GY183" s="347"/>
      <c r="GZ183" s="347"/>
      <c r="HA183" s="347"/>
      <c r="HB183" s="347"/>
      <c r="HC183" s="347"/>
      <c r="HD183" s="347"/>
      <c r="HE183" s="347"/>
      <c r="HF183" s="347"/>
      <c r="HG183" s="347"/>
      <c r="HH183" s="347"/>
      <c r="HI183" s="347"/>
      <c r="HJ183" s="347"/>
      <c r="HK183" s="347"/>
      <c r="HL183" s="347"/>
      <c r="HM183" s="347"/>
      <c r="HN183" s="347"/>
      <c r="HO183" s="347"/>
      <c r="HP183" s="347"/>
      <c r="HQ183" s="347"/>
      <c r="HR183" s="347"/>
      <c r="HS183" s="347"/>
      <c r="HT183" s="347"/>
      <c r="HU183" s="347"/>
      <c r="HV183" s="347"/>
      <c r="HW183" s="347"/>
      <c r="HX183" s="347"/>
      <c r="HY183" s="347"/>
      <c r="HZ183" s="347"/>
      <c r="IA183" s="347"/>
      <c r="IB183" s="347"/>
      <c r="IC183" s="347"/>
      <c r="ID183" s="347"/>
      <c r="IE183" s="346"/>
      <c r="IF183" s="346"/>
      <c r="IG183" s="346"/>
      <c r="IH183" s="346"/>
      <c r="II183" s="346"/>
      <c r="IJ183" s="346"/>
      <c r="IK183" s="348"/>
      <c r="IL183" s="346"/>
      <c r="IM183" s="346"/>
      <c r="IN183" s="346"/>
      <c r="IO183" s="346"/>
      <c r="IP183" s="346"/>
      <c r="IQ183" s="346"/>
      <c r="IR183" s="346"/>
      <c r="IS183" s="346"/>
      <c r="IT183" s="346"/>
      <c r="IU183" s="346"/>
      <c r="IV183" s="346"/>
      <c r="IW183" s="346"/>
      <c r="IX183" s="346"/>
      <c r="IY183" s="346"/>
      <c r="IZ183" s="346"/>
      <c r="JA183" s="348"/>
      <c r="JB183" s="348"/>
      <c r="JC183" s="346"/>
      <c r="JD183" s="346"/>
      <c r="JE183" s="346"/>
      <c r="JF183" s="346"/>
      <c r="JG183" s="346"/>
      <c r="JH183" s="346"/>
      <c r="JI183" s="346"/>
      <c r="JJ183" s="346"/>
      <c r="JK183" s="346"/>
      <c r="JL183" s="346"/>
      <c r="JM183" s="346"/>
      <c r="JN183" s="346"/>
      <c r="JO183" s="346"/>
      <c r="JP183" s="346"/>
      <c r="JQ183" s="346"/>
      <c r="JR183" s="58"/>
      <c r="JS183" s="58"/>
      <c r="JT183" s="346"/>
      <c r="JU183" s="346"/>
      <c r="JV183" s="346"/>
      <c r="JW183" s="346"/>
      <c r="JX183" s="346"/>
      <c r="JY183" s="346"/>
      <c r="JZ183" s="346"/>
      <c r="KA183" s="346"/>
      <c r="KB183" s="346"/>
      <c r="KC183" s="346"/>
      <c r="KD183" s="346"/>
      <c r="KE183" s="346"/>
      <c r="KF183" s="346"/>
      <c r="KG183" s="346"/>
      <c r="KH183" s="346"/>
      <c r="KI183" s="346"/>
      <c r="KJ183" s="346"/>
    </row>
    <row r="184" spans="1:296" s="55" customFormat="1" ht="15.6" customHeight="1" thickBot="1">
      <c r="A184" s="58"/>
      <c r="B184" s="58" t="s">
        <v>1192</v>
      </c>
      <c r="C184" s="58"/>
      <c r="D184" s="1323"/>
      <c r="E184" s="58"/>
      <c r="F184" s="2668">
        <v>9000</v>
      </c>
      <c r="G184" s="2669"/>
      <c r="H184" s="58"/>
      <c r="I184" s="2671" t="s">
        <v>1157</v>
      </c>
      <c r="J184" s="2672"/>
      <c r="K184" s="2679"/>
      <c r="L184" s="2680"/>
      <c r="M184" s="1792"/>
      <c r="N184" s="393" t="s">
        <v>1193</v>
      </c>
      <c r="O184" s="749" t="str">
        <f>CONCATENATE(SUM(JC48:JG48)," units x $",'DCA Underwriting Assumptions'!$Q$65," =")</f>
        <v>0 units x $350 =</v>
      </c>
      <c r="P184" s="518">
        <f>SUM(JC48:JG48)*'DCA Underwriting Assumptions'!$Q$65</f>
        <v>0</v>
      </c>
      <c r="Q184" s="749"/>
      <c r="R184" s="2594"/>
      <c r="S184" s="2655"/>
      <c r="T184" s="2655"/>
      <c r="U184" s="2655"/>
      <c r="V184" s="2595"/>
      <c r="W184" s="102"/>
      <c r="Z184" s="58"/>
      <c r="AA184" s="58"/>
      <c r="AB184" s="58"/>
      <c r="AC184" s="58"/>
      <c r="AD184" s="58"/>
      <c r="AE184" s="58"/>
      <c r="AF184" s="58"/>
      <c r="AG184" s="58"/>
      <c r="AH184" s="58"/>
      <c r="AI184" s="58"/>
      <c r="AJ184" s="58"/>
      <c r="AK184" s="58"/>
      <c r="AL184" s="58"/>
      <c r="AM184" s="58"/>
      <c r="AN184" s="58"/>
      <c r="AO184" s="58"/>
      <c r="AP184" s="58"/>
      <c r="AQ184" s="58"/>
      <c r="AR184" s="58"/>
      <c r="AS184" s="58"/>
      <c r="AT184" s="58"/>
      <c r="AU184" s="58"/>
      <c r="AV184" s="58"/>
      <c r="AW184" s="58"/>
      <c r="AX184" s="58"/>
      <c r="AY184" s="58"/>
      <c r="AZ184" s="58"/>
      <c r="BA184" s="58"/>
      <c r="BB184" s="58"/>
      <c r="BC184" s="58"/>
      <c r="BD184" s="58"/>
      <c r="BE184" s="58"/>
      <c r="BF184" s="58"/>
      <c r="BG184" s="58"/>
      <c r="BH184" s="58"/>
      <c r="BI184" s="58"/>
      <c r="BJ184" s="58"/>
      <c r="BK184" s="58"/>
      <c r="BL184" s="58"/>
      <c r="BM184" s="58"/>
      <c r="BN184" s="58"/>
      <c r="BO184" s="58"/>
      <c r="BP184" s="58"/>
      <c r="BQ184" s="58"/>
      <c r="BR184" s="58"/>
      <c r="BS184" s="58"/>
      <c r="BT184" s="58"/>
      <c r="BU184" s="58"/>
      <c r="BV184" s="58"/>
      <c r="BW184" s="58"/>
      <c r="BX184" s="58"/>
      <c r="BY184" s="58"/>
      <c r="BZ184" s="58"/>
      <c r="CA184" s="58"/>
      <c r="CB184" s="58"/>
      <c r="CC184" s="58"/>
      <c r="CD184" s="58"/>
      <c r="CE184" s="58"/>
      <c r="CF184" s="58"/>
      <c r="CG184" s="58"/>
      <c r="CH184" s="58"/>
      <c r="CI184" s="58"/>
      <c r="CJ184" s="58"/>
      <c r="CK184" s="58"/>
      <c r="CL184" s="58"/>
      <c r="CM184" s="58"/>
      <c r="CN184" s="58"/>
      <c r="CO184" s="58"/>
      <c r="CP184" s="58"/>
      <c r="CQ184" s="58"/>
      <c r="CR184" s="58"/>
      <c r="CS184" s="58"/>
      <c r="CT184" s="58"/>
      <c r="CU184" s="58"/>
      <c r="CV184" s="58"/>
      <c r="CW184" s="58"/>
      <c r="CX184" s="58"/>
      <c r="CY184" s="58"/>
      <c r="CZ184" s="58"/>
      <c r="DA184" s="58"/>
      <c r="DB184" s="58"/>
      <c r="DC184" s="58"/>
      <c r="DD184" s="58"/>
      <c r="DE184" s="58"/>
      <c r="DF184" s="58"/>
      <c r="DG184" s="58"/>
      <c r="DH184" s="58"/>
      <c r="DI184" s="58"/>
      <c r="DJ184" s="58"/>
      <c r="DK184" s="58"/>
      <c r="DL184" s="58"/>
      <c r="DM184" s="58"/>
      <c r="DN184" s="58"/>
      <c r="DO184" s="58"/>
      <c r="DP184" s="58"/>
      <c r="DQ184" s="58"/>
      <c r="DR184" s="58"/>
      <c r="DS184" s="58"/>
      <c r="DT184" s="58"/>
      <c r="DU184" s="58"/>
      <c r="DV184" s="58"/>
      <c r="DW184" s="58"/>
      <c r="DX184" s="58"/>
      <c r="DY184" s="58"/>
      <c r="DZ184" s="58"/>
      <c r="EA184" s="58"/>
      <c r="EB184" s="58"/>
      <c r="EC184" s="58"/>
      <c r="ED184" s="58"/>
      <c r="EE184" s="58"/>
      <c r="EF184" s="58"/>
      <c r="EG184" s="58"/>
      <c r="EH184" s="58"/>
      <c r="EI184" s="58"/>
      <c r="EJ184" s="58"/>
      <c r="EK184" s="58"/>
      <c r="EL184" s="58"/>
      <c r="EM184" s="58"/>
      <c r="EN184" s="58"/>
      <c r="EO184" s="58"/>
      <c r="EP184" s="58"/>
      <c r="EQ184" s="58"/>
      <c r="ER184" s="58"/>
      <c r="ES184" s="58"/>
      <c r="ET184" s="58"/>
      <c r="EU184" s="58"/>
      <c r="EV184" s="58"/>
      <c r="EW184" s="58"/>
      <c r="EX184" s="346"/>
      <c r="EY184" s="346"/>
      <c r="EZ184" s="346"/>
      <c r="FA184" s="346"/>
      <c r="FB184" s="346"/>
      <c r="FC184" s="346"/>
      <c r="FD184" s="346"/>
      <c r="FE184" s="346"/>
      <c r="FF184" s="346"/>
      <c r="FG184" s="346"/>
      <c r="FH184" s="346"/>
      <c r="FI184" s="346"/>
      <c r="FJ184" s="346"/>
      <c r="FK184" s="346"/>
      <c r="FL184" s="346"/>
      <c r="FM184" s="346"/>
      <c r="FN184" s="346"/>
      <c r="FO184" s="346"/>
      <c r="FP184" s="346"/>
      <c r="FQ184" s="346"/>
      <c r="FR184" s="346"/>
      <c r="FS184" s="346"/>
      <c r="FT184" s="346"/>
      <c r="FU184" s="346"/>
      <c r="FV184" s="346"/>
      <c r="FW184" s="346"/>
      <c r="FX184" s="346"/>
      <c r="FY184" s="346"/>
      <c r="FZ184" s="346"/>
      <c r="GA184" s="346"/>
      <c r="GB184" s="346"/>
      <c r="GC184" s="346"/>
      <c r="GD184" s="346"/>
      <c r="GE184" s="346"/>
      <c r="GF184" s="346"/>
      <c r="GG184" s="346"/>
      <c r="GH184" s="346"/>
      <c r="GI184" s="346"/>
      <c r="GJ184" s="346"/>
      <c r="GK184" s="346"/>
      <c r="GL184" s="346"/>
      <c r="GM184" s="346"/>
      <c r="GN184" s="346"/>
      <c r="GO184" s="346"/>
      <c r="GP184" s="346"/>
      <c r="GQ184" s="346"/>
      <c r="GR184" s="346"/>
      <c r="GS184" s="346"/>
      <c r="GT184" s="347"/>
      <c r="GU184" s="346"/>
      <c r="GV184" s="346"/>
      <c r="GW184" s="346"/>
      <c r="GX184" s="346"/>
      <c r="GY184" s="347"/>
      <c r="GZ184" s="347"/>
      <c r="HA184" s="347"/>
      <c r="HB184" s="347"/>
      <c r="HC184" s="347"/>
      <c r="HD184" s="347"/>
      <c r="HE184" s="347"/>
      <c r="HF184" s="347"/>
      <c r="HG184" s="347"/>
      <c r="HH184" s="347"/>
      <c r="HI184" s="347"/>
      <c r="HJ184" s="347"/>
      <c r="HK184" s="347"/>
      <c r="HL184" s="347"/>
      <c r="HM184" s="347"/>
      <c r="HN184" s="347"/>
      <c r="HO184" s="347"/>
      <c r="HP184" s="347"/>
      <c r="HQ184" s="347"/>
      <c r="HR184" s="347"/>
      <c r="HS184" s="347"/>
      <c r="HT184" s="347"/>
      <c r="HU184" s="347"/>
      <c r="HV184" s="347"/>
      <c r="HW184" s="347"/>
      <c r="HX184" s="347"/>
      <c r="HY184" s="347"/>
      <c r="HZ184" s="347"/>
      <c r="IA184" s="347"/>
      <c r="IB184" s="347"/>
      <c r="IC184" s="347"/>
      <c r="ID184" s="347"/>
      <c r="IE184" s="346"/>
      <c r="IF184" s="346"/>
      <c r="IG184" s="346"/>
      <c r="IH184" s="346"/>
      <c r="II184" s="346"/>
      <c r="IJ184" s="346"/>
      <c r="IK184" s="348"/>
      <c r="IL184" s="346"/>
      <c r="IM184" s="346"/>
      <c r="IN184" s="346"/>
      <c r="IO184" s="346"/>
      <c r="IP184" s="346"/>
      <c r="IQ184" s="346"/>
      <c r="IR184" s="346"/>
      <c r="IS184" s="346"/>
      <c r="IT184" s="346"/>
      <c r="IU184" s="346"/>
      <c r="IV184" s="346"/>
      <c r="IW184" s="346"/>
      <c r="IX184" s="346"/>
      <c r="IY184" s="346"/>
      <c r="IZ184" s="346"/>
      <c r="JA184" s="348"/>
      <c r="JB184" s="348"/>
      <c r="JC184" s="346"/>
      <c r="JD184" s="346"/>
      <c r="JE184" s="346"/>
      <c r="JF184" s="346"/>
      <c r="JG184" s="346"/>
      <c r="JH184" s="346"/>
      <c r="JI184" s="346"/>
      <c r="JJ184" s="346"/>
      <c r="JK184" s="346"/>
      <c r="JL184" s="346"/>
      <c r="JM184" s="346"/>
      <c r="JN184" s="346"/>
      <c r="JO184" s="346"/>
      <c r="JP184" s="346"/>
      <c r="JQ184" s="346"/>
      <c r="JR184" s="58"/>
      <c r="JS184" s="58"/>
      <c r="JT184" s="346"/>
      <c r="JU184" s="346"/>
      <c r="JV184" s="346"/>
      <c r="JW184" s="346"/>
      <c r="JX184" s="346"/>
      <c r="JY184" s="346"/>
      <c r="JZ184" s="346"/>
      <c r="KA184" s="346"/>
      <c r="KB184" s="346"/>
      <c r="KC184" s="346"/>
      <c r="KD184" s="346"/>
      <c r="KE184" s="346"/>
      <c r="KF184" s="346"/>
      <c r="KG184" s="346"/>
      <c r="KH184" s="346"/>
      <c r="KI184" s="346"/>
      <c r="KJ184" s="346"/>
    </row>
    <row r="185" spans="1:296" s="55" customFormat="1" ht="15.6" customHeight="1" thickTop="1">
      <c r="A185" s="58"/>
      <c r="B185" s="58" t="s">
        <v>1194</v>
      </c>
      <c r="C185" s="58"/>
      <c r="D185" s="1323"/>
      <c r="E185" s="58"/>
      <c r="F185" s="2668"/>
      <c r="G185" s="2669"/>
      <c r="H185" s="58"/>
      <c r="I185" s="58"/>
      <c r="J185" s="7" t="s">
        <v>665</v>
      </c>
      <c r="K185" s="1788">
        <f>SUM(K180:K184)</f>
        <v>32400</v>
      </c>
      <c r="L185" s="1789"/>
      <c r="M185" s="1792"/>
      <c r="N185" s="393" t="s">
        <v>1195</v>
      </c>
      <c r="O185" s="749" t="str">
        <f>CONCATENATE(SUM(JH48:JL48)," units x $",'DCA Underwriting Assumptions'!$Q$66," =")</f>
        <v>74 units x $250 =</v>
      </c>
      <c r="P185" s="518">
        <f>SUM(JH48:JL48)*'DCA Underwriting Assumptions'!$Q$66</f>
        <v>18500</v>
      </c>
      <c r="Q185" s="749"/>
      <c r="R185" s="2594"/>
      <c r="S185" s="2655"/>
      <c r="T185" s="2655"/>
      <c r="U185" s="2655"/>
      <c r="V185" s="2595"/>
      <c r="W185" s="102"/>
      <c r="Z185" s="58"/>
      <c r="AA185" s="58"/>
      <c r="AB185" s="58"/>
      <c r="AC185" s="58"/>
      <c r="AD185" s="58"/>
      <c r="AE185" s="58"/>
      <c r="AF185" s="58"/>
      <c r="AG185" s="58"/>
      <c r="AH185" s="58"/>
      <c r="AI185" s="58"/>
      <c r="AJ185" s="58"/>
      <c r="AK185" s="58"/>
      <c r="AL185" s="58"/>
      <c r="AM185" s="58"/>
      <c r="AN185" s="58"/>
      <c r="AO185" s="58"/>
      <c r="AP185" s="58"/>
      <c r="AQ185" s="58"/>
      <c r="AR185" s="58"/>
      <c r="AS185" s="58"/>
      <c r="AT185" s="58"/>
      <c r="AU185" s="58"/>
      <c r="AV185" s="58"/>
      <c r="AW185" s="58"/>
      <c r="AX185" s="58"/>
      <c r="AY185" s="58"/>
      <c r="AZ185" s="58"/>
      <c r="BA185" s="58"/>
      <c r="BB185" s="58"/>
      <c r="BC185" s="58"/>
      <c r="BD185" s="58"/>
      <c r="BE185" s="58"/>
      <c r="BF185" s="58"/>
      <c r="BG185" s="58"/>
      <c r="BH185" s="58"/>
      <c r="BI185" s="58"/>
      <c r="BJ185" s="58"/>
      <c r="BK185" s="58"/>
      <c r="BL185" s="58"/>
      <c r="BM185" s="58"/>
      <c r="BN185" s="58"/>
      <c r="BO185" s="58"/>
      <c r="BP185" s="58"/>
      <c r="BQ185" s="58"/>
      <c r="BR185" s="58"/>
      <c r="BS185" s="58"/>
      <c r="BT185" s="58"/>
      <c r="BU185" s="58"/>
      <c r="BV185" s="58"/>
      <c r="BW185" s="58"/>
      <c r="BX185" s="58"/>
      <c r="BY185" s="58"/>
      <c r="BZ185" s="58"/>
      <c r="CA185" s="58"/>
      <c r="CB185" s="58"/>
      <c r="CC185" s="58"/>
      <c r="CD185" s="58"/>
      <c r="CE185" s="58"/>
      <c r="CF185" s="58"/>
      <c r="CG185" s="58"/>
      <c r="CH185" s="58"/>
      <c r="CI185" s="58"/>
      <c r="CJ185" s="58"/>
      <c r="CK185" s="58"/>
      <c r="CL185" s="58"/>
      <c r="CM185" s="58"/>
      <c r="CN185" s="58"/>
      <c r="CO185" s="58"/>
      <c r="CP185" s="58"/>
      <c r="CQ185" s="58"/>
      <c r="CR185" s="58"/>
      <c r="CS185" s="58"/>
      <c r="CT185" s="58"/>
      <c r="CU185" s="58"/>
      <c r="CV185" s="58"/>
      <c r="CW185" s="58"/>
      <c r="CX185" s="58"/>
      <c r="CY185" s="58"/>
      <c r="CZ185" s="58"/>
      <c r="DA185" s="58"/>
      <c r="DB185" s="58"/>
      <c r="DC185" s="58"/>
      <c r="DD185" s="58"/>
      <c r="DE185" s="58"/>
      <c r="DF185" s="58"/>
      <c r="DG185" s="58"/>
      <c r="DH185" s="58"/>
      <c r="DI185" s="58"/>
      <c r="DJ185" s="58"/>
      <c r="DK185" s="58"/>
      <c r="DL185" s="58"/>
      <c r="DM185" s="58"/>
      <c r="DN185" s="58"/>
      <c r="DO185" s="58"/>
      <c r="DP185" s="58"/>
      <c r="DQ185" s="58"/>
      <c r="DR185" s="58"/>
      <c r="DS185" s="58"/>
      <c r="DT185" s="58"/>
      <c r="DU185" s="58"/>
      <c r="DV185" s="58"/>
      <c r="DW185" s="58"/>
      <c r="DX185" s="58"/>
      <c r="DY185" s="58"/>
      <c r="DZ185" s="58"/>
      <c r="EA185" s="58"/>
      <c r="EB185" s="58"/>
      <c r="EC185" s="58"/>
      <c r="ED185" s="58"/>
      <c r="EE185" s="58"/>
      <c r="EF185" s="58"/>
      <c r="EG185" s="58"/>
      <c r="EH185" s="58"/>
      <c r="EI185" s="58"/>
      <c r="EJ185" s="58"/>
      <c r="EK185" s="58"/>
      <c r="EL185" s="58"/>
      <c r="EM185" s="58"/>
      <c r="EN185" s="58"/>
      <c r="EO185" s="58"/>
      <c r="EP185" s="58"/>
      <c r="EQ185" s="58"/>
      <c r="ER185" s="58"/>
      <c r="ES185" s="58"/>
      <c r="ET185" s="58"/>
      <c r="EU185" s="58"/>
      <c r="EV185" s="58"/>
      <c r="EW185" s="58"/>
      <c r="EX185" s="346"/>
      <c r="EY185" s="346"/>
      <c r="EZ185" s="346"/>
      <c r="FA185" s="346"/>
      <c r="FB185" s="346"/>
      <c r="FC185" s="346"/>
      <c r="FD185" s="346"/>
      <c r="FE185" s="346"/>
      <c r="FF185" s="346"/>
      <c r="FG185" s="346"/>
      <c r="FH185" s="346"/>
      <c r="FI185" s="346"/>
      <c r="FJ185" s="346"/>
      <c r="FK185" s="346"/>
      <c r="FL185" s="346"/>
      <c r="FM185" s="346"/>
      <c r="FN185" s="346"/>
      <c r="FO185" s="346"/>
      <c r="FP185" s="346"/>
      <c r="FQ185" s="346"/>
      <c r="FR185" s="346"/>
      <c r="FS185" s="346"/>
      <c r="FT185" s="346"/>
      <c r="FU185" s="346"/>
      <c r="FV185" s="346"/>
      <c r="FW185" s="346"/>
      <c r="FX185" s="346"/>
      <c r="FY185" s="346"/>
      <c r="FZ185" s="346"/>
      <c r="GA185" s="346"/>
      <c r="GB185" s="346"/>
      <c r="GC185" s="346"/>
      <c r="GD185" s="346"/>
      <c r="GE185" s="346"/>
      <c r="GF185" s="346"/>
      <c r="GG185" s="346"/>
      <c r="GH185" s="346"/>
      <c r="GI185" s="346"/>
      <c r="GJ185" s="346"/>
      <c r="GK185" s="346"/>
      <c r="GL185" s="346"/>
      <c r="GM185" s="346"/>
      <c r="GN185" s="346"/>
      <c r="GO185" s="346"/>
      <c r="GP185" s="346"/>
      <c r="GQ185" s="346"/>
      <c r="GR185" s="346"/>
      <c r="GS185" s="346"/>
      <c r="GT185" s="347"/>
      <c r="GU185" s="346"/>
      <c r="GV185" s="346"/>
      <c r="GW185" s="346"/>
      <c r="GX185" s="346"/>
      <c r="GY185" s="347"/>
      <c r="GZ185" s="347"/>
      <c r="HA185" s="347"/>
      <c r="HB185" s="347"/>
      <c r="HC185" s="347"/>
      <c r="HD185" s="347"/>
      <c r="HE185" s="347"/>
      <c r="HF185" s="347"/>
      <c r="HG185" s="347"/>
      <c r="HH185" s="347"/>
      <c r="HI185" s="347"/>
      <c r="HJ185" s="347"/>
      <c r="HK185" s="347"/>
      <c r="HL185" s="347"/>
      <c r="HM185" s="347"/>
      <c r="HN185" s="347"/>
      <c r="HO185" s="347"/>
      <c r="HP185" s="347"/>
      <c r="HQ185" s="347"/>
      <c r="HR185" s="347"/>
      <c r="HS185" s="347"/>
      <c r="HT185" s="347"/>
      <c r="HU185" s="347"/>
      <c r="HV185" s="347"/>
      <c r="HW185" s="347"/>
      <c r="HX185" s="347"/>
      <c r="HY185" s="347"/>
      <c r="HZ185" s="347"/>
      <c r="IA185" s="347"/>
      <c r="IB185" s="347"/>
      <c r="IC185" s="347"/>
      <c r="ID185" s="347"/>
      <c r="IE185" s="346"/>
      <c r="IF185" s="346"/>
      <c r="IG185" s="346"/>
      <c r="IH185" s="346"/>
      <c r="II185" s="346"/>
      <c r="IJ185" s="346"/>
      <c r="IK185" s="348"/>
      <c r="IL185" s="346"/>
      <c r="IM185" s="346"/>
      <c r="IN185" s="346"/>
      <c r="IO185" s="346"/>
      <c r="IP185" s="346"/>
      <c r="IQ185" s="346"/>
      <c r="IR185" s="346"/>
      <c r="IS185" s="346"/>
      <c r="IT185" s="346"/>
      <c r="IU185" s="346"/>
      <c r="IV185" s="346"/>
      <c r="IW185" s="346"/>
      <c r="IX185" s="346"/>
      <c r="IY185" s="346"/>
      <c r="IZ185" s="346"/>
      <c r="JA185" s="348"/>
      <c r="JB185" s="348"/>
      <c r="JC185" s="346"/>
      <c r="JD185" s="346"/>
      <c r="JE185" s="346"/>
      <c r="JF185" s="346"/>
      <c r="JG185" s="346"/>
      <c r="JH185" s="346"/>
      <c r="JI185" s="346"/>
      <c r="JJ185" s="346"/>
      <c r="JK185" s="346"/>
      <c r="JL185" s="346"/>
      <c r="JM185" s="346"/>
      <c r="JN185" s="346"/>
      <c r="JO185" s="346"/>
      <c r="JP185" s="346"/>
      <c r="JQ185" s="346"/>
      <c r="JR185" s="58"/>
      <c r="JS185" s="58"/>
      <c r="JT185" s="346"/>
      <c r="JU185" s="346"/>
      <c r="JV185" s="346"/>
      <c r="JW185" s="346"/>
      <c r="JX185" s="346"/>
      <c r="JY185" s="346"/>
      <c r="JZ185" s="346"/>
      <c r="KA185" s="346"/>
      <c r="KB185" s="346"/>
      <c r="KC185" s="346"/>
      <c r="KD185" s="346"/>
      <c r="KE185" s="346"/>
      <c r="KF185" s="346"/>
      <c r="KG185" s="346"/>
      <c r="KH185" s="346"/>
      <c r="KI185" s="346"/>
      <c r="KJ185" s="346"/>
    </row>
    <row r="186" spans="1:296" s="55" customFormat="1" ht="15.6" customHeight="1">
      <c r="A186" s="58"/>
      <c r="B186" s="58" t="s">
        <v>1196</v>
      </c>
      <c r="C186" s="58"/>
      <c r="D186" s="1323"/>
      <c r="E186" s="58"/>
      <c r="F186" s="2668">
        <v>6000</v>
      </c>
      <c r="G186" s="2669"/>
      <c r="H186" s="58"/>
      <c r="I186" s="58"/>
      <c r="J186" s="1322"/>
      <c r="K186" s="58"/>
      <c r="L186" s="58"/>
      <c r="M186" s="1792"/>
      <c r="N186" s="519" t="s">
        <v>1197</v>
      </c>
      <c r="O186" s="749" t="str">
        <f>CONCATENATE(SUM(JM48:JQ48)," units x $",'DCA Underwriting Assumptions'!$Q$67," =")</f>
        <v>0 units x $420 =</v>
      </c>
      <c r="P186" s="518">
        <f>SUM(JM48:JQ48)*'DCA Underwriting Assumptions'!$Q$67</f>
        <v>0</v>
      </c>
      <c r="Q186" s="749"/>
      <c r="R186" s="2594"/>
      <c r="S186" s="2655"/>
      <c r="T186" s="2655"/>
      <c r="U186" s="2655"/>
      <c r="V186" s="2595"/>
      <c r="W186" s="102"/>
      <c r="Z186" s="58"/>
      <c r="AA186" s="58"/>
      <c r="AB186" s="58"/>
      <c r="AC186" s="58"/>
      <c r="AD186" s="58"/>
      <c r="AE186" s="58"/>
      <c r="AF186" s="58"/>
      <c r="AG186" s="58"/>
      <c r="AH186" s="58"/>
      <c r="AI186" s="58"/>
      <c r="AJ186" s="58"/>
      <c r="AK186" s="58"/>
      <c r="AL186" s="58"/>
      <c r="AM186" s="58"/>
      <c r="AN186" s="58"/>
      <c r="AO186" s="58"/>
      <c r="AP186" s="58"/>
      <c r="AQ186" s="58"/>
      <c r="AR186" s="58"/>
      <c r="AS186" s="58"/>
      <c r="AT186" s="58"/>
      <c r="AU186" s="58"/>
      <c r="AV186" s="58"/>
      <c r="AW186" s="58"/>
      <c r="AX186" s="58"/>
      <c r="AY186" s="58"/>
      <c r="AZ186" s="58"/>
      <c r="BA186" s="58"/>
      <c r="BB186" s="58"/>
      <c r="BC186" s="58"/>
      <c r="BD186" s="58"/>
      <c r="BE186" s="58"/>
      <c r="BF186" s="58"/>
      <c r="BG186" s="58"/>
      <c r="BH186" s="58"/>
      <c r="BI186" s="58"/>
      <c r="BJ186" s="58"/>
      <c r="BK186" s="58"/>
      <c r="BL186" s="58"/>
      <c r="BM186" s="58"/>
      <c r="BN186" s="58"/>
      <c r="BO186" s="58"/>
      <c r="BP186" s="58"/>
      <c r="BQ186" s="58"/>
      <c r="BR186" s="58"/>
      <c r="BS186" s="58"/>
      <c r="BT186" s="58"/>
      <c r="BU186" s="58"/>
      <c r="BV186" s="58"/>
      <c r="BW186" s="58"/>
      <c r="BX186" s="58"/>
      <c r="BY186" s="58"/>
      <c r="BZ186" s="58"/>
      <c r="CA186" s="58"/>
      <c r="CB186" s="58"/>
      <c r="CC186" s="58"/>
      <c r="CD186" s="58"/>
      <c r="CE186" s="58"/>
      <c r="CF186" s="58"/>
      <c r="CG186" s="58"/>
      <c r="CH186" s="58"/>
      <c r="CI186" s="58"/>
      <c r="CJ186" s="58"/>
      <c r="CK186" s="58"/>
      <c r="CL186" s="58"/>
      <c r="CM186" s="58"/>
      <c r="CN186" s="58"/>
      <c r="CO186" s="58"/>
      <c r="CP186" s="58"/>
      <c r="CQ186" s="58"/>
      <c r="CR186" s="58"/>
      <c r="CS186" s="58"/>
      <c r="CT186" s="58"/>
      <c r="CU186" s="58"/>
      <c r="CV186" s="58"/>
      <c r="CW186" s="58"/>
      <c r="CX186" s="58"/>
      <c r="CY186" s="58"/>
      <c r="CZ186" s="58"/>
      <c r="DA186" s="58"/>
      <c r="DB186" s="58"/>
      <c r="DC186" s="58"/>
      <c r="DD186" s="58"/>
      <c r="DE186" s="58"/>
      <c r="DF186" s="58"/>
      <c r="DG186" s="58"/>
      <c r="DH186" s="58"/>
      <c r="DI186" s="58"/>
      <c r="DJ186" s="58"/>
      <c r="DK186" s="58"/>
      <c r="DL186" s="58"/>
      <c r="DM186" s="58"/>
      <c r="DN186" s="58"/>
      <c r="DO186" s="58"/>
      <c r="DP186" s="58"/>
      <c r="DQ186" s="58"/>
      <c r="DR186" s="58"/>
      <c r="DS186" s="58"/>
      <c r="DT186" s="58"/>
      <c r="DU186" s="58"/>
      <c r="DV186" s="58"/>
      <c r="DW186" s="58"/>
      <c r="DX186" s="58"/>
      <c r="DY186" s="58"/>
      <c r="DZ186" s="58"/>
      <c r="EA186" s="58"/>
      <c r="EB186" s="58"/>
      <c r="EC186" s="58"/>
      <c r="ED186" s="58"/>
      <c r="EE186" s="58"/>
      <c r="EF186" s="58"/>
      <c r="EG186" s="58"/>
      <c r="EH186" s="58"/>
      <c r="EI186" s="58"/>
      <c r="EJ186" s="58"/>
      <c r="EK186" s="58"/>
      <c r="EL186" s="58"/>
      <c r="EM186" s="58"/>
      <c r="EN186" s="58"/>
      <c r="EO186" s="58"/>
      <c r="EP186" s="58"/>
      <c r="EQ186" s="58"/>
      <c r="ER186" s="58"/>
      <c r="ES186" s="58"/>
      <c r="ET186" s="58"/>
      <c r="EU186" s="58"/>
      <c r="EV186" s="58"/>
      <c r="EW186" s="58"/>
      <c r="EX186" s="346"/>
      <c r="EY186" s="346"/>
      <c r="EZ186" s="346"/>
      <c r="FA186" s="346"/>
      <c r="FB186" s="346"/>
      <c r="FC186" s="346"/>
      <c r="FD186" s="346"/>
      <c r="FE186" s="346"/>
      <c r="FF186" s="346"/>
      <c r="FG186" s="346"/>
      <c r="FH186" s="346"/>
      <c r="FI186" s="346"/>
      <c r="FJ186" s="346"/>
      <c r="FK186" s="346"/>
      <c r="FL186" s="346"/>
      <c r="FM186" s="346"/>
      <c r="FN186" s="346"/>
      <c r="FO186" s="346"/>
      <c r="FP186" s="346"/>
      <c r="FQ186" s="346"/>
      <c r="FR186" s="346"/>
      <c r="FS186" s="346"/>
      <c r="FT186" s="346"/>
      <c r="FU186" s="346"/>
      <c r="FV186" s="346"/>
      <c r="FW186" s="346"/>
      <c r="FX186" s="346"/>
      <c r="FY186" s="346"/>
      <c r="FZ186" s="346"/>
      <c r="GA186" s="346"/>
      <c r="GB186" s="346"/>
      <c r="GC186" s="346"/>
      <c r="GD186" s="346"/>
      <c r="GE186" s="346"/>
      <c r="GF186" s="346"/>
      <c r="GG186" s="346"/>
      <c r="GH186" s="346"/>
      <c r="GI186" s="346"/>
      <c r="GJ186" s="346"/>
      <c r="GK186" s="346"/>
      <c r="GL186" s="346"/>
      <c r="GM186" s="346"/>
      <c r="GN186" s="346"/>
      <c r="GO186" s="346"/>
      <c r="GP186" s="346"/>
      <c r="GQ186" s="346"/>
      <c r="GR186" s="346"/>
      <c r="GS186" s="346"/>
      <c r="GT186" s="347"/>
      <c r="GU186" s="346"/>
      <c r="GV186" s="346"/>
      <c r="GW186" s="346"/>
      <c r="GX186" s="346"/>
      <c r="GY186" s="347"/>
      <c r="GZ186" s="347"/>
      <c r="HA186" s="347"/>
      <c r="HB186" s="347"/>
      <c r="HC186" s="347"/>
      <c r="HD186" s="347"/>
      <c r="HE186" s="347"/>
      <c r="HF186" s="347"/>
      <c r="HG186" s="347"/>
      <c r="HH186" s="347"/>
      <c r="HI186" s="347"/>
      <c r="HJ186" s="347"/>
      <c r="HK186" s="347"/>
      <c r="HL186" s="347"/>
      <c r="HM186" s="347"/>
      <c r="HN186" s="347"/>
      <c r="HO186" s="347"/>
      <c r="HP186" s="347"/>
      <c r="HQ186" s="347"/>
      <c r="HR186" s="347"/>
      <c r="HS186" s="347"/>
      <c r="HT186" s="347"/>
      <c r="HU186" s="347"/>
      <c r="HV186" s="347"/>
      <c r="HW186" s="347"/>
      <c r="HX186" s="347"/>
      <c r="HY186" s="347"/>
      <c r="HZ186" s="347"/>
      <c r="IA186" s="347"/>
      <c r="IB186" s="347"/>
      <c r="IC186" s="347"/>
      <c r="ID186" s="347"/>
      <c r="IE186" s="346"/>
      <c r="IF186" s="346"/>
      <c r="IG186" s="346"/>
      <c r="IH186" s="346"/>
      <c r="II186" s="346"/>
      <c r="IJ186" s="346"/>
      <c r="IK186" s="348"/>
      <c r="IL186" s="346"/>
      <c r="IM186" s="346"/>
      <c r="IN186" s="346"/>
      <c r="IO186" s="346"/>
      <c r="IP186" s="346"/>
      <c r="IQ186" s="346"/>
      <c r="IR186" s="346"/>
      <c r="IS186" s="346"/>
      <c r="IT186" s="346"/>
      <c r="IU186" s="346"/>
      <c r="IV186" s="346"/>
      <c r="IW186" s="346"/>
      <c r="IX186" s="346"/>
      <c r="IY186" s="346"/>
      <c r="IZ186" s="346"/>
      <c r="JA186" s="348"/>
      <c r="JB186" s="348"/>
      <c r="JC186" s="346"/>
      <c r="JD186" s="346"/>
      <c r="JE186" s="346"/>
      <c r="JF186" s="346"/>
      <c r="JG186" s="346"/>
      <c r="JH186" s="346"/>
      <c r="JI186" s="346"/>
      <c r="JJ186" s="346"/>
      <c r="JK186" s="346"/>
      <c r="JL186" s="346"/>
      <c r="JM186" s="346"/>
      <c r="JN186" s="346"/>
      <c r="JO186" s="346"/>
      <c r="JP186" s="346"/>
      <c r="JQ186" s="346"/>
      <c r="JR186" s="58"/>
      <c r="JS186" s="58"/>
      <c r="JT186" s="346"/>
      <c r="JU186" s="346"/>
      <c r="JV186" s="346"/>
      <c r="JW186" s="346"/>
      <c r="JX186" s="346"/>
      <c r="JY186" s="346"/>
      <c r="JZ186" s="346"/>
      <c r="KA186" s="346"/>
      <c r="KB186" s="346"/>
      <c r="KC186" s="346"/>
      <c r="KD186" s="346"/>
      <c r="KE186" s="346"/>
      <c r="KF186" s="346"/>
      <c r="KG186" s="346"/>
      <c r="KH186" s="346"/>
      <c r="KI186" s="346"/>
      <c r="KJ186" s="346"/>
    </row>
    <row r="187" spans="1:296" s="55" customFormat="1" ht="15.6" customHeight="1" thickBot="1">
      <c r="A187" s="58"/>
      <c r="B187" s="2674" t="s">
        <v>1157</v>
      </c>
      <c r="C187" s="2675"/>
      <c r="D187" s="2675"/>
      <c r="E187" s="2676"/>
      <c r="F187" s="2677"/>
      <c r="G187" s="2678"/>
      <c r="H187" s="58"/>
      <c r="I187" s="58"/>
      <c r="J187" s="1322"/>
      <c r="K187" s="58"/>
      <c r="L187" s="58"/>
      <c r="M187" s="58"/>
      <c r="N187" s="519" t="s">
        <v>1198</v>
      </c>
      <c r="O187" s="749" t="str">
        <f>CONCATENATE(O84," units x $",'DCA Underwriting Assumptions'!$Q$67," =")</f>
        <v>0 units x $420 =</v>
      </c>
      <c r="P187" s="518">
        <f>O84*'DCA Underwriting Assumptions'!$Q$67</f>
        <v>0</v>
      </c>
      <c r="Q187" s="749"/>
      <c r="R187" s="2594"/>
      <c r="S187" s="2655"/>
      <c r="T187" s="2655"/>
      <c r="U187" s="2655"/>
      <c r="V187" s="2595"/>
      <c r="W187" s="102"/>
      <c r="Z187" s="58"/>
      <c r="AA187" s="58"/>
      <c r="AB187" s="58"/>
      <c r="AC187" s="58"/>
      <c r="AD187" s="58"/>
      <c r="AE187" s="58"/>
      <c r="AF187" s="58"/>
      <c r="AG187" s="58"/>
      <c r="AH187" s="58"/>
      <c r="AI187" s="58"/>
      <c r="AJ187" s="58"/>
      <c r="AK187" s="58"/>
      <c r="AL187" s="58"/>
      <c r="AM187" s="58"/>
      <c r="AN187" s="58"/>
      <c r="AO187" s="58"/>
      <c r="AP187" s="58"/>
      <c r="AQ187" s="58"/>
      <c r="AR187" s="58"/>
      <c r="AS187" s="58"/>
      <c r="AT187" s="58"/>
      <c r="AU187" s="58"/>
      <c r="AV187" s="58"/>
      <c r="AW187" s="58"/>
      <c r="AX187" s="58"/>
      <c r="AY187" s="58"/>
      <c r="AZ187" s="58"/>
      <c r="BA187" s="58"/>
      <c r="BB187" s="58"/>
      <c r="BC187" s="58"/>
      <c r="BD187" s="58"/>
      <c r="BE187" s="58"/>
      <c r="BF187" s="58"/>
      <c r="BG187" s="58"/>
      <c r="BH187" s="58"/>
      <c r="BI187" s="58"/>
      <c r="BJ187" s="58"/>
      <c r="BK187" s="58"/>
      <c r="BL187" s="58"/>
      <c r="BM187" s="58"/>
      <c r="BN187" s="58"/>
      <c r="BO187" s="58"/>
      <c r="BP187" s="58"/>
      <c r="BQ187" s="58"/>
      <c r="BR187" s="58"/>
      <c r="BS187" s="58"/>
      <c r="BT187" s="58"/>
      <c r="BU187" s="58"/>
      <c r="BV187" s="58"/>
      <c r="BW187" s="58"/>
      <c r="BX187" s="58"/>
      <c r="BY187" s="58"/>
      <c r="BZ187" s="58"/>
      <c r="CA187" s="58"/>
      <c r="CB187" s="58"/>
      <c r="CC187" s="58"/>
      <c r="CD187" s="58"/>
      <c r="CE187" s="58"/>
      <c r="CF187" s="58"/>
      <c r="CG187" s="58"/>
      <c r="CH187" s="58"/>
      <c r="CI187" s="58"/>
      <c r="CJ187" s="58"/>
      <c r="CK187" s="58"/>
      <c r="CL187" s="58"/>
      <c r="CM187" s="58"/>
      <c r="CN187" s="58"/>
      <c r="CO187" s="58"/>
      <c r="CP187" s="58"/>
      <c r="CQ187" s="58"/>
      <c r="CR187" s="58"/>
      <c r="CS187" s="58"/>
      <c r="CT187" s="58"/>
      <c r="CU187" s="58"/>
      <c r="CV187" s="58"/>
      <c r="CW187" s="58"/>
      <c r="CX187" s="58"/>
      <c r="CY187" s="58"/>
      <c r="CZ187" s="58"/>
      <c r="DA187" s="58"/>
      <c r="DB187" s="58"/>
      <c r="DC187" s="58"/>
      <c r="DD187" s="58"/>
      <c r="DE187" s="58"/>
      <c r="DF187" s="58"/>
      <c r="DG187" s="58"/>
      <c r="DH187" s="58"/>
      <c r="DI187" s="58"/>
      <c r="DJ187" s="58"/>
      <c r="DK187" s="58"/>
      <c r="DL187" s="58"/>
      <c r="DM187" s="58"/>
      <c r="DN187" s="58"/>
      <c r="DO187" s="58"/>
      <c r="DP187" s="58"/>
      <c r="DQ187" s="58"/>
      <c r="DR187" s="58"/>
      <c r="DS187" s="58"/>
      <c r="DT187" s="58"/>
      <c r="DU187" s="58"/>
      <c r="DV187" s="58"/>
      <c r="DW187" s="58"/>
      <c r="DX187" s="58"/>
      <c r="DY187" s="58"/>
      <c r="DZ187" s="58"/>
      <c r="EA187" s="58"/>
      <c r="EB187" s="58"/>
      <c r="EC187" s="58"/>
      <c r="ED187" s="58"/>
      <c r="EE187" s="58"/>
      <c r="EF187" s="58"/>
      <c r="EG187" s="58"/>
      <c r="EH187" s="58"/>
      <c r="EI187" s="58"/>
      <c r="EJ187" s="58"/>
      <c r="EK187" s="58"/>
      <c r="EL187" s="58"/>
      <c r="EM187" s="58"/>
      <c r="EN187" s="58"/>
      <c r="EO187" s="58"/>
      <c r="EP187" s="58"/>
      <c r="EQ187" s="58"/>
      <c r="ER187" s="58"/>
      <c r="ES187" s="58"/>
      <c r="ET187" s="58"/>
      <c r="EU187" s="58"/>
      <c r="EV187" s="58"/>
      <c r="EW187" s="58"/>
      <c r="EX187" s="346"/>
      <c r="EY187" s="346"/>
      <c r="EZ187" s="346"/>
      <c r="FA187" s="346"/>
      <c r="FB187" s="346"/>
      <c r="FC187" s="346"/>
      <c r="FD187" s="346"/>
      <c r="FE187" s="346"/>
      <c r="FF187" s="346"/>
      <c r="FG187" s="346"/>
      <c r="FH187" s="346"/>
      <c r="FI187" s="346"/>
      <c r="FJ187" s="346"/>
      <c r="FK187" s="346"/>
      <c r="FL187" s="346"/>
      <c r="FM187" s="346"/>
      <c r="FN187" s="346"/>
      <c r="FO187" s="346"/>
      <c r="FP187" s="346"/>
      <c r="FQ187" s="346"/>
      <c r="FR187" s="346"/>
      <c r="FS187" s="346"/>
      <c r="FT187" s="346"/>
      <c r="FU187" s="346"/>
      <c r="FV187" s="346"/>
      <c r="FW187" s="346"/>
      <c r="FX187" s="346"/>
      <c r="FY187" s="346"/>
      <c r="FZ187" s="346"/>
      <c r="GA187" s="346"/>
      <c r="GB187" s="346"/>
      <c r="GC187" s="346"/>
      <c r="GD187" s="346"/>
      <c r="GE187" s="346"/>
      <c r="GF187" s="346"/>
      <c r="GG187" s="346"/>
      <c r="GH187" s="346"/>
      <c r="GI187" s="346"/>
      <c r="GJ187" s="346"/>
      <c r="GK187" s="346"/>
      <c r="GL187" s="346"/>
      <c r="GM187" s="346"/>
      <c r="GN187" s="346"/>
      <c r="GO187" s="346"/>
      <c r="GP187" s="346"/>
      <c r="GQ187" s="346"/>
      <c r="GR187" s="346"/>
      <c r="GS187" s="346"/>
      <c r="GT187" s="347"/>
      <c r="GU187" s="346"/>
      <c r="GV187" s="346"/>
      <c r="GW187" s="346"/>
      <c r="GX187" s="346"/>
      <c r="GY187" s="347"/>
      <c r="GZ187" s="347"/>
      <c r="HA187" s="347"/>
      <c r="HB187" s="347"/>
      <c r="HC187" s="347"/>
      <c r="HD187" s="347"/>
      <c r="HE187" s="347"/>
      <c r="HF187" s="347"/>
      <c r="HG187" s="347"/>
      <c r="HH187" s="347"/>
      <c r="HI187" s="347"/>
      <c r="HJ187" s="347"/>
      <c r="HK187" s="347"/>
      <c r="HL187" s="347"/>
      <c r="HM187" s="347"/>
      <c r="HN187" s="347"/>
      <c r="HO187" s="347"/>
      <c r="HP187" s="347"/>
      <c r="HQ187" s="347"/>
      <c r="HR187" s="347"/>
      <c r="HS187" s="347"/>
      <c r="HT187" s="347"/>
      <c r="HU187" s="347"/>
      <c r="HV187" s="347"/>
      <c r="HW187" s="347"/>
      <c r="HX187" s="347"/>
      <c r="HY187" s="347"/>
      <c r="HZ187" s="347"/>
      <c r="IA187" s="347"/>
      <c r="IB187" s="347"/>
      <c r="IC187" s="347"/>
      <c r="ID187" s="347"/>
      <c r="IE187" s="346"/>
      <c r="IF187" s="346"/>
      <c r="IG187" s="346"/>
      <c r="IH187" s="346"/>
      <c r="II187" s="346"/>
      <c r="IJ187" s="346"/>
      <c r="IK187" s="348"/>
      <c r="IL187" s="346"/>
      <c r="IM187" s="346"/>
      <c r="IN187" s="346"/>
      <c r="IO187" s="346"/>
      <c r="IP187" s="346"/>
      <c r="IQ187" s="346"/>
      <c r="IR187" s="346"/>
      <c r="IS187" s="346"/>
      <c r="IT187" s="346"/>
      <c r="IU187" s="346"/>
      <c r="IV187" s="346"/>
      <c r="IW187" s="346"/>
      <c r="IX187" s="346"/>
      <c r="IY187" s="346"/>
      <c r="IZ187" s="346"/>
      <c r="JA187" s="348"/>
      <c r="JB187" s="348"/>
      <c r="JC187" s="346"/>
      <c r="JD187" s="346"/>
      <c r="JE187" s="346"/>
      <c r="JF187" s="346"/>
      <c r="JG187" s="346"/>
      <c r="JH187" s="346"/>
      <c r="JI187" s="346"/>
      <c r="JJ187" s="346"/>
      <c r="JK187" s="346"/>
      <c r="JL187" s="346"/>
      <c r="JM187" s="346"/>
      <c r="JN187" s="346"/>
      <c r="JO187" s="346"/>
      <c r="JP187" s="346"/>
      <c r="JQ187" s="346"/>
      <c r="JR187" s="58"/>
      <c r="JS187" s="58"/>
      <c r="JT187" s="346"/>
      <c r="JU187" s="346"/>
      <c r="JV187" s="346"/>
      <c r="JW187" s="346"/>
      <c r="JX187" s="346"/>
      <c r="JY187" s="346"/>
      <c r="JZ187" s="346"/>
      <c r="KA187" s="346"/>
      <c r="KB187" s="346"/>
      <c r="KC187" s="346"/>
      <c r="KD187" s="346"/>
      <c r="KE187" s="346"/>
      <c r="KF187" s="346"/>
      <c r="KG187" s="346"/>
      <c r="KH187" s="346"/>
      <c r="KI187" s="346"/>
      <c r="KJ187" s="346"/>
    </row>
    <row r="188" spans="1:296" s="55" customFormat="1" ht="15.6" customHeight="1" thickTop="1">
      <c r="A188" s="58"/>
      <c r="B188" s="6"/>
      <c r="C188" s="7" t="s">
        <v>665</v>
      </c>
      <c r="D188" s="58"/>
      <c r="E188" s="58"/>
      <c r="F188" s="1790">
        <f>SUM(F180:G187)</f>
        <v>49800</v>
      </c>
      <c r="G188" s="1791"/>
      <c r="H188" s="58"/>
      <c r="I188" s="58"/>
      <c r="J188" s="1322"/>
      <c r="K188" s="58"/>
      <c r="L188" s="58"/>
      <c r="M188" s="58"/>
      <c r="N188" s="860" t="s">
        <v>1199</v>
      </c>
      <c r="O188" s="861">
        <f>SUM(JC48:JG48)+SUM(JH48:JL48)+SUM(JM48:JQ48)+O84</f>
        <v>74</v>
      </c>
      <c r="P188" s="862">
        <f>SUM(P184:P187)</f>
        <v>18500</v>
      </c>
      <c r="Q188" s="749"/>
      <c r="R188" s="2600"/>
      <c r="S188" s="2656"/>
      <c r="T188" s="2656"/>
      <c r="U188" s="2656"/>
      <c r="V188" s="2601"/>
      <c r="W188" s="102"/>
      <c r="Z188" s="58"/>
      <c r="AA188" s="58"/>
      <c r="AB188" s="58"/>
      <c r="AC188" s="58"/>
      <c r="AD188" s="58"/>
      <c r="AE188" s="58"/>
      <c r="AF188" s="58"/>
      <c r="AG188" s="58"/>
      <c r="AH188" s="58"/>
      <c r="AI188" s="58"/>
      <c r="AJ188" s="58"/>
      <c r="AK188" s="58"/>
      <c r="AL188" s="58"/>
      <c r="AM188" s="58"/>
      <c r="AN188" s="58"/>
      <c r="AO188" s="58"/>
      <c r="AP188" s="58"/>
      <c r="AQ188" s="58"/>
      <c r="AR188" s="58"/>
      <c r="AS188" s="58"/>
      <c r="AT188" s="58"/>
      <c r="AU188" s="58"/>
      <c r="AV188" s="58"/>
      <c r="AW188" s="58"/>
      <c r="AX188" s="58"/>
      <c r="AY188" s="58"/>
      <c r="AZ188" s="58"/>
      <c r="BA188" s="58"/>
      <c r="BB188" s="58"/>
      <c r="BC188" s="58"/>
      <c r="BD188" s="58"/>
      <c r="BE188" s="58"/>
      <c r="BF188" s="58"/>
      <c r="BG188" s="58"/>
      <c r="BH188" s="58"/>
      <c r="BI188" s="58"/>
      <c r="BJ188" s="58"/>
      <c r="BK188" s="58"/>
      <c r="BL188" s="58"/>
      <c r="BM188" s="58"/>
      <c r="BN188" s="58"/>
      <c r="BO188" s="58"/>
      <c r="BP188" s="58"/>
      <c r="BQ188" s="58"/>
      <c r="BR188" s="58"/>
      <c r="BS188" s="58"/>
      <c r="BT188" s="58"/>
      <c r="BU188" s="58"/>
      <c r="BV188" s="58"/>
      <c r="BW188" s="58"/>
      <c r="BX188" s="58"/>
      <c r="BY188" s="58"/>
      <c r="BZ188" s="58"/>
      <c r="CA188" s="58"/>
      <c r="CB188" s="58"/>
      <c r="CC188" s="58"/>
      <c r="CD188" s="58"/>
      <c r="CE188" s="58"/>
      <c r="CF188" s="58"/>
      <c r="CG188" s="58"/>
      <c r="CH188" s="58"/>
      <c r="CI188" s="58"/>
      <c r="CJ188" s="58"/>
      <c r="CK188" s="58"/>
      <c r="CL188" s="58"/>
      <c r="CM188" s="58"/>
      <c r="CN188" s="58"/>
      <c r="CO188" s="58"/>
      <c r="CP188" s="58"/>
      <c r="CQ188" s="58"/>
      <c r="CR188" s="58"/>
      <c r="CS188" s="58"/>
      <c r="CT188" s="58"/>
      <c r="CU188" s="58"/>
      <c r="CV188" s="58"/>
      <c r="CW188" s="58"/>
      <c r="CX188" s="58"/>
      <c r="CY188" s="58"/>
      <c r="CZ188" s="58"/>
      <c r="DA188" s="58"/>
      <c r="DB188" s="58"/>
      <c r="DC188" s="58"/>
      <c r="DD188" s="58"/>
      <c r="DE188" s="58"/>
      <c r="DF188" s="58"/>
      <c r="DG188" s="58"/>
      <c r="DH188" s="58"/>
      <c r="DI188" s="58"/>
      <c r="DJ188" s="58"/>
      <c r="DK188" s="58"/>
      <c r="DL188" s="58"/>
      <c r="DM188" s="58"/>
      <c r="DN188" s="58"/>
      <c r="DO188" s="58"/>
      <c r="DP188" s="58"/>
      <c r="DQ188" s="58"/>
      <c r="DR188" s="58"/>
      <c r="DS188" s="58"/>
      <c r="DT188" s="58"/>
      <c r="DU188" s="58"/>
      <c r="DV188" s="58"/>
      <c r="DW188" s="58"/>
      <c r="DX188" s="58"/>
      <c r="DY188" s="58"/>
      <c r="DZ188" s="58"/>
      <c r="EA188" s="58"/>
      <c r="EB188" s="58"/>
      <c r="EC188" s="58"/>
      <c r="ED188" s="58"/>
      <c r="EE188" s="58"/>
      <c r="EF188" s="58"/>
      <c r="EG188" s="58"/>
      <c r="EH188" s="58"/>
      <c r="EI188" s="58"/>
      <c r="EJ188" s="58"/>
      <c r="EK188" s="58"/>
      <c r="EL188" s="58"/>
      <c r="EM188" s="58"/>
      <c r="EN188" s="58"/>
      <c r="EO188" s="58"/>
      <c r="EP188" s="58"/>
      <c r="EQ188" s="58"/>
      <c r="ER188" s="58"/>
      <c r="ES188" s="58"/>
      <c r="ET188" s="58"/>
      <c r="EU188" s="58"/>
      <c r="EV188" s="58"/>
      <c r="EW188" s="58"/>
      <c r="EX188" s="346"/>
      <c r="EY188" s="346"/>
      <c r="EZ188" s="346"/>
      <c r="FA188" s="346"/>
      <c r="FB188" s="346"/>
      <c r="FC188" s="346"/>
      <c r="FD188" s="346"/>
      <c r="FE188" s="346"/>
      <c r="FF188" s="346"/>
      <c r="FG188" s="346"/>
      <c r="FH188" s="346"/>
      <c r="FI188" s="346"/>
      <c r="FJ188" s="346"/>
      <c r="FK188" s="346"/>
      <c r="FL188" s="346"/>
      <c r="FM188" s="346"/>
      <c r="FN188" s="346"/>
      <c r="FO188" s="346"/>
      <c r="FP188" s="346"/>
      <c r="FQ188" s="346"/>
      <c r="FR188" s="346"/>
      <c r="FS188" s="346"/>
      <c r="FT188" s="346"/>
      <c r="FU188" s="346"/>
      <c r="FV188" s="346"/>
      <c r="FW188" s="346"/>
      <c r="FX188" s="346"/>
      <c r="FY188" s="346"/>
      <c r="FZ188" s="346"/>
      <c r="GA188" s="346"/>
      <c r="GB188" s="346"/>
      <c r="GC188" s="346"/>
      <c r="GD188" s="346"/>
      <c r="GE188" s="346"/>
      <c r="GF188" s="346"/>
      <c r="GG188" s="346"/>
      <c r="GH188" s="346"/>
      <c r="GI188" s="346"/>
      <c r="GJ188" s="346"/>
      <c r="GK188" s="346"/>
      <c r="GL188" s="346"/>
      <c r="GM188" s="346"/>
      <c r="GN188" s="346"/>
      <c r="GO188" s="346"/>
      <c r="GP188" s="346"/>
      <c r="GQ188" s="346"/>
      <c r="GR188" s="346"/>
      <c r="GS188" s="346"/>
      <c r="GT188" s="347"/>
      <c r="GU188" s="346"/>
      <c r="GV188" s="346"/>
      <c r="GW188" s="346"/>
      <c r="GX188" s="346"/>
      <c r="GY188" s="347"/>
      <c r="GZ188" s="347"/>
      <c r="HA188" s="347"/>
      <c r="HB188" s="347"/>
      <c r="HC188" s="347"/>
      <c r="HD188" s="347"/>
      <c r="HE188" s="347"/>
      <c r="HF188" s="347"/>
      <c r="HG188" s="347"/>
      <c r="HH188" s="347"/>
      <c r="HI188" s="347"/>
      <c r="HJ188" s="347"/>
      <c r="HK188" s="347"/>
      <c r="HL188" s="347"/>
      <c r="HM188" s="347"/>
      <c r="HN188" s="347"/>
      <c r="HO188" s="347"/>
      <c r="HP188" s="347"/>
      <c r="HQ188" s="347"/>
      <c r="HR188" s="347"/>
      <c r="HS188" s="347"/>
      <c r="HT188" s="347"/>
      <c r="HU188" s="347"/>
      <c r="HV188" s="347"/>
      <c r="HW188" s="347"/>
      <c r="HX188" s="347"/>
      <c r="HY188" s="347"/>
      <c r="HZ188" s="347"/>
      <c r="IA188" s="347"/>
      <c r="IB188" s="347"/>
      <c r="IC188" s="347"/>
      <c r="ID188" s="347"/>
      <c r="IE188" s="346"/>
      <c r="IF188" s="346"/>
      <c r="IG188" s="346"/>
      <c r="IH188" s="346"/>
      <c r="II188" s="346"/>
      <c r="IJ188" s="346"/>
      <c r="IK188" s="348"/>
      <c r="IL188" s="346"/>
      <c r="IM188" s="346"/>
      <c r="IN188" s="346"/>
      <c r="IO188" s="346"/>
      <c r="IP188" s="346"/>
      <c r="IQ188" s="346"/>
      <c r="IR188" s="346"/>
      <c r="IS188" s="346"/>
      <c r="IT188" s="346"/>
      <c r="IU188" s="346"/>
      <c r="IV188" s="346"/>
      <c r="IW188" s="346"/>
      <c r="IX188" s="346"/>
      <c r="IY188" s="346"/>
      <c r="IZ188" s="346"/>
      <c r="JA188" s="348"/>
      <c r="JB188" s="348"/>
      <c r="JC188" s="346"/>
      <c r="JD188" s="346"/>
      <c r="JE188" s="346"/>
      <c r="JF188" s="346"/>
      <c r="JG188" s="346"/>
      <c r="JH188" s="346"/>
      <c r="JI188" s="346"/>
      <c r="JJ188" s="346"/>
      <c r="JK188" s="346"/>
      <c r="JL188" s="346"/>
      <c r="JM188" s="346"/>
      <c r="JN188" s="346"/>
      <c r="JO188" s="346"/>
      <c r="JP188" s="346"/>
      <c r="JQ188" s="346"/>
      <c r="JR188" s="58"/>
      <c r="JS188" s="58"/>
      <c r="JT188" s="346"/>
      <c r="JU188" s="346"/>
      <c r="JV188" s="346"/>
      <c r="JW188" s="346"/>
      <c r="JX188" s="346"/>
      <c r="JY188" s="346"/>
      <c r="JZ188" s="346"/>
      <c r="KA188" s="346"/>
      <c r="KB188" s="346"/>
      <c r="KC188" s="346"/>
      <c r="KD188" s="346"/>
      <c r="KE188" s="346"/>
      <c r="KF188" s="346"/>
      <c r="KG188" s="346"/>
      <c r="KH188" s="346"/>
      <c r="KI188" s="346"/>
      <c r="KJ188" s="346"/>
    </row>
    <row r="189" spans="1:296" s="55" customFormat="1" ht="6" customHeight="1" thickBot="1">
      <c r="A189" s="58"/>
      <c r="B189" s="6"/>
      <c r="C189" s="7"/>
      <c r="D189" s="58"/>
      <c r="E189" s="58"/>
      <c r="F189" s="1322"/>
      <c r="G189" s="1322"/>
      <c r="H189" s="58"/>
      <c r="I189" s="58"/>
      <c r="J189" s="1322"/>
      <c r="K189" s="58"/>
      <c r="L189" s="58"/>
      <c r="M189" s="58"/>
      <c r="W189" s="102"/>
      <c r="Z189" s="58"/>
      <c r="AA189" s="58"/>
      <c r="AB189" s="58"/>
      <c r="AC189" s="58"/>
      <c r="AD189" s="58"/>
      <c r="AE189" s="58"/>
      <c r="AF189" s="58"/>
      <c r="AG189" s="58"/>
      <c r="AH189" s="58"/>
      <c r="AI189" s="58"/>
      <c r="AJ189" s="58"/>
      <c r="AK189" s="58"/>
      <c r="AL189" s="58"/>
      <c r="AM189" s="58"/>
      <c r="AN189" s="58"/>
      <c r="AO189" s="58"/>
      <c r="AP189" s="58"/>
      <c r="AQ189" s="58"/>
      <c r="AR189" s="58"/>
      <c r="AS189" s="58"/>
      <c r="AT189" s="58"/>
      <c r="AU189" s="58"/>
      <c r="AV189" s="58"/>
      <c r="AW189" s="58"/>
      <c r="AX189" s="58"/>
      <c r="AY189" s="58"/>
      <c r="AZ189" s="58"/>
      <c r="BA189" s="58"/>
      <c r="BB189" s="58"/>
      <c r="BC189" s="58"/>
      <c r="BD189" s="58"/>
      <c r="BE189" s="58"/>
      <c r="BF189" s="58"/>
      <c r="BG189" s="58"/>
      <c r="BH189" s="58"/>
      <c r="BI189" s="58"/>
      <c r="BJ189" s="58"/>
      <c r="BK189" s="58"/>
      <c r="BL189" s="58"/>
      <c r="BM189" s="58"/>
      <c r="BN189" s="58"/>
      <c r="BO189" s="58"/>
      <c r="BP189" s="58"/>
      <c r="BQ189" s="58"/>
      <c r="BR189" s="58"/>
      <c r="BS189" s="58"/>
      <c r="BT189" s="58"/>
      <c r="BU189" s="58"/>
      <c r="BV189" s="58"/>
      <c r="BW189" s="58"/>
      <c r="BX189" s="58"/>
      <c r="BY189" s="58"/>
      <c r="BZ189" s="58"/>
      <c r="CA189" s="58"/>
      <c r="CB189" s="58"/>
      <c r="CC189" s="58"/>
      <c r="CD189" s="58"/>
      <c r="CE189" s="58"/>
      <c r="CF189" s="58"/>
      <c r="CG189" s="58"/>
      <c r="CH189" s="58"/>
      <c r="CI189" s="58"/>
      <c r="CJ189" s="58"/>
      <c r="CK189" s="58"/>
      <c r="CL189" s="58"/>
      <c r="CM189" s="58"/>
      <c r="CN189" s="58"/>
      <c r="CO189" s="58"/>
      <c r="CP189" s="58"/>
      <c r="CQ189" s="58"/>
      <c r="CR189" s="58"/>
      <c r="CS189" s="58"/>
      <c r="CT189" s="58"/>
      <c r="CU189" s="58"/>
      <c r="CV189" s="58"/>
      <c r="CW189" s="58"/>
      <c r="CX189" s="58"/>
      <c r="CY189" s="58"/>
      <c r="CZ189" s="58"/>
      <c r="DA189" s="58"/>
      <c r="DB189" s="58"/>
      <c r="DC189" s="58"/>
      <c r="DD189" s="58"/>
      <c r="DE189" s="58"/>
      <c r="DF189" s="58"/>
      <c r="DG189" s="58"/>
      <c r="DH189" s="58"/>
      <c r="DI189" s="58"/>
      <c r="DJ189" s="58"/>
      <c r="DK189" s="58"/>
      <c r="DL189" s="58"/>
      <c r="DM189" s="58"/>
      <c r="DN189" s="58"/>
      <c r="DO189" s="58"/>
      <c r="DP189" s="58"/>
      <c r="DQ189" s="58"/>
      <c r="DR189" s="58"/>
      <c r="DS189" s="58"/>
      <c r="DT189" s="58"/>
      <c r="DU189" s="58"/>
      <c r="DV189" s="58"/>
      <c r="DW189" s="58"/>
      <c r="DX189" s="58"/>
      <c r="DY189" s="58"/>
      <c r="DZ189" s="58"/>
      <c r="EA189" s="58"/>
      <c r="EB189" s="58"/>
      <c r="EC189" s="58"/>
      <c r="ED189" s="58"/>
      <c r="EE189" s="58"/>
      <c r="EF189" s="58"/>
      <c r="EG189" s="58"/>
      <c r="EH189" s="58"/>
      <c r="EI189" s="58"/>
      <c r="EJ189" s="58"/>
      <c r="EK189" s="58"/>
      <c r="EL189" s="58"/>
      <c r="EM189" s="58"/>
      <c r="EN189" s="58"/>
      <c r="EO189" s="58"/>
      <c r="EP189" s="58"/>
      <c r="EQ189" s="58"/>
      <c r="ER189" s="58"/>
      <c r="ES189" s="58"/>
      <c r="ET189" s="58"/>
      <c r="EU189" s="58"/>
      <c r="EV189" s="58"/>
      <c r="EW189" s="58"/>
      <c r="EX189" s="346"/>
      <c r="EY189" s="346"/>
      <c r="EZ189" s="346"/>
      <c r="FA189" s="346"/>
      <c r="FB189" s="346"/>
      <c r="FC189" s="346"/>
      <c r="FD189" s="346"/>
      <c r="FE189" s="346"/>
      <c r="FF189" s="346"/>
      <c r="FG189" s="346"/>
      <c r="FH189" s="346"/>
      <c r="FI189" s="346"/>
      <c r="FJ189" s="346"/>
      <c r="FK189" s="346"/>
      <c r="FL189" s="346"/>
      <c r="FM189" s="346"/>
      <c r="FN189" s="346"/>
      <c r="FO189" s="346"/>
      <c r="FP189" s="346"/>
      <c r="FQ189" s="346"/>
      <c r="FR189" s="346"/>
      <c r="FS189" s="346"/>
      <c r="FT189" s="346"/>
      <c r="FU189" s="346"/>
      <c r="FV189" s="346"/>
      <c r="FW189" s="346"/>
      <c r="FX189" s="346"/>
      <c r="FY189" s="346"/>
      <c r="FZ189" s="346"/>
      <c r="GA189" s="346"/>
      <c r="GB189" s="346"/>
      <c r="GC189" s="346"/>
      <c r="GD189" s="346"/>
      <c r="GE189" s="346"/>
      <c r="GF189" s="346"/>
      <c r="GG189" s="346"/>
      <c r="GH189" s="346"/>
      <c r="GI189" s="346"/>
      <c r="GJ189" s="346"/>
      <c r="GK189" s="346"/>
      <c r="GL189" s="346"/>
      <c r="GM189" s="346"/>
      <c r="GN189" s="346"/>
      <c r="GO189" s="346"/>
      <c r="GP189" s="346"/>
      <c r="GQ189" s="346"/>
      <c r="GR189" s="346"/>
      <c r="GS189" s="346"/>
      <c r="GT189" s="347"/>
      <c r="GU189" s="346"/>
      <c r="GV189" s="346"/>
      <c r="GW189" s="346"/>
      <c r="GX189" s="346"/>
      <c r="GY189" s="347"/>
      <c r="GZ189" s="347"/>
      <c r="HA189" s="347"/>
      <c r="HB189" s="347"/>
      <c r="HC189" s="347"/>
      <c r="HD189" s="347"/>
      <c r="HE189" s="347"/>
      <c r="HF189" s="347"/>
      <c r="HG189" s="347"/>
      <c r="HH189" s="347"/>
      <c r="HI189" s="347"/>
      <c r="HJ189" s="347"/>
      <c r="HK189" s="347"/>
      <c r="HL189" s="347"/>
      <c r="HM189" s="347"/>
      <c r="HN189" s="347"/>
      <c r="HO189" s="347"/>
      <c r="HP189" s="347"/>
      <c r="HQ189" s="347"/>
      <c r="HR189" s="347"/>
      <c r="HS189" s="347"/>
      <c r="HT189" s="347"/>
      <c r="HU189" s="347"/>
      <c r="HV189" s="347"/>
      <c r="HW189" s="347"/>
      <c r="HX189" s="347"/>
      <c r="HY189" s="347"/>
      <c r="HZ189" s="347"/>
      <c r="IA189" s="347"/>
      <c r="IB189" s="347"/>
      <c r="IC189" s="347"/>
      <c r="ID189" s="347"/>
      <c r="IE189" s="346"/>
      <c r="IF189" s="346"/>
      <c r="IG189" s="346"/>
      <c r="IH189" s="346"/>
      <c r="II189" s="346"/>
      <c r="IJ189" s="346"/>
      <c r="IK189" s="348"/>
      <c r="IL189" s="346"/>
      <c r="IM189" s="346"/>
      <c r="IN189" s="346"/>
      <c r="IO189" s="346"/>
      <c r="IP189" s="346"/>
      <c r="IQ189" s="346"/>
      <c r="IR189" s="346"/>
      <c r="IS189" s="346"/>
      <c r="IT189" s="346"/>
      <c r="IU189" s="346"/>
      <c r="IV189" s="346"/>
      <c r="IW189" s="346"/>
      <c r="IX189" s="346"/>
      <c r="IY189" s="346"/>
      <c r="IZ189" s="346"/>
      <c r="JA189" s="348"/>
      <c r="JB189" s="348"/>
      <c r="JC189" s="346"/>
      <c r="JD189" s="346"/>
      <c r="JE189" s="346"/>
      <c r="JF189" s="346"/>
      <c r="JG189" s="346"/>
      <c r="JH189" s="346"/>
      <c r="JI189" s="346"/>
      <c r="JJ189" s="346"/>
      <c r="JK189" s="346"/>
      <c r="JL189" s="346"/>
      <c r="JM189" s="346"/>
      <c r="JN189" s="346"/>
      <c r="JO189" s="346"/>
      <c r="JP189" s="346"/>
      <c r="JQ189" s="346"/>
      <c r="JR189" s="58"/>
      <c r="JS189" s="58"/>
      <c r="JT189" s="346"/>
      <c r="JU189" s="346"/>
      <c r="JV189" s="346"/>
      <c r="JW189" s="346"/>
      <c r="JX189" s="346"/>
      <c r="JY189" s="346"/>
      <c r="JZ189" s="346"/>
      <c r="KA189" s="346"/>
      <c r="KB189" s="346"/>
      <c r="KC189" s="346"/>
      <c r="KD189" s="346"/>
      <c r="KE189" s="346"/>
      <c r="KF189" s="346"/>
      <c r="KG189" s="346"/>
      <c r="KH189" s="346"/>
      <c r="KI189" s="346"/>
      <c r="KJ189" s="346"/>
    </row>
    <row r="190" spans="1:296" s="55" customFormat="1" ht="15.6" customHeight="1" thickBot="1">
      <c r="A190" s="58"/>
      <c r="B190" s="6"/>
      <c r="C190" s="7"/>
      <c r="D190" s="58"/>
      <c r="E190" s="58"/>
      <c r="F190" s="1322"/>
      <c r="G190" s="1322"/>
      <c r="H190" s="58"/>
      <c r="I190" s="58"/>
      <c r="J190" s="1322"/>
      <c r="K190" s="58"/>
      <c r="L190" s="58"/>
      <c r="M190" s="58"/>
      <c r="N190" s="6" t="s">
        <v>1200</v>
      </c>
      <c r="O190" s="58"/>
      <c r="P190" s="1326">
        <f>P175+P179</f>
        <v>398985</v>
      </c>
      <c r="Q190" s="1321"/>
      <c r="W190" s="102"/>
      <c r="Z190" s="58"/>
      <c r="AA190" s="58"/>
      <c r="AB190" s="58"/>
      <c r="AC190" s="58"/>
      <c r="AD190" s="58"/>
      <c r="AE190" s="58"/>
      <c r="AF190" s="58"/>
      <c r="AG190" s="58"/>
      <c r="AH190" s="58"/>
      <c r="AI190" s="58"/>
      <c r="AJ190" s="58"/>
      <c r="AK190" s="58"/>
      <c r="AL190" s="58"/>
      <c r="AM190" s="58"/>
      <c r="AN190" s="58"/>
      <c r="AO190" s="58"/>
      <c r="AP190" s="58"/>
      <c r="AQ190" s="58"/>
      <c r="AR190" s="58"/>
      <c r="AS190" s="58"/>
      <c r="AT190" s="58"/>
      <c r="AU190" s="58"/>
      <c r="AV190" s="58"/>
      <c r="AW190" s="58"/>
      <c r="AX190" s="58"/>
      <c r="AY190" s="58"/>
      <c r="AZ190" s="58"/>
      <c r="BA190" s="58"/>
      <c r="BB190" s="58"/>
      <c r="BC190" s="58"/>
      <c r="BD190" s="58"/>
      <c r="BE190" s="58"/>
      <c r="BF190" s="58"/>
      <c r="BG190" s="58"/>
      <c r="BH190" s="58"/>
      <c r="BI190" s="58"/>
      <c r="BJ190" s="58"/>
      <c r="BK190" s="58"/>
      <c r="BL190" s="58"/>
      <c r="BM190" s="58"/>
      <c r="BN190" s="58"/>
      <c r="BO190" s="58"/>
      <c r="BP190" s="58"/>
      <c r="BQ190" s="58"/>
      <c r="BR190" s="58"/>
      <c r="BS190" s="58"/>
      <c r="BT190" s="58"/>
      <c r="BU190" s="58"/>
      <c r="BV190" s="58"/>
      <c r="BW190" s="58"/>
      <c r="BX190" s="58"/>
      <c r="BY190" s="58"/>
      <c r="BZ190" s="58"/>
      <c r="CA190" s="58"/>
      <c r="CB190" s="58"/>
      <c r="CC190" s="58"/>
      <c r="CD190" s="58"/>
      <c r="CE190" s="58"/>
      <c r="CF190" s="58"/>
      <c r="CG190" s="58"/>
      <c r="CH190" s="58"/>
      <c r="CI190" s="58"/>
      <c r="CJ190" s="58"/>
      <c r="CK190" s="58"/>
      <c r="CL190" s="58"/>
      <c r="CM190" s="58"/>
      <c r="CN190" s="58"/>
      <c r="CO190" s="58"/>
      <c r="CP190" s="58"/>
      <c r="CQ190" s="58"/>
      <c r="CR190" s="58"/>
      <c r="CS190" s="58"/>
      <c r="CT190" s="58"/>
      <c r="CU190" s="58"/>
      <c r="CV190" s="58"/>
      <c r="CW190" s="58"/>
      <c r="CX190" s="58"/>
      <c r="CY190" s="58"/>
      <c r="CZ190" s="58"/>
      <c r="DA190" s="58"/>
      <c r="DB190" s="58"/>
      <c r="DC190" s="58"/>
      <c r="DD190" s="58"/>
      <c r="DE190" s="58"/>
      <c r="DF190" s="58"/>
      <c r="DG190" s="58"/>
      <c r="DH190" s="58"/>
      <c r="DI190" s="58"/>
      <c r="DJ190" s="58"/>
      <c r="DK190" s="58"/>
      <c r="DL190" s="58"/>
      <c r="DM190" s="58"/>
      <c r="DN190" s="58"/>
      <c r="DO190" s="58"/>
      <c r="DP190" s="58"/>
      <c r="DQ190" s="58"/>
      <c r="DR190" s="58"/>
      <c r="DS190" s="58"/>
      <c r="DT190" s="58"/>
      <c r="DU190" s="58"/>
      <c r="DV190" s="58"/>
      <c r="DW190" s="58"/>
      <c r="DX190" s="58"/>
      <c r="DY190" s="58"/>
      <c r="DZ190" s="58"/>
      <c r="EA190" s="58"/>
      <c r="EB190" s="58"/>
      <c r="EC190" s="58"/>
      <c r="ED190" s="58"/>
      <c r="EE190" s="58"/>
      <c r="EF190" s="58"/>
      <c r="EG190" s="58"/>
      <c r="EH190" s="58"/>
      <c r="EI190" s="58"/>
      <c r="EJ190" s="58"/>
      <c r="EK190" s="58"/>
      <c r="EL190" s="58"/>
      <c r="EM190" s="58"/>
      <c r="EN190" s="58"/>
      <c r="EO190" s="58"/>
      <c r="EP190" s="58"/>
      <c r="EQ190" s="58"/>
      <c r="ER190" s="58"/>
      <c r="ES190" s="58"/>
      <c r="ET190" s="58"/>
      <c r="EU190" s="58"/>
      <c r="EV190" s="58"/>
      <c r="EW190" s="58"/>
      <c r="EX190" s="346"/>
      <c r="EY190" s="346"/>
      <c r="EZ190" s="346"/>
      <c r="FA190" s="346"/>
      <c r="FB190" s="346"/>
      <c r="FC190" s="346"/>
      <c r="FD190" s="346"/>
      <c r="FE190" s="346"/>
      <c r="FF190" s="346"/>
      <c r="FG190" s="346"/>
      <c r="FH190" s="346"/>
      <c r="FI190" s="346"/>
      <c r="FJ190" s="346"/>
      <c r="FK190" s="346"/>
      <c r="FL190" s="346"/>
      <c r="FM190" s="346"/>
      <c r="FN190" s="346"/>
      <c r="FO190" s="346"/>
      <c r="FP190" s="346"/>
      <c r="FQ190" s="346"/>
      <c r="FR190" s="346"/>
      <c r="FS190" s="346"/>
      <c r="FT190" s="346"/>
      <c r="FU190" s="346"/>
      <c r="FV190" s="346"/>
      <c r="FW190" s="346"/>
      <c r="FX190" s="346"/>
      <c r="FY190" s="346"/>
      <c r="FZ190" s="346"/>
      <c r="GA190" s="346"/>
      <c r="GB190" s="346"/>
      <c r="GC190" s="346"/>
      <c r="GD190" s="346"/>
      <c r="GE190" s="346"/>
      <c r="GF190" s="346"/>
      <c r="GG190" s="346"/>
      <c r="GH190" s="346"/>
      <c r="GI190" s="346"/>
      <c r="GJ190" s="346"/>
      <c r="GK190" s="346"/>
      <c r="GL190" s="346"/>
      <c r="GM190" s="346"/>
      <c r="GN190" s="346"/>
      <c r="GO190" s="346"/>
      <c r="GP190" s="346"/>
      <c r="GQ190" s="346"/>
      <c r="GR190" s="346"/>
      <c r="GS190" s="346"/>
      <c r="GT190" s="347"/>
      <c r="GU190" s="346"/>
      <c r="GV190" s="346"/>
      <c r="GW190" s="346"/>
      <c r="GX190" s="346"/>
      <c r="GY190" s="347"/>
      <c r="GZ190" s="347"/>
      <c r="HA190" s="347"/>
      <c r="HB190" s="347"/>
      <c r="HC190" s="347"/>
      <c r="HD190" s="347"/>
      <c r="HE190" s="347"/>
      <c r="HF190" s="347"/>
      <c r="HG190" s="347"/>
      <c r="HH190" s="347"/>
      <c r="HI190" s="347"/>
      <c r="HJ190" s="347"/>
      <c r="HK190" s="347"/>
      <c r="HL190" s="347"/>
      <c r="HM190" s="347"/>
      <c r="HN190" s="347"/>
      <c r="HO190" s="347"/>
      <c r="HP190" s="347"/>
      <c r="HQ190" s="347"/>
      <c r="HR190" s="347"/>
      <c r="HS190" s="347"/>
      <c r="HT190" s="347"/>
      <c r="HU190" s="347"/>
      <c r="HV190" s="347"/>
      <c r="HW190" s="347"/>
      <c r="HX190" s="347"/>
      <c r="HY190" s="347"/>
      <c r="HZ190" s="347"/>
      <c r="IA190" s="347"/>
      <c r="IB190" s="347"/>
      <c r="IC190" s="347"/>
      <c r="ID190" s="347"/>
      <c r="IE190" s="346"/>
      <c r="IF190" s="346"/>
      <c r="IG190" s="346"/>
      <c r="IH190" s="346"/>
      <c r="II190" s="346"/>
      <c r="IJ190" s="346"/>
      <c r="IK190" s="348"/>
      <c r="IL190" s="346"/>
      <c r="IM190" s="346"/>
      <c r="IN190" s="346"/>
      <c r="IO190" s="346"/>
      <c r="IP190" s="346"/>
      <c r="IQ190" s="346"/>
      <c r="IR190" s="346"/>
      <c r="IS190" s="346"/>
      <c r="IT190" s="346"/>
      <c r="IU190" s="346"/>
      <c r="IV190" s="346"/>
      <c r="IW190" s="346"/>
      <c r="IX190" s="346"/>
      <c r="IY190" s="346"/>
      <c r="IZ190" s="346"/>
      <c r="JA190" s="348"/>
      <c r="JB190" s="348"/>
      <c r="JC190" s="346"/>
      <c r="JD190" s="346"/>
      <c r="JE190" s="346"/>
      <c r="JF190" s="346"/>
      <c r="JG190" s="346"/>
      <c r="JH190" s="346"/>
      <c r="JI190" s="346"/>
      <c r="JJ190" s="346"/>
      <c r="JK190" s="346"/>
      <c r="JL190" s="346"/>
      <c r="JM190" s="346"/>
      <c r="JN190" s="346"/>
      <c r="JO190" s="346"/>
      <c r="JP190" s="346"/>
      <c r="JQ190" s="346"/>
      <c r="JR190" s="58"/>
      <c r="JS190" s="58"/>
      <c r="JT190" s="346"/>
      <c r="JU190" s="346"/>
      <c r="JV190" s="346"/>
      <c r="JW190" s="346"/>
      <c r="JX190" s="346"/>
      <c r="JY190" s="346"/>
      <c r="JZ190" s="346"/>
      <c r="KA190" s="346"/>
      <c r="KB190" s="346"/>
      <c r="KC190" s="346"/>
      <c r="KD190" s="346"/>
      <c r="KE190" s="346"/>
      <c r="KF190" s="346"/>
      <c r="KG190" s="346"/>
      <c r="KH190" s="346"/>
      <c r="KI190" s="346"/>
      <c r="KJ190" s="346"/>
    </row>
    <row r="191" spans="1:296" s="55" customFormat="1" ht="8.25" customHeight="1">
      <c r="A191" s="58"/>
      <c r="B191" s="6"/>
      <c r="C191" s="7"/>
      <c r="D191" s="58"/>
      <c r="E191" s="58"/>
      <c r="F191" s="1322"/>
      <c r="G191" s="1322"/>
      <c r="H191" s="58"/>
      <c r="I191" s="58"/>
      <c r="J191" s="1322"/>
      <c r="K191" s="58"/>
      <c r="L191" s="58"/>
      <c r="M191" s="58"/>
      <c r="N191" s="6"/>
      <c r="O191" s="58"/>
      <c r="P191" s="1321"/>
      <c r="Q191" s="1321"/>
      <c r="W191" s="102"/>
      <c r="Z191" s="58"/>
      <c r="AA191" s="58"/>
      <c r="AB191" s="58"/>
      <c r="AC191" s="58"/>
      <c r="AD191" s="58"/>
      <c r="AE191" s="58"/>
      <c r="AF191" s="58"/>
      <c r="AG191" s="58"/>
      <c r="AH191" s="58"/>
      <c r="AI191" s="58"/>
      <c r="AJ191" s="58"/>
      <c r="AK191" s="58"/>
      <c r="AL191" s="58"/>
      <c r="AM191" s="58"/>
      <c r="AN191" s="58"/>
      <c r="AO191" s="58"/>
      <c r="AP191" s="58"/>
      <c r="AQ191" s="58"/>
      <c r="AR191" s="58"/>
      <c r="AS191" s="58"/>
      <c r="AT191" s="58"/>
      <c r="AU191" s="58"/>
      <c r="AV191" s="58"/>
      <c r="AW191" s="58"/>
      <c r="AX191" s="58"/>
      <c r="AY191" s="58"/>
      <c r="AZ191" s="58"/>
      <c r="BA191" s="58"/>
      <c r="BB191" s="58"/>
      <c r="BC191" s="58"/>
      <c r="BD191" s="58"/>
      <c r="BE191" s="58"/>
      <c r="BF191" s="58"/>
      <c r="BG191" s="58"/>
      <c r="BH191" s="58"/>
      <c r="BI191" s="58"/>
      <c r="BJ191" s="58"/>
      <c r="BK191" s="58"/>
      <c r="BL191" s="58"/>
      <c r="BM191" s="58"/>
      <c r="BN191" s="58"/>
      <c r="BO191" s="58"/>
      <c r="BP191" s="58"/>
      <c r="BQ191" s="58"/>
      <c r="BR191" s="58"/>
      <c r="BS191" s="58"/>
      <c r="BT191" s="58"/>
      <c r="BU191" s="58"/>
      <c r="BV191" s="58"/>
      <c r="BW191" s="58"/>
      <c r="BX191" s="58"/>
      <c r="BY191" s="58"/>
      <c r="BZ191" s="58"/>
      <c r="CA191" s="58"/>
      <c r="CB191" s="58"/>
      <c r="CC191" s="58"/>
      <c r="CD191" s="58"/>
      <c r="CE191" s="58"/>
      <c r="CF191" s="58"/>
      <c r="CG191" s="58"/>
      <c r="CH191" s="58"/>
      <c r="CI191" s="58"/>
      <c r="CJ191" s="58"/>
      <c r="CK191" s="58"/>
      <c r="CL191" s="58"/>
      <c r="CM191" s="58"/>
      <c r="CN191" s="58"/>
      <c r="CO191" s="58"/>
      <c r="CP191" s="58"/>
      <c r="CQ191" s="58"/>
      <c r="CR191" s="58"/>
      <c r="CS191" s="58"/>
      <c r="CT191" s="58"/>
      <c r="CU191" s="58"/>
      <c r="CV191" s="58"/>
      <c r="CW191" s="58"/>
      <c r="CX191" s="58"/>
      <c r="CY191" s="58"/>
      <c r="CZ191" s="58"/>
      <c r="DA191" s="58"/>
      <c r="DB191" s="58"/>
      <c r="DC191" s="58"/>
      <c r="DD191" s="58"/>
      <c r="DE191" s="58"/>
      <c r="DF191" s="58"/>
      <c r="DG191" s="58"/>
      <c r="DH191" s="58"/>
      <c r="DI191" s="58"/>
      <c r="DJ191" s="58"/>
      <c r="DK191" s="58"/>
      <c r="DL191" s="58"/>
      <c r="DM191" s="58"/>
      <c r="DN191" s="58"/>
      <c r="DO191" s="58"/>
      <c r="DP191" s="58"/>
      <c r="DQ191" s="58"/>
      <c r="DR191" s="58"/>
      <c r="DS191" s="58"/>
      <c r="DT191" s="58"/>
      <c r="DU191" s="58"/>
      <c r="DV191" s="58"/>
      <c r="DW191" s="58"/>
      <c r="DX191" s="58"/>
      <c r="DY191" s="58"/>
      <c r="DZ191" s="58"/>
      <c r="EA191" s="58"/>
      <c r="EB191" s="58"/>
      <c r="EC191" s="58"/>
      <c r="ED191" s="58"/>
      <c r="EE191" s="58"/>
      <c r="EF191" s="58"/>
      <c r="EG191" s="58"/>
      <c r="EH191" s="58"/>
      <c r="EI191" s="58"/>
      <c r="EJ191" s="58"/>
      <c r="EK191" s="58"/>
      <c r="EL191" s="58"/>
      <c r="EM191" s="58"/>
      <c r="EN191" s="58"/>
      <c r="EO191" s="58"/>
      <c r="EP191" s="58"/>
      <c r="EQ191" s="58"/>
      <c r="ER191" s="58"/>
      <c r="ES191" s="58"/>
      <c r="ET191" s="58"/>
      <c r="EU191" s="58"/>
      <c r="EV191" s="58"/>
      <c r="EW191" s="58"/>
      <c r="EX191" s="346"/>
      <c r="EY191" s="346"/>
      <c r="EZ191" s="346"/>
      <c r="FA191" s="346"/>
      <c r="FB191" s="346"/>
      <c r="FC191" s="346"/>
      <c r="FD191" s="346"/>
      <c r="FE191" s="346"/>
      <c r="FF191" s="346"/>
      <c r="FG191" s="346"/>
      <c r="FH191" s="346"/>
      <c r="FI191" s="346"/>
      <c r="FJ191" s="346"/>
      <c r="FK191" s="346"/>
      <c r="FL191" s="346"/>
      <c r="FM191" s="346"/>
      <c r="FN191" s="346"/>
      <c r="FO191" s="346"/>
      <c r="FP191" s="346"/>
      <c r="FQ191" s="346"/>
      <c r="FR191" s="346"/>
      <c r="FS191" s="346"/>
      <c r="FT191" s="346"/>
      <c r="FU191" s="346"/>
      <c r="FV191" s="346"/>
      <c r="FW191" s="346"/>
      <c r="FX191" s="346"/>
      <c r="FY191" s="346"/>
      <c r="FZ191" s="346"/>
      <c r="GA191" s="346"/>
      <c r="GB191" s="346"/>
      <c r="GC191" s="346"/>
      <c r="GD191" s="346"/>
      <c r="GE191" s="346"/>
      <c r="GF191" s="346"/>
      <c r="GG191" s="346"/>
      <c r="GH191" s="346"/>
      <c r="GI191" s="346"/>
      <c r="GJ191" s="346"/>
      <c r="GK191" s="346"/>
      <c r="GL191" s="346"/>
      <c r="GM191" s="346"/>
      <c r="GN191" s="346"/>
      <c r="GO191" s="346"/>
      <c r="GP191" s="346"/>
      <c r="GQ191" s="346"/>
      <c r="GR191" s="346"/>
      <c r="GS191" s="346"/>
      <c r="GT191" s="347"/>
      <c r="GU191" s="346"/>
      <c r="GV191" s="346"/>
      <c r="GW191" s="346"/>
      <c r="GX191" s="346"/>
      <c r="GY191" s="347"/>
      <c r="GZ191" s="347"/>
      <c r="HA191" s="347"/>
      <c r="HB191" s="347"/>
      <c r="HC191" s="347"/>
      <c r="HD191" s="347"/>
      <c r="HE191" s="347"/>
      <c r="HF191" s="347"/>
      <c r="HG191" s="347"/>
      <c r="HH191" s="347"/>
      <c r="HI191" s="347"/>
      <c r="HJ191" s="347"/>
      <c r="HK191" s="347"/>
      <c r="HL191" s="347"/>
      <c r="HM191" s="347"/>
      <c r="HN191" s="347"/>
      <c r="HO191" s="347"/>
      <c r="HP191" s="347"/>
      <c r="HQ191" s="347"/>
      <c r="HR191" s="347"/>
      <c r="HS191" s="347"/>
      <c r="HT191" s="347"/>
      <c r="HU191" s="347"/>
      <c r="HV191" s="347"/>
      <c r="HW191" s="347"/>
      <c r="HX191" s="347"/>
      <c r="HY191" s="347"/>
      <c r="HZ191" s="347"/>
      <c r="IA191" s="347"/>
      <c r="IB191" s="347"/>
      <c r="IC191" s="347"/>
      <c r="ID191" s="347"/>
      <c r="IE191" s="346"/>
      <c r="IF191" s="346"/>
      <c r="IG191" s="346"/>
      <c r="IH191" s="346"/>
      <c r="II191" s="346"/>
      <c r="IJ191" s="346"/>
      <c r="IK191" s="348"/>
      <c r="IL191" s="346"/>
      <c r="IM191" s="346"/>
      <c r="IN191" s="346"/>
      <c r="IO191" s="346"/>
      <c r="IP191" s="346"/>
      <c r="IQ191" s="346"/>
      <c r="IR191" s="346"/>
      <c r="IS191" s="346"/>
      <c r="IT191" s="346"/>
      <c r="IU191" s="346"/>
      <c r="IV191" s="346"/>
      <c r="IW191" s="346"/>
      <c r="IX191" s="346"/>
      <c r="IY191" s="346"/>
      <c r="IZ191" s="346"/>
      <c r="JA191" s="348"/>
      <c r="JB191" s="348"/>
      <c r="JC191" s="346"/>
      <c r="JD191" s="346"/>
      <c r="JE191" s="346"/>
      <c r="JF191" s="346"/>
      <c r="JG191" s="346"/>
      <c r="JH191" s="346"/>
      <c r="JI191" s="346"/>
      <c r="JJ191" s="346"/>
      <c r="JK191" s="346"/>
      <c r="JL191" s="346"/>
      <c r="JM191" s="346"/>
      <c r="JN191" s="346"/>
      <c r="JO191" s="346"/>
      <c r="JP191" s="346"/>
      <c r="JQ191" s="346"/>
      <c r="JR191" s="58"/>
      <c r="JS191" s="58"/>
      <c r="JT191" s="346"/>
      <c r="JU191" s="346"/>
      <c r="JV191" s="346"/>
      <c r="JW191" s="346"/>
      <c r="JX191" s="346"/>
      <c r="JY191" s="346"/>
      <c r="JZ191" s="346"/>
      <c r="KA191" s="346"/>
      <c r="KB191" s="346"/>
      <c r="KC191" s="346"/>
      <c r="KD191" s="346"/>
      <c r="KE191" s="346"/>
      <c r="KF191" s="346"/>
      <c r="KG191" s="346"/>
      <c r="KH191" s="346"/>
      <c r="KI191" s="346"/>
      <c r="KJ191" s="346"/>
    </row>
    <row r="192" spans="1:296" ht="12" customHeight="1">
      <c r="A192" s="8" t="s">
        <v>108</v>
      </c>
      <c r="B192" s="8" t="s">
        <v>259</v>
      </c>
      <c r="C192" s="102"/>
      <c r="D192" s="102"/>
      <c r="E192" s="102"/>
      <c r="F192" s="102"/>
      <c r="G192" s="102"/>
      <c r="H192" s="102"/>
      <c r="I192" s="102"/>
      <c r="J192" s="102"/>
      <c r="K192" s="102"/>
      <c r="L192" s="102"/>
      <c r="M192" s="8" t="s">
        <v>1201</v>
      </c>
      <c r="N192" s="8"/>
      <c r="O192" s="102"/>
    </row>
    <row r="193" spans="1:296" ht="409.5" customHeight="1">
      <c r="A193" s="2686" t="s">
        <v>4722</v>
      </c>
      <c r="B193" s="2686"/>
      <c r="C193" s="2686"/>
      <c r="D193" s="2686"/>
      <c r="E193" s="2686"/>
      <c r="F193" s="2686"/>
      <c r="G193" s="2686"/>
      <c r="H193" s="2686"/>
      <c r="I193" s="2686"/>
      <c r="J193" s="2686"/>
      <c r="K193" s="2686"/>
      <c r="L193" s="2686"/>
      <c r="M193" s="2687"/>
      <c r="N193" s="2687"/>
      <c r="O193" s="2687"/>
      <c r="P193" s="2687"/>
      <c r="Q193" s="1785" t="s">
        <v>1202</v>
      </c>
      <c r="R193" s="1561"/>
      <c r="S193" s="1561"/>
      <c r="T193" s="1561"/>
    </row>
    <row r="194" spans="1:296" ht="11.25" customHeight="1">
      <c r="A194" s="102"/>
      <c r="B194" s="102"/>
      <c r="C194" s="102"/>
      <c r="D194" s="102"/>
      <c r="E194" s="102"/>
      <c r="F194" s="102"/>
      <c r="G194" s="102"/>
      <c r="H194" s="102"/>
      <c r="I194" s="102"/>
      <c r="J194" s="102"/>
      <c r="K194" s="102"/>
      <c r="L194" s="102"/>
      <c r="M194" s="102"/>
      <c r="N194" s="102"/>
      <c r="O194" s="102"/>
    </row>
    <row r="195" spans="1:296" ht="12" customHeight="1">
      <c r="A195" s="102"/>
      <c r="B195" s="102"/>
      <c r="C195" s="102"/>
      <c r="D195" s="102"/>
      <c r="E195" s="102"/>
      <c r="F195" s="102"/>
      <c r="G195" s="102"/>
      <c r="H195" s="102"/>
      <c r="I195" s="102"/>
      <c r="J195" s="102"/>
      <c r="K195" s="102"/>
      <c r="L195" s="102"/>
      <c r="M195" s="102"/>
      <c r="N195" s="102"/>
      <c r="O195" s="102"/>
    </row>
    <row r="196" spans="1:296" ht="12" customHeight="1">
      <c r="A196" s="102"/>
      <c r="B196" s="102"/>
      <c r="C196" s="102"/>
      <c r="D196" s="102"/>
      <c r="E196" s="102"/>
      <c r="F196" s="102"/>
      <c r="G196" s="102"/>
      <c r="H196" s="102"/>
      <c r="I196" s="102"/>
      <c r="J196" s="102"/>
      <c r="K196" s="102"/>
      <c r="L196" s="102"/>
      <c r="M196" s="102"/>
      <c r="N196" s="102"/>
      <c r="O196" s="102"/>
    </row>
    <row r="197" spans="1:296" ht="13.9" customHeight="1">
      <c r="A197" s="102"/>
      <c r="B197" s="102"/>
      <c r="C197" s="102"/>
      <c r="D197" s="102"/>
      <c r="E197" s="102"/>
      <c r="F197" s="102"/>
      <c r="G197" s="102"/>
      <c r="H197" s="102"/>
      <c r="I197" s="102"/>
      <c r="J197" s="102"/>
      <c r="K197" s="102"/>
      <c r="L197" s="102"/>
      <c r="M197" s="102"/>
      <c r="N197" s="102"/>
      <c r="O197" s="102"/>
    </row>
    <row r="198" spans="1:296" s="55" customFormat="1" ht="13.9" customHeight="1">
      <c r="A198" s="58"/>
      <c r="B198" s="58"/>
      <c r="C198" s="58"/>
      <c r="D198" s="58"/>
      <c r="E198" s="58"/>
      <c r="F198" s="58"/>
      <c r="G198" s="58"/>
      <c r="H198" s="58"/>
      <c r="I198" s="58"/>
      <c r="J198" s="58"/>
      <c r="K198" s="58"/>
      <c r="L198" s="58"/>
      <c r="M198" s="58"/>
      <c r="N198" s="58"/>
      <c r="O198" s="58"/>
      <c r="W198" s="58"/>
      <c r="X198" s="58"/>
      <c r="Y198" s="58"/>
      <c r="Z198" s="58"/>
      <c r="AA198" s="58"/>
      <c r="AB198" s="58"/>
      <c r="AC198" s="58"/>
      <c r="AD198" s="58"/>
      <c r="AE198" s="58"/>
      <c r="AF198" s="58"/>
      <c r="AG198" s="58"/>
      <c r="AH198" s="58"/>
      <c r="AI198" s="58"/>
      <c r="AJ198" s="58"/>
      <c r="AK198" s="58"/>
      <c r="AL198" s="58"/>
      <c r="AM198" s="58"/>
      <c r="AN198" s="58"/>
      <c r="AO198" s="58"/>
      <c r="AP198" s="58"/>
      <c r="AQ198" s="58"/>
      <c r="AR198" s="58"/>
      <c r="AS198" s="58"/>
      <c r="AT198" s="58"/>
      <c r="AU198" s="58"/>
      <c r="AV198" s="58"/>
      <c r="AW198" s="58"/>
      <c r="AX198" s="58"/>
      <c r="AY198" s="58"/>
      <c r="AZ198" s="58"/>
      <c r="BA198" s="58"/>
      <c r="BB198" s="58"/>
      <c r="BC198" s="58"/>
      <c r="BD198" s="58"/>
      <c r="BE198" s="58"/>
      <c r="BF198" s="58"/>
      <c r="BG198" s="58"/>
      <c r="BH198" s="58"/>
      <c r="BI198" s="58"/>
      <c r="BJ198" s="58"/>
      <c r="BK198" s="58"/>
      <c r="BL198" s="58"/>
      <c r="BM198" s="58"/>
      <c r="BN198" s="58"/>
      <c r="BO198" s="58"/>
      <c r="BP198" s="58"/>
      <c r="BQ198" s="58"/>
      <c r="BR198" s="58"/>
      <c r="BS198" s="58"/>
      <c r="BT198" s="58"/>
      <c r="BU198" s="58"/>
      <c r="BV198" s="58"/>
      <c r="BW198" s="58"/>
      <c r="BX198" s="58"/>
      <c r="BY198" s="58"/>
      <c r="BZ198" s="58"/>
      <c r="CA198" s="58"/>
      <c r="CB198" s="58"/>
      <c r="CC198" s="58"/>
      <c r="CD198" s="58"/>
      <c r="CE198" s="58"/>
      <c r="CF198" s="58"/>
      <c r="CG198" s="58"/>
      <c r="CH198" s="58"/>
      <c r="CI198" s="58"/>
      <c r="CJ198" s="58"/>
      <c r="CK198" s="58"/>
      <c r="CL198" s="58"/>
      <c r="CM198" s="58"/>
      <c r="CN198" s="58"/>
      <c r="CO198" s="58"/>
      <c r="CP198" s="58"/>
      <c r="CQ198" s="58"/>
      <c r="CR198" s="58"/>
      <c r="CS198" s="58"/>
      <c r="CT198" s="58"/>
      <c r="CU198" s="58"/>
      <c r="CV198" s="58"/>
      <c r="CW198" s="58"/>
      <c r="CX198" s="58"/>
      <c r="CY198" s="58"/>
      <c r="CZ198" s="58"/>
      <c r="DA198" s="58"/>
      <c r="DB198" s="58"/>
      <c r="DC198" s="58"/>
      <c r="DD198" s="58"/>
      <c r="DE198" s="58"/>
      <c r="DF198" s="58"/>
      <c r="DG198" s="58"/>
      <c r="DH198" s="58"/>
      <c r="DI198" s="58"/>
      <c r="DJ198" s="58"/>
      <c r="DK198" s="58"/>
      <c r="DL198" s="58"/>
      <c r="DM198" s="58"/>
      <c r="DN198" s="58"/>
      <c r="DO198" s="58"/>
      <c r="DP198" s="58"/>
      <c r="DQ198" s="58"/>
      <c r="DR198" s="58"/>
      <c r="DS198" s="58"/>
      <c r="DT198" s="58"/>
      <c r="DU198" s="58"/>
      <c r="DV198" s="58"/>
      <c r="DW198" s="58"/>
      <c r="DX198" s="58"/>
      <c r="DY198" s="58"/>
      <c r="DZ198" s="58"/>
      <c r="EA198" s="58"/>
      <c r="EB198" s="58"/>
      <c r="EC198" s="58"/>
      <c r="ED198" s="58"/>
      <c r="EE198" s="58"/>
      <c r="EF198" s="58"/>
      <c r="EG198" s="58"/>
      <c r="EH198" s="58"/>
      <c r="EI198" s="58"/>
      <c r="EJ198" s="58"/>
      <c r="EK198" s="58"/>
      <c r="EL198" s="58"/>
      <c r="EM198" s="58"/>
      <c r="EN198" s="58"/>
      <c r="EO198" s="58"/>
      <c r="EP198" s="58"/>
      <c r="EQ198" s="58"/>
      <c r="ER198" s="58"/>
      <c r="ES198" s="58"/>
      <c r="ET198" s="58"/>
      <c r="EU198" s="58"/>
      <c r="EV198" s="58"/>
      <c r="EW198" s="58"/>
      <c r="EX198" s="346"/>
      <c r="EY198" s="346"/>
      <c r="EZ198" s="346"/>
      <c r="FA198" s="346"/>
      <c r="FB198" s="346"/>
      <c r="FC198" s="346"/>
      <c r="FD198" s="346"/>
      <c r="FE198" s="346"/>
      <c r="FF198" s="346"/>
      <c r="FG198" s="346"/>
      <c r="FH198" s="346"/>
      <c r="FI198" s="346"/>
      <c r="FJ198" s="346"/>
      <c r="FK198" s="346"/>
      <c r="FL198" s="346"/>
      <c r="FM198" s="346"/>
      <c r="FN198" s="346"/>
      <c r="FO198" s="346"/>
      <c r="FP198" s="346"/>
      <c r="FQ198" s="346"/>
      <c r="FR198" s="346"/>
      <c r="FS198" s="346"/>
      <c r="FT198" s="346"/>
      <c r="FU198" s="346"/>
      <c r="FV198" s="346"/>
      <c r="FW198" s="346"/>
      <c r="FX198" s="346"/>
      <c r="FY198" s="346"/>
      <c r="FZ198" s="346"/>
      <c r="GA198" s="346"/>
      <c r="GB198" s="346"/>
      <c r="GC198" s="346"/>
      <c r="GD198" s="346"/>
      <c r="GE198" s="346"/>
      <c r="GF198" s="346"/>
      <c r="GG198" s="346"/>
      <c r="GH198" s="346"/>
      <c r="GI198" s="346"/>
      <c r="GJ198" s="346"/>
      <c r="GK198" s="346"/>
      <c r="GL198" s="346"/>
      <c r="GM198" s="346"/>
      <c r="GN198" s="346"/>
      <c r="GO198" s="346"/>
      <c r="GP198" s="346"/>
      <c r="GQ198" s="346"/>
      <c r="GR198" s="346"/>
      <c r="GS198" s="346"/>
      <c r="GT198" s="347"/>
      <c r="GU198" s="346"/>
      <c r="GV198" s="346"/>
      <c r="GW198" s="346"/>
      <c r="GX198" s="346"/>
      <c r="GY198" s="347"/>
      <c r="GZ198" s="347"/>
      <c r="HA198" s="347"/>
      <c r="HB198" s="347"/>
      <c r="HC198" s="347"/>
      <c r="HD198" s="347"/>
      <c r="HE198" s="347"/>
      <c r="HF198" s="347"/>
      <c r="HG198" s="347"/>
      <c r="HH198" s="347"/>
      <c r="HI198" s="347"/>
      <c r="HJ198" s="347"/>
      <c r="HK198" s="347"/>
      <c r="HL198" s="347"/>
      <c r="HM198" s="347"/>
      <c r="HN198" s="347"/>
      <c r="HO198" s="347"/>
      <c r="HP198" s="347"/>
      <c r="HQ198" s="347"/>
      <c r="HR198" s="347"/>
      <c r="HS198" s="347"/>
      <c r="HT198" s="347"/>
      <c r="HU198" s="347"/>
      <c r="HV198" s="347"/>
      <c r="HW198" s="347"/>
      <c r="HX198" s="347"/>
      <c r="HY198" s="347"/>
      <c r="HZ198" s="347"/>
      <c r="IA198" s="347"/>
      <c r="IB198" s="347"/>
      <c r="IC198" s="347"/>
      <c r="ID198" s="347"/>
      <c r="IE198" s="346"/>
      <c r="IF198" s="346"/>
      <c r="IG198" s="346"/>
      <c r="IH198" s="346"/>
      <c r="II198" s="346"/>
      <c r="IJ198" s="346"/>
      <c r="IK198" s="348"/>
      <c r="IL198" s="346"/>
      <c r="IM198" s="346"/>
      <c r="IN198" s="346"/>
      <c r="IO198" s="346"/>
      <c r="IP198" s="346"/>
      <c r="IQ198" s="346"/>
      <c r="IR198" s="346"/>
      <c r="IS198" s="346"/>
      <c r="IT198" s="346"/>
      <c r="IU198" s="346"/>
      <c r="IV198" s="346"/>
      <c r="IW198" s="346"/>
      <c r="IX198" s="346"/>
      <c r="IY198" s="346"/>
      <c r="IZ198" s="346"/>
      <c r="JA198" s="348"/>
      <c r="JB198" s="348"/>
      <c r="JC198" s="346"/>
      <c r="JD198" s="346"/>
      <c r="JE198" s="346"/>
      <c r="JF198" s="346"/>
      <c r="JG198" s="346"/>
      <c r="JH198" s="346"/>
      <c r="JI198" s="346"/>
      <c r="JJ198" s="346"/>
      <c r="JK198" s="346"/>
      <c r="JL198" s="346"/>
      <c r="JM198" s="346"/>
      <c r="JN198" s="346"/>
      <c r="JO198" s="346"/>
      <c r="JP198" s="346"/>
      <c r="JQ198" s="346"/>
      <c r="JR198" s="58"/>
      <c r="JS198" s="58"/>
      <c r="JT198" s="346"/>
      <c r="JU198" s="346"/>
      <c r="JV198" s="346"/>
      <c r="JW198" s="346"/>
      <c r="JX198" s="346"/>
      <c r="JY198" s="346"/>
      <c r="JZ198" s="346"/>
      <c r="KA198" s="346"/>
      <c r="KB198" s="346"/>
      <c r="KC198" s="346"/>
      <c r="KD198" s="346"/>
      <c r="KE198" s="346"/>
      <c r="KF198" s="346"/>
      <c r="KG198" s="346"/>
      <c r="KH198" s="346"/>
      <c r="KI198" s="346"/>
      <c r="KJ198" s="346"/>
    </row>
    <row r="199" spans="1:296" s="55" customFormat="1" ht="13.9" customHeight="1">
      <c r="A199" s="58"/>
      <c r="B199" s="58"/>
      <c r="C199" s="58"/>
      <c r="D199" s="58"/>
      <c r="E199" s="58"/>
      <c r="F199" s="58"/>
      <c r="G199" s="58"/>
      <c r="H199" s="58"/>
      <c r="I199" s="58"/>
      <c r="J199" s="58"/>
      <c r="K199" s="58"/>
      <c r="L199" s="58"/>
      <c r="M199" s="58"/>
      <c r="N199" s="58"/>
      <c r="O199" s="58"/>
      <c r="W199" s="58"/>
      <c r="X199" s="58"/>
      <c r="Y199" s="58"/>
      <c r="Z199" s="58"/>
      <c r="AA199" s="58"/>
      <c r="AB199" s="58"/>
      <c r="AC199" s="58"/>
      <c r="AD199" s="58"/>
      <c r="AE199" s="58"/>
      <c r="AF199" s="58"/>
      <c r="AG199" s="58"/>
      <c r="AH199" s="58"/>
      <c r="AI199" s="58"/>
      <c r="AJ199" s="58"/>
      <c r="AK199" s="58"/>
      <c r="AL199" s="58"/>
      <c r="AM199" s="58"/>
      <c r="AN199" s="58"/>
      <c r="AO199" s="58"/>
      <c r="AP199" s="58"/>
      <c r="AQ199" s="58"/>
      <c r="AR199" s="58"/>
      <c r="AS199" s="58"/>
      <c r="AT199" s="58"/>
      <c r="AU199" s="58"/>
      <c r="AV199" s="58"/>
      <c r="AW199" s="58"/>
      <c r="AX199" s="58"/>
      <c r="AY199" s="58"/>
      <c r="AZ199" s="58"/>
      <c r="BA199" s="58"/>
      <c r="BB199" s="58"/>
      <c r="BC199" s="58"/>
      <c r="BD199" s="58"/>
      <c r="BE199" s="58"/>
      <c r="BF199" s="58"/>
      <c r="BG199" s="58"/>
      <c r="BH199" s="58"/>
      <c r="BI199" s="58"/>
      <c r="BJ199" s="58"/>
      <c r="BK199" s="58"/>
      <c r="BL199" s="58"/>
      <c r="BM199" s="58"/>
      <c r="BN199" s="58"/>
      <c r="BO199" s="58"/>
      <c r="BP199" s="58"/>
      <c r="BQ199" s="58"/>
      <c r="BR199" s="58"/>
      <c r="BS199" s="58"/>
      <c r="BT199" s="58"/>
      <c r="BU199" s="58"/>
      <c r="BV199" s="58"/>
      <c r="BW199" s="58"/>
      <c r="BX199" s="58"/>
      <c r="BY199" s="58"/>
      <c r="BZ199" s="58"/>
      <c r="CA199" s="58"/>
      <c r="CB199" s="58"/>
      <c r="CC199" s="58"/>
      <c r="CD199" s="58"/>
      <c r="CE199" s="58"/>
      <c r="CF199" s="58"/>
      <c r="CG199" s="58"/>
      <c r="CH199" s="58"/>
      <c r="CI199" s="58"/>
      <c r="CJ199" s="58"/>
      <c r="CK199" s="58"/>
      <c r="CL199" s="58"/>
      <c r="CM199" s="58"/>
      <c r="CN199" s="58"/>
      <c r="CO199" s="58"/>
      <c r="CP199" s="58"/>
      <c r="CQ199" s="58"/>
      <c r="CR199" s="58"/>
      <c r="CS199" s="58"/>
      <c r="CT199" s="58"/>
      <c r="CU199" s="58"/>
      <c r="CV199" s="58"/>
      <c r="CW199" s="58"/>
      <c r="CX199" s="58"/>
      <c r="CY199" s="58"/>
      <c r="CZ199" s="58"/>
      <c r="DA199" s="58"/>
      <c r="DB199" s="58"/>
      <c r="DC199" s="58"/>
      <c r="DD199" s="58"/>
      <c r="DE199" s="58"/>
      <c r="DF199" s="58"/>
      <c r="DG199" s="58"/>
      <c r="DH199" s="58"/>
      <c r="DI199" s="58"/>
      <c r="DJ199" s="58"/>
      <c r="DK199" s="58"/>
      <c r="DL199" s="58"/>
      <c r="DM199" s="58"/>
      <c r="DN199" s="58"/>
      <c r="DO199" s="58"/>
      <c r="DP199" s="58"/>
      <c r="DQ199" s="58"/>
      <c r="DR199" s="58"/>
      <c r="DS199" s="58"/>
      <c r="DT199" s="58"/>
      <c r="DU199" s="58"/>
      <c r="DV199" s="58"/>
      <c r="DW199" s="58"/>
      <c r="DX199" s="58"/>
      <c r="DY199" s="58"/>
      <c r="DZ199" s="58"/>
      <c r="EA199" s="58"/>
      <c r="EB199" s="58"/>
      <c r="EC199" s="58"/>
      <c r="ED199" s="58"/>
      <c r="EE199" s="58"/>
      <c r="EF199" s="58"/>
      <c r="EG199" s="58"/>
      <c r="EH199" s="58"/>
      <c r="EI199" s="58"/>
      <c r="EJ199" s="58"/>
      <c r="EK199" s="58"/>
      <c r="EL199" s="58"/>
      <c r="EM199" s="58"/>
      <c r="EN199" s="58"/>
      <c r="EO199" s="58"/>
      <c r="EP199" s="58"/>
      <c r="EQ199" s="58"/>
      <c r="ER199" s="58"/>
      <c r="ES199" s="58"/>
      <c r="ET199" s="58"/>
      <c r="EU199" s="58"/>
      <c r="EV199" s="58"/>
      <c r="EW199" s="58"/>
      <c r="EX199" s="346"/>
      <c r="EY199" s="346"/>
      <c r="EZ199" s="346"/>
      <c r="FA199" s="346"/>
      <c r="FB199" s="346"/>
      <c r="FC199" s="346"/>
      <c r="FD199" s="346"/>
      <c r="FE199" s="346"/>
      <c r="FF199" s="346"/>
      <c r="FG199" s="346"/>
      <c r="FH199" s="346"/>
      <c r="FI199" s="346"/>
      <c r="FJ199" s="346"/>
      <c r="FK199" s="346"/>
      <c r="FL199" s="346"/>
      <c r="FM199" s="346"/>
      <c r="FN199" s="346"/>
      <c r="FO199" s="346"/>
      <c r="FP199" s="346"/>
      <c r="FQ199" s="346"/>
      <c r="FR199" s="346"/>
      <c r="FS199" s="346"/>
      <c r="FT199" s="346"/>
      <c r="FU199" s="346"/>
      <c r="FV199" s="346"/>
      <c r="FW199" s="346"/>
      <c r="FX199" s="346"/>
      <c r="FY199" s="346"/>
      <c r="FZ199" s="346"/>
      <c r="GA199" s="346"/>
      <c r="GB199" s="346"/>
      <c r="GC199" s="346"/>
      <c r="GD199" s="346"/>
      <c r="GE199" s="346"/>
      <c r="GF199" s="346"/>
      <c r="GG199" s="346"/>
      <c r="GH199" s="346"/>
      <c r="GI199" s="346"/>
      <c r="GJ199" s="346"/>
      <c r="GK199" s="346"/>
      <c r="GL199" s="346"/>
      <c r="GM199" s="346"/>
      <c r="GN199" s="346"/>
      <c r="GO199" s="346"/>
      <c r="GP199" s="346"/>
      <c r="GQ199" s="346"/>
      <c r="GR199" s="346"/>
      <c r="GS199" s="346"/>
      <c r="GT199" s="347"/>
      <c r="GU199" s="346"/>
      <c r="GV199" s="346"/>
      <c r="GW199" s="346"/>
      <c r="GX199" s="346"/>
      <c r="GY199" s="347"/>
      <c r="GZ199" s="347"/>
      <c r="HA199" s="347"/>
      <c r="HB199" s="347"/>
      <c r="HC199" s="347"/>
      <c r="HD199" s="347"/>
      <c r="HE199" s="347"/>
      <c r="HF199" s="347"/>
      <c r="HG199" s="347"/>
      <c r="HH199" s="347"/>
      <c r="HI199" s="347"/>
      <c r="HJ199" s="347"/>
      <c r="HK199" s="347"/>
      <c r="HL199" s="347"/>
      <c r="HM199" s="347"/>
      <c r="HN199" s="347"/>
      <c r="HO199" s="347"/>
      <c r="HP199" s="347"/>
      <c r="HQ199" s="347"/>
      <c r="HR199" s="347"/>
      <c r="HS199" s="347"/>
      <c r="HT199" s="347"/>
      <c r="HU199" s="347"/>
      <c r="HV199" s="347"/>
      <c r="HW199" s="347"/>
      <c r="HX199" s="347"/>
      <c r="HY199" s="347"/>
      <c r="HZ199" s="347"/>
      <c r="IA199" s="347"/>
      <c r="IB199" s="347"/>
      <c r="IC199" s="347"/>
      <c r="ID199" s="347"/>
      <c r="IE199" s="346"/>
      <c r="IF199" s="346"/>
      <c r="IG199" s="346"/>
      <c r="IH199" s="346"/>
      <c r="II199" s="346"/>
      <c r="IJ199" s="346"/>
      <c r="IK199" s="348"/>
      <c r="IL199" s="346"/>
      <c r="IM199" s="346"/>
      <c r="IN199" s="346"/>
      <c r="IO199" s="346"/>
      <c r="IP199" s="346"/>
      <c r="IQ199" s="346"/>
      <c r="IR199" s="346"/>
      <c r="IS199" s="346"/>
      <c r="IT199" s="346"/>
      <c r="IU199" s="346"/>
      <c r="IV199" s="346"/>
      <c r="IW199" s="346"/>
      <c r="IX199" s="346"/>
      <c r="IY199" s="346"/>
      <c r="IZ199" s="346"/>
      <c r="JA199" s="348"/>
      <c r="JB199" s="348"/>
      <c r="JC199" s="346"/>
      <c r="JD199" s="346"/>
      <c r="JE199" s="346"/>
      <c r="JF199" s="346"/>
      <c r="JG199" s="346"/>
      <c r="JH199" s="346"/>
      <c r="JI199" s="346"/>
      <c r="JJ199" s="346"/>
      <c r="JK199" s="346"/>
      <c r="JL199" s="346"/>
      <c r="JM199" s="346"/>
      <c r="JN199" s="346"/>
      <c r="JO199" s="346"/>
      <c r="JP199" s="346"/>
      <c r="JQ199" s="346"/>
      <c r="JR199" s="58"/>
      <c r="JS199" s="58"/>
      <c r="JT199" s="346"/>
      <c r="JU199" s="346"/>
      <c r="JV199" s="346"/>
      <c r="JW199" s="346"/>
      <c r="JX199" s="346"/>
      <c r="JY199" s="346"/>
      <c r="JZ199" s="346"/>
      <c r="KA199" s="346"/>
      <c r="KB199" s="346"/>
      <c r="KC199" s="346"/>
      <c r="KD199" s="346"/>
      <c r="KE199" s="346"/>
      <c r="KF199" s="346"/>
      <c r="KG199" s="346"/>
      <c r="KH199" s="346"/>
      <c r="KI199" s="346"/>
      <c r="KJ199" s="346"/>
    </row>
    <row r="200" spans="1:296" s="55" customFormat="1" ht="13.9" customHeight="1">
      <c r="A200" s="58"/>
      <c r="B200" s="58"/>
      <c r="C200" s="58"/>
      <c r="D200" s="58"/>
      <c r="E200" s="58"/>
      <c r="F200" s="58"/>
      <c r="G200" s="58"/>
      <c r="H200" s="58"/>
      <c r="I200" s="58"/>
      <c r="J200" s="58"/>
      <c r="K200" s="58"/>
      <c r="L200" s="58"/>
      <c r="M200" s="58"/>
      <c r="N200" s="58"/>
      <c r="O200" s="58"/>
      <c r="W200" s="58"/>
      <c r="X200" s="58"/>
      <c r="Y200" s="58"/>
      <c r="Z200" s="58"/>
      <c r="AA200" s="58"/>
      <c r="AB200" s="58"/>
      <c r="AC200" s="58"/>
      <c r="AD200" s="58"/>
      <c r="AE200" s="58"/>
      <c r="AF200" s="58"/>
      <c r="AG200" s="58"/>
      <c r="AH200" s="58"/>
      <c r="AI200" s="58"/>
      <c r="AJ200" s="58"/>
      <c r="AK200" s="58"/>
      <c r="AL200" s="58"/>
      <c r="AM200" s="58"/>
      <c r="AN200" s="58"/>
      <c r="AO200" s="58"/>
      <c r="AP200" s="58"/>
      <c r="AQ200" s="58"/>
      <c r="AR200" s="58"/>
      <c r="AS200" s="58"/>
      <c r="AT200" s="58"/>
      <c r="AU200" s="58"/>
      <c r="AV200" s="58"/>
      <c r="AW200" s="58"/>
      <c r="AX200" s="58"/>
      <c r="AY200" s="58"/>
      <c r="AZ200" s="58"/>
      <c r="BA200" s="58"/>
      <c r="BB200" s="58"/>
      <c r="BC200" s="58"/>
      <c r="BD200" s="58"/>
      <c r="BE200" s="58"/>
      <c r="BF200" s="58"/>
      <c r="BG200" s="58"/>
      <c r="BH200" s="58"/>
      <c r="BI200" s="58"/>
      <c r="BJ200" s="58"/>
      <c r="BK200" s="58"/>
      <c r="BL200" s="58"/>
      <c r="BM200" s="58"/>
      <c r="BN200" s="58"/>
      <c r="BO200" s="58"/>
      <c r="BP200" s="58"/>
      <c r="BQ200" s="58"/>
      <c r="BR200" s="58"/>
      <c r="BS200" s="58"/>
      <c r="BT200" s="58"/>
      <c r="BU200" s="58"/>
      <c r="BV200" s="58"/>
      <c r="BW200" s="58"/>
      <c r="BX200" s="58"/>
      <c r="BY200" s="58"/>
      <c r="BZ200" s="58"/>
      <c r="CA200" s="58"/>
      <c r="CB200" s="58"/>
      <c r="CC200" s="58"/>
      <c r="CD200" s="58"/>
      <c r="CE200" s="58"/>
      <c r="CF200" s="58"/>
      <c r="CG200" s="58"/>
      <c r="CH200" s="58"/>
      <c r="CI200" s="58"/>
      <c r="CJ200" s="58"/>
      <c r="CK200" s="58"/>
      <c r="CL200" s="58"/>
      <c r="CM200" s="58"/>
      <c r="CN200" s="58"/>
      <c r="CO200" s="58"/>
      <c r="CP200" s="58"/>
      <c r="CQ200" s="58"/>
      <c r="CR200" s="58"/>
      <c r="CS200" s="58"/>
      <c r="CT200" s="58"/>
      <c r="CU200" s="58"/>
      <c r="CV200" s="58"/>
      <c r="CW200" s="58"/>
      <c r="CX200" s="58"/>
      <c r="CY200" s="58"/>
      <c r="CZ200" s="58"/>
      <c r="DA200" s="58"/>
      <c r="DB200" s="58"/>
      <c r="DC200" s="58"/>
      <c r="DD200" s="58"/>
      <c r="DE200" s="58"/>
      <c r="DF200" s="58"/>
      <c r="DG200" s="58"/>
      <c r="DH200" s="58"/>
      <c r="DI200" s="58"/>
      <c r="DJ200" s="58"/>
      <c r="DK200" s="58"/>
      <c r="DL200" s="58"/>
      <c r="DM200" s="58"/>
      <c r="DN200" s="58"/>
      <c r="DO200" s="58"/>
      <c r="DP200" s="58"/>
      <c r="DQ200" s="58"/>
      <c r="DR200" s="58"/>
      <c r="DS200" s="58"/>
      <c r="DT200" s="58"/>
      <c r="DU200" s="58"/>
      <c r="DV200" s="58"/>
      <c r="DW200" s="58"/>
      <c r="DX200" s="58"/>
      <c r="DY200" s="58"/>
      <c r="DZ200" s="58"/>
      <c r="EA200" s="58"/>
      <c r="EB200" s="58"/>
      <c r="EC200" s="58"/>
      <c r="ED200" s="58"/>
      <c r="EE200" s="58"/>
      <c r="EF200" s="58"/>
      <c r="EG200" s="58"/>
      <c r="EH200" s="58"/>
      <c r="EI200" s="58"/>
      <c r="EJ200" s="58"/>
      <c r="EK200" s="58"/>
      <c r="EL200" s="58"/>
      <c r="EM200" s="58"/>
      <c r="EN200" s="58"/>
      <c r="EO200" s="58"/>
      <c r="EP200" s="58"/>
      <c r="EQ200" s="58"/>
      <c r="ER200" s="58"/>
      <c r="ES200" s="58"/>
      <c r="ET200" s="58"/>
      <c r="EU200" s="58"/>
      <c r="EV200" s="58"/>
      <c r="EW200" s="58"/>
      <c r="EX200" s="346"/>
      <c r="EY200" s="346"/>
      <c r="EZ200" s="346"/>
      <c r="FA200" s="346"/>
      <c r="FB200" s="346"/>
      <c r="FC200" s="346"/>
      <c r="FD200" s="346"/>
      <c r="FE200" s="346"/>
      <c r="FF200" s="346"/>
      <c r="FG200" s="346"/>
      <c r="FH200" s="346"/>
      <c r="FI200" s="346"/>
      <c r="FJ200" s="346"/>
      <c r="FK200" s="346"/>
      <c r="FL200" s="346"/>
      <c r="FM200" s="346"/>
      <c r="FN200" s="346"/>
      <c r="FO200" s="346"/>
      <c r="FP200" s="346"/>
      <c r="FQ200" s="346"/>
      <c r="FR200" s="346"/>
      <c r="FS200" s="346"/>
      <c r="FT200" s="346"/>
      <c r="FU200" s="346"/>
      <c r="FV200" s="346"/>
      <c r="FW200" s="346"/>
      <c r="FX200" s="346"/>
      <c r="FY200" s="346"/>
      <c r="FZ200" s="346"/>
      <c r="GA200" s="346"/>
      <c r="GB200" s="346"/>
      <c r="GC200" s="346"/>
      <c r="GD200" s="346"/>
      <c r="GE200" s="346"/>
      <c r="GF200" s="346"/>
      <c r="GG200" s="346"/>
      <c r="GH200" s="346"/>
      <c r="GI200" s="346"/>
      <c r="GJ200" s="346"/>
      <c r="GK200" s="346"/>
      <c r="GL200" s="346"/>
      <c r="GM200" s="346"/>
      <c r="GN200" s="346"/>
      <c r="GO200" s="346"/>
      <c r="GP200" s="346"/>
      <c r="GQ200" s="346"/>
      <c r="GR200" s="346"/>
      <c r="GS200" s="346"/>
      <c r="GT200" s="347"/>
      <c r="GU200" s="346"/>
      <c r="GV200" s="346"/>
      <c r="GW200" s="346"/>
      <c r="GX200" s="346"/>
      <c r="GY200" s="347"/>
      <c r="GZ200" s="347"/>
      <c r="HA200" s="347"/>
      <c r="HB200" s="347"/>
      <c r="HC200" s="347"/>
      <c r="HD200" s="347"/>
      <c r="HE200" s="347"/>
      <c r="HF200" s="347"/>
      <c r="HG200" s="347"/>
      <c r="HH200" s="347"/>
      <c r="HI200" s="347"/>
      <c r="HJ200" s="347"/>
      <c r="HK200" s="347"/>
      <c r="HL200" s="347"/>
      <c r="HM200" s="347"/>
      <c r="HN200" s="347"/>
      <c r="HO200" s="347"/>
      <c r="HP200" s="347"/>
      <c r="HQ200" s="347"/>
      <c r="HR200" s="347"/>
      <c r="HS200" s="347"/>
      <c r="HT200" s="347"/>
      <c r="HU200" s="347"/>
      <c r="HV200" s="347"/>
      <c r="HW200" s="347"/>
      <c r="HX200" s="347"/>
      <c r="HY200" s="347"/>
      <c r="HZ200" s="347"/>
      <c r="IA200" s="347"/>
      <c r="IB200" s="347"/>
      <c r="IC200" s="347"/>
      <c r="ID200" s="347"/>
      <c r="IE200" s="346"/>
      <c r="IF200" s="346"/>
      <c r="IG200" s="346"/>
      <c r="IH200" s="346"/>
      <c r="II200" s="346"/>
      <c r="IJ200" s="346"/>
      <c r="IK200" s="348"/>
      <c r="IL200" s="346"/>
      <c r="IM200" s="346"/>
      <c r="IN200" s="346"/>
      <c r="IO200" s="346"/>
      <c r="IP200" s="346"/>
      <c r="IQ200" s="346"/>
      <c r="IR200" s="346"/>
      <c r="IS200" s="346"/>
      <c r="IT200" s="346"/>
      <c r="IU200" s="346"/>
      <c r="IV200" s="346"/>
      <c r="IW200" s="346"/>
      <c r="IX200" s="346"/>
      <c r="IY200" s="346"/>
      <c r="IZ200" s="346"/>
      <c r="JA200" s="348"/>
      <c r="JB200" s="348"/>
      <c r="JC200" s="346"/>
      <c r="JD200" s="346"/>
      <c r="JE200" s="346"/>
      <c r="JF200" s="346"/>
      <c r="JG200" s="346"/>
      <c r="JH200" s="346"/>
      <c r="JI200" s="346"/>
      <c r="JJ200" s="346"/>
      <c r="JK200" s="346"/>
      <c r="JL200" s="346"/>
      <c r="JM200" s="346"/>
      <c r="JN200" s="346"/>
      <c r="JO200" s="346"/>
      <c r="JP200" s="346"/>
      <c r="JQ200" s="346"/>
      <c r="JR200" s="58"/>
      <c r="JS200" s="58"/>
      <c r="JT200" s="346"/>
      <c r="JU200" s="346"/>
      <c r="JV200" s="346"/>
      <c r="JW200" s="346"/>
      <c r="JX200" s="346"/>
      <c r="JY200" s="346"/>
      <c r="JZ200" s="346"/>
      <c r="KA200" s="346"/>
      <c r="KB200" s="346"/>
      <c r="KC200" s="346"/>
      <c r="KD200" s="346"/>
      <c r="KE200" s="346"/>
      <c r="KF200" s="346"/>
      <c r="KG200" s="346"/>
      <c r="KH200" s="346"/>
      <c r="KI200" s="346"/>
      <c r="KJ200" s="346"/>
    </row>
    <row r="201" spans="1:296" s="55" customFormat="1" ht="13.9" customHeight="1">
      <c r="A201" s="17"/>
      <c r="B201" s="58"/>
      <c r="C201" s="58"/>
      <c r="D201" s="58"/>
      <c r="E201" s="58"/>
      <c r="F201" s="58"/>
      <c r="G201" s="58"/>
      <c r="H201" s="58"/>
      <c r="I201" s="58"/>
      <c r="J201" s="58"/>
      <c r="K201" s="58"/>
      <c r="L201" s="58"/>
      <c r="M201" s="58"/>
      <c r="N201" s="58"/>
      <c r="O201" s="58"/>
      <c r="W201" s="58"/>
      <c r="X201" s="58"/>
      <c r="Y201" s="58"/>
      <c r="Z201" s="58"/>
      <c r="AA201" s="58"/>
      <c r="AB201" s="58"/>
      <c r="AC201" s="58"/>
      <c r="AD201" s="58"/>
      <c r="AE201" s="58"/>
      <c r="AF201" s="58"/>
      <c r="AG201" s="58"/>
      <c r="AH201" s="58"/>
      <c r="AI201" s="58"/>
      <c r="AJ201" s="58"/>
      <c r="AK201" s="58"/>
      <c r="AL201" s="58"/>
      <c r="AM201" s="58"/>
      <c r="AN201" s="58"/>
      <c r="AO201" s="58"/>
      <c r="AP201" s="58"/>
      <c r="AQ201" s="58"/>
      <c r="AR201" s="58"/>
      <c r="AS201" s="58"/>
      <c r="AT201" s="58"/>
      <c r="AU201" s="58"/>
      <c r="AV201" s="58"/>
      <c r="AW201" s="58"/>
      <c r="AX201" s="58"/>
      <c r="AY201" s="58"/>
      <c r="AZ201" s="58"/>
      <c r="BA201" s="58"/>
      <c r="BB201" s="58"/>
      <c r="BC201" s="58"/>
      <c r="BD201" s="58"/>
      <c r="BE201" s="58"/>
      <c r="BF201" s="58"/>
      <c r="BG201" s="58"/>
      <c r="BH201" s="58"/>
      <c r="BI201" s="58"/>
      <c r="BJ201" s="58"/>
      <c r="BK201" s="58"/>
      <c r="BL201" s="58"/>
      <c r="BM201" s="58"/>
      <c r="BN201" s="58"/>
      <c r="BO201" s="58"/>
      <c r="BP201" s="58"/>
      <c r="BQ201" s="58"/>
      <c r="BR201" s="58"/>
      <c r="BS201" s="58"/>
      <c r="BT201" s="58"/>
      <c r="BU201" s="58"/>
      <c r="BV201" s="58"/>
      <c r="BW201" s="58"/>
      <c r="BX201" s="58"/>
      <c r="BY201" s="58"/>
      <c r="BZ201" s="58"/>
      <c r="CA201" s="58"/>
      <c r="CB201" s="58"/>
      <c r="CC201" s="58"/>
      <c r="CD201" s="58"/>
      <c r="CE201" s="58"/>
      <c r="CF201" s="58"/>
      <c r="CG201" s="58"/>
      <c r="CH201" s="58"/>
      <c r="CI201" s="58"/>
      <c r="CJ201" s="58"/>
      <c r="CK201" s="58"/>
      <c r="CL201" s="58"/>
      <c r="CM201" s="58"/>
      <c r="CN201" s="58"/>
      <c r="CO201" s="58"/>
      <c r="CP201" s="58"/>
      <c r="CQ201" s="58"/>
      <c r="CR201" s="58"/>
      <c r="CS201" s="58"/>
      <c r="CT201" s="58"/>
      <c r="CU201" s="58"/>
      <c r="CV201" s="58"/>
      <c r="CW201" s="58"/>
      <c r="CX201" s="58"/>
      <c r="CY201" s="58"/>
      <c r="CZ201" s="58"/>
      <c r="DA201" s="58"/>
      <c r="DB201" s="58"/>
      <c r="DC201" s="58"/>
      <c r="DD201" s="58"/>
      <c r="DE201" s="58"/>
      <c r="DF201" s="58"/>
      <c r="DG201" s="58"/>
      <c r="DH201" s="58"/>
      <c r="DI201" s="58"/>
      <c r="DJ201" s="58"/>
      <c r="DK201" s="58"/>
      <c r="DL201" s="58"/>
      <c r="DM201" s="58"/>
      <c r="DN201" s="58"/>
      <c r="DO201" s="58"/>
      <c r="DP201" s="58"/>
      <c r="DQ201" s="58"/>
      <c r="DR201" s="58"/>
      <c r="DS201" s="58"/>
      <c r="DT201" s="58"/>
      <c r="DU201" s="58"/>
      <c r="DV201" s="58"/>
      <c r="DW201" s="58"/>
      <c r="DX201" s="58"/>
      <c r="DY201" s="58"/>
      <c r="DZ201" s="58"/>
      <c r="EA201" s="58"/>
      <c r="EB201" s="58"/>
      <c r="EC201" s="58"/>
      <c r="ED201" s="58"/>
      <c r="EE201" s="58"/>
      <c r="EF201" s="58"/>
      <c r="EG201" s="58"/>
      <c r="EH201" s="58"/>
      <c r="EI201" s="58"/>
      <c r="EJ201" s="58"/>
      <c r="EK201" s="58"/>
      <c r="EL201" s="58"/>
      <c r="EM201" s="58"/>
      <c r="EN201" s="58"/>
      <c r="EO201" s="58"/>
      <c r="EP201" s="58"/>
      <c r="EQ201" s="58"/>
      <c r="ER201" s="58"/>
      <c r="ES201" s="58"/>
      <c r="ET201" s="58"/>
      <c r="EU201" s="58"/>
      <c r="EV201" s="58"/>
      <c r="EW201" s="58"/>
      <c r="EX201" s="346"/>
      <c r="EY201" s="346"/>
      <c r="EZ201" s="346"/>
      <c r="FA201" s="346"/>
      <c r="FB201" s="346"/>
      <c r="FC201" s="346"/>
      <c r="FD201" s="346"/>
      <c r="FE201" s="346"/>
      <c r="FF201" s="346"/>
      <c r="FG201" s="346"/>
      <c r="FH201" s="346"/>
      <c r="FI201" s="346"/>
      <c r="FJ201" s="346"/>
      <c r="FK201" s="346"/>
      <c r="FL201" s="346"/>
      <c r="FM201" s="346"/>
      <c r="FN201" s="346"/>
      <c r="FO201" s="346"/>
      <c r="FP201" s="346"/>
      <c r="FQ201" s="346"/>
      <c r="FR201" s="346"/>
      <c r="FS201" s="346"/>
      <c r="FT201" s="346"/>
      <c r="FU201" s="346"/>
      <c r="FV201" s="346"/>
      <c r="FW201" s="346"/>
      <c r="FX201" s="346"/>
      <c r="FY201" s="346"/>
      <c r="FZ201" s="346"/>
      <c r="GA201" s="346"/>
      <c r="GB201" s="346"/>
      <c r="GC201" s="346"/>
      <c r="GD201" s="346"/>
      <c r="GE201" s="346"/>
      <c r="GF201" s="346"/>
      <c r="GG201" s="346"/>
      <c r="GH201" s="346"/>
      <c r="GI201" s="346"/>
      <c r="GJ201" s="346"/>
      <c r="GK201" s="346"/>
      <c r="GL201" s="346"/>
      <c r="GM201" s="346"/>
      <c r="GN201" s="346"/>
      <c r="GO201" s="346"/>
      <c r="GP201" s="346"/>
      <c r="GQ201" s="346"/>
      <c r="GR201" s="346"/>
      <c r="GS201" s="346"/>
      <c r="GT201" s="347"/>
      <c r="GU201" s="346"/>
      <c r="GV201" s="346"/>
      <c r="GW201" s="346"/>
      <c r="GX201" s="346"/>
      <c r="GY201" s="347"/>
      <c r="GZ201" s="347"/>
      <c r="HA201" s="347"/>
      <c r="HB201" s="347"/>
      <c r="HC201" s="347"/>
      <c r="HD201" s="347"/>
      <c r="HE201" s="347"/>
      <c r="HF201" s="347"/>
      <c r="HG201" s="347"/>
      <c r="HH201" s="347"/>
      <c r="HI201" s="347"/>
      <c r="HJ201" s="347"/>
      <c r="HK201" s="347"/>
      <c r="HL201" s="347"/>
      <c r="HM201" s="347"/>
      <c r="HN201" s="347"/>
      <c r="HO201" s="347"/>
      <c r="HP201" s="347"/>
      <c r="HQ201" s="347"/>
      <c r="HR201" s="347"/>
      <c r="HS201" s="347"/>
      <c r="HT201" s="347"/>
      <c r="HU201" s="347"/>
      <c r="HV201" s="347"/>
      <c r="HW201" s="347"/>
      <c r="HX201" s="347"/>
      <c r="HY201" s="347"/>
      <c r="HZ201" s="347"/>
      <c r="IA201" s="347"/>
      <c r="IB201" s="347"/>
      <c r="IC201" s="347"/>
      <c r="ID201" s="347"/>
      <c r="IE201" s="346"/>
      <c r="IF201" s="346"/>
      <c r="IG201" s="346"/>
      <c r="IH201" s="346"/>
      <c r="II201" s="346"/>
      <c r="IJ201" s="346"/>
      <c r="IK201" s="348"/>
      <c r="IL201" s="346"/>
      <c r="IM201" s="346"/>
      <c r="IN201" s="346"/>
      <c r="IO201" s="346"/>
      <c r="IP201" s="346"/>
      <c r="IQ201" s="346"/>
      <c r="IR201" s="346"/>
      <c r="IS201" s="346"/>
      <c r="IT201" s="346"/>
      <c r="IU201" s="346"/>
      <c r="IV201" s="346"/>
      <c r="IW201" s="346"/>
      <c r="IX201" s="346"/>
      <c r="IY201" s="346"/>
      <c r="IZ201" s="346"/>
      <c r="JA201" s="348"/>
      <c r="JB201" s="348"/>
      <c r="JC201" s="346"/>
      <c r="JD201" s="346"/>
      <c r="JE201" s="346"/>
      <c r="JF201" s="346"/>
      <c r="JG201" s="346"/>
      <c r="JH201" s="346"/>
      <c r="JI201" s="346"/>
      <c r="JJ201" s="346"/>
      <c r="JK201" s="346"/>
      <c r="JL201" s="346"/>
      <c r="JM201" s="346"/>
      <c r="JN201" s="346"/>
      <c r="JO201" s="346"/>
      <c r="JP201" s="346"/>
      <c r="JQ201" s="346"/>
      <c r="JR201" s="58"/>
      <c r="JS201" s="58"/>
      <c r="JT201" s="346"/>
      <c r="JU201" s="346"/>
      <c r="JV201" s="346"/>
      <c r="JW201" s="346"/>
      <c r="JX201" s="346"/>
      <c r="JY201" s="346"/>
      <c r="JZ201" s="346"/>
      <c r="KA201" s="346"/>
      <c r="KB201" s="346"/>
      <c r="KC201" s="346"/>
      <c r="KD201" s="346"/>
      <c r="KE201" s="346"/>
      <c r="KF201" s="346"/>
      <c r="KG201" s="346"/>
      <c r="KH201" s="346"/>
      <c r="KI201" s="346"/>
      <c r="KJ201" s="346"/>
    </row>
    <row r="202" spans="1:296" s="55" customFormat="1" ht="13.9" customHeight="1">
      <c r="A202" s="17"/>
      <c r="B202" s="58"/>
      <c r="C202" s="58"/>
      <c r="D202" s="58"/>
      <c r="E202" s="58"/>
      <c r="F202" s="58"/>
      <c r="G202" s="58"/>
      <c r="H202" s="58"/>
      <c r="I202" s="58"/>
      <c r="J202" s="58"/>
      <c r="K202" s="58"/>
      <c r="L202" s="58"/>
      <c r="M202" s="58"/>
      <c r="N202" s="58"/>
      <c r="O202" s="58"/>
      <c r="W202" s="58"/>
      <c r="X202" s="58"/>
      <c r="Y202" s="58"/>
      <c r="Z202" s="58"/>
      <c r="AA202" s="58"/>
      <c r="AB202" s="58"/>
      <c r="AC202" s="58"/>
      <c r="AD202" s="58"/>
      <c r="AE202" s="58"/>
      <c r="AF202" s="58"/>
      <c r="AG202" s="58"/>
      <c r="AH202" s="58"/>
      <c r="AI202" s="58"/>
      <c r="AJ202" s="58"/>
      <c r="AK202" s="58"/>
      <c r="AL202" s="58"/>
      <c r="AM202" s="58"/>
      <c r="AN202" s="58"/>
      <c r="AO202" s="58"/>
      <c r="AP202" s="58"/>
      <c r="AQ202" s="58"/>
      <c r="AR202" s="58"/>
      <c r="AS202" s="58"/>
      <c r="AT202" s="58"/>
      <c r="AU202" s="58"/>
      <c r="AV202" s="58"/>
      <c r="AW202" s="58"/>
      <c r="AX202" s="58"/>
      <c r="AY202" s="58"/>
      <c r="AZ202" s="58"/>
      <c r="BA202" s="58"/>
      <c r="BB202" s="58"/>
      <c r="BC202" s="58"/>
      <c r="BD202" s="58"/>
      <c r="BE202" s="58"/>
      <c r="BF202" s="58"/>
      <c r="BG202" s="58"/>
      <c r="BH202" s="58"/>
      <c r="BI202" s="58"/>
      <c r="BJ202" s="58"/>
      <c r="BK202" s="58"/>
      <c r="BL202" s="58"/>
      <c r="BM202" s="58"/>
      <c r="BN202" s="58"/>
      <c r="BO202" s="58"/>
      <c r="BP202" s="58"/>
      <c r="BQ202" s="58"/>
      <c r="BR202" s="58"/>
      <c r="BS202" s="58"/>
      <c r="BT202" s="58"/>
      <c r="BU202" s="58"/>
      <c r="BV202" s="58"/>
      <c r="BW202" s="58"/>
      <c r="BX202" s="58"/>
      <c r="BY202" s="58"/>
      <c r="BZ202" s="58"/>
      <c r="CA202" s="58"/>
      <c r="CB202" s="58"/>
      <c r="CC202" s="58"/>
      <c r="CD202" s="58"/>
      <c r="CE202" s="58"/>
      <c r="CF202" s="58"/>
      <c r="CG202" s="58"/>
      <c r="CH202" s="58"/>
      <c r="CI202" s="58"/>
      <c r="CJ202" s="58"/>
      <c r="CK202" s="58"/>
      <c r="CL202" s="58"/>
      <c r="CM202" s="58"/>
      <c r="CN202" s="58"/>
      <c r="CO202" s="58"/>
      <c r="CP202" s="58"/>
      <c r="CQ202" s="58"/>
      <c r="CR202" s="58"/>
      <c r="CS202" s="58"/>
      <c r="CT202" s="58"/>
      <c r="CU202" s="58"/>
      <c r="CV202" s="58"/>
      <c r="CW202" s="58"/>
      <c r="CX202" s="58"/>
      <c r="CY202" s="58"/>
      <c r="CZ202" s="58"/>
      <c r="DA202" s="58"/>
      <c r="DB202" s="58"/>
      <c r="DC202" s="58"/>
      <c r="DD202" s="58"/>
      <c r="DE202" s="58"/>
      <c r="DF202" s="58"/>
      <c r="DG202" s="58"/>
      <c r="DH202" s="58"/>
      <c r="DI202" s="58"/>
      <c r="DJ202" s="58"/>
      <c r="DK202" s="58"/>
      <c r="DL202" s="58"/>
      <c r="DM202" s="58"/>
      <c r="DN202" s="58"/>
      <c r="DO202" s="58"/>
      <c r="DP202" s="58"/>
      <c r="DQ202" s="58"/>
      <c r="DR202" s="58"/>
      <c r="DS202" s="58"/>
      <c r="DT202" s="58"/>
      <c r="DU202" s="58"/>
      <c r="DV202" s="58"/>
      <c r="DW202" s="58"/>
      <c r="DX202" s="58"/>
      <c r="DY202" s="58"/>
      <c r="DZ202" s="58"/>
      <c r="EA202" s="58"/>
      <c r="EB202" s="58"/>
      <c r="EC202" s="58"/>
      <c r="ED202" s="58"/>
      <c r="EE202" s="58"/>
      <c r="EF202" s="58"/>
      <c r="EG202" s="58"/>
      <c r="EH202" s="58"/>
      <c r="EI202" s="58"/>
      <c r="EJ202" s="58"/>
      <c r="EK202" s="58"/>
      <c r="EL202" s="58"/>
      <c r="EM202" s="58"/>
      <c r="EN202" s="58"/>
      <c r="EO202" s="58"/>
      <c r="EP202" s="58"/>
      <c r="EQ202" s="58"/>
      <c r="ER202" s="58"/>
      <c r="ES202" s="58"/>
      <c r="ET202" s="58"/>
      <c r="EU202" s="58"/>
      <c r="EV202" s="58"/>
      <c r="EW202" s="58"/>
      <c r="EX202" s="346"/>
      <c r="EY202" s="346"/>
      <c r="EZ202" s="346"/>
      <c r="FA202" s="346"/>
      <c r="FB202" s="346"/>
      <c r="FC202" s="346"/>
      <c r="FD202" s="346"/>
      <c r="FE202" s="346"/>
      <c r="FF202" s="346"/>
      <c r="FG202" s="346"/>
      <c r="FH202" s="346"/>
      <c r="FI202" s="346"/>
      <c r="FJ202" s="346"/>
      <c r="FK202" s="346"/>
      <c r="FL202" s="346"/>
      <c r="FM202" s="346"/>
      <c r="FN202" s="346"/>
      <c r="FO202" s="346"/>
      <c r="FP202" s="346"/>
      <c r="FQ202" s="346"/>
      <c r="FR202" s="346"/>
      <c r="FS202" s="346"/>
      <c r="FT202" s="346"/>
      <c r="FU202" s="346"/>
      <c r="FV202" s="346"/>
      <c r="FW202" s="346"/>
      <c r="FX202" s="346"/>
      <c r="FY202" s="346"/>
      <c r="FZ202" s="346"/>
      <c r="GA202" s="346"/>
      <c r="GB202" s="346"/>
      <c r="GC202" s="346"/>
      <c r="GD202" s="346"/>
      <c r="GE202" s="346"/>
      <c r="GF202" s="346"/>
      <c r="GG202" s="346"/>
      <c r="GH202" s="346"/>
      <c r="GI202" s="346"/>
      <c r="GJ202" s="346"/>
      <c r="GK202" s="346"/>
      <c r="GL202" s="346"/>
      <c r="GM202" s="346"/>
      <c r="GN202" s="346"/>
      <c r="GO202" s="346"/>
      <c r="GP202" s="346"/>
      <c r="GQ202" s="346"/>
      <c r="GR202" s="346"/>
      <c r="GS202" s="346"/>
      <c r="GT202" s="347"/>
      <c r="GU202" s="346"/>
      <c r="GV202" s="346"/>
      <c r="GW202" s="346"/>
      <c r="GX202" s="346"/>
      <c r="GY202" s="347"/>
      <c r="GZ202" s="347"/>
      <c r="HA202" s="347"/>
      <c r="HB202" s="347"/>
      <c r="HC202" s="347"/>
      <c r="HD202" s="347"/>
      <c r="HE202" s="347"/>
      <c r="HF202" s="347"/>
      <c r="HG202" s="347"/>
      <c r="HH202" s="347"/>
      <c r="HI202" s="347"/>
      <c r="HJ202" s="347"/>
      <c r="HK202" s="347"/>
      <c r="HL202" s="347"/>
      <c r="HM202" s="347"/>
      <c r="HN202" s="347"/>
      <c r="HO202" s="347"/>
      <c r="HP202" s="347"/>
      <c r="HQ202" s="347"/>
      <c r="HR202" s="347"/>
      <c r="HS202" s="347"/>
      <c r="HT202" s="347"/>
      <c r="HU202" s="347"/>
      <c r="HV202" s="347"/>
      <c r="HW202" s="347"/>
      <c r="HX202" s="347"/>
      <c r="HY202" s="347"/>
      <c r="HZ202" s="347"/>
      <c r="IA202" s="347"/>
      <c r="IB202" s="347"/>
      <c r="IC202" s="347"/>
      <c r="ID202" s="347"/>
      <c r="IE202" s="346"/>
      <c r="IF202" s="346"/>
      <c r="IG202" s="346"/>
      <c r="IH202" s="346"/>
      <c r="II202" s="346"/>
      <c r="IJ202" s="346"/>
      <c r="IK202" s="348"/>
      <c r="IL202" s="346"/>
      <c r="IM202" s="346"/>
      <c r="IN202" s="346"/>
      <c r="IO202" s="346"/>
      <c r="IP202" s="346"/>
      <c r="IQ202" s="346"/>
      <c r="IR202" s="346"/>
      <c r="IS202" s="346"/>
      <c r="IT202" s="346"/>
      <c r="IU202" s="346"/>
      <c r="IV202" s="346"/>
      <c r="IW202" s="346"/>
      <c r="IX202" s="346"/>
      <c r="IY202" s="346"/>
      <c r="IZ202" s="346"/>
      <c r="JA202" s="348"/>
      <c r="JB202" s="348"/>
      <c r="JC202" s="346"/>
      <c r="JD202" s="346"/>
      <c r="JE202" s="346"/>
      <c r="JF202" s="346"/>
      <c r="JG202" s="346"/>
      <c r="JH202" s="346"/>
      <c r="JI202" s="346"/>
      <c r="JJ202" s="346"/>
      <c r="JK202" s="346"/>
      <c r="JL202" s="346"/>
      <c r="JM202" s="346"/>
      <c r="JN202" s="346"/>
      <c r="JO202" s="346"/>
      <c r="JP202" s="346"/>
      <c r="JQ202" s="346"/>
      <c r="JR202" s="58"/>
      <c r="JS202" s="58"/>
      <c r="JT202" s="346"/>
      <c r="JU202" s="346"/>
      <c r="JV202" s="346"/>
      <c r="JW202" s="346"/>
      <c r="JX202" s="346"/>
      <c r="JY202" s="346"/>
      <c r="JZ202" s="346"/>
      <c r="KA202" s="346"/>
      <c r="KB202" s="346"/>
      <c r="KC202" s="346"/>
      <c r="KD202" s="346"/>
      <c r="KE202" s="346"/>
      <c r="KF202" s="346"/>
      <c r="KG202" s="346"/>
      <c r="KH202" s="346"/>
      <c r="KI202" s="346"/>
      <c r="KJ202" s="346"/>
    </row>
    <row r="203" spans="1:296" s="55" customFormat="1" ht="13.9" customHeight="1">
      <c r="A203" s="1523"/>
      <c r="B203" s="58"/>
      <c r="C203" s="58"/>
      <c r="D203" s="58"/>
      <c r="E203" s="58"/>
      <c r="F203" s="58"/>
      <c r="G203" s="58"/>
      <c r="H203" s="58"/>
      <c r="I203" s="58"/>
      <c r="J203" s="58"/>
      <c r="K203" s="58"/>
      <c r="L203" s="58"/>
      <c r="M203" s="58"/>
      <c r="N203" s="58"/>
      <c r="O203" s="58"/>
      <c r="W203" s="58"/>
      <c r="X203" s="58"/>
      <c r="Y203" s="58"/>
      <c r="Z203" s="58"/>
      <c r="AA203" s="58"/>
      <c r="AB203" s="58"/>
      <c r="AC203" s="58"/>
      <c r="AD203" s="58"/>
      <c r="AE203" s="58"/>
      <c r="AF203" s="58"/>
      <c r="AG203" s="58"/>
      <c r="AH203" s="58"/>
      <c r="AI203" s="58"/>
      <c r="AJ203" s="58"/>
      <c r="AK203" s="58"/>
      <c r="AL203" s="58"/>
      <c r="AM203" s="58"/>
      <c r="AN203" s="58"/>
      <c r="AO203" s="58"/>
      <c r="AP203" s="58"/>
      <c r="AQ203" s="58"/>
      <c r="AR203" s="58"/>
      <c r="AS203" s="58"/>
      <c r="AT203" s="58"/>
      <c r="AU203" s="58"/>
      <c r="AV203" s="58"/>
      <c r="AW203" s="58"/>
      <c r="AX203" s="58"/>
      <c r="AY203" s="58"/>
      <c r="AZ203" s="58"/>
      <c r="BA203" s="58"/>
      <c r="BB203" s="58"/>
      <c r="BC203" s="58"/>
      <c r="BD203" s="58"/>
      <c r="BE203" s="58"/>
      <c r="BF203" s="58"/>
      <c r="BG203" s="58"/>
      <c r="BH203" s="58"/>
      <c r="BI203" s="58"/>
      <c r="BJ203" s="58"/>
      <c r="BK203" s="58"/>
      <c r="BL203" s="58"/>
      <c r="BM203" s="58"/>
      <c r="BN203" s="58"/>
      <c r="BO203" s="58"/>
      <c r="BP203" s="58"/>
      <c r="BQ203" s="58"/>
      <c r="BR203" s="58"/>
      <c r="BS203" s="58"/>
      <c r="BT203" s="58"/>
      <c r="BU203" s="58"/>
      <c r="BV203" s="58"/>
      <c r="BW203" s="58"/>
      <c r="BX203" s="58"/>
      <c r="BY203" s="58"/>
      <c r="BZ203" s="58"/>
      <c r="CA203" s="58"/>
      <c r="CB203" s="58"/>
      <c r="CC203" s="58"/>
      <c r="CD203" s="58"/>
      <c r="CE203" s="58"/>
      <c r="CF203" s="58"/>
      <c r="CG203" s="58"/>
      <c r="CH203" s="58"/>
      <c r="CI203" s="58"/>
      <c r="CJ203" s="58"/>
      <c r="CK203" s="58"/>
      <c r="CL203" s="58"/>
      <c r="CM203" s="58"/>
      <c r="CN203" s="58"/>
      <c r="CO203" s="58"/>
      <c r="CP203" s="58"/>
      <c r="CQ203" s="58"/>
      <c r="CR203" s="58"/>
      <c r="CS203" s="58"/>
      <c r="CT203" s="58"/>
      <c r="CU203" s="58"/>
      <c r="CV203" s="58"/>
      <c r="CW203" s="58"/>
      <c r="CX203" s="58"/>
      <c r="CY203" s="58"/>
      <c r="CZ203" s="58"/>
      <c r="DA203" s="58"/>
      <c r="DB203" s="58"/>
      <c r="DC203" s="58"/>
      <c r="DD203" s="58"/>
      <c r="DE203" s="58"/>
      <c r="DF203" s="58"/>
      <c r="DG203" s="58"/>
      <c r="DH203" s="58"/>
      <c r="DI203" s="58"/>
      <c r="DJ203" s="58"/>
      <c r="DK203" s="58"/>
      <c r="DL203" s="58"/>
      <c r="DM203" s="58"/>
      <c r="DN203" s="58"/>
      <c r="DO203" s="58"/>
      <c r="DP203" s="58"/>
      <c r="DQ203" s="58"/>
      <c r="DR203" s="58"/>
      <c r="DS203" s="58"/>
      <c r="DT203" s="58"/>
      <c r="DU203" s="58"/>
      <c r="DV203" s="58"/>
      <c r="DW203" s="58"/>
      <c r="DX203" s="58"/>
      <c r="DY203" s="58"/>
      <c r="DZ203" s="58"/>
      <c r="EA203" s="58"/>
      <c r="EB203" s="58"/>
      <c r="EC203" s="58"/>
      <c r="ED203" s="58"/>
      <c r="EE203" s="58"/>
      <c r="EF203" s="58"/>
      <c r="EG203" s="58"/>
      <c r="EH203" s="58"/>
      <c r="EI203" s="58"/>
      <c r="EJ203" s="58"/>
      <c r="EK203" s="58"/>
      <c r="EL203" s="58"/>
      <c r="EM203" s="58"/>
      <c r="EN203" s="58"/>
      <c r="EO203" s="58"/>
      <c r="EP203" s="58"/>
      <c r="EQ203" s="58"/>
      <c r="ER203" s="58"/>
      <c r="ES203" s="58"/>
      <c r="ET203" s="58"/>
      <c r="EU203" s="58"/>
      <c r="EV203" s="58"/>
      <c r="EW203" s="58"/>
      <c r="EX203" s="346"/>
      <c r="EY203" s="346"/>
      <c r="EZ203" s="346"/>
      <c r="FA203" s="346"/>
      <c r="FB203" s="346"/>
      <c r="FC203" s="346"/>
      <c r="FD203" s="346"/>
      <c r="FE203" s="346"/>
      <c r="FF203" s="346"/>
      <c r="FG203" s="346"/>
      <c r="FH203" s="346"/>
      <c r="FI203" s="346"/>
      <c r="FJ203" s="346"/>
      <c r="FK203" s="346"/>
      <c r="FL203" s="346"/>
      <c r="FM203" s="346"/>
      <c r="FN203" s="346"/>
      <c r="FO203" s="346"/>
      <c r="FP203" s="346"/>
      <c r="FQ203" s="346"/>
      <c r="FR203" s="346"/>
      <c r="FS203" s="346"/>
      <c r="FT203" s="346"/>
      <c r="FU203" s="346"/>
      <c r="FV203" s="346"/>
      <c r="FW203" s="346"/>
      <c r="FX203" s="346"/>
      <c r="FY203" s="346"/>
      <c r="FZ203" s="346"/>
      <c r="GA203" s="346"/>
      <c r="GB203" s="346"/>
      <c r="GC203" s="346"/>
      <c r="GD203" s="346"/>
      <c r="GE203" s="346"/>
      <c r="GF203" s="346"/>
      <c r="GG203" s="346"/>
      <c r="GH203" s="346"/>
      <c r="GI203" s="346"/>
      <c r="GJ203" s="346"/>
      <c r="GK203" s="346"/>
      <c r="GL203" s="346"/>
      <c r="GM203" s="346"/>
      <c r="GN203" s="346"/>
      <c r="GO203" s="346"/>
      <c r="GP203" s="346"/>
      <c r="GQ203" s="346"/>
      <c r="GR203" s="346"/>
      <c r="GS203" s="346"/>
      <c r="GT203" s="347"/>
      <c r="GU203" s="346"/>
      <c r="GV203" s="346"/>
      <c r="GW203" s="346"/>
      <c r="GX203" s="346"/>
      <c r="GY203" s="347"/>
      <c r="GZ203" s="347"/>
      <c r="HA203" s="347"/>
      <c r="HB203" s="347"/>
      <c r="HC203" s="347"/>
      <c r="HD203" s="347"/>
      <c r="HE203" s="347"/>
      <c r="HF203" s="347"/>
      <c r="HG203" s="347"/>
      <c r="HH203" s="347"/>
      <c r="HI203" s="347"/>
      <c r="HJ203" s="347"/>
      <c r="HK203" s="347"/>
      <c r="HL203" s="347"/>
      <c r="HM203" s="347"/>
      <c r="HN203" s="347"/>
      <c r="HO203" s="347"/>
      <c r="HP203" s="347"/>
      <c r="HQ203" s="347"/>
      <c r="HR203" s="347"/>
      <c r="HS203" s="347"/>
      <c r="HT203" s="347"/>
      <c r="HU203" s="347"/>
      <c r="HV203" s="347"/>
      <c r="HW203" s="347"/>
      <c r="HX203" s="347"/>
      <c r="HY203" s="347"/>
      <c r="HZ203" s="347"/>
      <c r="IA203" s="347"/>
      <c r="IB203" s="347"/>
      <c r="IC203" s="347"/>
      <c r="ID203" s="347"/>
      <c r="IE203" s="346"/>
      <c r="IF203" s="346"/>
      <c r="IG203" s="346"/>
      <c r="IH203" s="346"/>
      <c r="II203" s="346"/>
      <c r="IJ203" s="346"/>
      <c r="IK203" s="348"/>
      <c r="IL203" s="346"/>
      <c r="IM203" s="346"/>
      <c r="IN203" s="346"/>
      <c r="IO203" s="346"/>
      <c r="IP203" s="346"/>
      <c r="IQ203" s="346"/>
      <c r="IR203" s="346"/>
      <c r="IS203" s="346"/>
      <c r="IT203" s="346"/>
      <c r="IU203" s="346"/>
      <c r="IV203" s="346"/>
      <c r="IW203" s="346"/>
      <c r="IX203" s="346"/>
      <c r="IY203" s="346"/>
      <c r="IZ203" s="346"/>
      <c r="JA203" s="348"/>
      <c r="JB203" s="348"/>
      <c r="JC203" s="346"/>
      <c r="JD203" s="346"/>
      <c r="JE203" s="346"/>
      <c r="JF203" s="346"/>
      <c r="JG203" s="346"/>
      <c r="JH203" s="346"/>
      <c r="JI203" s="346"/>
      <c r="JJ203" s="346"/>
      <c r="JK203" s="346"/>
      <c r="JL203" s="346"/>
      <c r="JM203" s="346"/>
      <c r="JN203" s="346"/>
      <c r="JO203" s="346"/>
      <c r="JP203" s="346"/>
      <c r="JQ203" s="346"/>
      <c r="JR203" s="58"/>
      <c r="JS203" s="58"/>
      <c r="JT203" s="346"/>
      <c r="JU203" s="346"/>
      <c r="JV203" s="346"/>
      <c r="JW203" s="346"/>
      <c r="JX203" s="346"/>
      <c r="JY203" s="346"/>
      <c r="JZ203" s="346"/>
      <c r="KA203" s="346"/>
      <c r="KB203" s="346"/>
      <c r="KC203" s="346"/>
      <c r="KD203" s="346"/>
      <c r="KE203" s="346"/>
      <c r="KF203" s="346"/>
      <c r="KG203" s="346"/>
      <c r="KH203" s="346"/>
      <c r="KI203" s="346"/>
      <c r="KJ203" s="346"/>
    </row>
    <row r="204" spans="1:296" s="55" customFormat="1" ht="13.9" customHeight="1">
      <c r="A204" s="58"/>
      <c r="B204" s="58"/>
      <c r="C204" s="58"/>
      <c r="D204" s="58"/>
      <c r="E204" s="58"/>
      <c r="F204" s="58"/>
      <c r="G204" s="58"/>
      <c r="H204" s="58"/>
      <c r="I204" s="58"/>
      <c r="J204" s="58"/>
      <c r="K204" s="58"/>
      <c r="L204" s="58"/>
      <c r="M204" s="58"/>
      <c r="N204" s="58"/>
      <c r="O204" s="58"/>
      <c r="W204" s="58"/>
      <c r="X204" s="58"/>
      <c r="Y204" s="58"/>
      <c r="Z204" s="58"/>
      <c r="AA204" s="58"/>
      <c r="AB204" s="58"/>
      <c r="AC204" s="58"/>
      <c r="AD204" s="58"/>
      <c r="AE204" s="58"/>
      <c r="AF204" s="58"/>
      <c r="AG204" s="58"/>
      <c r="AH204" s="58"/>
      <c r="AI204" s="58"/>
      <c r="AJ204" s="58"/>
      <c r="AK204" s="58"/>
      <c r="AL204" s="58"/>
      <c r="AM204" s="58"/>
      <c r="AN204" s="58"/>
      <c r="AO204" s="58"/>
      <c r="AP204" s="58"/>
      <c r="AQ204" s="58"/>
      <c r="AR204" s="58"/>
      <c r="AS204" s="58"/>
      <c r="AT204" s="58"/>
      <c r="AU204" s="58"/>
      <c r="AV204" s="58"/>
      <c r="AW204" s="58"/>
      <c r="AX204" s="58"/>
      <c r="AY204" s="58"/>
      <c r="AZ204" s="58"/>
      <c r="BA204" s="58"/>
      <c r="BB204" s="58"/>
      <c r="BC204" s="58"/>
      <c r="BD204" s="58"/>
      <c r="BE204" s="58"/>
      <c r="BF204" s="58"/>
      <c r="BG204" s="58"/>
      <c r="BH204" s="58"/>
      <c r="BI204" s="58"/>
      <c r="BJ204" s="58"/>
      <c r="BK204" s="58"/>
      <c r="BL204" s="58"/>
      <c r="BM204" s="58"/>
      <c r="BN204" s="58"/>
      <c r="BO204" s="58"/>
      <c r="BP204" s="58"/>
      <c r="BQ204" s="58"/>
      <c r="BR204" s="58"/>
      <c r="BS204" s="58"/>
      <c r="BT204" s="58"/>
      <c r="BU204" s="58"/>
      <c r="BV204" s="58"/>
      <c r="BW204" s="58"/>
      <c r="BX204" s="58"/>
      <c r="BY204" s="58"/>
      <c r="BZ204" s="58"/>
      <c r="CA204" s="58"/>
      <c r="CB204" s="58"/>
      <c r="CC204" s="58"/>
      <c r="CD204" s="58"/>
      <c r="CE204" s="58"/>
      <c r="CF204" s="58"/>
      <c r="CG204" s="58"/>
      <c r="CH204" s="58"/>
      <c r="CI204" s="58"/>
      <c r="CJ204" s="58"/>
      <c r="CK204" s="58"/>
      <c r="CL204" s="58"/>
      <c r="CM204" s="58"/>
      <c r="CN204" s="58"/>
      <c r="CO204" s="58"/>
      <c r="CP204" s="58"/>
      <c r="CQ204" s="58"/>
      <c r="CR204" s="58"/>
      <c r="CS204" s="58"/>
      <c r="CT204" s="58"/>
      <c r="CU204" s="58"/>
      <c r="CV204" s="58"/>
      <c r="CW204" s="58"/>
      <c r="CX204" s="58"/>
      <c r="CY204" s="58"/>
      <c r="CZ204" s="58"/>
      <c r="DA204" s="58"/>
      <c r="DB204" s="58"/>
      <c r="DC204" s="58"/>
      <c r="DD204" s="58"/>
      <c r="DE204" s="58"/>
      <c r="DF204" s="58"/>
      <c r="DG204" s="58"/>
      <c r="DH204" s="58"/>
      <c r="DI204" s="58"/>
      <c r="DJ204" s="58"/>
      <c r="DK204" s="58"/>
      <c r="DL204" s="58"/>
      <c r="DM204" s="58"/>
      <c r="DN204" s="58"/>
      <c r="DO204" s="58"/>
      <c r="DP204" s="58"/>
      <c r="DQ204" s="58"/>
      <c r="DR204" s="58"/>
      <c r="DS204" s="58"/>
      <c r="DT204" s="58"/>
      <c r="DU204" s="58"/>
      <c r="DV204" s="58"/>
      <c r="DW204" s="58"/>
      <c r="DX204" s="58"/>
      <c r="DY204" s="58"/>
      <c r="DZ204" s="58"/>
      <c r="EA204" s="58"/>
      <c r="EB204" s="58"/>
      <c r="EC204" s="58"/>
      <c r="ED204" s="58"/>
      <c r="EE204" s="58"/>
      <c r="EF204" s="58"/>
      <c r="EG204" s="58"/>
      <c r="EH204" s="58"/>
      <c r="EI204" s="58"/>
      <c r="EJ204" s="58"/>
      <c r="EK204" s="58"/>
      <c r="EL204" s="58"/>
      <c r="EM204" s="58"/>
      <c r="EN204" s="58"/>
      <c r="EO204" s="58"/>
      <c r="EP204" s="58"/>
      <c r="EQ204" s="58"/>
      <c r="ER204" s="58"/>
      <c r="ES204" s="58"/>
      <c r="ET204" s="58"/>
      <c r="EU204" s="58"/>
      <c r="EV204" s="58"/>
      <c r="EW204" s="58"/>
      <c r="EX204" s="346"/>
      <c r="EY204" s="346"/>
      <c r="EZ204" s="346"/>
      <c r="FA204" s="346"/>
      <c r="FB204" s="346"/>
      <c r="FC204" s="346"/>
      <c r="FD204" s="346"/>
      <c r="FE204" s="346"/>
      <c r="FF204" s="346"/>
      <c r="FG204" s="346"/>
      <c r="FH204" s="346"/>
      <c r="FI204" s="346"/>
      <c r="FJ204" s="346"/>
      <c r="FK204" s="346"/>
      <c r="FL204" s="346"/>
      <c r="FM204" s="346"/>
      <c r="FN204" s="346"/>
      <c r="FO204" s="346"/>
      <c r="FP204" s="346"/>
      <c r="FQ204" s="346"/>
      <c r="FR204" s="346"/>
      <c r="FS204" s="346"/>
      <c r="FT204" s="346"/>
      <c r="FU204" s="346"/>
      <c r="FV204" s="346"/>
      <c r="FW204" s="346"/>
      <c r="FX204" s="346"/>
      <c r="FY204" s="346"/>
      <c r="FZ204" s="346"/>
      <c r="GA204" s="346"/>
      <c r="GB204" s="346"/>
      <c r="GC204" s="346"/>
      <c r="GD204" s="346"/>
      <c r="GE204" s="346"/>
      <c r="GF204" s="346"/>
      <c r="GG204" s="346"/>
      <c r="GH204" s="346"/>
      <c r="GI204" s="346"/>
      <c r="GJ204" s="346"/>
      <c r="GK204" s="346"/>
      <c r="GL204" s="346"/>
      <c r="GM204" s="346"/>
      <c r="GN204" s="346"/>
      <c r="GO204" s="346"/>
      <c r="GP204" s="346"/>
      <c r="GQ204" s="346"/>
      <c r="GR204" s="346"/>
      <c r="GS204" s="346"/>
      <c r="GT204" s="347"/>
      <c r="GU204" s="346"/>
      <c r="GV204" s="346"/>
      <c r="GW204" s="346"/>
      <c r="GX204" s="346"/>
      <c r="GY204" s="347"/>
      <c r="GZ204" s="347"/>
      <c r="HA204" s="347"/>
      <c r="HB204" s="347"/>
      <c r="HC204" s="347"/>
      <c r="HD204" s="347"/>
      <c r="HE204" s="347"/>
      <c r="HF204" s="347"/>
      <c r="HG204" s="347"/>
      <c r="HH204" s="347"/>
      <c r="HI204" s="347"/>
      <c r="HJ204" s="347"/>
      <c r="HK204" s="347"/>
      <c r="HL204" s="347"/>
      <c r="HM204" s="347"/>
      <c r="HN204" s="347"/>
      <c r="HO204" s="347"/>
      <c r="HP204" s="347"/>
      <c r="HQ204" s="347"/>
      <c r="HR204" s="347"/>
      <c r="HS204" s="347"/>
      <c r="HT204" s="347"/>
      <c r="HU204" s="347"/>
      <c r="HV204" s="347"/>
      <c r="HW204" s="347"/>
      <c r="HX204" s="347"/>
      <c r="HY204" s="347"/>
      <c r="HZ204" s="347"/>
      <c r="IA204" s="347"/>
      <c r="IB204" s="347"/>
      <c r="IC204" s="347"/>
      <c r="ID204" s="347"/>
      <c r="IE204" s="346"/>
      <c r="IF204" s="346"/>
      <c r="IG204" s="346"/>
      <c r="IH204" s="346"/>
      <c r="II204" s="346"/>
      <c r="IJ204" s="346"/>
      <c r="IK204" s="348"/>
      <c r="IL204" s="346"/>
      <c r="IM204" s="346"/>
      <c r="IN204" s="346"/>
      <c r="IO204" s="346"/>
      <c r="IP204" s="346"/>
      <c r="IQ204" s="346"/>
      <c r="IR204" s="346"/>
      <c r="IS204" s="346"/>
      <c r="IT204" s="346"/>
      <c r="IU204" s="346"/>
      <c r="IV204" s="346"/>
      <c r="IW204" s="346"/>
      <c r="IX204" s="346"/>
      <c r="IY204" s="346"/>
      <c r="IZ204" s="346"/>
      <c r="JA204" s="348"/>
      <c r="JB204" s="348"/>
      <c r="JC204" s="346"/>
      <c r="JD204" s="346"/>
      <c r="JE204" s="346"/>
      <c r="JF204" s="346"/>
      <c r="JG204" s="346"/>
      <c r="JH204" s="346"/>
      <c r="JI204" s="346"/>
      <c r="JJ204" s="346"/>
      <c r="JK204" s="346"/>
      <c r="JL204" s="346"/>
      <c r="JM204" s="346"/>
      <c r="JN204" s="346"/>
      <c r="JO204" s="346"/>
      <c r="JP204" s="346"/>
      <c r="JQ204" s="346"/>
      <c r="JR204" s="58"/>
      <c r="JS204" s="58"/>
      <c r="JT204" s="346"/>
      <c r="JU204" s="346"/>
      <c r="JV204" s="346"/>
      <c r="JW204" s="346"/>
      <c r="JX204" s="346"/>
      <c r="JY204" s="346"/>
      <c r="JZ204" s="346"/>
      <c r="KA204" s="346"/>
      <c r="KB204" s="346"/>
      <c r="KC204" s="346"/>
      <c r="KD204" s="346"/>
      <c r="KE204" s="346"/>
      <c r="KF204" s="346"/>
      <c r="KG204" s="346"/>
      <c r="KH204" s="346"/>
      <c r="KI204" s="346"/>
      <c r="KJ204" s="346"/>
    </row>
    <row r="205" spans="1:296" ht="13.9" customHeight="1">
      <c r="A205" s="102"/>
      <c r="B205" s="102"/>
      <c r="C205" s="102"/>
      <c r="D205" s="102"/>
      <c r="E205" s="102"/>
      <c r="F205" s="102"/>
      <c r="G205" s="102"/>
      <c r="H205" s="102"/>
      <c r="I205" s="102"/>
      <c r="J205" s="102"/>
      <c r="K205" s="102"/>
      <c r="L205" s="102"/>
      <c r="M205" s="102"/>
      <c r="N205" s="102"/>
      <c r="O205" s="102"/>
    </row>
    <row r="206" spans="1:296" ht="13.9" customHeight="1">
      <c r="A206" s="102"/>
      <c r="B206" s="102"/>
      <c r="C206" s="102"/>
      <c r="D206" s="102"/>
      <c r="E206" s="102"/>
      <c r="F206" s="102"/>
      <c r="G206" s="102"/>
      <c r="H206" s="102"/>
      <c r="I206" s="102"/>
      <c r="J206" s="102"/>
      <c r="K206" s="102"/>
      <c r="L206" s="102"/>
      <c r="M206" s="102"/>
      <c r="N206" s="102"/>
      <c r="O206" s="102"/>
    </row>
    <row r="207" spans="1:296" ht="13.9" customHeight="1">
      <c r="A207" s="102"/>
      <c r="B207" s="102"/>
      <c r="C207" s="102"/>
      <c r="D207" s="102"/>
      <c r="E207" s="102"/>
      <c r="F207" s="102"/>
      <c r="G207" s="102"/>
      <c r="H207" s="102"/>
      <c r="I207" s="102"/>
      <c r="J207" s="102"/>
      <c r="K207" s="102"/>
      <c r="L207" s="102"/>
      <c r="M207" s="102"/>
      <c r="N207" s="102"/>
      <c r="O207" s="102"/>
    </row>
    <row r="208" spans="1:296" ht="13.9" customHeight="1">
      <c r="A208" s="102"/>
      <c r="B208" s="102"/>
      <c r="C208" s="102"/>
      <c r="D208" s="102"/>
      <c r="E208" s="102"/>
      <c r="F208" s="102"/>
      <c r="G208" s="102"/>
      <c r="H208" s="102"/>
      <c r="I208" s="102"/>
      <c r="J208" s="102"/>
      <c r="K208" s="102"/>
      <c r="L208" s="102"/>
      <c r="M208" s="102"/>
      <c r="N208" s="102"/>
      <c r="O208" s="102"/>
    </row>
    <row r="209" spans="1:296" s="55" customFormat="1" ht="13.9" customHeight="1">
      <c r="A209" s="17"/>
      <c r="B209" s="58"/>
      <c r="C209" s="58"/>
      <c r="D209" s="58"/>
      <c r="E209" s="58"/>
      <c r="F209" s="58"/>
      <c r="G209" s="58"/>
      <c r="H209" s="58"/>
      <c r="I209" s="58"/>
      <c r="J209" s="58"/>
      <c r="K209" s="58"/>
      <c r="L209" s="58"/>
      <c r="M209" s="58"/>
      <c r="N209" s="58"/>
      <c r="O209" s="58"/>
      <c r="W209" s="58"/>
      <c r="X209" s="58"/>
      <c r="Y209" s="58"/>
      <c r="Z209" s="58"/>
      <c r="AA209" s="58"/>
      <c r="AB209" s="58"/>
      <c r="AC209" s="58"/>
      <c r="AD209" s="58"/>
      <c r="AE209" s="58"/>
      <c r="AF209" s="58"/>
      <c r="AG209" s="58"/>
      <c r="AH209" s="58"/>
      <c r="AI209" s="58"/>
      <c r="AJ209" s="58"/>
      <c r="AK209" s="58"/>
      <c r="AL209" s="58"/>
      <c r="AM209" s="58"/>
      <c r="AN209" s="58"/>
      <c r="AO209" s="58"/>
      <c r="AP209" s="58"/>
      <c r="AQ209" s="58"/>
      <c r="AR209" s="58"/>
      <c r="AS209" s="58"/>
      <c r="AT209" s="58"/>
      <c r="AU209" s="58"/>
      <c r="AV209" s="58"/>
      <c r="AW209" s="58"/>
      <c r="AX209" s="58"/>
      <c r="AY209" s="58"/>
      <c r="AZ209" s="58"/>
      <c r="BA209" s="58"/>
      <c r="BB209" s="58"/>
      <c r="BC209" s="58"/>
      <c r="BD209" s="58"/>
      <c r="BE209" s="58"/>
      <c r="BF209" s="58"/>
      <c r="BG209" s="58"/>
      <c r="BH209" s="58"/>
      <c r="BI209" s="58"/>
      <c r="BJ209" s="58"/>
      <c r="BK209" s="58"/>
      <c r="BL209" s="58"/>
      <c r="BM209" s="58"/>
      <c r="BN209" s="58"/>
      <c r="BO209" s="58"/>
      <c r="BP209" s="58"/>
      <c r="BQ209" s="58"/>
      <c r="BR209" s="58"/>
      <c r="BS209" s="58"/>
      <c r="BT209" s="58"/>
      <c r="BU209" s="58"/>
      <c r="BV209" s="58"/>
      <c r="BW209" s="58"/>
      <c r="BX209" s="58"/>
      <c r="BY209" s="58"/>
      <c r="BZ209" s="58"/>
      <c r="CA209" s="58"/>
      <c r="CB209" s="58"/>
      <c r="CC209" s="58"/>
      <c r="CD209" s="58"/>
      <c r="CE209" s="58"/>
      <c r="CF209" s="58"/>
      <c r="CG209" s="58"/>
      <c r="CH209" s="58"/>
      <c r="CI209" s="58"/>
      <c r="CJ209" s="58"/>
      <c r="CK209" s="58"/>
      <c r="CL209" s="58"/>
      <c r="CM209" s="58"/>
      <c r="CN209" s="58"/>
      <c r="CO209" s="58"/>
      <c r="CP209" s="58"/>
      <c r="CQ209" s="58"/>
      <c r="CR209" s="58"/>
      <c r="CS209" s="58"/>
      <c r="CT209" s="58"/>
      <c r="CU209" s="58"/>
      <c r="CV209" s="58"/>
      <c r="CW209" s="58"/>
      <c r="CX209" s="58"/>
      <c r="CY209" s="58"/>
      <c r="CZ209" s="58"/>
      <c r="DA209" s="58"/>
      <c r="DB209" s="58"/>
      <c r="DC209" s="58"/>
      <c r="DD209" s="58"/>
      <c r="DE209" s="58"/>
      <c r="DF209" s="58"/>
      <c r="DG209" s="58"/>
      <c r="DH209" s="58"/>
      <c r="DI209" s="58"/>
      <c r="DJ209" s="58"/>
      <c r="DK209" s="58"/>
      <c r="DL209" s="58"/>
      <c r="DM209" s="58"/>
      <c r="DN209" s="58"/>
      <c r="DO209" s="58"/>
      <c r="DP209" s="58"/>
      <c r="DQ209" s="58"/>
      <c r="DR209" s="58"/>
      <c r="DS209" s="58"/>
      <c r="DT209" s="58"/>
      <c r="DU209" s="58"/>
      <c r="DV209" s="58"/>
      <c r="DW209" s="58"/>
      <c r="DX209" s="58"/>
      <c r="DY209" s="58"/>
      <c r="DZ209" s="58"/>
      <c r="EA209" s="58"/>
      <c r="EB209" s="58"/>
      <c r="EC209" s="58"/>
      <c r="ED209" s="58"/>
      <c r="EE209" s="58"/>
      <c r="EF209" s="58"/>
      <c r="EG209" s="58"/>
      <c r="EH209" s="58"/>
      <c r="EI209" s="58"/>
      <c r="EJ209" s="58"/>
      <c r="EK209" s="58"/>
      <c r="EL209" s="58"/>
      <c r="EM209" s="58"/>
      <c r="EN209" s="58"/>
      <c r="EO209" s="58"/>
      <c r="EP209" s="58"/>
      <c r="EQ209" s="58"/>
      <c r="ER209" s="58"/>
      <c r="ES209" s="58"/>
      <c r="ET209" s="58"/>
      <c r="EU209" s="58"/>
      <c r="EV209" s="58"/>
      <c r="EW209" s="58"/>
      <c r="EX209" s="346"/>
      <c r="EY209" s="346"/>
      <c r="EZ209" s="346"/>
      <c r="FA209" s="346"/>
      <c r="FB209" s="346"/>
      <c r="FC209" s="346"/>
      <c r="FD209" s="346"/>
      <c r="FE209" s="346"/>
      <c r="FF209" s="346"/>
      <c r="FG209" s="346"/>
      <c r="FH209" s="346"/>
      <c r="FI209" s="346"/>
      <c r="FJ209" s="346"/>
      <c r="FK209" s="346"/>
      <c r="FL209" s="346"/>
      <c r="FM209" s="346"/>
      <c r="FN209" s="346"/>
      <c r="FO209" s="346"/>
      <c r="FP209" s="346"/>
      <c r="FQ209" s="346"/>
      <c r="FR209" s="346"/>
      <c r="FS209" s="346"/>
      <c r="FT209" s="346"/>
      <c r="FU209" s="346"/>
      <c r="FV209" s="346"/>
      <c r="FW209" s="346"/>
      <c r="FX209" s="346"/>
      <c r="FY209" s="346"/>
      <c r="FZ209" s="346"/>
      <c r="GA209" s="346"/>
      <c r="GB209" s="346"/>
      <c r="GC209" s="346"/>
      <c r="GD209" s="346"/>
      <c r="GE209" s="346"/>
      <c r="GF209" s="346"/>
      <c r="GG209" s="346"/>
      <c r="GH209" s="346"/>
      <c r="GI209" s="346"/>
      <c r="GJ209" s="346"/>
      <c r="GK209" s="346"/>
      <c r="GL209" s="346"/>
      <c r="GM209" s="346"/>
      <c r="GN209" s="346"/>
      <c r="GO209" s="346"/>
      <c r="GP209" s="346"/>
      <c r="GQ209" s="346"/>
      <c r="GR209" s="346"/>
      <c r="GS209" s="346"/>
      <c r="GT209" s="347"/>
      <c r="GU209" s="346"/>
      <c r="GV209" s="346"/>
      <c r="GW209" s="346"/>
      <c r="GX209" s="346"/>
      <c r="GY209" s="347"/>
      <c r="GZ209" s="347"/>
      <c r="HA209" s="347"/>
      <c r="HB209" s="347"/>
      <c r="HC209" s="347"/>
      <c r="HD209" s="347"/>
      <c r="HE209" s="347"/>
      <c r="HF209" s="347"/>
      <c r="HG209" s="347"/>
      <c r="HH209" s="347"/>
      <c r="HI209" s="347"/>
      <c r="HJ209" s="347"/>
      <c r="HK209" s="347"/>
      <c r="HL209" s="347"/>
      <c r="HM209" s="347"/>
      <c r="HN209" s="347"/>
      <c r="HO209" s="347"/>
      <c r="HP209" s="347"/>
      <c r="HQ209" s="347"/>
      <c r="HR209" s="347"/>
      <c r="HS209" s="347"/>
      <c r="HT209" s="347"/>
      <c r="HU209" s="347"/>
      <c r="HV209" s="347"/>
      <c r="HW209" s="347"/>
      <c r="HX209" s="347"/>
      <c r="HY209" s="347"/>
      <c r="HZ209" s="347"/>
      <c r="IA209" s="347"/>
      <c r="IB209" s="347"/>
      <c r="IC209" s="347"/>
      <c r="ID209" s="347"/>
      <c r="IE209" s="346"/>
      <c r="IF209" s="346"/>
      <c r="IG209" s="346"/>
      <c r="IH209" s="346"/>
      <c r="II209" s="346"/>
      <c r="IJ209" s="346"/>
      <c r="IK209" s="348"/>
      <c r="IL209" s="346"/>
      <c r="IM209" s="346"/>
      <c r="IN209" s="346"/>
      <c r="IO209" s="346"/>
      <c r="IP209" s="346"/>
      <c r="IQ209" s="346"/>
      <c r="IR209" s="346"/>
      <c r="IS209" s="346"/>
      <c r="IT209" s="346"/>
      <c r="IU209" s="346"/>
      <c r="IV209" s="346"/>
      <c r="IW209" s="346"/>
      <c r="IX209" s="346"/>
      <c r="IY209" s="346"/>
      <c r="IZ209" s="346"/>
      <c r="JA209" s="348"/>
      <c r="JB209" s="348"/>
      <c r="JC209" s="346"/>
      <c r="JD209" s="346"/>
      <c r="JE209" s="346"/>
      <c r="JF209" s="346"/>
      <c r="JG209" s="346"/>
      <c r="JH209" s="346"/>
      <c r="JI209" s="346"/>
      <c r="JJ209" s="346"/>
      <c r="JK209" s="346"/>
      <c r="JL209" s="346"/>
      <c r="JM209" s="346"/>
      <c r="JN209" s="346"/>
      <c r="JO209" s="346"/>
      <c r="JP209" s="346"/>
      <c r="JQ209" s="346"/>
      <c r="JR209" s="58"/>
      <c r="JS209" s="58"/>
      <c r="JT209" s="346"/>
      <c r="JU209" s="346"/>
      <c r="JV209" s="346"/>
      <c r="JW209" s="346"/>
      <c r="JX209" s="346"/>
      <c r="JY209" s="346"/>
      <c r="JZ209" s="346"/>
      <c r="KA209" s="346"/>
      <c r="KB209" s="346"/>
      <c r="KC209" s="346"/>
      <c r="KD209" s="346"/>
      <c r="KE209" s="346"/>
      <c r="KF209" s="346"/>
      <c r="KG209" s="346"/>
      <c r="KH209" s="346"/>
      <c r="KI209" s="346"/>
      <c r="KJ209" s="346"/>
    </row>
    <row r="210" spans="1:296" s="55" customFormat="1" ht="13.9" customHeight="1">
      <c r="A210" s="17"/>
      <c r="B210" s="58"/>
      <c r="C210" s="58"/>
      <c r="D210" s="58"/>
      <c r="E210" s="58"/>
      <c r="F210" s="58"/>
      <c r="G210" s="58"/>
      <c r="H210" s="58"/>
      <c r="I210" s="58"/>
      <c r="J210" s="58"/>
      <c r="K210" s="58"/>
      <c r="L210" s="58"/>
      <c r="M210" s="58"/>
      <c r="N210" s="58"/>
      <c r="O210" s="58"/>
      <c r="W210" s="58"/>
      <c r="X210" s="58"/>
      <c r="Y210" s="58"/>
      <c r="Z210" s="58"/>
      <c r="AA210" s="58"/>
      <c r="AB210" s="58"/>
      <c r="AC210" s="58"/>
      <c r="AD210" s="58"/>
      <c r="AE210" s="58"/>
      <c r="AF210" s="58"/>
      <c r="AG210" s="58"/>
      <c r="AH210" s="58"/>
      <c r="AI210" s="58"/>
      <c r="AJ210" s="58"/>
      <c r="AK210" s="58"/>
      <c r="AL210" s="58"/>
      <c r="AM210" s="58"/>
      <c r="AN210" s="58"/>
      <c r="AO210" s="58"/>
      <c r="AP210" s="58"/>
      <c r="AQ210" s="58"/>
      <c r="AR210" s="58"/>
      <c r="AS210" s="58"/>
      <c r="AT210" s="58"/>
      <c r="AU210" s="58"/>
      <c r="AV210" s="58"/>
      <c r="AW210" s="58"/>
      <c r="AX210" s="58"/>
      <c r="AY210" s="58"/>
      <c r="AZ210" s="58"/>
      <c r="BA210" s="58"/>
      <c r="BB210" s="58"/>
      <c r="BC210" s="58"/>
      <c r="BD210" s="58"/>
      <c r="BE210" s="58"/>
      <c r="BF210" s="58"/>
      <c r="BG210" s="58"/>
      <c r="BH210" s="58"/>
      <c r="BI210" s="58"/>
      <c r="BJ210" s="58"/>
      <c r="BK210" s="58"/>
      <c r="BL210" s="58"/>
      <c r="BM210" s="58"/>
      <c r="BN210" s="58"/>
      <c r="BO210" s="58"/>
      <c r="BP210" s="58"/>
      <c r="BQ210" s="58"/>
      <c r="BR210" s="58"/>
      <c r="BS210" s="58"/>
      <c r="BT210" s="58"/>
      <c r="BU210" s="58"/>
      <c r="BV210" s="58"/>
      <c r="BW210" s="58"/>
      <c r="BX210" s="58"/>
      <c r="BY210" s="58"/>
      <c r="BZ210" s="58"/>
      <c r="CA210" s="58"/>
      <c r="CB210" s="58"/>
      <c r="CC210" s="58"/>
      <c r="CD210" s="58"/>
      <c r="CE210" s="58"/>
      <c r="CF210" s="58"/>
      <c r="CG210" s="58"/>
      <c r="CH210" s="58"/>
      <c r="CI210" s="58"/>
      <c r="CJ210" s="58"/>
      <c r="CK210" s="58"/>
      <c r="CL210" s="58"/>
      <c r="CM210" s="58"/>
      <c r="CN210" s="58"/>
      <c r="CO210" s="58"/>
      <c r="CP210" s="58"/>
      <c r="CQ210" s="58"/>
      <c r="CR210" s="58"/>
      <c r="CS210" s="58"/>
      <c r="CT210" s="58"/>
      <c r="CU210" s="58"/>
      <c r="CV210" s="58"/>
      <c r="CW210" s="58"/>
      <c r="CX210" s="58"/>
      <c r="CY210" s="58"/>
      <c r="CZ210" s="58"/>
      <c r="DA210" s="58"/>
      <c r="DB210" s="58"/>
      <c r="DC210" s="58"/>
      <c r="DD210" s="58"/>
      <c r="DE210" s="58"/>
      <c r="DF210" s="58"/>
      <c r="DG210" s="58"/>
      <c r="DH210" s="58"/>
      <c r="DI210" s="58"/>
      <c r="DJ210" s="58"/>
      <c r="DK210" s="58"/>
      <c r="DL210" s="58"/>
      <c r="DM210" s="58"/>
      <c r="DN210" s="58"/>
      <c r="DO210" s="58"/>
      <c r="DP210" s="58"/>
      <c r="DQ210" s="58"/>
      <c r="DR210" s="58"/>
      <c r="DS210" s="58"/>
      <c r="DT210" s="58"/>
      <c r="DU210" s="58"/>
      <c r="DV210" s="58"/>
      <c r="DW210" s="58"/>
      <c r="DX210" s="58"/>
      <c r="DY210" s="58"/>
      <c r="DZ210" s="58"/>
      <c r="EA210" s="58"/>
      <c r="EB210" s="58"/>
      <c r="EC210" s="58"/>
      <c r="ED210" s="58"/>
      <c r="EE210" s="58"/>
      <c r="EF210" s="58"/>
      <c r="EG210" s="58"/>
      <c r="EH210" s="58"/>
      <c r="EI210" s="58"/>
      <c r="EJ210" s="58"/>
      <c r="EK210" s="58"/>
      <c r="EL210" s="58"/>
      <c r="EM210" s="58"/>
      <c r="EN210" s="58"/>
      <c r="EO210" s="58"/>
      <c r="EP210" s="58"/>
      <c r="EQ210" s="58"/>
      <c r="ER210" s="58"/>
      <c r="ES210" s="58"/>
      <c r="ET210" s="58"/>
      <c r="EU210" s="58"/>
      <c r="EV210" s="58"/>
      <c r="EW210" s="58"/>
      <c r="EX210" s="346"/>
      <c r="EY210" s="346"/>
      <c r="EZ210" s="346"/>
      <c r="FA210" s="346"/>
      <c r="FB210" s="346"/>
      <c r="FC210" s="346"/>
      <c r="FD210" s="346"/>
      <c r="FE210" s="346"/>
      <c r="FF210" s="346"/>
      <c r="FG210" s="346"/>
      <c r="FH210" s="346"/>
      <c r="FI210" s="346"/>
      <c r="FJ210" s="346"/>
      <c r="FK210" s="346"/>
      <c r="FL210" s="346"/>
      <c r="FM210" s="346"/>
      <c r="FN210" s="346"/>
      <c r="FO210" s="346"/>
      <c r="FP210" s="346"/>
      <c r="FQ210" s="346"/>
      <c r="FR210" s="346"/>
      <c r="FS210" s="346"/>
      <c r="FT210" s="346"/>
      <c r="FU210" s="346"/>
      <c r="FV210" s="346"/>
      <c r="FW210" s="346"/>
      <c r="FX210" s="346"/>
      <c r="FY210" s="346"/>
      <c r="FZ210" s="346"/>
      <c r="GA210" s="346"/>
      <c r="GB210" s="346"/>
      <c r="GC210" s="346"/>
      <c r="GD210" s="346"/>
      <c r="GE210" s="346"/>
      <c r="GF210" s="346"/>
      <c r="GG210" s="346"/>
      <c r="GH210" s="346"/>
      <c r="GI210" s="346"/>
      <c r="GJ210" s="346"/>
      <c r="GK210" s="346"/>
      <c r="GL210" s="346"/>
      <c r="GM210" s="346"/>
      <c r="GN210" s="346"/>
      <c r="GO210" s="346"/>
      <c r="GP210" s="346"/>
      <c r="GQ210" s="346"/>
      <c r="GR210" s="346"/>
      <c r="GS210" s="346"/>
      <c r="GT210" s="347"/>
      <c r="GU210" s="346"/>
      <c r="GV210" s="346"/>
      <c r="GW210" s="346"/>
      <c r="GX210" s="346"/>
      <c r="GY210" s="347"/>
      <c r="GZ210" s="347"/>
      <c r="HA210" s="347"/>
      <c r="HB210" s="347"/>
      <c r="HC210" s="347"/>
      <c r="HD210" s="347"/>
      <c r="HE210" s="347"/>
      <c r="HF210" s="347"/>
      <c r="HG210" s="347"/>
      <c r="HH210" s="347"/>
      <c r="HI210" s="347"/>
      <c r="HJ210" s="347"/>
      <c r="HK210" s="347"/>
      <c r="HL210" s="347"/>
      <c r="HM210" s="347"/>
      <c r="HN210" s="347"/>
      <c r="HO210" s="347"/>
      <c r="HP210" s="347"/>
      <c r="HQ210" s="347"/>
      <c r="HR210" s="347"/>
      <c r="HS210" s="347"/>
      <c r="HT210" s="347"/>
      <c r="HU210" s="347"/>
      <c r="HV210" s="347"/>
      <c r="HW210" s="347"/>
      <c r="HX210" s="347"/>
      <c r="HY210" s="347"/>
      <c r="HZ210" s="347"/>
      <c r="IA210" s="347"/>
      <c r="IB210" s="347"/>
      <c r="IC210" s="347"/>
      <c r="ID210" s="347"/>
      <c r="IE210" s="346"/>
      <c r="IF210" s="346"/>
      <c r="IG210" s="346"/>
      <c r="IH210" s="346"/>
      <c r="II210" s="346"/>
      <c r="IJ210" s="346"/>
      <c r="IK210" s="348"/>
      <c r="IL210" s="346"/>
      <c r="IM210" s="346"/>
      <c r="IN210" s="346"/>
      <c r="IO210" s="346"/>
      <c r="IP210" s="346"/>
      <c r="IQ210" s="346"/>
      <c r="IR210" s="346"/>
      <c r="IS210" s="346"/>
      <c r="IT210" s="346"/>
      <c r="IU210" s="346"/>
      <c r="IV210" s="346"/>
      <c r="IW210" s="346"/>
      <c r="IX210" s="346"/>
      <c r="IY210" s="346"/>
      <c r="IZ210" s="346"/>
      <c r="JA210" s="348"/>
      <c r="JB210" s="348"/>
      <c r="JC210" s="346"/>
      <c r="JD210" s="346"/>
      <c r="JE210" s="346"/>
      <c r="JF210" s="346"/>
      <c r="JG210" s="346"/>
      <c r="JH210" s="346"/>
      <c r="JI210" s="346"/>
      <c r="JJ210" s="346"/>
      <c r="JK210" s="346"/>
      <c r="JL210" s="346"/>
      <c r="JM210" s="346"/>
      <c r="JN210" s="346"/>
      <c r="JO210" s="346"/>
      <c r="JP210" s="346"/>
      <c r="JQ210" s="346"/>
      <c r="JR210" s="58"/>
      <c r="JS210" s="58"/>
      <c r="JT210" s="346"/>
      <c r="JU210" s="346"/>
      <c r="JV210" s="346"/>
      <c r="JW210" s="346"/>
      <c r="JX210" s="346"/>
      <c r="JY210" s="346"/>
      <c r="JZ210" s="346"/>
      <c r="KA210" s="346"/>
      <c r="KB210" s="346"/>
      <c r="KC210" s="346"/>
      <c r="KD210" s="346"/>
      <c r="KE210" s="346"/>
      <c r="KF210" s="346"/>
      <c r="KG210" s="346"/>
      <c r="KH210" s="346"/>
      <c r="KI210" s="346"/>
      <c r="KJ210" s="346"/>
    </row>
    <row r="211" spans="1:296" s="55" customFormat="1" ht="13.9" customHeight="1">
      <c r="A211" s="1523"/>
      <c r="B211" s="58"/>
      <c r="C211" s="58"/>
      <c r="D211" s="58"/>
      <c r="E211" s="58"/>
      <c r="F211" s="58"/>
      <c r="G211" s="58"/>
      <c r="H211" s="58"/>
      <c r="I211" s="58"/>
      <c r="J211" s="58"/>
      <c r="K211" s="58"/>
      <c r="L211" s="58"/>
      <c r="M211" s="58"/>
      <c r="N211" s="58"/>
      <c r="O211" s="58"/>
      <c r="W211" s="58"/>
      <c r="X211" s="58"/>
      <c r="Y211" s="58"/>
      <c r="Z211" s="58"/>
      <c r="AA211" s="58"/>
      <c r="AB211" s="58"/>
      <c r="AC211" s="58"/>
      <c r="AD211" s="58"/>
      <c r="AE211" s="58"/>
      <c r="AF211" s="58"/>
      <c r="AG211" s="58"/>
      <c r="AH211" s="58"/>
      <c r="AI211" s="58"/>
      <c r="AJ211" s="58"/>
      <c r="AK211" s="58"/>
      <c r="AL211" s="58"/>
      <c r="AM211" s="58"/>
      <c r="AN211" s="58"/>
      <c r="AO211" s="58"/>
      <c r="AP211" s="58"/>
      <c r="AQ211" s="58"/>
      <c r="AR211" s="58"/>
      <c r="AS211" s="58"/>
      <c r="AT211" s="58"/>
      <c r="AU211" s="58"/>
      <c r="AV211" s="58"/>
      <c r="AW211" s="58"/>
      <c r="AX211" s="58"/>
      <c r="AY211" s="58"/>
      <c r="AZ211" s="58"/>
      <c r="BA211" s="58"/>
      <c r="BB211" s="58"/>
      <c r="BC211" s="58"/>
      <c r="BD211" s="58"/>
      <c r="BE211" s="58"/>
      <c r="BF211" s="58"/>
      <c r="BG211" s="58"/>
      <c r="BH211" s="58"/>
      <c r="BI211" s="58"/>
      <c r="BJ211" s="58"/>
      <c r="BK211" s="58"/>
      <c r="BL211" s="58"/>
      <c r="BM211" s="58"/>
      <c r="BN211" s="58"/>
      <c r="BO211" s="58"/>
      <c r="BP211" s="58"/>
      <c r="BQ211" s="58"/>
      <c r="BR211" s="58"/>
      <c r="BS211" s="58"/>
      <c r="BT211" s="58"/>
      <c r="BU211" s="58"/>
      <c r="BV211" s="58"/>
      <c r="BW211" s="58"/>
      <c r="BX211" s="58"/>
      <c r="BY211" s="58"/>
      <c r="BZ211" s="58"/>
      <c r="CA211" s="58"/>
      <c r="CB211" s="58"/>
      <c r="CC211" s="58"/>
      <c r="CD211" s="58"/>
      <c r="CE211" s="58"/>
      <c r="CF211" s="58"/>
      <c r="CG211" s="58"/>
      <c r="CH211" s="58"/>
      <c r="CI211" s="58"/>
      <c r="CJ211" s="58"/>
      <c r="CK211" s="58"/>
      <c r="CL211" s="58"/>
      <c r="CM211" s="58"/>
      <c r="CN211" s="58"/>
      <c r="CO211" s="58"/>
      <c r="CP211" s="58"/>
      <c r="CQ211" s="58"/>
      <c r="CR211" s="58"/>
      <c r="CS211" s="58"/>
      <c r="CT211" s="58"/>
      <c r="CU211" s="58"/>
      <c r="CV211" s="58"/>
      <c r="CW211" s="58"/>
      <c r="CX211" s="58"/>
      <c r="CY211" s="58"/>
      <c r="CZ211" s="58"/>
      <c r="DA211" s="58"/>
      <c r="DB211" s="58"/>
      <c r="DC211" s="58"/>
      <c r="DD211" s="58"/>
      <c r="DE211" s="58"/>
      <c r="DF211" s="58"/>
      <c r="DG211" s="58"/>
      <c r="DH211" s="58"/>
      <c r="DI211" s="58"/>
      <c r="DJ211" s="58"/>
      <c r="DK211" s="58"/>
      <c r="DL211" s="58"/>
      <c r="DM211" s="58"/>
      <c r="DN211" s="58"/>
      <c r="DO211" s="58"/>
      <c r="DP211" s="58"/>
      <c r="DQ211" s="58"/>
      <c r="DR211" s="58"/>
      <c r="DS211" s="58"/>
      <c r="DT211" s="58"/>
      <c r="DU211" s="58"/>
      <c r="DV211" s="58"/>
      <c r="DW211" s="58"/>
      <c r="DX211" s="58"/>
      <c r="DY211" s="58"/>
      <c r="DZ211" s="58"/>
      <c r="EA211" s="58"/>
      <c r="EB211" s="58"/>
      <c r="EC211" s="58"/>
      <c r="ED211" s="58"/>
      <c r="EE211" s="58"/>
      <c r="EF211" s="58"/>
      <c r="EG211" s="58"/>
      <c r="EH211" s="58"/>
      <c r="EI211" s="58"/>
      <c r="EJ211" s="58"/>
      <c r="EK211" s="58"/>
      <c r="EL211" s="58"/>
      <c r="EM211" s="58"/>
      <c r="EN211" s="58"/>
      <c r="EO211" s="58"/>
      <c r="EP211" s="58"/>
      <c r="EQ211" s="58"/>
      <c r="ER211" s="58"/>
      <c r="ES211" s="58"/>
      <c r="ET211" s="58"/>
      <c r="EU211" s="58"/>
      <c r="EV211" s="58"/>
      <c r="EW211" s="58"/>
      <c r="EX211" s="346"/>
      <c r="EY211" s="346"/>
      <c r="EZ211" s="346"/>
      <c r="FA211" s="346"/>
      <c r="FB211" s="346"/>
      <c r="FC211" s="346"/>
      <c r="FD211" s="346"/>
      <c r="FE211" s="346"/>
      <c r="FF211" s="346"/>
      <c r="FG211" s="346"/>
      <c r="FH211" s="346"/>
      <c r="FI211" s="346"/>
      <c r="FJ211" s="346"/>
      <c r="FK211" s="346"/>
      <c r="FL211" s="346"/>
      <c r="FM211" s="346"/>
      <c r="FN211" s="346"/>
      <c r="FO211" s="346"/>
      <c r="FP211" s="346"/>
      <c r="FQ211" s="346"/>
      <c r="FR211" s="346"/>
      <c r="FS211" s="346"/>
      <c r="FT211" s="346"/>
      <c r="FU211" s="346"/>
      <c r="FV211" s="346"/>
      <c r="FW211" s="346"/>
      <c r="FX211" s="346"/>
      <c r="FY211" s="346"/>
      <c r="FZ211" s="346"/>
      <c r="GA211" s="346"/>
      <c r="GB211" s="346"/>
      <c r="GC211" s="346"/>
      <c r="GD211" s="346"/>
      <c r="GE211" s="346"/>
      <c r="GF211" s="346"/>
      <c r="GG211" s="346"/>
      <c r="GH211" s="346"/>
      <c r="GI211" s="346"/>
      <c r="GJ211" s="346"/>
      <c r="GK211" s="346"/>
      <c r="GL211" s="346"/>
      <c r="GM211" s="346"/>
      <c r="GN211" s="346"/>
      <c r="GO211" s="346"/>
      <c r="GP211" s="346"/>
      <c r="GQ211" s="346"/>
      <c r="GR211" s="346"/>
      <c r="GS211" s="346"/>
      <c r="GT211" s="347"/>
      <c r="GU211" s="346"/>
      <c r="GV211" s="346"/>
      <c r="GW211" s="346"/>
      <c r="GX211" s="346"/>
      <c r="GY211" s="347"/>
      <c r="GZ211" s="347"/>
      <c r="HA211" s="347"/>
      <c r="HB211" s="347"/>
      <c r="HC211" s="347"/>
      <c r="HD211" s="347"/>
      <c r="HE211" s="347"/>
      <c r="HF211" s="347"/>
      <c r="HG211" s="347"/>
      <c r="HH211" s="347"/>
      <c r="HI211" s="347"/>
      <c r="HJ211" s="347"/>
      <c r="HK211" s="347"/>
      <c r="HL211" s="347"/>
      <c r="HM211" s="347"/>
      <c r="HN211" s="347"/>
      <c r="HO211" s="347"/>
      <c r="HP211" s="347"/>
      <c r="HQ211" s="347"/>
      <c r="HR211" s="347"/>
      <c r="HS211" s="347"/>
      <c r="HT211" s="347"/>
      <c r="HU211" s="347"/>
      <c r="HV211" s="347"/>
      <c r="HW211" s="347"/>
      <c r="HX211" s="347"/>
      <c r="HY211" s="347"/>
      <c r="HZ211" s="347"/>
      <c r="IA211" s="347"/>
      <c r="IB211" s="347"/>
      <c r="IC211" s="347"/>
      <c r="ID211" s="347"/>
      <c r="IE211" s="346"/>
      <c r="IF211" s="346"/>
      <c r="IG211" s="346"/>
      <c r="IH211" s="346"/>
      <c r="II211" s="346"/>
      <c r="IJ211" s="346"/>
      <c r="IK211" s="348"/>
      <c r="IL211" s="346"/>
      <c r="IM211" s="346"/>
      <c r="IN211" s="346"/>
      <c r="IO211" s="346"/>
      <c r="IP211" s="346"/>
      <c r="IQ211" s="346"/>
      <c r="IR211" s="346"/>
      <c r="IS211" s="346"/>
      <c r="IT211" s="346"/>
      <c r="IU211" s="346"/>
      <c r="IV211" s="346"/>
      <c r="IW211" s="346"/>
      <c r="IX211" s="346"/>
      <c r="IY211" s="346"/>
      <c r="IZ211" s="346"/>
      <c r="JA211" s="348"/>
      <c r="JB211" s="348"/>
      <c r="JC211" s="346"/>
      <c r="JD211" s="346"/>
      <c r="JE211" s="346"/>
      <c r="JF211" s="346"/>
      <c r="JG211" s="346"/>
      <c r="JH211" s="346"/>
      <c r="JI211" s="346"/>
      <c r="JJ211" s="346"/>
      <c r="JK211" s="346"/>
      <c r="JL211" s="346"/>
      <c r="JM211" s="346"/>
      <c r="JN211" s="346"/>
      <c r="JO211" s="346"/>
      <c r="JP211" s="346"/>
      <c r="JQ211" s="346"/>
      <c r="JR211" s="58"/>
      <c r="JS211" s="58"/>
      <c r="JT211" s="346"/>
      <c r="JU211" s="346"/>
      <c r="JV211" s="346"/>
      <c r="JW211" s="346"/>
      <c r="JX211" s="346"/>
      <c r="JY211" s="346"/>
      <c r="JZ211" s="346"/>
      <c r="KA211" s="346"/>
      <c r="KB211" s="346"/>
      <c r="KC211" s="346"/>
      <c r="KD211" s="346"/>
      <c r="KE211" s="346"/>
      <c r="KF211" s="346"/>
      <c r="KG211" s="346"/>
      <c r="KH211" s="346"/>
      <c r="KI211" s="346"/>
      <c r="KJ211" s="346"/>
    </row>
    <row r="212" spans="1:296" s="55" customFormat="1" ht="13.9" customHeight="1">
      <c r="A212" s="58"/>
      <c r="B212" s="58"/>
      <c r="C212" s="58"/>
      <c r="D212" s="58"/>
      <c r="E212" s="58"/>
      <c r="F212" s="58"/>
      <c r="G212" s="58"/>
      <c r="H212" s="58"/>
      <c r="I212" s="58"/>
      <c r="J212" s="58"/>
      <c r="K212" s="58"/>
      <c r="L212" s="58"/>
      <c r="M212" s="58"/>
      <c r="N212" s="58"/>
      <c r="O212" s="58"/>
      <c r="W212" s="58"/>
      <c r="X212" s="58"/>
      <c r="Y212" s="58"/>
      <c r="Z212" s="58"/>
      <c r="AA212" s="58"/>
      <c r="AB212" s="58"/>
      <c r="AC212" s="58"/>
      <c r="AD212" s="58"/>
      <c r="AE212" s="58"/>
      <c r="AF212" s="58"/>
      <c r="AG212" s="58"/>
      <c r="AH212" s="58"/>
      <c r="AI212" s="58"/>
      <c r="AJ212" s="58"/>
      <c r="AK212" s="58"/>
      <c r="AL212" s="58"/>
      <c r="AM212" s="58"/>
      <c r="AN212" s="58"/>
      <c r="AO212" s="58"/>
      <c r="AP212" s="58"/>
      <c r="AQ212" s="58"/>
      <c r="AR212" s="58"/>
      <c r="AS212" s="58"/>
      <c r="AT212" s="58"/>
      <c r="AU212" s="58"/>
      <c r="AV212" s="58"/>
      <c r="AW212" s="58"/>
      <c r="AX212" s="58"/>
      <c r="AY212" s="58"/>
      <c r="AZ212" s="58"/>
      <c r="BA212" s="58"/>
      <c r="BB212" s="58"/>
      <c r="BC212" s="58"/>
      <c r="BD212" s="58"/>
      <c r="BE212" s="58"/>
      <c r="BF212" s="58"/>
      <c r="BG212" s="58"/>
      <c r="BH212" s="58"/>
      <c r="BI212" s="58"/>
      <c r="BJ212" s="58"/>
      <c r="BK212" s="58"/>
      <c r="BL212" s="58"/>
      <c r="BM212" s="58"/>
      <c r="BN212" s="58"/>
      <c r="BO212" s="58"/>
      <c r="BP212" s="58"/>
      <c r="BQ212" s="58"/>
      <c r="BR212" s="58"/>
      <c r="BS212" s="58"/>
      <c r="BT212" s="58"/>
      <c r="BU212" s="58"/>
      <c r="BV212" s="58"/>
      <c r="BW212" s="58"/>
      <c r="BX212" s="58"/>
      <c r="BY212" s="58"/>
      <c r="BZ212" s="58"/>
      <c r="CA212" s="58"/>
      <c r="CB212" s="58"/>
      <c r="CC212" s="58"/>
      <c r="CD212" s="58"/>
      <c r="CE212" s="58"/>
      <c r="CF212" s="58"/>
      <c r="CG212" s="58"/>
      <c r="CH212" s="58"/>
      <c r="CI212" s="58"/>
      <c r="CJ212" s="58"/>
      <c r="CK212" s="58"/>
      <c r="CL212" s="58"/>
      <c r="CM212" s="58"/>
      <c r="CN212" s="58"/>
      <c r="CO212" s="58"/>
      <c r="CP212" s="58"/>
      <c r="CQ212" s="58"/>
      <c r="CR212" s="58"/>
      <c r="CS212" s="58"/>
      <c r="CT212" s="58"/>
      <c r="CU212" s="58"/>
      <c r="CV212" s="58"/>
      <c r="CW212" s="58"/>
      <c r="CX212" s="58"/>
      <c r="CY212" s="58"/>
      <c r="CZ212" s="58"/>
      <c r="DA212" s="58"/>
      <c r="DB212" s="58"/>
      <c r="DC212" s="58"/>
      <c r="DD212" s="58"/>
      <c r="DE212" s="58"/>
      <c r="DF212" s="58"/>
      <c r="DG212" s="58"/>
      <c r="DH212" s="58"/>
      <c r="DI212" s="58"/>
      <c r="DJ212" s="58"/>
      <c r="DK212" s="58"/>
      <c r="DL212" s="58"/>
      <c r="DM212" s="58"/>
      <c r="DN212" s="58"/>
      <c r="DO212" s="58"/>
      <c r="DP212" s="58"/>
      <c r="DQ212" s="58"/>
      <c r="DR212" s="58"/>
      <c r="DS212" s="58"/>
      <c r="DT212" s="58"/>
      <c r="DU212" s="58"/>
      <c r="DV212" s="58"/>
      <c r="DW212" s="58"/>
      <c r="DX212" s="58"/>
      <c r="DY212" s="58"/>
      <c r="DZ212" s="58"/>
      <c r="EA212" s="58"/>
      <c r="EB212" s="58"/>
      <c r="EC212" s="58"/>
      <c r="ED212" s="58"/>
      <c r="EE212" s="58"/>
      <c r="EF212" s="58"/>
      <c r="EG212" s="58"/>
      <c r="EH212" s="58"/>
      <c r="EI212" s="58"/>
      <c r="EJ212" s="58"/>
      <c r="EK212" s="58"/>
      <c r="EL212" s="58"/>
      <c r="EM212" s="58"/>
      <c r="EN212" s="58"/>
      <c r="EO212" s="58"/>
      <c r="EP212" s="58"/>
      <c r="EQ212" s="58"/>
      <c r="ER212" s="58"/>
      <c r="ES212" s="58"/>
      <c r="ET212" s="58"/>
      <c r="EU212" s="58"/>
      <c r="EV212" s="58"/>
      <c r="EW212" s="58"/>
      <c r="EX212" s="346"/>
      <c r="EY212" s="346"/>
      <c r="EZ212" s="346"/>
      <c r="FA212" s="346"/>
      <c r="FB212" s="346"/>
      <c r="FC212" s="346"/>
      <c r="FD212" s="346"/>
      <c r="FE212" s="346"/>
      <c r="FF212" s="346"/>
      <c r="FG212" s="346"/>
      <c r="FH212" s="346"/>
      <c r="FI212" s="346"/>
      <c r="FJ212" s="346"/>
      <c r="FK212" s="346"/>
      <c r="FL212" s="346"/>
      <c r="FM212" s="346"/>
      <c r="FN212" s="346"/>
      <c r="FO212" s="346"/>
      <c r="FP212" s="346"/>
      <c r="FQ212" s="346"/>
      <c r="FR212" s="346"/>
      <c r="FS212" s="346"/>
      <c r="FT212" s="346"/>
      <c r="FU212" s="346"/>
      <c r="FV212" s="346"/>
      <c r="FW212" s="346"/>
      <c r="FX212" s="346"/>
      <c r="FY212" s="346"/>
      <c r="FZ212" s="346"/>
      <c r="GA212" s="346"/>
      <c r="GB212" s="346"/>
      <c r="GC212" s="346"/>
      <c r="GD212" s="346"/>
      <c r="GE212" s="346"/>
      <c r="GF212" s="346"/>
      <c r="GG212" s="346"/>
      <c r="GH212" s="346"/>
      <c r="GI212" s="346"/>
      <c r="GJ212" s="346"/>
      <c r="GK212" s="346"/>
      <c r="GL212" s="346"/>
      <c r="GM212" s="346"/>
      <c r="GN212" s="346"/>
      <c r="GO212" s="346"/>
      <c r="GP212" s="346"/>
      <c r="GQ212" s="346"/>
      <c r="GR212" s="346"/>
      <c r="GS212" s="346"/>
      <c r="GT212" s="347"/>
      <c r="GU212" s="346"/>
      <c r="GV212" s="346"/>
      <c r="GW212" s="346"/>
      <c r="GX212" s="346"/>
      <c r="GY212" s="347"/>
      <c r="GZ212" s="347"/>
      <c r="HA212" s="347"/>
      <c r="HB212" s="347"/>
      <c r="HC212" s="347"/>
      <c r="HD212" s="347"/>
      <c r="HE212" s="347"/>
      <c r="HF212" s="347"/>
      <c r="HG212" s="347"/>
      <c r="HH212" s="347"/>
      <c r="HI212" s="347"/>
      <c r="HJ212" s="347"/>
      <c r="HK212" s="347"/>
      <c r="HL212" s="347"/>
      <c r="HM212" s="347"/>
      <c r="HN212" s="347"/>
      <c r="HO212" s="347"/>
      <c r="HP212" s="347"/>
      <c r="HQ212" s="347"/>
      <c r="HR212" s="347"/>
      <c r="HS212" s="347"/>
      <c r="HT212" s="347"/>
      <c r="HU212" s="347"/>
      <c r="HV212" s="347"/>
      <c r="HW212" s="347"/>
      <c r="HX212" s="347"/>
      <c r="HY212" s="347"/>
      <c r="HZ212" s="347"/>
      <c r="IA212" s="347"/>
      <c r="IB212" s="347"/>
      <c r="IC212" s="347"/>
      <c r="ID212" s="347"/>
      <c r="IE212" s="346"/>
      <c r="IF212" s="346"/>
      <c r="IG212" s="346"/>
      <c r="IH212" s="346"/>
      <c r="II212" s="346"/>
      <c r="IJ212" s="346"/>
      <c r="IK212" s="348"/>
      <c r="IL212" s="346"/>
      <c r="IM212" s="346"/>
      <c r="IN212" s="346"/>
      <c r="IO212" s="346"/>
      <c r="IP212" s="346"/>
      <c r="IQ212" s="346"/>
      <c r="IR212" s="346"/>
      <c r="IS212" s="346"/>
      <c r="IT212" s="346"/>
      <c r="IU212" s="346"/>
      <c r="IV212" s="346"/>
      <c r="IW212" s="346"/>
      <c r="IX212" s="346"/>
      <c r="IY212" s="346"/>
      <c r="IZ212" s="346"/>
      <c r="JA212" s="348"/>
      <c r="JB212" s="348"/>
      <c r="JC212" s="346"/>
      <c r="JD212" s="346"/>
      <c r="JE212" s="346"/>
      <c r="JF212" s="346"/>
      <c r="JG212" s="346"/>
      <c r="JH212" s="346"/>
      <c r="JI212" s="346"/>
      <c r="JJ212" s="346"/>
      <c r="JK212" s="346"/>
      <c r="JL212" s="346"/>
      <c r="JM212" s="346"/>
      <c r="JN212" s="346"/>
      <c r="JO212" s="346"/>
      <c r="JP212" s="346"/>
      <c r="JQ212" s="346"/>
      <c r="JR212" s="58"/>
      <c r="JS212" s="58"/>
      <c r="JT212" s="346"/>
      <c r="JU212" s="346"/>
      <c r="JV212" s="346"/>
      <c r="JW212" s="346"/>
      <c r="JX212" s="346"/>
      <c r="JY212" s="346"/>
      <c r="JZ212" s="346"/>
      <c r="KA212" s="346"/>
      <c r="KB212" s="346"/>
      <c r="KC212" s="346"/>
      <c r="KD212" s="346"/>
      <c r="KE212" s="346"/>
      <c r="KF212" s="346"/>
      <c r="KG212" s="346"/>
      <c r="KH212" s="346"/>
      <c r="KI212" s="346"/>
      <c r="KJ212" s="346"/>
    </row>
    <row r="213" spans="1:296" s="55" customFormat="1" ht="13.9" customHeight="1">
      <c r="A213" s="58"/>
      <c r="B213" s="58"/>
      <c r="C213" s="58"/>
      <c r="D213" s="58"/>
      <c r="E213" s="58"/>
      <c r="F213" s="58"/>
      <c r="G213" s="58"/>
      <c r="H213" s="58"/>
      <c r="I213" s="58"/>
      <c r="J213" s="58"/>
      <c r="K213" s="58"/>
      <c r="L213" s="58"/>
      <c r="M213" s="58"/>
      <c r="N213" s="58"/>
      <c r="O213" s="58"/>
      <c r="W213" s="58"/>
      <c r="X213" s="58"/>
      <c r="Y213" s="58"/>
      <c r="Z213" s="58"/>
      <c r="AA213" s="58"/>
      <c r="AB213" s="58"/>
      <c r="AC213" s="58"/>
      <c r="AD213" s="58"/>
      <c r="AE213" s="58"/>
      <c r="AF213" s="58"/>
      <c r="AG213" s="58"/>
      <c r="AH213" s="58"/>
      <c r="AI213" s="58"/>
      <c r="AJ213" s="58"/>
      <c r="AK213" s="58"/>
      <c r="AL213" s="58"/>
      <c r="AM213" s="58"/>
      <c r="AN213" s="58"/>
      <c r="AO213" s="58"/>
      <c r="AP213" s="58"/>
      <c r="AQ213" s="58"/>
      <c r="AR213" s="58"/>
      <c r="AS213" s="58"/>
      <c r="AT213" s="58"/>
      <c r="AU213" s="58"/>
      <c r="AV213" s="58"/>
      <c r="AW213" s="58"/>
      <c r="AX213" s="58"/>
      <c r="AY213" s="58"/>
      <c r="AZ213" s="58"/>
      <c r="BA213" s="58"/>
      <c r="BB213" s="58"/>
      <c r="BC213" s="58"/>
      <c r="BD213" s="58"/>
      <c r="BE213" s="58"/>
      <c r="BF213" s="58"/>
      <c r="BG213" s="58"/>
      <c r="BH213" s="58"/>
      <c r="BI213" s="58"/>
      <c r="BJ213" s="58"/>
      <c r="BK213" s="58"/>
      <c r="BL213" s="58"/>
      <c r="BM213" s="58"/>
      <c r="BN213" s="58"/>
      <c r="BO213" s="58"/>
      <c r="BP213" s="58"/>
      <c r="BQ213" s="58"/>
      <c r="BR213" s="58"/>
      <c r="BS213" s="58"/>
      <c r="BT213" s="58"/>
      <c r="BU213" s="58"/>
      <c r="BV213" s="58"/>
      <c r="BW213" s="58"/>
      <c r="BX213" s="58"/>
      <c r="BY213" s="58"/>
      <c r="BZ213" s="58"/>
      <c r="CA213" s="58"/>
      <c r="CB213" s="58"/>
      <c r="CC213" s="58"/>
      <c r="CD213" s="58"/>
      <c r="CE213" s="58"/>
      <c r="CF213" s="58"/>
      <c r="CG213" s="58"/>
      <c r="CH213" s="58"/>
      <c r="CI213" s="58"/>
      <c r="CJ213" s="58"/>
      <c r="CK213" s="58"/>
      <c r="CL213" s="58"/>
      <c r="CM213" s="58"/>
      <c r="CN213" s="58"/>
      <c r="CO213" s="58"/>
      <c r="CP213" s="58"/>
      <c r="CQ213" s="58"/>
      <c r="CR213" s="58"/>
      <c r="CS213" s="58"/>
      <c r="CT213" s="58"/>
      <c r="CU213" s="58"/>
      <c r="CV213" s="58"/>
      <c r="CW213" s="58"/>
      <c r="CX213" s="58"/>
      <c r="CY213" s="58"/>
      <c r="CZ213" s="58"/>
      <c r="DA213" s="58"/>
      <c r="DB213" s="58"/>
      <c r="DC213" s="58"/>
      <c r="DD213" s="58"/>
      <c r="DE213" s="58"/>
      <c r="DF213" s="58"/>
      <c r="DG213" s="58"/>
      <c r="DH213" s="58"/>
      <c r="DI213" s="58"/>
      <c r="DJ213" s="58"/>
      <c r="DK213" s="58"/>
      <c r="DL213" s="58"/>
      <c r="DM213" s="58"/>
      <c r="DN213" s="58"/>
      <c r="DO213" s="58"/>
      <c r="DP213" s="58"/>
      <c r="DQ213" s="58"/>
      <c r="DR213" s="58"/>
      <c r="DS213" s="58"/>
      <c r="DT213" s="58"/>
      <c r="DU213" s="58"/>
      <c r="DV213" s="58"/>
      <c r="DW213" s="58"/>
      <c r="DX213" s="58"/>
      <c r="DY213" s="58"/>
      <c r="DZ213" s="58"/>
      <c r="EA213" s="58"/>
      <c r="EB213" s="58"/>
      <c r="EC213" s="58"/>
      <c r="ED213" s="58"/>
      <c r="EE213" s="58"/>
      <c r="EF213" s="58"/>
      <c r="EG213" s="58"/>
      <c r="EH213" s="58"/>
      <c r="EI213" s="58"/>
      <c r="EJ213" s="58"/>
      <c r="EK213" s="58"/>
      <c r="EL213" s="58"/>
      <c r="EM213" s="58"/>
      <c r="EN213" s="58"/>
      <c r="EO213" s="58"/>
      <c r="EP213" s="58"/>
      <c r="EQ213" s="58"/>
      <c r="ER213" s="58"/>
      <c r="ES213" s="58"/>
      <c r="ET213" s="58"/>
      <c r="EU213" s="58"/>
      <c r="EV213" s="58"/>
      <c r="EW213" s="58"/>
      <c r="EX213" s="346"/>
      <c r="EY213" s="346"/>
      <c r="EZ213" s="346"/>
      <c r="FA213" s="346"/>
      <c r="FB213" s="346"/>
      <c r="FC213" s="346"/>
      <c r="FD213" s="346"/>
      <c r="FE213" s="346"/>
      <c r="FF213" s="346"/>
      <c r="FG213" s="346"/>
      <c r="FH213" s="346"/>
      <c r="FI213" s="346"/>
      <c r="FJ213" s="346"/>
      <c r="FK213" s="346"/>
      <c r="FL213" s="346"/>
      <c r="FM213" s="346"/>
      <c r="FN213" s="346"/>
      <c r="FO213" s="346"/>
      <c r="FP213" s="346"/>
      <c r="FQ213" s="346"/>
      <c r="FR213" s="346"/>
      <c r="FS213" s="346"/>
      <c r="FT213" s="346"/>
      <c r="FU213" s="346"/>
      <c r="FV213" s="346"/>
      <c r="FW213" s="346"/>
      <c r="FX213" s="346"/>
      <c r="FY213" s="346"/>
      <c r="FZ213" s="346"/>
      <c r="GA213" s="346"/>
      <c r="GB213" s="346"/>
      <c r="GC213" s="346"/>
      <c r="GD213" s="346"/>
      <c r="GE213" s="346"/>
      <c r="GF213" s="346"/>
      <c r="GG213" s="346"/>
      <c r="GH213" s="346"/>
      <c r="GI213" s="346"/>
      <c r="GJ213" s="346"/>
      <c r="GK213" s="346"/>
      <c r="GL213" s="346"/>
      <c r="GM213" s="346"/>
      <c r="GN213" s="346"/>
      <c r="GO213" s="346"/>
      <c r="GP213" s="346"/>
      <c r="GQ213" s="346"/>
      <c r="GR213" s="346"/>
      <c r="GS213" s="346"/>
      <c r="GT213" s="347"/>
      <c r="GU213" s="346"/>
      <c r="GV213" s="346"/>
      <c r="GW213" s="346"/>
      <c r="GX213" s="346"/>
      <c r="GY213" s="347"/>
      <c r="GZ213" s="347"/>
      <c r="HA213" s="347"/>
      <c r="HB213" s="347"/>
      <c r="HC213" s="347"/>
      <c r="HD213" s="347"/>
      <c r="HE213" s="347"/>
      <c r="HF213" s="347"/>
      <c r="HG213" s="347"/>
      <c r="HH213" s="347"/>
      <c r="HI213" s="347"/>
      <c r="HJ213" s="347"/>
      <c r="HK213" s="347"/>
      <c r="HL213" s="347"/>
      <c r="HM213" s="347"/>
      <c r="HN213" s="347"/>
      <c r="HO213" s="347"/>
      <c r="HP213" s="347"/>
      <c r="HQ213" s="347"/>
      <c r="HR213" s="347"/>
      <c r="HS213" s="347"/>
      <c r="HT213" s="347"/>
      <c r="HU213" s="347"/>
      <c r="HV213" s="347"/>
      <c r="HW213" s="347"/>
      <c r="HX213" s="347"/>
      <c r="HY213" s="347"/>
      <c r="HZ213" s="347"/>
      <c r="IA213" s="347"/>
      <c r="IB213" s="347"/>
      <c r="IC213" s="347"/>
      <c r="ID213" s="347"/>
      <c r="IE213" s="346"/>
      <c r="IF213" s="346"/>
      <c r="IG213" s="346"/>
      <c r="IH213" s="346"/>
      <c r="II213" s="346"/>
      <c r="IJ213" s="346"/>
      <c r="IK213" s="348"/>
      <c r="IL213" s="346"/>
      <c r="IM213" s="346"/>
      <c r="IN213" s="346"/>
      <c r="IO213" s="346"/>
      <c r="IP213" s="346"/>
      <c r="IQ213" s="346"/>
      <c r="IR213" s="346"/>
      <c r="IS213" s="346"/>
      <c r="IT213" s="346"/>
      <c r="IU213" s="346"/>
      <c r="IV213" s="346"/>
      <c r="IW213" s="346"/>
      <c r="IX213" s="346"/>
      <c r="IY213" s="346"/>
      <c r="IZ213" s="346"/>
      <c r="JA213" s="348"/>
      <c r="JB213" s="348"/>
      <c r="JC213" s="346"/>
      <c r="JD213" s="346"/>
      <c r="JE213" s="346"/>
      <c r="JF213" s="346"/>
      <c r="JG213" s="346"/>
      <c r="JH213" s="346"/>
      <c r="JI213" s="346"/>
      <c r="JJ213" s="346"/>
      <c r="JK213" s="346"/>
      <c r="JL213" s="346"/>
      <c r="JM213" s="346"/>
      <c r="JN213" s="346"/>
      <c r="JO213" s="346"/>
      <c r="JP213" s="346"/>
      <c r="JQ213" s="346"/>
      <c r="JR213" s="58"/>
      <c r="JS213" s="58"/>
      <c r="JT213" s="346"/>
      <c r="JU213" s="346"/>
      <c r="JV213" s="346"/>
      <c r="JW213" s="346"/>
      <c r="JX213" s="346"/>
      <c r="JY213" s="346"/>
      <c r="JZ213" s="346"/>
      <c r="KA213" s="346"/>
      <c r="KB213" s="346"/>
      <c r="KC213" s="346"/>
      <c r="KD213" s="346"/>
      <c r="KE213" s="346"/>
      <c r="KF213" s="346"/>
      <c r="KG213" s="346"/>
      <c r="KH213" s="346"/>
      <c r="KI213" s="346"/>
      <c r="KJ213" s="346"/>
    </row>
    <row r="214" spans="1:296" ht="13.9" customHeight="1">
      <c r="A214" s="102"/>
      <c r="B214" s="102"/>
      <c r="C214" s="102"/>
      <c r="D214" s="102"/>
      <c r="E214" s="102"/>
      <c r="F214" s="102"/>
      <c r="G214" s="102"/>
      <c r="H214" s="102"/>
      <c r="I214" s="102"/>
      <c r="J214" s="102"/>
      <c r="K214" s="102"/>
      <c r="L214" s="102"/>
      <c r="M214" s="102"/>
      <c r="N214" s="102"/>
      <c r="O214" s="102"/>
    </row>
    <row r="215" spans="1:296" ht="13.9" customHeight="1">
      <c r="A215" s="8"/>
      <c r="B215" s="102"/>
      <c r="C215" s="102"/>
      <c r="D215" s="102"/>
      <c r="E215" s="102"/>
      <c r="F215" s="102"/>
      <c r="G215" s="102"/>
      <c r="H215" s="102"/>
      <c r="I215" s="102"/>
      <c r="J215" s="102"/>
      <c r="K215" s="102"/>
      <c r="L215" s="102"/>
      <c r="M215" s="102"/>
      <c r="N215" s="102"/>
      <c r="O215" s="102"/>
    </row>
    <row r="216" spans="1:296" ht="13.9" customHeight="1">
      <c r="A216" s="102"/>
      <c r="B216" s="102"/>
      <c r="C216" s="102"/>
      <c r="D216" s="102"/>
      <c r="E216" s="102"/>
      <c r="F216" s="102"/>
      <c r="G216" s="102"/>
      <c r="H216" s="102"/>
      <c r="I216" s="102"/>
      <c r="J216" s="102"/>
      <c r="K216" s="102"/>
      <c r="L216" s="102"/>
      <c r="M216" s="102"/>
      <c r="N216" s="102"/>
      <c r="O216" s="102"/>
    </row>
    <row r="217" spans="1:296" ht="13.9" customHeight="1">
      <c r="A217" s="102"/>
      <c r="B217" s="102"/>
      <c r="C217" s="102"/>
      <c r="D217" s="102"/>
      <c r="E217" s="102"/>
      <c r="F217" s="102"/>
      <c r="G217" s="102"/>
      <c r="H217" s="102"/>
      <c r="I217" s="102"/>
      <c r="J217" s="102"/>
      <c r="K217" s="102"/>
      <c r="L217" s="102"/>
      <c r="M217" s="102"/>
      <c r="N217" s="102"/>
      <c r="O217" s="102"/>
    </row>
    <row r="218" spans="1:296" ht="13.9" customHeight="1">
      <c r="A218" s="102"/>
      <c r="B218" s="102"/>
      <c r="C218" s="102"/>
      <c r="D218" s="102"/>
      <c r="E218" s="102"/>
      <c r="F218" s="102"/>
      <c r="G218" s="102"/>
      <c r="H218" s="102"/>
      <c r="I218" s="102"/>
      <c r="J218" s="102"/>
      <c r="K218" s="102"/>
      <c r="L218" s="102"/>
      <c r="M218" s="102"/>
      <c r="N218" s="102"/>
      <c r="O218" s="102"/>
    </row>
    <row r="219" spans="1:296" ht="13.9" customHeight="1">
      <c r="A219" s="102"/>
      <c r="B219" s="102"/>
      <c r="C219" s="102"/>
      <c r="D219" s="102"/>
      <c r="E219" s="102"/>
      <c r="F219" s="102"/>
      <c r="G219" s="102"/>
      <c r="H219" s="102"/>
      <c r="I219" s="102"/>
      <c r="J219" s="102"/>
      <c r="K219" s="102"/>
      <c r="L219" s="102"/>
      <c r="M219" s="102"/>
      <c r="N219" s="102"/>
      <c r="O219" s="102"/>
    </row>
    <row r="220" spans="1:296" ht="13.9" customHeight="1">
      <c r="A220" s="102"/>
      <c r="B220" s="102"/>
      <c r="C220" s="102"/>
      <c r="D220" s="102"/>
      <c r="E220" s="102"/>
      <c r="F220" s="102"/>
      <c r="G220" s="102"/>
      <c r="H220" s="102"/>
      <c r="I220" s="102"/>
      <c r="J220" s="102"/>
      <c r="K220" s="102"/>
      <c r="L220" s="102"/>
      <c r="M220" s="102"/>
      <c r="N220" s="102"/>
      <c r="O220" s="102"/>
    </row>
    <row r="221" spans="1:296" s="55" customFormat="1" ht="13.9" customHeight="1">
      <c r="A221" s="17"/>
      <c r="B221" s="58"/>
      <c r="C221" s="58"/>
      <c r="D221" s="58"/>
      <c r="E221" s="58"/>
      <c r="F221" s="58"/>
      <c r="G221" s="58"/>
      <c r="H221" s="58"/>
      <c r="I221" s="58"/>
      <c r="J221" s="58"/>
      <c r="K221" s="58"/>
      <c r="L221" s="58"/>
      <c r="M221" s="58"/>
      <c r="N221" s="58"/>
      <c r="O221" s="58"/>
      <c r="W221" s="58"/>
      <c r="X221" s="58"/>
      <c r="Y221" s="58"/>
      <c r="Z221" s="58"/>
      <c r="AA221" s="58"/>
      <c r="AB221" s="58"/>
      <c r="AC221" s="58"/>
      <c r="AD221" s="58"/>
      <c r="AE221" s="58"/>
      <c r="AF221" s="58"/>
      <c r="AG221" s="58"/>
      <c r="AH221" s="58"/>
      <c r="AI221" s="58"/>
      <c r="AJ221" s="58"/>
      <c r="AK221" s="58"/>
      <c r="AL221" s="58"/>
      <c r="AM221" s="58"/>
      <c r="AN221" s="58"/>
      <c r="AO221" s="58"/>
      <c r="AP221" s="58"/>
      <c r="AQ221" s="58"/>
      <c r="AR221" s="58"/>
      <c r="AS221" s="58"/>
      <c r="AT221" s="58"/>
      <c r="AU221" s="58"/>
      <c r="AV221" s="58"/>
      <c r="AW221" s="58"/>
      <c r="AX221" s="58"/>
      <c r="AY221" s="58"/>
      <c r="AZ221" s="58"/>
      <c r="BA221" s="58"/>
      <c r="BB221" s="58"/>
      <c r="BC221" s="58"/>
      <c r="BD221" s="58"/>
      <c r="BE221" s="58"/>
      <c r="BF221" s="58"/>
      <c r="BG221" s="58"/>
      <c r="BH221" s="58"/>
      <c r="BI221" s="58"/>
      <c r="BJ221" s="58"/>
      <c r="BK221" s="58"/>
      <c r="BL221" s="58"/>
      <c r="BM221" s="58"/>
      <c r="BN221" s="58"/>
      <c r="BO221" s="58"/>
      <c r="BP221" s="58"/>
      <c r="BQ221" s="58"/>
      <c r="BR221" s="58"/>
      <c r="BS221" s="58"/>
      <c r="BT221" s="58"/>
      <c r="BU221" s="58"/>
      <c r="BV221" s="58"/>
      <c r="BW221" s="58"/>
      <c r="BX221" s="58"/>
      <c r="BY221" s="58"/>
      <c r="BZ221" s="58"/>
      <c r="CA221" s="58"/>
      <c r="CB221" s="58"/>
      <c r="CC221" s="58"/>
      <c r="CD221" s="58"/>
      <c r="CE221" s="58"/>
      <c r="CF221" s="58"/>
      <c r="CG221" s="58"/>
      <c r="CH221" s="58"/>
      <c r="CI221" s="58"/>
      <c r="CJ221" s="58"/>
      <c r="CK221" s="58"/>
      <c r="CL221" s="58"/>
      <c r="CM221" s="58"/>
      <c r="CN221" s="58"/>
      <c r="CO221" s="58"/>
      <c r="CP221" s="58"/>
      <c r="CQ221" s="58"/>
      <c r="CR221" s="58"/>
      <c r="CS221" s="58"/>
      <c r="CT221" s="58"/>
      <c r="CU221" s="58"/>
      <c r="CV221" s="58"/>
      <c r="CW221" s="58"/>
      <c r="CX221" s="58"/>
      <c r="CY221" s="58"/>
      <c r="CZ221" s="58"/>
      <c r="DA221" s="58"/>
      <c r="DB221" s="58"/>
      <c r="DC221" s="58"/>
      <c r="DD221" s="58"/>
      <c r="DE221" s="58"/>
      <c r="DF221" s="58"/>
      <c r="DG221" s="58"/>
      <c r="DH221" s="58"/>
      <c r="DI221" s="58"/>
      <c r="DJ221" s="58"/>
      <c r="DK221" s="58"/>
      <c r="DL221" s="58"/>
      <c r="DM221" s="58"/>
      <c r="DN221" s="58"/>
      <c r="DO221" s="58"/>
      <c r="DP221" s="58"/>
      <c r="DQ221" s="58"/>
      <c r="DR221" s="58"/>
      <c r="DS221" s="58"/>
      <c r="DT221" s="58"/>
      <c r="DU221" s="58"/>
      <c r="DV221" s="58"/>
      <c r="DW221" s="58"/>
      <c r="DX221" s="58"/>
      <c r="DY221" s="58"/>
      <c r="DZ221" s="58"/>
      <c r="EA221" s="58"/>
      <c r="EB221" s="58"/>
      <c r="EC221" s="58"/>
      <c r="ED221" s="58"/>
      <c r="EE221" s="58"/>
      <c r="EF221" s="58"/>
      <c r="EG221" s="58"/>
      <c r="EH221" s="58"/>
      <c r="EI221" s="58"/>
      <c r="EJ221" s="58"/>
      <c r="EK221" s="58"/>
      <c r="EL221" s="58"/>
      <c r="EM221" s="58"/>
      <c r="EN221" s="58"/>
      <c r="EO221" s="58"/>
      <c r="EP221" s="58"/>
      <c r="EQ221" s="58"/>
      <c r="ER221" s="58"/>
      <c r="ES221" s="58"/>
      <c r="ET221" s="58"/>
      <c r="EU221" s="58"/>
      <c r="EV221" s="58"/>
      <c r="EW221" s="58"/>
      <c r="EX221" s="346"/>
      <c r="EY221" s="346"/>
      <c r="EZ221" s="346"/>
      <c r="FA221" s="346"/>
      <c r="FB221" s="346"/>
      <c r="FC221" s="346"/>
      <c r="FD221" s="346"/>
      <c r="FE221" s="346"/>
      <c r="FF221" s="346"/>
      <c r="FG221" s="346"/>
      <c r="FH221" s="346"/>
      <c r="FI221" s="346"/>
      <c r="FJ221" s="346"/>
      <c r="FK221" s="346"/>
      <c r="FL221" s="346"/>
      <c r="FM221" s="346"/>
      <c r="FN221" s="346"/>
      <c r="FO221" s="346"/>
      <c r="FP221" s="346"/>
      <c r="FQ221" s="346"/>
      <c r="FR221" s="346"/>
      <c r="FS221" s="346"/>
      <c r="FT221" s="346"/>
      <c r="FU221" s="346"/>
      <c r="FV221" s="346"/>
      <c r="FW221" s="346"/>
      <c r="FX221" s="346"/>
      <c r="FY221" s="346"/>
      <c r="FZ221" s="346"/>
      <c r="GA221" s="346"/>
      <c r="GB221" s="346"/>
      <c r="GC221" s="346"/>
      <c r="GD221" s="346"/>
      <c r="GE221" s="346"/>
      <c r="GF221" s="346"/>
      <c r="GG221" s="346"/>
      <c r="GH221" s="346"/>
      <c r="GI221" s="346"/>
      <c r="GJ221" s="346"/>
      <c r="GK221" s="346"/>
      <c r="GL221" s="346"/>
      <c r="GM221" s="346"/>
      <c r="GN221" s="346"/>
      <c r="GO221" s="346"/>
      <c r="GP221" s="346"/>
      <c r="GQ221" s="346"/>
      <c r="GR221" s="346"/>
      <c r="GS221" s="346"/>
      <c r="GT221" s="347"/>
      <c r="GU221" s="346"/>
      <c r="GV221" s="346"/>
      <c r="GW221" s="346"/>
      <c r="GX221" s="346"/>
      <c r="GY221" s="347"/>
      <c r="GZ221" s="347"/>
      <c r="HA221" s="347"/>
      <c r="HB221" s="347"/>
      <c r="HC221" s="347"/>
      <c r="HD221" s="347"/>
      <c r="HE221" s="347"/>
      <c r="HF221" s="347"/>
      <c r="HG221" s="347"/>
      <c r="HH221" s="347"/>
      <c r="HI221" s="347"/>
      <c r="HJ221" s="347"/>
      <c r="HK221" s="347"/>
      <c r="HL221" s="347"/>
      <c r="HM221" s="347"/>
      <c r="HN221" s="347"/>
      <c r="HO221" s="347"/>
      <c r="HP221" s="347"/>
      <c r="HQ221" s="347"/>
      <c r="HR221" s="347"/>
      <c r="HS221" s="347"/>
      <c r="HT221" s="347"/>
      <c r="HU221" s="347"/>
      <c r="HV221" s="347"/>
      <c r="HW221" s="347"/>
      <c r="HX221" s="347"/>
      <c r="HY221" s="347"/>
      <c r="HZ221" s="347"/>
      <c r="IA221" s="347"/>
      <c r="IB221" s="347"/>
      <c r="IC221" s="347"/>
      <c r="ID221" s="347"/>
      <c r="IE221" s="346"/>
      <c r="IF221" s="346"/>
      <c r="IG221" s="346"/>
      <c r="IH221" s="346"/>
      <c r="II221" s="346"/>
      <c r="IJ221" s="346"/>
      <c r="IK221" s="348"/>
      <c r="IL221" s="346"/>
      <c r="IM221" s="346"/>
      <c r="IN221" s="346"/>
      <c r="IO221" s="346"/>
      <c r="IP221" s="346"/>
      <c r="IQ221" s="346"/>
      <c r="IR221" s="346"/>
      <c r="IS221" s="346"/>
      <c r="IT221" s="346"/>
      <c r="IU221" s="346"/>
      <c r="IV221" s="346"/>
      <c r="IW221" s="346"/>
      <c r="IX221" s="346"/>
      <c r="IY221" s="346"/>
      <c r="IZ221" s="346"/>
      <c r="JA221" s="348"/>
      <c r="JB221" s="348"/>
      <c r="JC221" s="346"/>
      <c r="JD221" s="346"/>
      <c r="JE221" s="346"/>
      <c r="JF221" s="346"/>
      <c r="JG221" s="346"/>
      <c r="JH221" s="346"/>
      <c r="JI221" s="346"/>
      <c r="JJ221" s="346"/>
      <c r="JK221" s="346"/>
      <c r="JL221" s="346"/>
      <c r="JM221" s="346"/>
      <c r="JN221" s="346"/>
      <c r="JO221" s="346"/>
      <c r="JP221" s="346"/>
      <c r="JQ221" s="346"/>
      <c r="JR221" s="58"/>
      <c r="JS221" s="58"/>
      <c r="JT221" s="346"/>
      <c r="JU221" s="346"/>
      <c r="JV221" s="346"/>
      <c r="JW221" s="346"/>
      <c r="JX221" s="346"/>
      <c r="JY221" s="346"/>
      <c r="JZ221" s="346"/>
      <c r="KA221" s="346"/>
      <c r="KB221" s="346"/>
      <c r="KC221" s="346"/>
      <c r="KD221" s="346"/>
      <c r="KE221" s="346"/>
      <c r="KF221" s="346"/>
      <c r="KG221" s="346"/>
      <c r="KH221" s="346"/>
      <c r="KI221" s="346"/>
      <c r="KJ221" s="346"/>
    </row>
    <row r="222" spans="1:296" s="55" customFormat="1" ht="13.9" customHeight="1">
      <c r="A222" s="17"/>
      <c r="B222" s="58"/>
      <c r="C222" s="58"/>
      <c r="D222" s="58"/>
      <c r="E222" s="58"/>
      <c r="F222" s="58"/>
      <c r="G222" s="58"/>
      <c r="H222" s="58"/>
      <c r="I222" s="58"/>
      <c r="J222" s="58"/>
      <c r="K222" s="58"/>
      <c r="L222" s="58"/>
      <c r="M222" s="58"/>
      <c r="N222" s="58"/>
      <c r="O222" s="58"/>
      <c r="W222" s="58"/>
      <c r="X222" s="58"/>
      <c r="Y222" s="58"/>
      <c r="Z222" s="58"/>
      <c r="AA222" s="58"/>
      <c r="AB222" s="58"/>
      <c r="AC222" s="58"/>
      <c r="AD222" s="58"/>
      <c r="AE222" s="58"/>
      <c r="AF222" s="58"/>
      <c r="AG222" s="58"/>
      <c r="AH222" s="58"/>
      <c r="AI222" s="58"/>
      <c r="AJ222" s="58"/>
      <c r="AK222" s="58"/>
      <c r="AL222" s="58"/>
      <c r="AM222" s="58"/>
      <c r="AN222" s="58"/>
      <c r="AO222" s="58"/>
      <c r="AP222" s="58"/>
      <c r="AQ222" s="58"/>
      <c r="AR222" s="58"/>
      <c r="AS222" s="58"/>
      <c r="AT222" s="58"/>
      <c r="AU222" s="58"/>
      <c r="AV222" s="58"/>
      <c r="AW222" s="58"/>
      <c r="AX222" s="58"/>
      <c r="AY222" s="58"/>
      <c r="AZ222" s="58"/>
      <c r="BA222" s="58"/>
      <c r="BB222" s="58"/>
      <c r="BC222" s="58"/>
      <c r="BD222" s="58"/>
      <c r="BE222" s="58"/>
      <c r="BF222" s="58"/>
      <c r="BG222" s="58"/>
      <c r="BH222" s="58"/>
      <c r="BI222" s="58"/>
      <c r="BJ222" s="58"/>
      <c r="BK222" s="58"/>
      <c r="BL222" s="58"/>
      <c r="BM222" s="58"/>
      <c r="BN222" s="58"/>
      <c r="BO222" s="58"/>
      <c r="BP222" s="58"/>
      <c r="BQ222" s="58"/>
      <c r="BR222" s="58"/>
      <c r="BS222" s="58"/>
      <c r="BT222" s="58"/>
      <c r="BU222" s="58"/>
      <c r="BV222" s="58"/>
      <c r="BW222" s="58"/>
      <c r="BX222" s="58"/>
      <c r="BY222" s="58"/>
      <c r="BZ222" s="58"/>
      <c r="CA222" s="58"/>
      <c r="CB222" s="58"/>
      <c r="CC222" s="58"/>
      <c r="CD222" s="58"/>
      <c r="CE222" s="58"/>
      <c r="CF222" s="58"/>
      <c r="CG222" s="58"/>
      <c r="CH222" s="58"/>
      <c r="CI222" s="58"/>
      <c r="CJ222" s="58"/>
      <c r="CK222" s="58"/>
      <c r="CL222" s="58"/>
      <c r="CM222" s="58"/>
      <c r="CN222" s="58"/>
      <c r="CO222" s="58"/>
      <c r="CP222" s="58"/>
      <c r="CQ222" s="58"/>
      <c r="CR222" s="58"/>
      <c r="CS222" s="58"/>
      <c r="CT222" s="58"/>
      <c r="CU222" s="58"/>
      <c r="CV222" s="58"/>
      <c r="CW222" s="58"/>
      <c r="CX222" s="58"/>
      <c r="CY222" s="58"/>
      <c r="CZ222" s="58"/>
      <c r="DA222" s="58"/>
      <c r="DB222" s="58"/>
      <c r="DC222" s="58"/>
      <c r="DD222" s="58"/>
      <c r="DE222" s="58"/>
      <c r="DF222" s="58"/>
      <c r="DG222" s="58"/>
      <c r="DH222" s="58"/>
      <c r="DI222" s="58"/>
      <c r="DJ222" s="58"/>
      <c r="DK222" s="58"/>
      <c r="DL222" s="58"/>
      <c r="DM222" s="58"/>
      <c r="DN222" s="58"/>
      <c r="DO222" s="58"/>
      <c r="DP222" s="58"/>
      <c r="DQ222" s="58"/>
      <c r="DR222" s="58"/>
      <c r="DS222" s="58"/>
      <c r="DT222" s="58"/>
      <c r="DU222" s="58"/>
      <c r="DV222" s="58"/>
      <c r="DW222" s="58"/>
      <c r="DX222" s="58"/>
      <c r="DY222" s="58"/>
      <c r="DZ222" s="58"/>
      <c r="EA222" s="58"/>
      <c r="EB222" s="58"/>
      <c r="EC222" s="58"/>
      <c r="ED222" s="58"/>
      <c r="EE222" s="58"/>
      <c r="EF222" s="58"/>
      <c r="EG222" s="58"/>
      <c r="EH222" s="58"/>
      <c r="EI222" s="58"/>
      <c r="EJ222" s="58"/>
      <c r="EK222" s="58"/>
      <c r="EL222" s="58"/>
      <c r="EM222" s="58"/>
      <c r="EN222" s="58"/>
      <c r="EO222" s="58"/>
      <c r="EP222" s="58"/>
      <c r="EQ222" s="58"/>
      <c r="ER222" s="58"/>
      <c r="ES222" s="58"/>
      <c r="ET222" s="58"/>
      <c r="EU222" s="58"/>
      <c r="EV222" s="58"/>
      <c r="EW222" s="58"/>
      <c r="EX222" s="346"/>
      <c r="EY222" s="346"/>
      <c r="EZ222" s="346"/>
      <c r="FA222" s="346"/>
      <c r="FB222" s="346"/>
      <c r="FC222" s="346"/>
      <c r="FD222" s="346"/>
      <c r="FE222" s="346"/>
      <c r="FF222" s="346"/>
      <c r="FG222" s="346"/>
      <c r="FH222" s="346"/>
      <c r="FI222" s="346"/>
      <c r="FJ222" s="346"/>
      <c r="FK222" s="346"/>
      <c r="FL222" s="346"/>
      <c r="FM222" s="346"/>
      <c r="FN222" s="346"/>
      <c r="FO222" s="346"/>
      <c r="FP222" s="346"/>
      <c r="FQ222" s="346"/>
      <c r="FR222" s="346"/>
      <c r="FS222" s="346"/>
      <c r="FT222" s="346"/>
      <c r="FU222" s="346"/>
      <c r="FV222" s="346"/>
      <c r="FW222" s="346"/>
      <c r="FX222" s="346"/>
      <c r="FY222" s="346"/>
      <c r="FZ222" s="346"/>
      <c r="GA222" s="346"/>
      <c r="GB222" s="346"/>
      <c r="GC222" s="346"/>
      <c r="GD222" s="346"/>
      <c r="GE222" s="346"/>
      <c r="GF222" s="346"/>
      <c r="GG222" s="346"/>
      <c r="GH222" s="346"/>
      <c r="GI222" s="346"/>
      <c r="GJ222" s="346"/>
      <c r="GK222" s="346"/>
      <c r="GL222" s="346"/>
      <c r="GM222" s="346"/>
      <c r="GN222" s="346"/>
      <c r="GO222" s="346"/>
      <c r="GP222" s="346"/>
      <c r="GQ222" s="346"/>
      <c r="GR222" s="346"/>
      <c r="GS222" s="346"/>
      <c r="GT222" s="347"/>
      <c r="GU222" s="346"/>
      <c r="GV222" s="346"/>
      <c r="GW222" s="346"/>
      <c r="GX222" s="346"/>
      <c r="GY222" s="347"/>
      <c r="GZ222" s="347"/>
      <c r="HA222" s="347"/>
      <c r="HB222" s="347"/>
      <c r="HC222" s="347"/>
      <c r="HD222" s="347"/>
      <c r="HE222" s="347"/>
      <c r="HF222" s="347"/>
      <c r="HG222" s="347"/>
      <c r="HH222" s="347"/>
      <c r="HI222" s="347"/>
      <c r="HJ222" s="347"/>
      <c r="HK222" s="347"/>
      <c r="HL222" s="347"/>
      <c r="HM222" s="347"/>
      <c r="HN222" s="347"/>
      <c r="HO222" s="347"/>
      <c r="HP222" s="347"/>
      <c r="HQ222" s="347"/>
      <c r="HR222" s="347"/>
      <c r="HS222" s="347"/>
      <c r="HT222" s="347"/>
      <c r="HU222" s="347"/>
      <c r="HV222" s="347"/>
      <c r="HW222" s="347"/>
      <c r="HX222" s="347"/>
      <c r="HY222" s="347"/>
      <c r="HZ222" s="347"/>
      <c r="IA222" s="347"/>
      <c r="IB222" s="347"/>
      <c r="IC222" s="347"/>
      <c r="ID222" s="347"/>
      <c r="IE222" s="346"/>
      <c r="IF222" s="346"/>
      <c r="IG222" s="346"/>
      <c r="IH222" s="346"/>
      <c r="II222" s="346"/>
      <c r="IJ222" s="346"/>
      <c r="IK222" s="348"/>
      <c r="IL222" s="346"/>
      <c r="IM222" s="346"/>
      <c r="IN222" s="346"/>
      <c r="IO222" s="346"/>
      <c r="IP222" s="346"/>
      <c r="IQ222" s="346"/>
      <c r="IR222" s="346"/>
      <c r="IS222" s="346"/>
      <c r="IT222" s="346"/>
      <c r="IU222" s="346"/>
      <c r="IV222" s="346"/>
      <c r="IW222" s="346"/>
      <c r="IX222" s="346"/>
      <c r="IY222" s="346"/>
      <c r="IZ222" s="346"/>
      <c r="JA222" s="348"/>
      <c r="JB222" s="348"/>
      <c r="JC222" s="346"/>
      <c r="JD222" s="346"/>
      <c r="JE222" s="346"/>
      <c r="JF222" s="346"/>
      <c r="JG222" s="346"/>
      <c r="JH222" s="346"/>
      <c r="JI222" s="346"/>
      <c r="JJ222" s="346"/>
      <c r="JK222" s="346"/>
      <c r="JL222" s="346"/>
      <c r="JM222" s="346"/>
      <c r="JN222" s="346"/>
      <c r="JO222" s="346"/>
      <c r="JP222" s="346"/>
      <c r="JQ222" s="346"/>
      <c r="JR222" s="58"/>
      <c r="JS222" s="58"/>
      <c r="JT222" s="346"/>
      <c r="JU222" s="346"/>
      <c r="JV222" s="346"/>
      <c r="JW222" s="346"/>
      <c r="JX222" s="346"/>
      <c r="JY222" s="346"/>
      <c r="JZ222" s="346"/>
      <c r="KA222" s="346"/>
      <c r="KB222" s="346"/>
      <c r="KC222" s="346"/>
      <c r="KD222" s="346"/>
      <c r="KE222" s="346"/>
      <c r="KF222" s="346"/>
      <c r="KG222" s="346"/>
      <c r="KH222" s="346"/>
      <c r="KI222" s="346"/>
      <c r="KJ222" s="346"/>
    </row>
    <row r="223" spans="1:296" s="55" customFormat="1" ht="13.9" customHeight="1">
      <c r="A223" s="1523"/>
      <c r="B223" s="58"/>
      <c r="C223" s="58"/>
      <c r="D223" s="58"/>
      <c r="E223" s="58"/>
      <c r="F223" s="58"/>
      <c r="G223" s="58"/>
      <c r="H223" s="58"/>
      <c r="I223" s="58"/>
      <c r="J223" s="58"/>
      <c r="K223" s="58"/>
      <c r="L223" s="58"/>
      <c r="M223" s="58"/>
      <c r="N223" s="58"/>
      <c r="O223" s="58"/>
      <c r="W223" s="58"/>
      <c r="X223" s="58"/>
      <c r="Y223" s="58"/>
      <c r="Z223" s="58"/>
      <c r="AA223" s="58"/>
      <c r="AB223" s="58"/>
      <c r="AC223" s="58"/>
      <c r="AD223" s="58"/>
      <c r="AE223" s="58"/>
      <c r="AF223" s="58"/>
      <c r="AG223" s="58"/>
      <c r="AH223" s="58"/>
      <c r="AI223" s="58"/>
      <c r="AJ223" s="58"/>
      <c r="AK223" s="58"/>
      <c r="AL223" s="58"/>
      <c r="AM223" s="58"/>
      <c r="AN223" s="58"/>
      <c r="AO223" s="58"/>
      <c r="AP223" s="58"/>
      <c r="AQ223" s="58"/>
      <c r="AR223" s="58"/>
      <c r="AS223" s="58"/>
      <c r="AT223" s="58"/>
      <c r="AU223" s="58"/>
      <c r="AV223" s="58"/>
      <c r="AW223" s="58"/>
      <c r="AX223" s="58"/>
      <c r="AY223" s="58"/>
      <c r="AZ223" s="58"/>
      <c r="BA223" s="58"/>
      <c r="BB223" s="58"/>
      <c r="BC223" s="58"/>
      <c r="BD223" s="58"/>
      <c r="BE223" s="58"/>
      <c r="BF223" s="58"/>
      <c r="BG223" s="58"/>
      <c r="BH223" s="58"/>
      <c r="BI223" s="58"/>
      <c r="BJ223" s="58"/>
      <c r="BK223" s="58"/>
      <c r="BL223" s="58"/>
      <c r="BM223" s="58"/>
      <c r="BN223" s="58"/>
      <c r="BO223" s="58"/>
      <c r="BP223" s="58"/>
      <c r="BQ223" s="58"/>
      <c r="BR223" s="58"/>
      <c r="BS223" s="58"/>
      <c r="BT223" s="58"/>
      <c r="BU223" s="58"/>
      <c r="BV223" s="58"/>
      <c r="BW223" s="58"/>
      <c r="BX223" s="58"/>
      <c r="BY223" s="58"/>
      <c r="BZ223" s="58"/>
      <c r="CA223" s="58"/>
      <c r="CB223" s="58"/>
      <c r="CC223" s="58"/>
      <c r="CD223" s="58"/>
      <c r="CE223" s="58"/>
      <c r="CF223" s="58"/>
      <c r="CG223" s="58"/>
      <c r="CH223" s="58"/>
      <c r="CI223" s="58"/>
      <c r="CJ223" s="58"/>
      <c r="CK223" s="58"/>
      <c r="CL223" s="58"/>
      <c r="CM223" s="58"/>
      <c r="CN223" s="58"/>
      <c r="CO223" s="58"/>
      <c r="CP223" s="58"/>
      <c r="CQ223" s="58"/>
      <c r="CR223" s="58"/>
      <c r="CS223" s="58"/>
      <c r="CT223" s="58"/>
      <c r="CU223" s="58"/>
      <c r="CV223" s="58"/>
      <c r="CW223" s="58"/>
      <c r="CX223" s="58"/>
      <c r="CY223" s="58"/>
      <c r="CZ223" s="58"/>
      <c r="DA223" s="58"/>
      <c r="DB223" s="58"/>
      <c r="DC223" s="58"/>
      <c r="DD223" s="58"/>
      <c r="DE223" s="58"/>
      <c r="DF223" s="58"/>
      <c r="DG223" s="58"/>
      <c r="DH223" s="58"/>
      <c r="DI223" s="58"/>
      <c r="DJ223" s="58"/>
      <c r="DK223" s="58"/>
      <c r="DL223" s="58"/>
      <c r="DM223" s="58"/>
      <c r="DN223" s="58"/>
      <c r="DO223" s="58"/>
      <c r="DP223" s="58"/>
      <c r="DQ223" s="58"/>
      <c r="DR223" s="58"/>
      <c r="DS223" s="58"/>
      <c r="DT223" s="58"/>
      <c r="DU223" s="58"/>
      <c r="DV223" s="58"/>
      <c r="DW223" s="58"/>
      <c r="DX223" s="58"/>
      <c r="DY223" s="58"/>
      <c r="DZ223" s="58"/>
      <c r="EA223" s="58"/>
      <c r="EB223" s="58"/>
      <c r="EC223" s="58"/>
      <c r="ED223" s="58"/>
      <c r="EE223" s="58"/>
      <c r="EF223" s="58"/>
      <c r="EG223" s="58"/>
      <c r="EH223" s="58"/>
      <c r="EI223" s="58"/>
      <c r="EJ223" s="58"/>
      <c r="EK223" s="58"/>
      <c r="EL223" s="58"/>
      <c r="EM223" s="58"/>
      <c r="EN223" s="58"/>
      <c r="EO223" s="58"/>
      <c r="EP223" s="58"/>
      <c r="EQ223" s="58"/>
      <c r="ER223" s="58"/>
      <c r="ES223" s="58"/>
      <c r="ET223" s="58"/>
      <c r="EU223" s="58"/>
      <c r="EV223" s="58"/>
      <c r="EW223" s="58"/>
      <c r="EX223" s="346"/>
      <c r="EY223" s="346"/>
      <c r="EZ223" s="346"/>
      <c r="FA223" s="346"/>
      <c r="FB223" s="346"/>
      <c r="FC223" s="346"/>
      <c r="FD223" s="346"/>
      <c r="FE223" s="346"/>
      <c r="FF223" s="346"/>
      <c r="FG223" s="346"/>
      <c r="FH223" s="346"/>
      <c r="FI223" s="346"/>
      <c r="FJ223" s="346"/>
      <c r="FK223" s="346"/>
      <c r="FL223" s="346"/>
      <c r="FM223" s="346"/>
      <c r="FN223" s="346"/>
      <c r="FO223" s="346"/>
      <c r="FP223" s="346"/>
      <c r="FQ223" s="346"/>
      <c r="FR223" s="346"/>
      <c r="FS223" s="346"/>
      <c r="FT223" s="346"/>
      <c r="FU223" s="346"/>
      <c r="FV223" s="346"/>
      <c r="FW223" s="346"/>
      <c r="FX223" s="346"/>
      <c r="FY223" s="346"/>
      <c r="FZ223" s="346"/>
      <c r="GA223" s="346"/>
      <c r="GB223" s="346"/>
      <c r="GC223" s="346"/>
      <c r="GD223" s="346"/>
      <c r="GE223" s="346"/>
      <c r="GF223" s="346"/>
      <c r="GG223" s="346"/>
      <c r="GH223" s="346"/>
      <c r="GI223" s="346"/>
      <c r="GJ223" s="346"/>
      <c r="GK223" s="346"/>
      <c r="GL223" s="346"/>
      <c r="GM223" s="346"/>
      <c r="GN223" s="346"/>
      <c r="GO223" s="346"/>
      <c r="GP223" s="346"/>
      <c r="GQ223" s="346"/>
      <c r="GR223" s="346"/>
      <c r="GS223" s="346"/>
      <c r="GT223" s="347"/>
      <c r="GU223" s="346"/>
      <c r="GV223" s="346"/>
      <c r="GW223" s="346"/>
      <c r="GX223" s="346"/>
      <c r="GY223" s="347"/>
      <c r="GZ223" s="347"/>
      <c r="HA223" s="347"/>
      <c r="HB223" s="347"/>
      <c r="HC223" s="347"/>
      <c r="HD223" s="347"/>
      <c r="HE223" s="347"/>
      <c r="HF223" s="347"/>
      <c r="HG223" s="347"/>
      <c r="HH223" s="347"/>
      <c r="HI223" s="347"/>
      <c r="HJ223" s="347"/>
      <c r="HK223" s="347"/>
      <c r="HL223" s="347"/>
      <c r="HM223" s="347"/>
      <c r="HN223" s="347"/>
      <c r="HO223" s="347"/>
      <c r="HP223" s="347"/>
      <c r="HQ223" s="347"/>
      <c r="HR223" s="347"/>
      <c r="HS223" s="347"/>
      <c r="HT223" s="347"/>
      <c r="HU223" s="347"/>
      <c r="HV223" s="347"/>
      <c r="HW223" s="347"/>
      <c r="HX223" s="347"/>
      <c r="HY223" s="347"/>
      <c r="HZ223" s="347"/>
      <c r="IA223" s="347"/>
      <c r="IB223" s="347"/>
      <c r="IC223" s="347"/>
      <c r="ID223" s="347"/>
      <c r="IE223" s="346"/>
      <c r="IF223" s="346"/>
      <c r="IG223" s="346"/>
      <c r="IH223" s="346"/>
      <c r="II223" s="346"/>
      <c r="IJ223" s="346"/>
      <c r="IK223" s="348"/>
      <c r="IL223" s="346"/>
      <c r="IM223" s="346"/>
      <c r="IN223" s="346"/>
      <c r="IO223" s="346"/>
      <c r="IP223" s="346"/>
      <c r="IQ223" s="346"/>
      <c r="IR223" s="346"/>
      <c r="IS223" s="346"/>
      <c r="IT223" s="346"/>
      <c r="IU223" s="346"/>
      <c r="IV223" s="346"/>
      <c r="IW223" s="346"/>
      <c r="IX223" s="346"/>
      <c r="IY223" s="346"/>
      <c r="IZ223" s="346"/>
      <c r="JA223" s="348"/>
      <c r="JB223" s="348"/>
      <c r="JC223" s="346"/>
      <c r="JD223" s="346"/>
      <c r="JE223" s="346"/>
      <c r="JF223" s="346"/>
      <c r="JG223" s="346"/>
      <c r="JH223" s="346"/>
      <c r="JI223" s="346"/>
      <c r="JJ223" s="346"/>
      <c r="JK223" s="346"/>
      <c r="JL223" s="346"/>
      <c r="JM223" s="346"/>
      <c r="JN223" s="346"/>
      <c r="JO223" s="346"/>
      <c r="JP223" s="346"/>
      <c r="JQ223" s="346"/>
      <c r="JR223" s="58"/>
      <c r="JS223" s="58"/>
      <c r="JT223" s="346"/>
      <c r="JU223" s="346"/>
      <c r="JV223" s="346"/>
      <c r="JW223" s="346"/>
      <c r="JX223" s="346"/>
      <c r="JY223" s="346"/>
      <c r="JZ223" s="346"/>
      <c r="KA223" s="346"/>
      <c r="KB223" s="346"/>
      <c r="KC223" s="346"/>
      <c r="KD223" s="346"/>
      <c r="KE223" s="346"/>
      <c r="KF223" s="346"/>
      <c r="KG223" s="346"/>
      <c r="KH223" s="346"/>
      <c r="KI223" s="346"/>
      <c r="KJ223" s="346"/>
    </row>
    <row r="224" spans="1:296" s="55" customFormat="1" ht="13.9" customHeight="1">
      <c r="A224" s="58"/>
      <c r="B224" s="58"/>
      <c r="C224" s="58"/>
      <c r="D224" s="58"/>
      <c r="E224" s="58"/>
      <c r="F224" s="58"/>
      <c r="G224" s="58"/>
      <c r="H224" s="58"/>
      <c r="I224" s="58"/>
      <c r="J224" s="58"/>
      <c r="K224" s="58"/>
      <c r="L224" s="58"/>
      <c r="M224" s="58"/>
      <c r="N224" s="58"/>
      <c r="O224" s="58"/>
      <c r="W224" s="58"/>
      <c r="X224" s="58"/>
      <c r="Y224" s="58"/>
      <c r="Z224" s="58"/>
      <c r="AA224" s="58"/>
      <c r="AB224" s="58"/>
      <c r="AC224" s="58"/>
      <c r="AD224" s="58"/>
      <c r="AE224" s="58"/>
      <c r="AF224" s="58"/>
      <c r="AG224" s="58"/>
      <c r="AH224" s="58"/>
      <c r="AI224" s="58"/>
      <c r="AJ224" s="58"/>
      <c r="AK224" s="58"/>
      <c r="AL224" s="58"/>
      <c r="AM224" s="58"/>
      <c r="AN224" s="58"/>
      <c r="AO224" s="58"/>
      <c r="AP224" s="58"/>
      <c r="AQ224" s="58"/>
      <c r="AR224" s="58"/>
      <c r="AS224" s="58"/>
      <c r="AT224" s="58"/>
      <c r="AU224" s="58"/>
      <c r="AV224" s="58"/>
      <c r="AW224" s="58"/>
      <c r="AX224" s="58"/>
      <c r="AY224" s="58"/>
      <c r="AZ224" s="58"/>
      <c r="BA224" s="58"/>
      <c r="BB224" s="58"/>
      <c r="BC224" s="58"/>
      <c r="BD224" s="58"/>
      <c r="BE224" s="58"/>
      <c r="BF224" s="58"/>
      <c r="BG224" s="58"/>
      <c r="BH224" s="58"/>
      <c r="BI224" s="58"/>
      <c r="BJ224" s="58"/>
      <c r="BK224" s="58"/>
      <c r="BL224" s="58"/>
      <c r="BM224" s="58"/>
      <c r="BN224" s="58"/>
      <c r="BO224" s="58"/>
      <c r="BP224" s="58"/>
      <c r="BQ224" s="58"/>
      <c r="BR224" s="58"/>
      <c r="BS224" s="58"/>
      <c r="BT224" s="58"/>
      <c r="BU224" s="58"/>
      <c r="BV224" s="58"/>
      <c r="BW224" s="58"/>
      <c r="BX224" s="58"/>
      <c r="BY224" s="58"/>
      <c r="BZ224" s="58"/>
      <c r="CA224" s="58"/>
      <c r="CB224" s="58"/>
      <c r="CC224" s="58"/>
      <c r="CD224" s="58"/>
      <c r="CE224" s="58"/>
      <c r="CF224" s="58"/>
      <c r="CG224" s="58"/>
      <c r="CH224" s="58"/>
      <c r="CI224" s="58"/>
      <c r="CJ224" s="58"/>
      <c r="CK224" s="58"/>
      <c r="CL224" s="58"/>
      <c r="CM224" s="58"/>
      <c r="CN224" s="58"/>
      <c r="CO224" s="58"/>
      <c r="CP224" s="58"/>
      <c r="CQ224" s="58"/>
      <c r="CR224" s="58"/>
      <c r="CS224" s="58"/>
      <c r="CT224" s="58"/>
      <c r="CU224" s="58"/>
      <c r="CV224" s="58"/>
      <c r="CW224" s="58"/>
      <c r="CX224" s="58"/>
      <c r="CY224" s="58"/>
      <c r="CZ224" s="58"/>
      <c r="DA224" s="58"/>
      <c r="DB224" s="58"/>
      <c r="DC224" s="58"/>
      <c r="DD224" s="58"/>
      <c r="DE224" s="58"/>
      <c r="DF224" s="58"/>
      <c r="DG224" s="58"/>
      <c r="DH224" s="58"/>
      <c r="DI224" s="58"/>
      <c r="DJ224" s="58"/>
      <c r="DK224" s="58"/>
      <c r="DL224" s="58"/>
      <c r="DM224" s="58"/>
      <c r="DN224" s="58"/>
      <c r="DO224" s="58"/>
      <c r="DP224" s="58"/>
      <c r="DQ224" s="58"/>
      <c r="DR224" s="58"/>
      <c r="DS224" s="58"/>
      <c r="DT224" s="58"/>
      <c r="DU224" s="58"/>
      <c r="DV224" s="58"/>
      <c r="DW224" s="58"/>
      <c r="DX224" s="58"/>
      <c r="DY224" s="58"/>
      <c r="DZ224" s="58"/>
      <c r="EA224" s="58"/>
      <c r="EB224" s="58"/>
      <c r="EC224" s="58"/>
      <c r="ED224" s="58"/>
      <c r="EE224" s="58"/>
      <c r="EF224" s="58"/>
      <c r="EG224" s="58"/>
      <c r="EH224" s="58"/>
      <c r="EI224" s="58"/>
      <c r="EJ224" s="58"/>
      <c r="EK224" s="58"/>
      <c r="EL224" s="58"/>
      <c r="EM224" s="58"/>
      <c r="EN224" s="58"/>
      <c r="EO224" s="58"/>
      <c r="EP224" s="58"/>
      <c r="EQ224" s="58"/>
      <c r="ER224" s="58"/>
      <c r="ES224" s="58"/>
      <c r="ET224" s="58"/>
      <c r="EU224" s="58"/>
      <c r="EV224" s="58"/>
      <c r="EW224" s="58"/>
      <c r="EX224" s="346"/>
      <c r="EY224" s="346"/>
      <c r="EZ224" s="346"/>
      <c r="FA224" s="346"/>
      <c r="FB224" s="346"/>
      <c r="FC224" s="346"/>
      <c r="FD224" s="346"/>
      <c r="FE224" s="346"/>
      <c r="FF224" s="346"/>
      <c r="FG224" s="346"/>
      <c r="FH224" s="346"/>
      <c r="FI224" s="346"/>
      <c r="FJ224" s="346"/>
      <c r="FK224" s="346"/>
      <c r="FL224" s="346"/>
      <c r="FM224" s="346"/>
      <c r="FN224" s="346"/>
      <c r="FO224" s="346"/>
      <c r="FP224" s="346"/>
      <c r="FQ224" s="346"/>
      <c r="FR224" s="346"/>
      <c r="FS224" s="346"/>
      <c r="FT224" s="346"/>
      <c r="FU224" s="346"/>
      <c r="FV224" s="346"/>
      <c r="FW224" s="346"/>
      <c r="FX224" s="346"/>
      <c r="FY224" s="346"/>
      <c r="FZ224" s="346"/>
      <c r="GA224" s="346"/>
      <c r="GB224" s="346"/>
      <c r="GC224" s="346"/>
      <c r="GD224" s="346"/>
      <c r="GE224" s="346"/>
      <c r="GF224" s="346"/>
      <c r="GG224" s="346"/>
      <c r="GH224" s="346"/>
      <c r="GI224" s="346"/>
      <c r="GJ224" s="346"/>
      <c r="GK224" s="346"/>
      <c r="GL224" s="346"/>
      <c r="GM224" s="346"/>
      <c r="GN224" s="346"/>
      <c r="GO224" s="346"/>
      <c r="GP224" s="346"/>
      <c r="GQ224" s="346"/>
      <c r="GR224" s="346"/>
      <c r="GS224" s="346"/>
      <c r="GT224" s="347"/>
      <c r="GU224" s="346"/>
      <c r="GV224" s="346"/>
      <c r="GW224" s="346"/>
      <c r="GX224" s="346"/>
      <c r="GY224" s="347"/>
      <c r="GZ224" s="347"/>
      <c r="HA224" s="347"/>
      <c r="HB224" s="347"/>
      <c r="HC224" s="347"/>
      <c r="HD224" s="347"/>
      <c r="HE224" s="347"/>
      <c r="HF224" s="347"/>
      <c r="HG224" s="347"/>
      <c r="HH224" s="347"/>
      <c r="HI224" s="347"/>
      <c r="HJ224" s="347"/>
      <c r="HK224" s="347"/>
      <c r="HL224" s="347"/>
      <c r="HM224" s="347"/>
      <c r="HN224" s="347"/>
      <c r="HO224" s="347"/>
      <c r="HP224" s="347"/>
      <c r="HQ224" s="347"/>
      <c r="HR224" s="347"/>
      <c r="HS224" s="347"/>
      <c r="HT224" s="347"/>
      <c r="HU224" s="347"/>
      <c r="HV224" s="347"/>
      <c r="HW224" s="347"/>
      <c r="HX224" s="347"/>
      <c r="HY224" s="347"/>
      <c r="HZ224" s="347"/>
      <c r="IA224" s="347"/>
      <c r="IB224" s="347"/>
      <c r="IC224" s="347"/>
      <c r="ID224" s="347"/>
      <c r="IE224" s="346"/>
      <c r="IF224" s="346"/>
      <c r="IG224" s="346"/>
      <c r="IH224" s="346"/>
      <c r="II224" s="346"/>
      <c r="IJ224" s="346"/>
      <c r="IK224" s="348"/>
      <c r="IL224" s="346"/>
      <c r="IM224" s="346"/>
      <c r="IN224" s="346"/>
      <c r="IO224" s="346"/>
      <c r="IP224" s="346"/>
      <c r="IQ224" s="346"/>
      <c r="IR224" s="346"/>
      <c r="IS224" s="346"/>
      <c r="IT224" s="346"/>
      <c r="IU224" s="346"/>
      <c r="IV224" s="346"/>
      <c r="IW224" s="346"/>
      <c r="IX224" s="346"/>
      <c r="IY224" s="346"/>
      <c r="IZ224" s="346"/>
      <c r="JA224" s="348"/>
      <c r="JB224" s="348"/>
      <c r="JC224" s="346"/>
      <c r="JD224" s="346"/>
      <c r="JE224" s="346"/>
      <c r="JF224" s="346"/>
      <c r="JG224" s="346"/>
      <c r="JH224" s="346"/>
      <c r="JI224" s="346"/>
      <c r="JJ224" s="346"/>
      <c r="JK224" s="346"/>
      <c r="JL224" s="346"/>
      <c r="JM224" s="346"/>
      <c r="JN224" s="346"/>
      <c r="JO224" s="346"/>
      <c r="JP224" s="346"/>
      <c r="JQ224" s="346"/>
      <c r="JR224" s="58"/>
      <c r="JS224" s="58"/>
      <c r="JT224" s="346"/>
      <c r="JU224" s="346"/>
      <c r="JV224" s="346"/>
      <c r="JW224" s="346"/>
      <c r="JX224" s="346"/>
      <c r="JY224" s="346"/>
      <c r="JZ224" s="346"/>
      <c r="KA224" s="346"/>
      <c r="KB224" s="346"/>
      <c r="KC224" s="346"/>
      <c r="KD224" s="346"/>
      <c r="KE224" s="346"/>
      <c r="KF224" s="346"/>
      <c r="KG224" s="346"/>
      <c r="KH224" s="346"/>
      <c r="KI224" s="346"/>
      <c r="KJ224" s="346"/>
    </row>
    <row r="225" spans="1:296" s="55" customFormat="1" ht="13.9" customHeight="1">
      <c r="A225" s="58"/>
      <c r="B225" s="58"/>
      <c r="C225" s="58"/>
      <c r="D225" s="58"/>
      <c r="E225" s="58"/>
      <c r="F225" s="58"/>
      <c r="G225" s="58"/>
      <c r="H225" s="58"/>
      <c r="I225" s="58"/>
      <c r="J225" s="58"/>
      <c r="K225" s="58"/>
      <c r="L225" s="58"/>
      <c r="M225" s="58"/>
      <c r="N225" s="58"/>
      <c r="O225" s="58"/>
      <c r="W225" s="58"/>
      <c r="X225" s="58"/>
      <c r="Y225" s="58"/>
      <c r="Z225" s="58"/>
      <c r="AA225" s="58"/>
      <c r="AB225" s="58"/>
      <c r="AC225" s="58"/>
      <c r="AD225" s="58"/>
      <c r="AE225" s="58"/>
      <c r="AF225" s="58"/>
      <c r="AG225" s="58"/>
      <c r="AH225" s="58"/>
      <c r="AI225" s="58"/>
      <c r="AJ225" s="58"/>
      <c r="AK225" s="58"/>
      <c r="AL225" s="58"/>
      <c r="AM225" s="58"/>
      <c r="AN225" s="58"/>
      <c r="AO225" s="58"/>
      <c r="AP225" s="58"/>
      <c r="AQ225" s="58"/>
      <c r="AR225" s="58"/>
      <c r="AS225" s="58"/>
      <c r="AT225" s="58"/>
      <c r="AU225" s="58"/>
      <c r="AV225" s="58"/>
      <c r="AW225" s="58"/>
      <c r="AX225" s="58"/>
      <c r="AY225" s="58"/>
      <c r="AZ225" s="58"/>
      <c r="BA225" s="58"/>
      <c r="BB225" s="58"/>
      <c r="BC225" s="58"/>
      <c r="BD225" s="58"/>
      <c r="BE225" s="58"/>
      <c r="BF225" s="58"/>
      <c r="BG225" s="58"/>
      <c r="BH225" s="58"/>
      <c r="BI225" s="58"/>
      <c r="BJ225" s="58"/>
      <c r="BK225" s="58"/>
      <c r="BL225" s="58"/>
      <c r="BM225" s="58"/>
      <c r="BN225" s="58"/>
      <c r="BO225" s="58"/>
      <c r="BP225" s="58"/>
      <c r="BQ225" s="58"/>
      <c r="BR225" s="58"/>
      <c r="BS225" s="58"/>
      <c r="BT225" s="58"/>
      <c r="BU225" s="58"/>
      <c r="BV225" s="58"/>
      <c r="BW225" s="58"/>
      <c r="BX225" s="58"/>
      <c r="BY225" s="58"/>
      <c r="BZ225" s="58"/>
      <c r="CA225" s="58"/>
      <c r="CB225" s="58"/>
      <c r="CC225" s="58"/>
      <c r="CD225" s="58"/>
      <c r="CE225" s="58"/>
      <c r="CF225" s="58"/>
      <c r="CG225" s="58"/>
      <c r="CH225" s="58"/>
      <c r="CI225" s="58"/>
      <c r="CJ225" s="58"/>
      <c r="CK225" s="58"/>
      <c r="CL225" s="58"/>
      <c r="CM225" s="58"/>
      <c r="CN225" s="58"/>
      <c r="CO225" s="58"/>
      <c r="CP225" s="58"/>
      <c r="CQ225" s="58"/>
      <c r="CR225" s="58"/>
      <c r="CS225" s="58"/>
      <c r="CT225" s="58"/>
      <c r="CU225" s="58"/>
      <c r="CV225" s="58"/>
      <c r="CW225" s="58"/>
      <c r="CX225" s="58"/>
      <c r="CY225" s="58"/>
      <c r="CZ225" s="58"/>
      <c r="DA225" s="58"/>
      <c r="DB225" s="58"/>
      <c r="DC225" s="58"/>
      <c r="DD225" s="58"/>
      <c r="DE225" s="58"/>
      <c r="DF225" s="58"/>
      <c r="DG225" s="58"/>
      <c r="DH225" s="58"/>
      <c r="DI225" s="58"/>
      <c r="DJ225" s="58"/>
      <c r="DK225" s="58"/>
      <c r="DL225" s="58"/>
      <c r="DM225" s="58"/>
      <c r="DN225" s="58"/>
      <c r="DO225" s="58"/>
      <c r="DP225" s="58"/>
      <c r="DQ225" s="58"/>
      <c r="DR225" s="58"/>
      <c r="DS225" s="58"/>
      <c r="DT225" s="58"/>
      <c r="DU225" s="58"/>
      <c r="DV225" s="58"/>
      <c r="DW225" s="58"/>
      <c r="DX225" s="58"/>
      <c r="DY225" s="58"/>
      <c r="DZ225" s="58"/>
      <c r="EA225" s="58"/>
      <c r="EB225" s="58"/>
      <c r="EC225" s="58"/>
      <c r="ED225" s="58"/>
      <c r="EE225" s="58"/>
      <c r="EF225" s="58"/>
      <c r="EG225" s="58"/>
      <c r="EH225" s="58"/>
      <c r="EI225" s="58"/>
      <c r="EJ225" s="58"/>
      <c r="EK225" s="58"/>
      <c r="EL225" s="58"/>
      <c r="EM225" s="58"/>
      <c r="EN225" s="58"/>
      <c r="EO225" s="58"/>
      <c r="EP225" s="58"/>
      <c r="EQ225" s="58"/>
      <c r="ER225" s="58"/>
      <c r="ES225" s="58"/>
      <c r="ET225" s="58"/>
      <c r="EU225" s="58"/>
      <c r="EV225" s="58"/>
      <c r="EW225" s="58"/>
      <c r="EX225" s="346"/>
      <c r="EY225" s="346"/>
      <c r="EZ225" s="346"/>
      <c r="FA225" s="346"/>
      <c r="FB225" s="346"/>
      <c r="FC225" s="346"/>
      <c r="FD225" s="346"/>
      <c r="FE225" s="346"/>
      <c r="FF225" s="346"/>
      <c r="FG225" s="346"/>
      <c r="FH225" s="346"/>
      <c r="FI225" s="346"/>
      <c r="FJ225" s="346"/>
      <c r="FK225" s="346"/>
      <c r="FL225" s="346"/>
      <c r="FM225" s="346"/>
      <c r="FN225" s="346"/>
      <c r="FO225" s="346"/>
      <c r="FP225" s="346"/>
      <c r="FQ225" s="346"/>
      <c r="FR225" s="346"/>
      <c r="FS225" s="346"/>
      <c r="FT225" s="346"/>
      <c r="FU225" s="346"/>
      <c r="FV225" s="346"/>
      <c r="FW225" s="346"/>
      <c r="FX225" s="346"/>
      <c r="FY225" s="346"/>
      <c r="FZ225" s="346"/>
      <c r="GA225" s="346"/>
      <c r="GB225" s="346"/>
      <c r="GC225" s="346"/>
      <c r="GD225" s="346"/>
      <c r="GE225" s="346"/>
      <c r="GF225" s="346"/>
      <c r="GG225" s="346"/>
      <c r="GH225" s="346"/>
      <c r="GI225" s="346"/>
      <c r="GJ225" s="346"/>
      <c r="GK225" s="346"/>
      <c r="GL225" s="346"/>
      <c r="GM225" s="346"/>
      <c r="GN225" s="346"/>
      <c r="GO225" s="346"/>
      <c r="GP225" s="346"/>
      <c r="GQ225" s="346"/>
      <c r="GR225" s="346"/>
      <c r="GS225" s="346"/>
      <c r="GT225" s="347"/>
      <c r="GU225" s="346"/>
      <c r="GV225" s="346"/>
      <c r="GW225" s="346"/>
      <c r="GX225" s="346"/>
      <c r="GY225" s="347"/>
      <c r="GZ225" s="347"/>
      <c r="HA225" s="347"/>
      <c r="HB225" s="347"/>
      <c r="HC225" s="347"/>
      <c r="HD225" s="347"/>
      <c r="HE225" s="347"/>
      <c r="HF225" s="347"/>
      <c r="HG225" s="347"/>
      <c r="HH225" s="347"/>
      <c r="HI225" s="347"/>
      <c r="HJ225" s="347"/>
      <c r="HK225" s="347"/>
      <c r="HL225" s="347"/>
      <c r="HM225" s="347"/>
      <c r="HN225" s="347"/>
      <c r="HO225" s="347"/>
      <c r="HP225" s="347"/>
      <c r="HQ225" s="347"/>
      <c r="HR225" s="347"/>
      <c r="HS225" s="347"/>
      <c r="HT225" s="347"/>
      <c r="HU225" s="347"/>
      <c r="HV225" s="347"/>
      <c r="HW225" s="347"/>
      <c r="HX225" s="347"/>
      <c r="HY225" s="347"/>
      <c r="HZ225" s="347"/>
      <c r="IA225" s="347"/>
      <c r="IB225" s="347"/>
      <c r="IC225" s="347"/>
      <c r="ID225" s="347"/>
      <c r="IE225" s="346"/>
      <c r="IF225" s="346"/>
      <c r="IG225" s="346"/>
      <c r="IH225" s="346"/>
      <c r="II225" s="346"/>
      <c r="IJ225" s="346"/>
      <c r="IK225" s="348"/>
      <c r="IL225" s="346"/>
      <c r="IM225" s="346"/>
      <c r="IN225" s="346"/>
      <c r="IO225" s="346"/>
      <c r="IP225" s="346"/>
      <c r="IQ225" s="346"/>
      <c r="IR225" s="346"/>
      <c r="IS225" s="346"/>
      <c r="IT225" s="346"/>
      <c r="IU225" s="346"/>
      <c r="IV225" s="346"/>
      <c r="IW225" s="346"/>
      <c r="IX225" s="346"/>
      <c r="IY225" s="346"/>
      <c r="IZ225" s="346"/>
      <c r="JA225" s="348"/>
      <c r="JB225" s="348"/>
      <c r="JC225" s="346"/>
      <c r="JD225" s="346"/>
      <c r="JE225" s="346"/>
      <c r="JF225" s="346"/>
      <c r="JG225" s="346"/>
      <c r="JH225" s="346"/>
      <c r="JI225" s="346"/>
      <c r="JJ225" s="346"/>
      <c r="JK225" s="346"/>
      <c r="JL225" s="346"/>
      <c r="JM225" s="346"/>
      <c r="JN225" s="346"/>
      <c r="JO225" s="346"/>
      <c r="JP225" s="346"/>
      <c r="JQ225" s="346"/>
      <c r="JR225" s="58"/>
      <c r="JS225" s="58"/>
      <c r="JT225" s="346"/>
      <c r="JU225" s="346"/>
      <c r="JV225" s="346"/>
      <c r="JW225" s="346"/>
      <c r="JX225" s="346"/>
      <c r="JY225" s="346"/>
      <c r="JZ225" s="346"/>
      <c r="KA225" s="346"/>
      <c r="KB225" s="346"/>
      <c r="KC225" s="346"/>
      <c r="KD225" s="346"/>
      <c r="KE225" s="346"/>
      <c r="KF225" s="346"/>
      <c r="KG225" s="346"/>
      <c r="KH225" s="346"/>
      <c r="KI225" s="346"/>
      <c r="KJ225" s="346"/>
    </row>
    <row r="226" spans="1:296" ht="13.9" customHeight="1">
      <c r="A226" s="102"/>
      <c r="B226" s="102"/>
      <c r="C226" s="102"/>
      <c r="D226" s="102"/>
      <c r="E226" s="102"/>
      <c r="F226" s="102"/>
      <c r="G226" s="102"/>
      <c r="H226" s="102"/>
      <c r="I226" s="102"/>
      <c r="J226" s="102"/>
      <c r="K226" s="102"/>
      <c r="L226" s="102"/>
      <c r="M226" s="102"/>
      <c r="N226" s="102"/>
      <c r="O226" s="102"/>
    </row>
    <row r="227" spans="1:296" ht="13.9" customHeight="1">
      <c r="A227" s="8"/>
      <c r="B227" s="102"/>
      <c r="C227" s="102"/>
      <c r="D227" s="102"/>
      <c r="E227" s="102"/>
      <c r="F227" s="102"/>
      <c r="G227" s="102"/>
      <c r="H227" s="102"/>
      <c r="I227" s="102"/>
      <c r="J227" s="102"/>
      <c r="K227" s="102"/>
      <c r="L227" s="102"/>
      <c r="M227" s="102"/>
      <c r="N227" s="102"/>
      <c r="O227" s="102"/>
    </row>
    <row r="228" spans="1:296" ht="13.9" customHeight="1">
      <c r="A228" s="102"/>
      <c r="B228" s="102"/>
      <c r="C228" s="102"/>
      <c r="D228" s="102"/>
      <c r="E228" s="102"/>
      <c r="F228" s="102"/>
      <c r="G228" s="102"/>
      <c r="H228" s="102"/>
      <c r="I228" s="102"/>
      <c r="J228" s="102"/>
      <c r="K228" s="102"/>
      <c r="L228" s="102"/>
      <c r="M228" s="102"/>
      <c r="N228" s="102"/>
      <c r="O228" s="102"/>
    </row>
    <row r="229" spans="1:296" ht="13.9" customHeight="1">
      <c r="A229" s="102"/>
      <c r="B229" s="102"/>
      <c r="C229" s="102"/>
      <c r="D229" s="102"/>
      <c r="E229" s="102"/>
      <c r="F229" s="102"/>
      <c r="G229" s="102"/>
      <c r="H229" s="102"/>
      <c r="I229" s="102"/>
      <c r="J229" s="102"/>
      <c r="K229" s="102"/>
      <c r="L229" s="102"/>
      <c r="M229" s="102"/>
      <c r="N229" s="102"/>
      <c r="O229" s="102"/>
    </row>
    <row r="230" spans="1:296" ht="13.9" customHeight="1">
      <c r="A230" s="102"/>
      <c r="B230" s="102"/>
      <c r="C230" s="102"/>
      <c r="D230" s="102"/>
      <c r="E230" s="102"/>
      <c r="F230" s="102"/>
      <c r="G230" s="102"/>
      <c r="H230" s="102"/>
      <c r="I230" s="102"/>
      <c r="J230" s="102"/>
      <c r="K230" s="102"/>
      <c r="L230" s="102"/>
      <c r="M230" s="102"/>
      <c r="N230" s="102"/>
      <c r="O230" s="102"/>
    </row>
    <row r="231" spans="1:296" ht="13.9" customHeight="1">
      <c r="A231" s="102"/>
      <c r="B231" s="102"/>
      <c r="C231" s="102"/>
      <c r="D231" s="102"/>
      <c r="E231" s="102"/>
      <c r="F231" s="102"/>
      <c r="G231" s="102"/>
      <c r="H231" s="102"/>
      <c r="I231" s="102"/>
      <c r="J231" s="102"/>
      <c r="K231" s="102"/>
      <c r="L231" s="102"/>
      <c r="M231" s="102"/>
      <c r="N231" s="102"/>
      <c r="O231" s="102"/>
    </row>
    <row r="232" spans="1:296" ht="13.9" customHeight="1">
      <c r="A232" s="102"/>
      <c r="B232" s="102"/>
      <c r="C232" s="102"/>
      <c r="D232" s="102"/>
      <c r="E232" s="102"/>
      <c r="F232" s="102"/>
      <c r="G232" s="102"/>
      <c r="H232" s="102"/>
      <c r="I232" s="102"/>
      <c r="J232" s="102"/>
      <c r="K232" s="102"/>
      <c r="L232" s="102"/>
      <c r="M232" s="102"/>
      <c r="N232" s="102"/>
      <c r="O232" s="102"/>
    </row>
    <row r="233" spans="1:296" ht="13.9" customHeight="1">
      <c r="A233" s="102"/>
      <c r="B233" s="102"/>
      <c r="C233" s="102"/>
      <c r="D233" s="102"/>
      <c r="E233" s="102"/>
      <c r="F233" s="102"/>
      <c r="G233" s="102"/>
      <c r="H233" s="102"/>
      <c r="I233" s="102"/>
      <c r="J233" s="102"/>
      <c r="K233" s="102"/>
      <c r="L233" s="102"/>
      <c r="M233" s="102"/>
      <c r="N233" s="102"/>
      <c r="O233" s="102"/>
    </row>
    <row r="234" spans="1:296" ht="13.9" customHeight="1">
      <c r="A234" s="102"/>
      <c r="B234" s="102"/>
      <c r="C234" s="102"/>
      <c r="D234" s="102"/>
      <c r="E234" s="102"/>
      <c r="F234" s="102"/>
      <c r="G234" s="102"/>
      <c r="H234" s="102"/>
      <c r="I234" s="102"/>
      <c r="J234" s="102"/>
      <c r="K234" s="102"/>
      <c r="L234" s="102"/>
      <c r="M234" s="102"/>
      <c r="N234" s="102"/>
      <c r="O234" s="102"/>
    </row>
    <row r="235" spans="1:296" ht="13.9" customHeight="1">
      <c r="A235" s="102"/>
      <c r="B235" s="102"/>
      <c r="C235" s="102"/>
      <c r="D235" s="102"/>
      <c r="E235" s="102"/>
      <c r="F235" s="102"/>
      <c r="G235" s="102"/>
      <c r="H235" s="102"/>
      <c r="I235" s="102"/>
      <c r="J235" s="102"/>
      <c r="K235" s="102"/>
      <c r="L235" s="102"/>
      <c r="M235" s="102"/>
      <c r="N235" s="102"/>
      <c r="O235" s="102"/>
    </row>
    <row r="236" spans="1:296" ht="13.9" customHeight="1">
      <c r="A236" s="102"/>
      <c r="B236" s="102"/>
      <c r="C236" s="102"/>
      <c r="D236" s="102"/>
      <c r="E236" s="102"/>
      <c r="F236" s="102"/>
      <c r="G236" s="102"/>
      <c r="H236" s="102"/>
      <c r="I236" s="102"/>
      <c r="J236" s="102"/>
      <c r="K236" s="102"/>
      <c r="L236" s="102"/>
      <c r="M236" s="102"/>
      <c r="N236" s="102"/>
      <c r="O236" s="102"/>
    </row>
  </sheetData>
  <sheetProtection algorithmName="SHA-512" hashValue="/zUsBhegy5SWKML/dg1mJAuFteEeLCHRHzB8dVIFYhrAeVvyRMHvwVRmLLlhmTjp4wvDheeD0L1RjsLV1L8Wtg==" saltValue="8i+oQmotDXqtQPL8Km5cHg=="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8" fitToHeight="0" orientation="landscape" horizontalDpi="4294967295" verticalDpi="4294967295"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J30" zoomScaleNormal="100" workbookViewId="0">
      <selection activeCell="A4" sqref="A1:XFD1048576"/>
    </sheetView>
  </sheetViews>
  <sheetFormatPr defaultColWidth="8.85546875" defaultRowHeight="12.75"/>
  <cols>
    <col min="1" max="1" width="22.28515625" style="5" customWidth="1"/>
    <col min="2" max="11" width="12" style="5" customWidth="1"/>
    <col min="12" max="13" width="2.28515625" style="5" customWidth="1"/>
    <col min="14" max="14" width="19.140625" style="5" customWidth="1"/>
    <col min="15" max="15" width="83" style="5" customWidth="1"/>
    <col min="16" max="16" width="8.85546875" style="5"/>
    <col min="17" max="17" width="5.28515625" style="5" customWidth="1"/>
    <col min="18" max="18" width="12.140625" style="5" customWidth="1"/>
    <col min="19" max="19" width="12.42578125" style="5" customWidth="1"/>
    <col min="20" max="16384" width="8.85546875" style="5"/>
  </cols>
  <sheetData>
    <row r="1" spans="1:19" s="11" customFormat="1" ht="13.9" customHeight="1">
      <c r="A1" s="1830" t="str">
        <f>CONCATENATE("PART SEVEN - OPERATING PRO FORMA","  -  ",'Part I-Project Information'!$O$6," ",'Part I-Project Information'!$F$34,", ",'Part I-Project Information'!F38,", ",'Part I-Project Information'!J39," County")</f>
        <v>PART SEVEN - OPERATING PRO FORMA  -  2018-008 Mill at Stone Valley, Ball Ground, Cherokee County</v>
      </c>
      <c r="B1" s="2589"/>
      <c r="C1" s="2589"/>
      <c r="D1" s="2589"/>
      <c r="E1" s="2589"/>
      <c r="F1" s="2589"/>
      <c r="G1" s="2589"/>
      <c r="H1" s="2589"/>
      <c r="I1" s="2589"/>
      <c r="J1" s="2589"/>
      <c r="K1" s="2590"/>
      <c r="L1" s="6"/>
      <c r="M1" s="6"/>
      <c r="N1" s="1831" t="str">
        <f>A1</f>
        <v>PART SEVEN - OPERATING PRO FORMA  -  2018-008 Mill at Stone Valley, Ball Ground, Cherokee County</v>
      </c>
      <c r="O1" s="1831"/>
      <c r="P1" s="6"/>
      <c r="Q1" s="366"/>
      <c r="R1" s="366"/>
      <c r="S1" s="366"/>
    </row>
    <row r="2" spans="1:19" ht="13.5" customHeight="1">
      <c r="A2" s="1354"/>
      <c r="B2" s="1354"/>
      <c r="C2" s="1354"/>
      <c r="D2" s="1354"/>
      <c r="E2" s="1354"/>
      <c r="F2" s="1354"/>
      <c r="G2" s="1354"/>
      <c r="H2" s="1354"/>
      <c r="I2" s="1354"/>
      <c r="J2" s="1354"/>
      <c r="K2" s="1354"/>
      <c r="L2" s="102"/>
      <c r="M2" s="102"/>
      <c r="N2" s="1832" t="s">
        <v>851</v>
      </c>
      <c r="O2" s="1832"/>
      <c r="P2" s="102"/>
      <c r="Q2" s="102"/>
      <c r="R2" s="102"/>
      <c r="S2" s="102"/>
    </row>
    <row r="3" spans="1:19" ht="13.5">
      <c r="A3" s="8" t="s">
        <v>1203</v>
      </c>
      <c r="B3" s="102"/>
      <c r="C3" s="102"/>
      <c r="D3" s="1112" t="s">
        <v>1204</v>
      </c>
      <c r="E3" s="1478"/>
      <c r="F3" s="1113" t="s">
        <v>1205</v>
      </c>
      <c r="G3" s="102"/>
      <c r="H3" s="102"/>
      <c r="I3" s="102"/>
      <c r="J3" s="102"/>
      <c r="K3" s="102"/>
      <c r="L3" s="102"/>
      <c r="M3" s="102"/>
      <c r="N3" s="8" t="str">
        <f>A3</f>
        <v>I.  OPERATING ASSUMPTIONS</v>
      </c>
      <c r="O3" s="16"/>
      <c r="P3" s="102"/>
      <c r="Q3" s="102"/>
      <c r="R3" s="102"/>
      <c r="S3" s="102"/>
    </row>
    <row r="4" spans="1:19" ht="2.4500000000000002" customHeight="1">
      <c r="A4" s="366"/>
      <c r="B4" s="366"/>
      <c r="C4" s="366"/>
      <c r="D4" s="102"/>
      <c r="E4" s="102"/>
      <c r="F4" s="102"/>
      <c r="G4" s="102"/>
      <c r="H4" s="366"/>
      <c r="I4" s="366"/>
      <c r="J4" s="102"/>
      <c r="K4" s="102"/>
      <c r="L4" s="102"/>
      <c r="M4" s="102"/>
      <c r="N4" s="102"/>
      <c r="O4" s="102"/>
      <c r="P4" s="102"/>
      <c r="Q4" s="102"/>
      <c r="R4" s="102"/>
      <c r="S4" s="102"/>
    </row>
    <row r="5" spans="1:19" ht="13.5" customHeight="1">
      <c r="A5" s="366" t="s">
        <v>1206</v>
      </c>
      <c r="B5" s="1327">
        <v>0.02</v>
      </c>
      <c r="C5" s="366"/>
      <c r="D5" s="1800" t="s">
        <v>1207</v>
      </c>
      <c r="E5" s="1800"/>
      <c r="F5" s="1800"/>
      <c r="G5" s="2591">
        <v>20000</v>
      </c>
      <c r="H5" s="790" t="s">
        <v>1208</v>
      </c>
      <c r="I5" s="102"/>
      <c r="J5" s="102"/>
      <c r="K5" s="1328">
        <f>IF(($B$14+$B$15+$B$16+$B$17)=0,"",B28/($B$14+$B$15+$B$16+$B$17))</f>
        <v>-3.2897844692836062E-2</v>
      </c>
      <c r="L5" s="102"/>
      <c r="M5" s="102"/>
      <c r="N5" s="2592"/>
      <c r="O5" s="2593"/>
      <c r="P5" s="102"/>
      <c r="Q5" s="102"/>
      <c r="R5" s="102"/>
      <c r="S5" s="102"/>
    </row>
    <row r="6" spans="1:19">
      <c r="A6" s="366" t="s">
        <v>1209</v>
      </c>
      <c r="B6" s="1327">
        <v>0.03</v>
      </c>
      <c r="C6" s="366"/>
      <c r="D6" s="1800"/>
      <c r="E6" s="1800"/>
      <c r="F6" s="1800"/>
      <c r="G6" s="1114">
        <f>IF(OR('Part III-Sources of Funds'!B11="Yes",'Part III-Sources of Funds'!E11&gt;0),'DCA Underwriting Assumptions'!$Q$95,0)</f>
        <v>0</v>
      </c>
      <c r="H6" s="366"/>
      <c r="I6" s="366"/>
      <c r="J6" s="366"/>
      <c r="K6" s="366"/>
      <c r="L6" s="102"/>
      <c r="M6" s="102"/>
      <c r="N6" s="2594"/>
      <c r="O6" s="2595"/>
      <c r="P6" s="102"/>
      <c r="Q6" s="102"/>
      <c r="R6" s="102"/>
      <c r="S6" s="102"/>
    </row>
    <row r="7" spans="1:19">
      <c r="A7" s="366" t="s">
        <v>1210</v>
      </c>
      <c r="B7" s="1327">
        <v>0.03</v>
      </c>
      <c r="C7" s="366"/>
      <c r="D7" s="1329" t="s">
        <v>1211</v>
      </c>
      <c r="E7" s="102"/>
      <c r="F7" s="102"/>
      <c r="G7" s="1330"/>
      <c r="H7" s="790" t="s">
        <v>1212</v>
      </c>
      <c r="I7" s="102"/>
      <c r="J7" s="102"/>
      <c r="K7" s="1328">
        <f>IF(($B$14+$B$15+$B$16+$B$17)=0,"",-B20/($B$14+$B$15+$B$16+$B$17))</f>
        <v>4.9999789256406892E-2</v>
      </c>
      <c r="L7" s="102"/>
      <c r="M7" s="102"/>
      <c r="N7" s="2594"/>
      <c r="O7" s="2595"/>
      <c r="P7" s="102"/>
      <c r="Q7" s="102"/>
      <c r="R7" s="102"/>
      <c r="S7" s="102"/>
    </row>
    <row r="8" spans="1:19" ht="13.15" customHeight="1">
      <c r="A8" s="366" t="s">
        <v>1213</v>
      </c>
      <c r="B8" s="2596">
        <v>7.0000000000000007E-2</v>
      </c>
      <c r="C8" s="366"/>
      <c r="D8" s="463" t="s">
        <v>1214</v>
      </c>
      <c r="E8" s="102"/>
      <c r="F8" s="102"/>
      <c r="G8" s="2597" t="s">
        <v>21</v>
      </c>
      <c r="H8" s="1331" t="s">
        <v>1215</v>
      </c>
      <c r="I8" s="102"/>
      <c r="J8" s="102"/>
      <c r="K8" s="2598"/>
      <c r="L8" s="102"/>
      <c r="M8" s="102"/>
      <c r="N8" s="2594"/>
      <c r="O8" s="2595"/>
      <c r="P8" s="102"/>
      <c r="Q8" s="102"/>
      <c r="R8" s="102"/>
      <c r="S8" s="102"/>
    </row>
    <row r="9" spans="1:19">
      <c r="A9" s="366" t="s">
        <v>1216</v>
      </c>
      <c r="B9" s="1327">
        <v>0.02</v>
      </c>
      <c r="C9" s="102"/>
      <c r="D9" s="463" t="s">
        <v>1217</v>
      </c>
      <c r="E9" s="102"/>
      <c r="F9" s="102"/>
      <c r="G9" s="2597" t="s">
        <v>22</v>
      </c>
      <c r="H9" s="1331" t="s">
        <v>1218</v>
      </c>
      <c r="I9" s="102"/>
      <c r="J9" s="102"/>
      <c r="K9" s="2599">
        <v>0.05</v>
      </c>
      <c r="L9" s="102"/>
      <c r="M9" s="102"/>
      <c r="N9" s="2600"/>
      <c r="O9" s="2601"/>
      <c r="P9" s="102"/>
      <c r="Q9" s="102"/>
      <c r="R9" s="102"/>
      <c r="S9" s="102"/>
    </row>
    <row r="10" spans="1:19" ht="13.5" customHeight="1">
      <c r="A10" s="102"/>
      <c r="B10" s="102"/>
      <c r="C10" s="102"/>
      <c r="D10" s="102"/>
      <c r="E10" s="102"/>
      <c r="F10" s="102"/>
      <c r="G10" s="102"/>
      <c r="H10" s="102"/>
      <c r="I10" s="102"/>
      <c r="J10" s="102"/>
      <c r="K10" s="102"/>
      <c r="L10" s="102"/>
      <c r="M10" s="102"/>
      <c r="N10" s="102"/>
      <c r="O10" s="102"/>
      <c r="P10" s="102"/>
      <c r="Q10" s="102"/>
      <c r="R10" s="102"/>
      <c r="S10" s="102"/>
    </row>
    <row r="11" spans="1:19">
      <c r="A11" s="8" t="s">
        <v>1219</v>
      </c>
      <c r="B11" s="102"/>
      <c r="C11" s="102"/>
      <c r="D11" s="972"/>
      <c r="E11" s="102"/>
      <c r="F11" s="102"/>
      <c r="G11" s="102"/>
      <c r="H11" s="102"/>
      <c r="I11" s="102"/>
      <c r="J11" s="102"/>
      <c r="K11" s="102"/>
      <c r="L11" s="102"/>
      <c r="M11" s="102"/>
      <c r="N11" s="8" t="str">
        <f>A11</f>
        <v>II.  OPERATING PRO FORMA</v>
      </c>
      <c r="O11" s="102"/>
      <c r="P11" s="102"/>
      <c r="Q11" s="102"/>
      <c r="R11" s="102"/>
      <c r="S11" s="102"/>
    </row>
    <row r="12" spans="1:19" ht="2.4500000000000002" customHeight="1">
      <c r="A12" s="102"/>
      <c r="B12" s="102"/>
      <c r="C12" s="102"/>
      <c r="D12" s="102"/>
      <c r="E12" s="102"/>
      <c r="F12" s="102"/>
      <c r="G12" s="102"/>
      <c r="H12" s="102"/>
      <c r="I12" s="102"/>
      <c r="J12" s="102"/>
      <c r="K12" s="102"/>
      <c r="L12" s="102"/>
      <c r="M12" s="102"/>
      <c r="N12" s="102"/>
      <c r="O12" s="102"/>
      <c r="P12" s="102"/>
      <c r="Q12" s="102"/>
      <c r="R12" s="102"/>
      <c r="S12" s="102"/>
    </row>
    <row r="13" spans="1:19" ht="14.45" customHeight="1">
      <c r="A13" s="8" t="s">
        <v>627</v>
      </c>
      <c r="B13" s="8">
        <v>1</v>
      </c>
      <c r="C13" s="8">
        <f t="shared" ref="C13:K13" si="0">B13+1</f>
        <v>2</v>
      </c>
      <c r="D13" s="8">
        <f t="shared" si="0"/>
        <v>3</v>
      </c>
      <c r="E13" s="8">
        <f t="shared" si="0"/>
        <v>4</v>
      </c>
      <c r="F13" s="8">
        <f t="shared" si="0"/>
        <v>5</v>
      </c>
      <c r="G13" s="8">
        <f t="shared" si="0"/>
        <v>6</v>
      </c>
      <c r="H13" s="8">
        <f t="shared" si="0"/>
        <v>7</v>
      </c>
      <c r="I13" s="8">
        <f t="shared" si="0"/>
        <v>8</v>
      </c>
      <c r="J13" s="8">
        <f t="shared" si="0"/>
        <v>9</v>
      </c>
      <c r="K13" s="8">
        <f t="shared" si="0"/>
        <v>10</v>
      </c>
      <c r="L13" s="102"/>
      <c r="M13" s="102"/>
      <c r="N13" s="1666" t="s">
        <v>1220</v>
      </c>
      <c r="O13" s="1666"/>
      <c r="P13" s="102"/>
      <c r="Q13" s="102"/>
      <c r="R13" s="102"/>
      <c r="S13" s="102"/>
    </row>
    <row r="14" spans="1:19" ht="13.15" customHeight="1">
      <c r="A14" s="1396" t="s">
        <v>1221</v>
      </c>
      <c r="B14" s="1355">
        <f>'Part VI-Revenues &amp; Expenses'!$L$49</f>
        <v>640884</v>
      </c>
      <c r="C14" s="1355">
        <f t="shared" ref="C14:K14" si="1">$B$14*(1+$B$5)^(C13-1)</f>
        <v>653701.68000000005</v>
      </c>
      <c r="D14" s="1355">
        <f t="shared" si="1"/>
        <v>666775.71360000002</v>
      </c>
      <c r="E14" s="1355">
        <f t="shared" si="1"/>
        <v>680111.22787199996</v>
      </c>
      <c r="F14" s="1355">
        <f t="shared" si="1"/>
        <v>693713.45242943999</v>
      </c>
      <c r="G14" s="1355">
        <f t="shared" si="1"/>
        <v>707587.7214780288</v>
      </c>
      <c r="H14" s="1355">
        <f t="shared" si="1"/>
        <v>721739.47590758943</v>
      </c>
      <c r="I14" s="1355">
        <f t="shared" si="1"/>
        <v>736174.26542574109</v>
      </c>
      <c r="J14" s="1355">
        <f t="shared" si="1"/>
        <v>750897.75073425588</v>
      </c>
      <c r="K14" s="1356">
        <f t="shared" si="1"/>
        <v>765915.70574894105</v>
      </c>
      <c r="L14" s="102"/>
      <c r="M14" s="102"/>
      <c r="N14" s="2592"/>
      <c r="O14" s="2593"/>
      <c r="P14" s="102"/>
      <c r="Q14" s="102"/>
      <c r="R14" s="102"/>
      <c r="S14" s="1826" t="s">
        <v>1222</v>
      </c>
    </row>
    <row r="15" spans="1:19" ht="13.15" customHeight="1">
      <c r="A15" s="316" t="s">
        <v>1135</v>
      </c>
      <c r="B15" s="1332">
        <f>MIN(B14*B9,'Part VI-Revenues &amp; Expenses'!$H$122)</f>
        <v>12817.68</v>
      </c>
      <c r="C15" s="1332">
        <f t="shared" ref="C15:K15" si="2">$B$15*(1+$B$5)^(C13-1)</f>
        <v>13074.033600000001</v>
      </c>
      <c r="D15" s="1332">
        <f t="shared" si="2"/>
        <v>13335.514272</v>
      </c>
      <c r="E15" s="1332">
        <f t="shared" si="2"/>
        <v>13602.224557439999</v>
      </c>
      <c r="F15" s="1332">
        <f t="shared" si="2"/>
        <v>13874.2690485888</v>
      </c>
      <c r="G15" s="1332">
        <f t="shared" si="2"/>
        <v>14151.754429560577</v>
      </c>
      <c r="H15" s="1332">
        <f t="shared" si="2"/>
        <v>14434.789518151789</v>
      </c>
      <c r="I15" s="1332">
        <f t="shared" si="2"/>
        <v>14723.485308514821</v>
      </c>
      <c r="J15" s="1332">
        <f t="shared" si="2"/>
        <v>15017.95501468512</v>
      </c>
      <c r="K15" s="1333">
        <f t="shared" si="2"/>
        <v>15318.314114978821</v>
      </c>
      <c r="L15" s="102"/>
      <c r="M15" s="102"/>
      <c r="N15" s="2594"/>
      <c r="O15" s="2595"/>
      <c r="P15" s="102"/>
      <c r="Q15" s="102"/>
      <c r="R15" s="102"/>
      <c r="S15" s="1827"/>
    </row>
    <row r="16" spans="1:19" ht="13.15" customHeight="1">
      <c r="A16" s="316" t="s">
        <v>1223</v>
      </c>
      <c r="B16" s="1332">
        <f t="shared" ref="B16:K16" si="3">-(B14+B15)*$B$8</f>
        <v>-45759.117600000005</v>
      </c>
      <c r="C16" s="1332">
        <f t="shared" si="3"/>
        <v>-46674.299952000008</v>
      </c>
      <c r="D16" s="1332">
        <f t="shared" si="3"/>
        <v>-47607.785951040009</v>
      </c>
      <c r="E16" s="1332">
        <f t="shared" si="3"/>
        <v>-48559.941670060805</v>
      </c>
      <c r="F16" s="1332">
        <f t="shared" si="3"/>
        <v>-49531.140503462018</v>
      </c>
      <c r="G16" s="1332">
        <f t="shared" si="3"/>
        <v>-50521.763313531264</v>
      </c>
      <c r="H16" s="1332">
        <f t="shared" si="3"/>
        <v>-51532.198579801887</v>
      </c>
      <c r="I16" s="1332">
        <f t="shared" si="3"/>
        <v>-52562.842551397916</v>
      </c>
      <c r="J16" s="1332">
        <f t="shared" si="3"/>
        <v>-53614.099402425876</v>
      </c>
      <c r="K16" s="1333">
        <f t="shared" si="3"/>
        <v>-54686.381390474395</v>
      </c>
      <c r="L16" s="102"/>
      <c r="M16" s="102"/>
      <c r="N16" s="2594"/>
      <c r="O16" s="2595"/>
      <c r="P16" s="102"/>
      <c r="Q16" s="1829" t="s">
        <v>1224</v>
      </c>
      <c r="R16" s="1829" t="s">
        <v>1225</v>
      </c>
      <c r="S16" s="1827"/>
    </row>
    <row r="17" spans="1:19" ht="13.15" customHeight="1">
      <c r="A17" s="316" t="s">
        <v>1226</v>
      </c>
      <c r="B17" s="1332">
        <f>+'Part VI-Revenues &amp; Expenses'!G128</f>
        <v>0</v>
      </c>
      <c r="C17" s="1332">
        <f>+'Part VI-Revenues &amp; Expenses'!H128</f>
        <v>0</v>
      </c>
      <c r="D17" s="1332">
        <f>+'Part VI-Revenues &amp; Expenses'!I128</f>
        <v>0</v>
      </c>
      <c r="E17" s="1332">
        <f>+'Part VI-Revenues &amp; Expenses'!J128</f>
        <v>0</v>
      </c>
      <c r="F17" s="1332">
        <f>+'Part VI-Revenues &amp; Expenses'!K128</f>
        <v>0</v>
      </c>
      <c r="G17" s="1332">
        <f>+'Part VI-Revenues &amp; Expenses'!L128</f>
        <v>0</v>
      </c>
      <c r="H17" s="1332">
        <f>+'Part VI-Revenues &amp; Expenses'!M128</f>
        <v>0</v>
      </c>
      <c r="I17" s="1332">
        <f>+'Part VI-Revenues &amp; Expenses'!N128</f>
        <v>0</v>
      </c>
      <c r="J17" s="1332">
        <f>+'Part VI-Revenues &amp; Expenses'!O128</f>
        <v>0</v>
      </c>
      <c r="K17" s="1333">
        <f>+'Part VI-Revenues &amp; Expenses'!P128</f>
        <v>0</v>
      </c>
      <c r="L17" s="102"/>
      <c r="M17" s="102"/>
      <c r="N17" s="2594"/>
      <c r="O17" s="2595"/>
      <c r="P17" s="102"/>
      <c r="Q17" s="1829"/>
      <c r="R17" s="1829"/>
      <c r="S17" s="1828"/>
    </row>
    <row r="18" spans="1:19" ht="13.15" customHeight="1">
      <c r="A18" s="316" t="s">
        <v>1227</v>
      </c>
      <c r="B18" s="1332">
        <f>'Part VI-Revenues &amp; Expenses'!G132</f>
        <v>0</v>
      </c>
      <c r="C18" s="1332">
        <f>'Part VI-Revenues &amp; Expenses'!H132</f>
        <v>0</v>
      </c>
      <c r="D18" s="1332">
        <f>'Part VI-Revenues &amp; Expenses'!I132</f>
        <v>0</v>
      </c>
      <c r="E18" s="1332">
        <f>'Part VI-Revenues &amp; Expenses'!J132</f>
        <v>0</v>
      </c>
      <c r="F18" s="1332">
        <f>'Part VI-Revenues &amp; Expenses'!K132</f>
        <v>0</v>
      </c>
      <c r="G18" s="1332">
        <f>'Part VI-Revenues &amp; Expenses'!L132</f>
        <v>0</v>
      </c>
      <c r="H18" s="1332">
        <f>'Part VI-Revenues &amp; Expenses'!M132</f>
        <v>0</v>
      </c>
      <c r="I18" s="1332">
        <f>'Part VI-Revenues &amp; Expenses'!N132</f>
        <v>0</v>
      </c>
      <c r="J18" s="1332">
        <f>'Part VI-Revenues &amp; Expenses'!O132</f>
        <v>0</v>
      </c>
      <c r="K18" s="1333">
        <f>'Part VI-Revenues &amp; Expenses'!P132</f>
        <v>0</v>
      </c>
      <c r="L18" s="102"/>
      <c r="M18" s="102"/>
      <c r="N18" s="2594"/>
      <c r="O18" s="2595"/>
      <c r="P18" s="102"/>
      <c r="Q18" s="102"/>
      <c r="R18" s="102"/>
      <c r="S18" s="102"/>
    </row>
    <row r="19" spans="1:19" ht="13.15" customHeight="1">
      <c r="A19" s="316" t="s">
        <v>1228</v>
      </c>
      <c r="B19" s="1332">
        <f>-('Part VI-Revenues &amp; Expenses'!$P$175-'Part VI-Revenues &amp; Expenses'!$P$170)</f>
        <v>-350088</v>
      </c>
      <c r="C19" s="1332">
        <f t="shared" ref="C19:K19" si="4">$B$19*(1+$B$6)^(C13-1)</f>
        <v>-360590.64</v>
      </c>
      <c r="D19" s="1332">
        <f t="shared" si="4"/>
        <v>-371408.35920000001</v>
      </c>
      <c r="E19" s="1332">
        <f t="shared" si="4"/>
        <v>-382550.60997599998</v>
      </c>
      <c r="F19" s="1332">
        <f t="shared" si="4"/>
        <v>-394027.12827527995</v>
      </c>
      <c r="G19" s="1332">
        <f t="shared" si="4"/>
        <v>-405847.94212353835</v>
      </c>
      <c r="H19" s="1332">
        <f t="shared" si="4"/>
        <v>-418023.38038724451</v>
      </c>
      <c r="I19" s="1332">
        <f t="shared" si="4"/>
        <v>-430564.08179886191</v>
      </c>
      <c r="J19" s="1332">
        <f t="shared" si="4"/>
        <v>-443481.00425282767</v>
      </c>
      <c r="K19" s="1333">
        <f t="shared" si="4"/>
        <v>-456785.43438041251</v>
      </c>
      <c r="L19" s="102"/>
      <c r="M19" s="102"/>
      <c r="N19" s="2594"/>
      <c r="O19" s="2595"/>
      <c r="P19" s="102"/>
      <c r="Q19" s="840">
        <v>1</v>
      </c>
      <c r="R19" s="792">
        <f>-B29</f>
        <v>30317</v>
      </c>
      <c r="S19" s="792">
        <f>B30+R19</f>
        <v>30316.795145011391</v>
      </c>
    </row>
    <row r="20" spans="1:19" ht="13.15" customHeight="1">
      <c r="A20" s="316" t="s">
        <v>1229</v>
      </c>
      <c r="B20" s="1332">
        <f>IF(AND('Part VII-Pro Forma'!$G$8="Yes",'Part VII-Pro Forma'!$G$9="Yes"),"Choose One!",IF('Part VII-Pro Forma'!$G$8="Yes",ROUND((-$K$8*(1+'Part VII-Pro Forma'!$B$6)^('Part VII-Pro Forma'!B13-1)),),IF('Part VII-Pro Forma'!$G$9="Yes",ROUND((-(SUM(B14:B17)*'Part VII-Pro Forma'!$K$9)),),"Choose mgt fee")))</f>
        <v>-30397</v>
      </c>
      <c r="C20" s="1332">
        <f>IF(AND('Part VII-Pro Forma'!$G$8="Yes",'Part VII-Pro Forma'!$G$9="Yes"),"Choose One!",IF('Part VII-Pro Forma'!$G$8="Yes",ROUND((-$K$8*(1+'Part VII-Pro Forma'!$B$6)^('Part VII-Pro Forma'!C13-1)),),IF('Part VII-Pro Forma'!$G$9="Yes",ROUND((-(SUM(C14:C17)*'Part VII-Pro Forma'!$K$9)),),"Choose mgt fee")))</f>
        <v>-31005</v>
      </c>
      <c r="D20" s="1332">
        <f>IF(AND('Part VII-Pro Forma'!$G$8="Yes",'Part VII-Pro Forma'!$G$9="Yes"),"Choose One!",IF('Part VII-Pro Forma'!$G$8="Yes",ROUND((-$K$8*(1+'Part VII-Pro Forma'!$B$6)^('Part VII-Pro Forma'!D13-1)),),IF('Part VII-Pro Forma'!$G$9="Yes",ROUND((-(SUM(D14:D17)*'Part VII-Pro Forma'!$K$9)),),"Choose mgt fee")))</f>
        <v>-31625</v>
      </c>
      <c r="E20" s="1332">
        <f>IF(AND('Part VII-Pro Forma'!$G$8="Yes",'Part VII-Pro Forma'!$G$9="Yes"),"Choose One!",IF('Part VII-Pro Forma'!$G$8="Yes",ROUND((-$K$8*(1+'Part VII-Pro Forma'!$B$6)^('Part VII-Pro Forma'!E13-1)),),IF('Part VII-Pro Forma'!$G$9="Yes",ROUND((-(SUM(E14:E17)*'Part VII-Pro Forma'!$K$9)),),"Choose mgt fee")))</f>
        <v>-32258</v>
      </c>
      <c r="F20" s="1332">
        <f>IF(AND('Part VII-Pro Forma'!$G$8="Yes",'Part VII-Pro Forma'!$G$9="Yes"),"Choose One!",IF('Part VII-Pro Forma'!$G$8="Yes",ROUND((-$K$8*(1+'Part VII-Pro Forma'!$B$6)^('Part VII-Pro Forma'!F13-1)),),IF('Part VII-Pro Forma'!$G$9="Yes",ROUND((-(SUM(F14:F17)*'Part VII-Pro Forma'!$K$9)),),"Choose mgt fee")))</f>
        <v>-32903</v>
      </c>
      <c r="G20" s="1332">
        <f>IF(AND('Part VII-Pro Forma'!$G$8="Yes",'Part VII-Pro Forma'!$G$9="Yes"),"Choose One!",IF('Part VII-Pro Forma'!$G$8="Yes",ROUND((-$K$8*(1+'Part VII-Pro Forma'!$B$6)^('Part VII-Pro Forma'!G13-1)),),IF('Part VII-Pro Forma'!$G$9="Yes",ROUND((-(SUM(G14:G17)*'Part VII-Pro Forma'!$K$9)),),"Choose mgt fee")))</f>
        <v>-33561</v>
      </c>
      <c r="H20" s="1332">
        <f>IF(AND('Part VII-Pro Forma'!$G$8="Yes",'Part VII-Pro Forma'!$G$9="Yes"),"Choose One!",IF('Part VII-Pro Forma'!$G$8="Yes",ROUND((-$K$8*(1+'Part VII-Pro Forma'!$B$6)^('Part VII-Pro Forma'!H13-1)),),IF('Part VII-Pro Forma'!$G$9="Yes",ROUND((-(SUM(H14:H17)*'Part VII-Pro Forma'!$K$9)),),"Choose mgt fee")))</f>
        <v>-34232</v>
      </c>
      <c r="I20" s="1332">
        <f>IF(AND('Part VII-Pro Forma'!$G$8="Yes",'Part VII-Pro Forma'!$G$9="Yes"),"Choose One!",IF('Part VII-Pro Forma'!$G$8="Yes",ROUND((-$K$8*(1+'Part VII-Pro Forma'!$B$6)^('Part VII-Pro Forma'!I13-1)),),IF('Part VII-Pro Forma'!$G$9="Yes",ROUND((-(SUM(I14:I17)*'Part VII-Pro Forma'!$K$9)),),"Choose mgt fee")))</f>
        <v>-34917</v>
      </c>
      <c r="J20" s="1332">
        <f>IF(AND('Part VII-Pro Forma'!$G$8="Yes",'Part VII-Pro Forma'!$G$9="Yes"),"Choose One!",IF('Part VII-Pro Forma'!$G$8="Yes",ROUND((-$K$8*(1+'Part VII-Pro Forma'!$B$6)^('Part VII-Pro Forma'!J13-1)),),IF('Part VII-Pro Forma'!$G$9="Yes",ROUND((-(SUM(J14:J17)*'Part VII-Pro Forma'!$K$9)),),"Choose mgt fee")))</f>
        <v>-35615</v>
      </c>
      <c r="K20" s="1332">
        <f>IF(AND('Part VII-Pro Forma'!$G$8="Yes",'Part VII-Pro Forma'!$G$9="Yes"),"Choose One!",IF('Part VII-Pro Forma'!$G$8="Yes",ROUND((-$K$8*(1+'Part VII-Pro Forma'!$B$6)^('Part VII-Pro Forma'!K13-1)),),IF('Part VII-Pro Forma'!$G$9="Yes",ROUND((-(SUM(K14:K17)*'Part VII-Pro Forma'!$K$9)),),"Choose mgt fee")))</f>
        <v>-36327</v>
      </c>
      <c r="L20" s="102"/>
      <c r="M20" s="102"/>
      <c r="N20" s="2594"/>
      <c r="O20" s="2595"/>
      <c r="P20" s="102"/>
      <c r="Q20" s="840">
        <v>2</v>
      </c>
      <c r="R20" s="792">
        <f>-SUM($B$29:$C$29)</f>
        <v>61127</v>
      </c>
      <c r="S20" s="792">
        <f>SUM($B$30:$C$30)+R20</f>
        <v>61126.801538022701</v>
      </c>
    </row>
    <row r="21" spans="1:19" ht="13.15" customHeight="1">
      <c r="A21" s="316" t="s">
        <v>1230</v>
      </c>
      <c r="B21" s="1332">
        <f>-('Part VI-Revenues &amp; Expenses'!$P$179)</f>
        <v>-18500</v>
      </c>
      <c r="C21" s="1332">
        <f t="shared" ref="C21:K21" si="5">$B$21*(1+$B$7)^(C13-1)</f>
        <v>-19055</v>
      </c>
      <c r="D21" s="1332">
        <f t="shared" si="5"/>
        <v>-19626.649999999998</v>
      </c>
      <c r="E21" s="1332">
        <f t="shared" si="5"/>
        <v>-20215.449499999999</v>
      </c>
      <c r="F21" s="1332">
        <f t="shared" si="5"/>
        <v>-20821.912984999999</v>
      </c>
      <c r="G21" s="1332">
        <f t="shared" si="5"/>
        <v>-21446.570374549996</v>
      </c>
      <c r="H21" s="1332">
        <f t="shared" si="5"/>
        <v>-22089.967485786499</v>
      </c>
      <c r="I21" s="1332">
        <f t="shared" si="5"/>
        <v>-22752.666510360094</v>
      </c>
      <c r="J21" s="1332">
        <f t="shared" si="5"/>
        <v>-23435.246505670893</v>
      </c>
      <c r="K21" s="1333">
        <f t="shared" si="5"/>
        <v>-24138.303900841023</v>
      </c>
      <c r="L21" s="102"/>
      <c r="M21" s="102"/>
      <c r="N21" s="2594"/>
      <c r="O21" s="2595"/>
      <c r="P21" s="102"/>
      <c r="Q21" s="840">
        <v>3</v>
      </c>
      <c r="R21" s="792">
        <f>-SUM($B$29:$D$29)</f>
        <v>92330</v>
      </c>
      <c r="S21" s="792">
        <f>SUM($B$30:$D$30)+R21</f>
        <v>92329.467003994127</v>
      </c>
    </row>
    <row r="22" spans="1:19" ht="13.15" customHeight="1">
      <c r="A22" s="316" t="s">
        <v>1231</v>
      </c>
      <c r="B22" s="1332">
        <f t="shared" ref="B22:K22" si="6">SUM(B14:B21)</f>
        <v>208957.56240000005</v>
      </c>
      <c r="C22" s="1332">
        <f t="shared" si="6"/>
        <v>209450.77364799997</v>
      </c>
      <c r="D22" s="1332">
        <f t="shared" si="6"/>
        <v>209843.43272096009</v>
      </c>
      <c r="E22" s="1332">
        <f t="shared" si="6"/>
        <v>210129.45128337917</v>
      </c>
      <c r="F22" s="1332">
        <f t="shared" si="6"/>
        <v>210304.5397142868</v>
      </c>
      <c r="G22" s="1332">
        <f t="shared" si="6"/>
        <v>210362.20009596978</v>
      </c>
      <c r="H22" s="1332">
        <f t="shared" si="6"/>
        <v>210296.71897290825</v>
      </c>
      <c r="I22" s="1332">
        <f t="shared" si="6"/>
        <v>210101.15987363603</v>
      </c>
      <c r="J22" s="1332">
        <f t="shared" si="6"/>
        <v>209770.35558801657</v>
      </c>
      <c r="K22" s="1333">
        <f t="shared" si="6"/>
        <v>209296.90019219191</v>
      </c>
      <c r="L22" s="102"/>
      <c r="M22" s="102"/>
      <c r="N22" s="2594"/>
      <c r="O22" s="2595"/>
      <c r="P22" s="102"/>
      <c r="Q22" s="840">
        <v>4</v>
      </c>
      <c r="R22" s="792">
        <f>-SUM($B$29:$E$29)</f>
        <v>100091</v>
      </c>
      <c r="S22" s="792">
        <f>SUM($B$30:$E$30)+R22</f>
        <v>123818.15103238463</v>
      </c>
    </row>
    <row r="23" spans="1:19" ht="13.15" customHeight="1">
      <c r="A23" s="316" t="s">
        <v>567</v>
      </c>
      <c r="B23" s="2602">
        <f>IF('Part III-Sources of Funds'!$N$37="", 0,-'Part III-Sources of Funds'!$N$37)</f>
        <v>-158640.76725498866</v>
      </c>
      <c r="C23" s="2602">
        <f>IF('Part III-Sources of Funds'!$N$37="", 0,-'Part III-Sources of Funds'!$N$37)</f>
        <v>-158640.76725498866</v>
      </c>
      <c r="D23" s="2602">
        <f>IF('Part III-Sources of Funds'!$N$37="", 0,-'Part III-Sources of Funds'!$N$37)</f>
        <v>-158640.76725498866</v>
      </c>
      <c r="E23" s="2602">
        <f>IF('Part III-Sources of Funds'!$N$37="", 0,-'Part III-Sources of Funds'!$N$37)</f>
        <v>-158640.76725498866</v>
      </c>
      <c r="F23" s="2602">
        <f>IF('Part III-Sources of Funds'!$N$37="", 0,-'Part III-Sources of Funds'!$N$37)</f>
        <v>-158640.76725498866</v>
      </c>
      <c r="G23" s="2602">
        <f>IF('Part III-Sources of Funds'!$N$37="", 0,-'Part III-Sources of Funds'!$N$37)</f>
        <v>-158640.76725498866</v>
      </c>
      <c r="H23" s="2602">
        <f>IF('Part III-Sources of Funds'!$N$37="", 0,-'Part III-Sources of Funds'!$N$37)</f>
        <v>-158640.76725498866</v>
      </c>
      <c r="I23" s="2602">
        <f>IF('Part III-Sources of Funds'!$N$37="", 0,-'Part III-Sources of Funds'!$N$37)</f>
        <v>-158640.76725498866</v>
      </c>
      <c r="J23" s="2602">
        <f>IF('Part III-Sources of Funds'!$N$37="", 0,-'Part III-Sources of Funds'!$N$37)</f>
        <v>-158640.76725498866</v>
      </c>
      <c r="K23" s="2602">
        <f>IF('Part III-Sources of Funds'!$N$37="", 0,-'Part III-Sources of Funds'!$N$37)</f>
        <v>-158640.76725498866</v>
      </c>
      <c r="L23" s="102"/>
      <c r="M23" s="102"/>
      <c r="N23" s="2594"/>
      <c r="O23" s="2595"/>
      <c r="P23" s="102"/>
      <c r="Q23" s="840">
        <v>5</v>
      </c>
      <c r="R23" s="792">
        <f>-SUM($B$29:$F$29)</f>
        <v>100091</v>
      </c>
      <c r="S23" s="792">
        <f>SUM($B$30:$F$30)+R23</f>
        <v>155481.92349168277</v>
      </c>
    </row>
    <row r="24" spans="1:19" ht="13.15" customHeight="1">
      <c r="A24" s="316" t="s">
        <v>568</v>
      </c>
      <c r="B24" s="2603">
        <f>IF('Part III-Sources of Funds'!$N$38="", 0,-'Part III-Sources of Funds'!$N$38)</f>
        <v>0</v>
      </c>
      <c r="C24" s="2603">
        <f>IF('Part III-Sources of Funds'!$N$38="", 0,-'Part III-Sources of Funds'!$N$38)</f>
        <v>0</v>
      </c>
      <c r="D24" s="2603">
        <f>IF('Part III-Sources of Funds'!$N$38="", 0,-'Part III-Sources of Funds'!$N$38)</f>
        <v>0</v>
      </c>
      <c r="E24" s="2603">
        <f>IF('Part III-Sources of Funds'!$N$38="", 0,-'Part III-Sources of Funds'!$N$38)</f>
        <v>0</v>
      </c>
      <c r="F24" s="2603">
        <f>IF('Part III-Sources of Funds'!$N$38="", 0,-'Part III-Sources of Funds'!$N$38)</f>
        <v>0</v>
      </c>
      <c r="G24" s="2603">
        <f>IF('Part III-Sources of Funds'!$N$38="", 0,-'Part III-Sources of Funds'!$N$38)</f>
        <v>0</v>
      </c>
      <c r="H24" s="2603">
        <f>IF('Part III-Sources of Funds'!$N$38="", 0,-'Part III-Sources of Funds'!$N$38)</f>
        <v>0</v>
      </c>
      <c r="I24" s="2603">
        <f>IF('Part III-Sources of Funds'!$N$38="", 0,-'Part III-Sources of Funds'!$N$38)</f>
        <v>0</v>
      </c>
      <c r="J24" s="2603">
        <f>IF('Part III-Sources of Funds'!$N$38="", 0,-'Part III-Sources of Funds'!$N$38)</f>
        <v>0</v>
      </c>
      <c r="K24" s="2603">
        <f>IF('Part III-Sources of Funds'!$N$38="", 0,-'Part III-Sources of Funds'!$N$38)</f>
        <v>0</v>
      </c>
      <c r="L24" s="102"/>
      <c r="M24" s="102"/>
      <c r="N24" s="2594"/>
      <c r="O24" s="2595"/>
      <c r="P24" s="102"/>
      <c r="Q24" s="840">
        <v>6</v>
      </c>
      <c r="R24" s="792">
        <f>-SUM($B$29:$G$29)</f>
        <v>100091</v>
      </c>
      <c r="S24" s="792">
        <f>SUM($B$30:$G$30)+R24</f>
        <v>187203.35633266388</v>
      </c>
    </row>
    <row r="25" spans="1:19" ht="13.15" customHeight="1">
      <c r="A25" s="316" t="s">
        <v>569</v>
      </c>
      <c r="B25" s="2603">
        <f>IF('Part III-Sources of Funds'!$N$39="", 0,-'Part III-Sources of Funds'!$N$39)</f>
        <v>0</v>
      </c>
      <c r="C25" s="2603">
        <f>IF('Part III-Sources of Funds'!$N$39="", 0,-'Part III-Sources of Funds'!$N$39)</f>
        <v>0</v>
      </c>
      <c r="D25" s="2603">
        <f>IF('Part III-Sources of Funds'!$N$39="", 0,-'Part III-Sources of Funds'!$N$39)</f>
        <v>0</v>
      </c>
      <c r="E25" s="2603">
        <f>IF('Part III-Sources of Funds'!$N$39="", 0,-'Part III-Sources of Funds'!$N$39)</f>
        <v>0</v>
      </c>
      <c r="F25" s="2603">
        <f>IF('Part III-Sources of Funds'!$N$39="", 0,-'Part III-Sources of Funds'!$N$39)</f>
        <v>0</v>
      </c>
      <c r="G25" s="2603">
        <f>IF('Part III-Sources of Funds'!$N$39="", 0,-'Part III-Sources of Funds'!$N$39)</f>
        <v>0</v>
      </c>
      <c r="H25" s="2603">
        <f>IF('Part III-Sources of Funds'!$N$39="", 0,-'Part III-Sources of Funds'!$N$39)</f>
        <v>0</v>
      </c>
      <c r="I25" s="2603">
        <f>IF('Part III-Sources of Funds'!$N$39="", 0,-'Part III-Sources of Funds'!$N$39)</f>
        <v>0</v>
      </c>
      <c r="J25" s="2603">
        <f>IF('Part III-Sources of Funds'!$N$39="", 0,-'Part III-Sources of Funds'!$N$39)</f>
        <v>0</v>
      </c>
      <c r="K25" s="2603">
        <f>IF('Part III-Sources of Funds'!$N$39="", 0,-'Part III-Sources of Funds'!$N$39)</f>
        <v>0</v>
      </c>
      <c r="L25" s="102"/>
      <c r="M25" s="102"/>
      <c r="N25" s="2594"/>
      <c r="O25" s="2595"/>
      <c r="P25" s="102"/>
      <c r="Q25" s="840">
        <v>7</v>
      </c>
      <c r="R25" s="792">
        <f>-SUM($B$29:$H$29)</f>
        <v>100091</v>
      </c>
      <c r="S25" s="792">
        <f>SUM($B$30:$H$30)+R25</f>
        <v>218859.30805058347</v>
      </c>
    </row>
    <row r="26" spans="1:19" ht="13.15" customHeight="1">
      <c r="A26" s="316" t="s">
        <v>1232</v>
      </c>
      <c r="B26" s="2603">
        <f>IF('Part III-Sources of Funds'!$N$40="", 0,-'Part III-Sources of Funds'!$N$40)</f>
        <v>0</v>
      </c>
      <c r="C26" s="2603">
        <f>IF('Part III-Sources of Funds'!$N$40="", 0,-'Part III-Sources of Funds'!$N$40)</f>
        <v>0</v>
      </c>
      <c r="D26" s="2603">
        <f>IF('Part III-Sources of Funds'!$N$40="", 0,-'Part III-Sources of Funds'!$N$40)</f>
        <v>0</v>
      </c>
      <c r="E26" s="2603">
        <f>IF('Part III-Sources of Funds'!$N$40="", 0,-'Part III-Sources of Funds'!$N$40)</f>
        <v>0</v>
      </c>
      <c r="F26" s="2603">
        <f>IF('Part III-Sources of Funds'!$N$40="", 0,-'Part III-Sources of Funds'!$N$40)</f>
        <v>0</v>
      </c>
      <c r="G26" s="2603">
        <f>IF('Part III-Sources of Funds'!$N$40="", 0,-'Part III-Sources of Funds'!$N$40)</f>
        <v>0</v>
      </c>
      <c r="H26" s="2603">
        <f>IF('Part III-Sources of Funds'!$N$40="", 0,-'Part III-Sources of Funds'!$N$40)</f>
        <v>0</v>
      </c>
      <c r="I26" s="2603">
        <f>IF('Part III-Sources of Funds'!$N$40="", 0,-'Part III-Sources of Funds'!$N$40)</f>
        <v>0</v>
      </c>
      <c r="J26" s="2603">
        <f>IF('Part III-Sources of Funds'!$N$40="", 0,-'Part III-Sources of Funds'!$N$40)</f>
        <v>0</v>
      </c>
      <c r="K26" s="2603">
        <f>IF('Part III-Sources of Funds'!$N$40="", 0,-'Part III-Sources of Funds'!$N$40)</f>
        <v>0</v>
      </c>
      <c r="L26" s="102"/>
      <c r="M26" s="102"/>
      <c r="N26" s="2594"/>
      <c r="O26" s="2595"/>
      <c r="P26" s="102"/>
      <c r="Q26" s="840">
        <v>8</v>
      </c>
      <c r="R26" s="792">
        <f>-SUM($B$29:$I$29)</f>
        <v>100091</v>
      </c>
      <c r="S26" s="792">
        <f>SUM($B$30:$I$30)+R26</f>
        <v>250319.70066923084</v>
      </c>
    </row>
    <row r="27" spans="1:19" ht="13.15" customHeight="1">
      <c r="A27" s="316" t="s">
        <v>1233</v>
      </c>
      <c r="B27" s="2604"/>
      <c r="C27" s="2604"/>
      <c r="D27" s="2604"/>
      <c r="E27" s="2604"/>
      <c r="F27" s="2604"/>
      <c r="G27" s="2604"/>
      <c r="H27" s="2604"/>
      <c r="I27" s="2604"/>
      <c r="J27" s="2604"/>
      <c r="K27" s="2604"/>
      <c r="L27" s="102"/>
      <c r="M27" s="102"/>
      <c r="N27" s="2594"/>
      <c r="O27" s="2595"/>
      <c r="P27" s="102"/>
      <c r="Q27" s="840">
        <v>9</v>
      </c>
      <c r="R27" s="792">
        <f>-SUM($B$29:$J$29)</f>
        <v>100091</v>
      </c>
      <c r="S27" s="792">
        <f>SUM($B$30:$J$30)+R27</f>
        <v>281449.28900225874</v>
      </c>
    </row>
    <row r="28" spans="1:19" ht="13.15" customHeight="1">
      <c r="A28" s="316" t="s">
        <v>1234</v>
      </c>
      <c r="B28" s="2605">
        <f>-$G$5</f>
        <v>-20000</v>
      </c>
      <c r="C28" s="2605">
        <f t="shared" ref="C28:K28" si="7">+B28</f>
        <v>-20000</v>
      </c>
      <c r="D28" s="2605">
        <f t="shared" si="7"/>
        <v>-20000</v>
      </c>
      <c r="E28" s="2605">
        <f t="shared" si="7"/>
        <v>-20000</v>
      </c>
      <c r="F28" s="2605">
        <f t="shared" si="7"/>
        <v>-20000</v>
      </c>
      <c r="G28" s="2605">
        <f t="shared" si="7"/>
        <v>-20000</v>
      </c>
      <c r="H28" s="2605">
        <f t="shared" si="7"/>
        <v>-20000</v>
      </c>
      <c r="I28" s="2605">
        <f t="shared" si="7"/>
        <v>-20000</v>
      </c>
      <c r="J28" s="2605">
        <f t="shared" si="7"/>
        <v>-20000</v>
      </c>
      <c r="K28" s="2605">
        <f t="shared" si="7"/>
        <v>-20000</v>
      </c>
      <c r="L28" s="102"/>
      <c r="M28" s="102"/>
      <c r="N28" s="2594"/>
      <c r="O28" s="2595"/>
      <c r="P28" s="102"/>
      <c r="Q28" s="840">
        <v>10</v>
      </c>
      <c r="R28" s="792">
        <f>-SUM($B$29:$K$29)</f>
        <v>100091</v>
      </c>
      <c r="S28" s="792">
        <f>SUM($B$30:$K$30)+R28</f>
        <v>312105.42193946196</v>
      </c>
    </row>
    <row r="29" spans="1:19" ht="13.15" customHeight="1">
      <c r="A29" s="316" t="s">
        <v>1235</v>
      </c>
      <c r="B29" s="2606">
        <v>-30317</v>
      </c>
      <c r="C29" s="2606">
        <v>-30810</v>
      </c>
      <c r="D29" s="2606">
        <v>-31203</v>
      </c>
      <c r="E29" s="2606">
        <v>-7761</v>
      </c>
      <c r="F29" s="2606">
        <v>0</v>
      </c>
      <c r="G29" s="2606">
        <v>0</v>
      </c>
      <c r="H29" s="2606">
        <v>0</v>
      </c>
      <c r="I29" s="2606">
        <v>0</v>
      </c>
      <c r="J29" s="2606">
        <v>0</v>
      </c>
      <c r="K29" s="2606">
        <v>0</v>
      </c>
      <c r="L29" s="102"/>
      <c r="M29" s="102"/>
      <c r="N29" s="2594"/>
      <c r="O29" s="2595"/>
      <c r="P29" s="102"/>
      <c r="Q29" s="840">
        <v>11</v>
      </c>
      <c r="R29" s="792">
        <f>-SUM($B$29:$K$29)-$B$59</f>
        <v>100091</v>
      </c>
      <c r="S29" s="792">
        <f>SUM($B$30:$K$30)+$B$60+R29</f>
        <v>342137.79549769661</v>
      </c>
    </row>
    <row r="30" spans="1:19" ht="13.15" customHeight="1">
      <c r="A30" s="316" t="s">
        <v>595</v>
      </c>
      <c r="B30" s="1332">
        <f>SUM(B22:B29)</f>
        <v>-0.20485498860944062</v>
      </c>
      <c r="C30" s="1332">
        <f t="shared" ref="C30:K30" si="8">SUM(C22:C29)</f>
        <v>6.3930113101378083E-3</v>
      </c>
      <c r="D30" s="1332">
        <f t="shared" si="8"/>
        <v>-0.33453402857412584</v>
      </c>
      <c r="E30" s="1332">
        <f t="shared" si="8"/>
        <v>23727.684028390504</v>
      </c>
      <c r="F30" s="1332">
        <f t="shared" si="8"/>
        <v>31663.772459298139</v>
      </c>
      <c r="G30" s="1332">
        <f t="shared" si="8"/>
        <v>31721.432840981113</v>
      </c>
      <c r="H30" s="1332">
        <f t="shared" si="8"/>
        <v>31655.951717919583</v>
      </c>
      <c r="I30" s="1332">
        <f t="shared" si="8"/>
        <v>31460.392618647369</v>
      </c>
      <c r="J30" s="1332">
        <f t="shared" si="8"/>
        <v>31129.588333027903</v>
      </c>
      <c r="K30" s="1332">
        <f t="shared" si="8"/>
        <v>30656.132937203249</v>
      </c>
      <c r="L30" s="102"/>
      <c r="M30" s="102"/>
      <c r="N30" s="2594"/>
      <c r="O30" s="2595"/>
      <c r="P30" s="102"/>
      <c r="Q30" s="840">
        <v>12</v>
      </c>
      <c r="R30" s="792">
        <f>-SUM($B$29:$K$29) - SUM($B$59:$C$59)</f>
        <v>100091</v>
      </c>
      <c r="S30" s="792">
        <f>SUM($B$30:$K$30) + SUM($B$60:$C$60)+R30</f>
        <v>371390.19736789865</v>
      </c>
    </row>
    <row r="31" spans="1:19" ht="13.15" customHeight="1">
      <c r="A31" s="316" t="str">
        <f>IF('Part III-Sources of Funds'!$E$37 = "Neither", "", "DCR Mortgage A")</f>
        <v>DCR Mortgage A</v>
      </c>
      <c r="B31" s="1334">
        <f t="shared" ref="B31:K31" si="9">IF(B23=0,"",-B22/B23)</f>
        <v>1.3171744313624978</v>
      </c>
      <c r="C31" s="1334">
        <f t="shared" si="9"/>
        <v>1.3202834130986183</v>
      </c>
      <c r="D31" s="1334">
        <f t="shared" si="9"/>
        <v>1.3227585591771103</v>
      </c>
      <c r="E31" s="1334">
        <f t="shared" si="9"/>
        <v>1.324561491471048</v>
      </c>
      <c r="F31" s="1334">
        <f t="shared" si="9"/>
        <v>1.3256651701403916</v>
      </c>
      <c r="G31" s="1334">
        <f t="shared" si="9"/>
        <v>1.3260286352362851</v>
      </c>
      <c r="H31" s="1334">
        <f t="shared" si="9"/>
        <v>1.3256158717064903</v>
      </c>
      <c r="I31" s="1334">
        <f t="shared" si="9"/>
        <v>1.3243831551566649</v>
      </c>
      <c r="J31" s="1334">
        <f t="shared" si="9"/>
        <v>1.3222979138196274</v>
      </c>
      <c r="K31" s="1335">
        <f t="shared" si="9"/>
        <v>1.3193134640844364</v>
      </c>
      <c r="L31" s="102"/>
      <c r="M31" s="102"/>
      <c r="N31" s="2594"/>
      <c r="O31" s="2595"/>
      <c r="P31" s="102"/>
      <c r="Q31" s="840">
        <v>13</v>
      </c>
      <c r="R31" s="792">
        <f>-SUM($B$29:$K$29) - SUM($B$59:$D$59)</f>
        <v>100091</v>
      </c>
      <c r="S31" s="792">
        <f>SUM($B$30:$K$30) + SUM($B$60:$D$60)+R31</f>
        <v>399698.24268117885</v>
      </c>
    </row>
    <row r="32" spans="1:19" ht="13.15" customHeight="1">
      <c r="A32" s="316" t="str">
        <f>IF('Part III-Sources of Funds'!$E$37 = "Neither", "", "DCR Mortgage B")</f>
        <v>DCR Mortgage B</v>
      </c>
      <c r="B32" s="1334" t="str">
        <f t="shared" ref="B32:K32" si="10">IF(B24=0,"",-(B22+B23)/B24)</f>
        <v/>
      </c>
      <c r="C32" s="1334" t="str">
        <f t="shared" si="10"/>
        <v/>
      </c>
      <c r="D32" s="1334" t="str">
        <f t="shared" si="10"/>
        <v/>
      </c>
      <c r="E32" s="1334" t="str">
        <f t="shared" si="10"/>
        <v/>
      </c>
      <c r="F32" s="1334" t="str">
        <f t="shared" si="10"/>
        <v/>
      </c>
      <c r="G32" s="1334" t="str">
        <f t="shared" si="10"/>
        <v/>
      </c>
      <c r="H32" s="1334" t="str">
        <f t="shared" si="10"/>
        <v/>
      </c>
      <c r="I32" s="1334" t="str">
        <f t="shared" si="10"/>
        <v/>
      </c>
      <c r="J32" s="1334" t="str">
        <f t="shared" si="10"/>
        <v/>
      </c>
      <c r="K32" s="1335" t="str">
        <f t="shared" si="10"/>
        <v/>
      </c>
      <c r="L32" s="102"/>
      <c r="M32" s="102"/>
      <c r="N32" s="2594"/>
      <c r="O32" s="2595"/>
      <c r="P32" s="102"/>
      <c r="Q32" s="840">
        <v>14</v>
      </c>
      <c r="R32" s="792">
        <f>-SUM($B$29:$K$29) - SUM($B$59:$E$59)</f>
        <v>100091</v>
      </c>
      <c r="S32" s="792">
        <f>SUM($B$30:$K$30) + SUM($B$60:$E$60)+R32</f>
        <v>426890.10070821573</v>
      </c>
    </row>
    <row r="33" spans="1:19" ht="13.15" customHeight="1">
      <c r="A33" s="316" t="str">
        <f>IF('Part III-Sources of Funds'!$E$37 = "Neither", "DCR First Mortgage", "DCR Mortgage C")</f>
        <v>DCR Mortgage C</v>
      </c>
      <c r="B33" s="1334" t="str">
        <f t="shared" ref="B33:K33" si="11">IF(B25=0,"",-(B22+B23+B24)/B25)</f>
        <v/>
      </c>
      <c r="C33" s="1334" t="str">
        <f t="shared" si="11"/>
        <v/>
      </c>
      <c r="D33" s="1334" t="str">
        <f t="shared" si="11"/>
        <v/>
      </c>
      <c r="E33" s="1334" t="str">
        <f t="shared" si="11"/>
        <v/>
      </c>
      <c r="F33" s="1334" t="str">
        <f t="shared" si="11"/>
        <v/>
      </c>
      <c r="G33" s="1334" t="str">
        <f t="shared" si="11"/>
        <v/>
      </c>
      <c r="H33" s="1334" t="str">
        <f t="shared" si="11"/>
        <v/>
      </c>
      <c r="I33" s="1334" t="str">
        <f t="shared" si="11"/>
        <v/>
      </c>
      <c r="J33" s="1334" t="str">
        <f t="shared" si="11"/>
        <v/>
      </c>
      <c r="K33" s="1335" t="str">
        <f t="shared" si="11"/>
        <v/>
      </c>
      <c r="L33" s="102"/>
      <c r="M33" s="102"/>
      <c r="N33" s="2594"/>
      <c r="O33" s="2595"/>
      <c r="P33" s="102"/>
      <c r="Q33" s="840">
        <v>15</v>
      </c>
      <c r="R33" s="792">
        <f>-SUM($B$29:$K$29) - SUM($B$59:$F$59)</f>
        <v>100091</v>
      </c>
      <c r="S33" s="792">
        <f>SUM($B$30:$K$30) + SUM($B$60:$F$60)+R33</f>
        <v>452786.21219715651</v>
      </c>
    </row>
    <row r="34" spans="1:19" ht="13.15" customHeight="1">
      <c r="A34" s="316" t="s">
        <v>1236</v>
      </c>
      <c r="B34" s="1334" t="str">
        <f t="shared" ref="B34:K34" si="12">IF(B26=0,"",-(B22+B23+B24+B25)/B26)</f>
        <v/>
      </c>
      <c r="C34" s="1334" t="str">
        <f t="shared" si="12"/>
        <v/>
      </c>
      <c r="D34" s="1334" t="str">
        <f t="shared" si="12"/>
        <v/>
      </c>
      <c r="E34" s="1334" t="str">
        <f t="shared" si="12"/>
        <v/>
      </c>
      <c r="F34" s="1334" t="str">
        <f t="shared" si="12"/>
        <v/>
      </c>
      <c r="G34" s="1334" t="str">
        <f t="shared" si="12"/>
        <v/>
      </c>
      <c r="H34" s="1334" t="str">
        <f t="shared" si="12"/>
        <v/>
      </c>
      <c r="I34" s="1334" t="str">
        <f t="shared" si="12"/>
        <v/>
      </c>
      <c r="J34" s="1334" t="str">
        <f t="shared" si="12"/>
        <v/>
      </c>
      <c r="K34" s="1335" t="str">
        <f t="shared" si="12"/>
        <v/>
      </c>
      <c r="L34" s="102"/>
      <c r="M34" s="102"/>
      <c r="N34" s="2594"/>
      <c r="O34" s="2595"/>
      <c r="P34" s="102"/>
      <c r="Q34" s="840">
        <v>16</v>
      </c>
      <c r="R34" s="792">
        <f>-SUM($B$29:$K$29) - SUM($B$59:$G$59)</f>
        <v>100091</v>
      </c>
      <c r="S34" s="792">
        <f>SUM($B$30:$K$30) + SUM($B$60:$G$60)+R34</f>
        <v>477196.99704592652</v>
      </c>
    </row>
    <row r="35" spans="1:19" ht="13.15" customHeight="1">
      <c r="A35" s="316" t="s">
        <v>1237</v>
      </c>
      <c r="B35" s="1334">
        <f t="shared" ref="B35:K35" si="13">IF(AND(B23=0,B24=0,B25=0,B26=0),"",-B22/(B23+B24+B25+B26))</f>
        <v>1.3171744313624978</v>
      </c>
      <c r="C35" s="1334">
        <f t="shared" si="13"/>
        <v>1.3202834130986183</v>
      </c>
      <c r="D35" s="1334">
        <f t="shared" si="13"/>
        <v>1.3227585591771103</v>
      </c>
      <c r="E35" s="1334">
        <f t="shared" si="13"/>
        <v>1.324561491471048</v>
      </c>
      <c r="F35" s="1334">
        <f t="shared" si="13"/>
        <v>1.3256651701403916</v>
      </c>
      <c r="G35" s="1334">
        <f t="shared" si="13"/>
        <v>1.3260286352362851</v>
      </c>
      <c r="H35" s="1334">
        <f t="shared" si="13"/>
        <v>1.3256158717064903</v>
      </c>
      <c r="I35" s="1334">
        <f t="shared" si="13"/>
        <v>1.3243831551566649</v>
      </c>
      <c r="J35" s="1334">
        <f t="shared" si="13"/>
        <v>1.3222979138196274</v>
      </c>
      <c r="K35" s="1335">
        <f t="shared" si="13"/>
        <v>1.3193134640844364</v>
      </c>
      <c r="L35" s="102"/>
      <c r="M35" s="102"/>
      <c r="N35" s="2594"/>
      <c r="O35" s="2595"/>
      <c r="P35" s="102"/>
      <c r="Q35" s="840">
        <v>17</v>
      </c>
      <c r="R35" s="792">
        <f>-SUM($B$29:$K$29) - SUM($B$59:$H$59)</f>
        <v>100091</v>
      </c>
      <c r="S35" s="792">
        <f>SUM($B$30:$K$30) + SUM($B$60:$H$60)+R35</f>
        <v>499926.55199527147</v>
      </c>
    </row>
    <row r="36" spans="1:19" ht="13.15" customHeight="1">
      <c r="A36" s="316" t="s">
        <v>1238</v>
      </c>
      <c r="B36" s="1336">
        <f t="shared" ref="B36:K36" si="14">IF(OR(B20="Choose mgt fee",B20="Choose One!"),"",(B14+B15+B16+B17+B18) / -(B19+B20+B21))</f>
        <v>1.5237228527388249</v>
      </c>
      <c r="C36" s="1336">
        <f t="shared" si="14"/>
        <v>1.5100461395798628</v>
      </c>
      <c r="D36" s="1336">
        <f t="shared" si="14"/>
        <v>1.4964828187037291</v>
      </c>
      <c r="E36" s="1336">
        <f t="shared" si="14"/>
        <v>1.4830294939008353</v>
      </c>
      <c r="F36" s="1336">
        <f t="shared" si="14"/>
        <v>1.4696897397102786</v>
      </c>
      <c r="G36" s="1336">
        <f t="shared" si="14"/>
        <v>1.4564602014971935</v>
      </c>
      <c r="H36" s="1336">
        <f t="shared" si="14"/>
        <v>1.4433409538343334</v>
      </c>
      <c r="I36" s="1336">
        <f t="shared" si="14"/>
        <v>1.4303290393202577</v>
      </c>
      <c r="J36" s="1336">
        <f t="shared" si="14"/>
        <v>1.4174274839055252</v>
      </c>
      <c r="K36" s="1337">
        <f t="shared" si="14"/>
        <v>1.4046333522648107</v>
      </c>
      <c r="L36" s="102"/>
      <c r="M36" s="102"/>
      <c r="N36" s="2594"/>
      <c r="O36" s="2595"/>
      <c r="P36" s="102"/>
      <c r="Q36" s="840">
        <v>18</v>
      </c>
      <c r="R36" s="792">
        <f>-SUM($B$29:$K$29) - SUM($B$59:$I$59)</f>
        <v>100091</v>
      </c>
      <c r="S36" s="792">
        <f>SUM($B$30:$K$30) + SUM($B$60:$I$60)+R36</f>
        <v>520769.33801895787</v>
      </c>
    </row>
    <row r="37" spans="1:19" ht="13.15" customHeight="1">
      <c r="A37" s="316" t="s">
        <v>1239</v>
      </c>
      <c r="B37" s="2607">
        <f>IF('Part III-Sources of Funds'!$I$37="","",-FV('Part III-Sources of Funds'!$K$37/12,12,B23/12,'Part III-Sources of Funds'!$I$37))</f>
        <v>2630007.7184017655</v>
      </c>
      <c r="C37" s="2607">
        <f>IF('Part III-Sources of Funds'!$I$37="","",-FV('Part III-Sources of Funds'!$K$37/12,12,C23/12,B37))</f>
        <v>2608940.2141791913</v>
      </c>
      <c r="D37" s="2607">
        <f>IF('Part III-Sources of Funds'!$I$37="","",-FV('Part III-Sources of Funds'!$K$37/12,12,D23/12,C37))</f>
        <v>2586739.6598308883</v>
      </c>
      <c r="E37" s="2607">
        <f>IF('Part III-Sources of Funds'!$I$37="","",-FV('Part III-Sources of Funds'!$K$37/12,12,E23/12,D37))</f>
        <v>2563345.1177833378</v>
      </c>
      <c r="F37" s="2607">
        <f>IF('Part III-Sources of Funds'!$I$37="","",-FV('Part III-Sources of Funds'!$K$37/12,12,F23/12,E37))</f>
        <v>2538692.3731253454</v>
      </c>
      <c r="G37" s="2607">
        <f>IF('Part III-Sources of Funds'!$I$37="","",-FV('Part III-Sources of Funds'!$K$37/12,12,G23/12,F37))</f>
        <v>2512713.7573466357</v>
      </c>
      <c r="H37" s="2607">
        <f>IF('Part III-Sources of Funds'!$I$37="","",-FV('Part III-Sources of Funds'!$K$37/12,12,H23/12,G37))</f>
        <v>2485337.9625967792</v>
      </c>
      <c r="I37" s="2607">
        <f>IF('Part III-Sources of Funds'!$I$37="","",-FV('Part III-Sources of Funds'!$K$37/12,12,I23/12,H37))</f>
        <v>2456489.8459546114</v>
      </c>
      <c r="J37" s="2607">
        <f>IF('Part III-Sources of Funds'!$I$37="","",-FV('Part III-Sources of Funds'!$K$37/12,12,J23/12,I37))</f>
        <v>2426090.2231708942</v>
      </c>
      <c r="K37" s="2607">
        <f>IF('Part III-Sources of Funds'!$I$37="","",-FV('Part III-Sources of Funds'!$K$37/12,12,K23/12,J37))</f>
        <v>2394055.6513180654</v>
      </c>
      <c r="L37" s="102"/>
      <c r="M37" s="102"/>
      <c r="N37" s="2594"/>
      <c r="O37" s="2595"/>
      <c r="P37" s="102"/>
      <c r="Q37" s="840">
        <v>19</v>
      </c>
      <c r="R37" s="792">
        <f>-SUM($B$29:$K$29) - SUM($B$59:$J$59)</f>
        <v>100091</v>
      </c>
      <c r="S37" s="792">
        <f>SUM($B$30:$K$30) + SUM($B$60:$J$60)+R37</f>
        <v>539508.85707737971</v>
      </c>
    </row>
    <row r="38" spans="1:19" ht="13.15" customHeight="1">
      <c r="A38" s="316" t="s">
        <v>1240</v>
      </c>
      <c r="B38" s="2603" t="str">
        <f>IF('Part III-Sources of Funds'!$I$38="","",-FV('Part III-Sources of Funds'!$K$38/12,12,B24/12,'Part III-Sources of Funds'!$I$38))</f>
        <v/>
      </c>
      <c r="C38" s="2603" t="str">
        <f>IF('Part III-Sources of Funds'!$I$38="","",-FV('Part III-Sources of Funds'!$K$38/12,12,C24/12,B38))</f>
        <v/>
      </c>
      <c r="D38" s="2603" t="str">
        <f>IF('Part III-Sources of Funds'!$I$38="","",-FV('Part III-Sources of Funds'!$K$38/12,12,D24/12,C38))</f>
        <v/>
      </c>
      <c r="E38" s="2603" t="str">
        <f>IF('Part III-Sources of Funds'!$I$38="","",-FV('Part III-Sources of Funds'!$K$38/12,12,E24/12,D38))</f>
        <v/>
      </c>
      <c r="F38" s="2603" t="str">
        <f>IF('Part III-Sources of Funds'!$I$38="","",-FV('Part III-Sources of Funds'!$K$38/12,12,F24/12,E38))</f>
        <v/>
      </c>
      <c r="G38" s="2603" t="str">
        <f>IF('Part III-Sources of Funds'!$I$38="","",-FV('Part III-Sources of Funds'!$K$38/12,12,G24/12,F38))</f>
        <v/>
      </c>
      <c r="H38" s="2603" t="str">
        <f>IF('Part III-Sources of Funds'!$I$38="","",-FV('Part III-Sources of Funds'!$K$38/12,12,H24/12,G38))</f>
        <v/>
      </c>
      <c r="I38" s="2603" t="str">
        <f>IF('Part III-Sources of Funds'!$I$38="","",-FV('Part III-Sources of Funds'!$K$38/12,12,I24/12,H38))</f>
        <v/>
      </c>
      <c r="J38" s="2603" t="str">
        <f>IF('Part III-Sources of Funds'!$I$38="","",-FV('Part III-Sources of Funds'!$K$38/12,12,J24/12,I38))</f>
        <v/>
      </c>
      <c r="K38" s="2603" t="str">
        <f>IF('Part III-Sources of Funds'!$I$38="","",-FV('Part III-Sources of Funds'!$K$38/12,12,K24/12,J38))</f>
        <v/>
      </c>
      <c r="L38" s="102"/>
      <c r="M38" s="102"/>
      <c r="N38" s="2594"/>
      <c r="O38" s="2595"/>
      <c r="P38" s="102"/>
      <c r="Q38" s="840">
        <v>20</v>
      </c>
      <c r="R38" s="792">
        <f>-SUM($B$29:$K$29) - SUM($B$59:$K$59)</f>
        <v>100091</v>
      </c>
      <c r="S38" s="792">
        <f>SUM($B$30:$K$30) + SUM($B$60:$K$60)+R38</f>
        <v>555921.31789030693</v>
      </c>
    </row>
    <row r="39" spans="1:19" ht="13.15" customHeight="1">
      <c r="A39" s="316" t="s">
        <v>1241</v>
      </c>
      <c r="B39" s="2603" t="str">
        <f>IF('Part III-Sources of Funds'!$I$39="","",-FV('Part III-Sources of Funds'!$K$39/12,12,B25/12,'Part III-Sources of Funds'!$I$39))</f>
        <v/>
      </c>
      <c r="C39" s="2603" t="str">
        <f>IF('Part III-Sources of Funds'!$I$39="","",-FV('Part III-Sources of Funds'!$K$39/12,12,C25/12,B39))</f>
        <v/>
      </c>
      <c r="D39" s="2603" t="str">
        <f>IF('Part III-Sources of Funds'!$I$39="","",-FV('Part III-Sources of Funds'!$K$39/12,12,D25/12,C39))</f>
        <v/>
      </c>
      <c r="E39" s="2603" t="str">
        <f>IF('Part III-Sources of Funds'!$I$39="","",-FV('Part III-Sources of Funds'!$K$39/12,12,E25/12,D39))</f>
        <v/>
      </c>
      <c r="F39" s="2603" t="str">
        <f>IF('Part III-Sources of Funds'!$I$39="","",-FV('Part III-Sources of Funds'!$K$39/12,12,F25/12,E39))</f>
        <v/>
      </c>
      <c r="G39" s="2603" t="str">
        <f>IF('Part III-Sources of Funds'!$I$39="","",-FV('Part III-Sources of Funds'!$K$39/12,12,G25/12,F39))</f>
        <v/>
      </c>
      <c r="H39" s="2603" t="str">
        <f>IF('Part III-Sources of Funds'!$I$39="","",-FV('Part III-Sources of Funds'!$K$39/12,12,H25/12,G39))</f>
        <v/>
      </c>
      <c r="I39" s="2603" t="str">
        <f>IF('Part III-Sources of Funds'!$I$39="","",-FV('Part III-Sources of Funds'!$K$39/12,12,I25/12,H39))</f>
        <v/>
      </c>
      <c r="J39" s="2603" t="str">
        <f>IF('Part III-Sources of Funds'!$I$39="","",-FV('Part III-Sources of Funds'!$K$39/12,12,J25/12,I39))</f>
        <v/>
      </c>
      <c r="K39" s="2603" t="str">
        <f>IF('Part III-Sources of Funds'!$I$39="","",-FV('Part III-Sources of Funds'!$K$39/12,12,K25/12,J39))</f>
        <v/>
      </c>
      <c r="L39" s="102"/>
      <c r="M39" s="102"/>
      <c r="N39" s="2594"/>
      <c r="O39" s="2595"/>
      <c r="P39" s="102"/>
      <c r="Q39" s="102"/>
      <c r="R39" s="102"/>
      <c r="S39" s="102"/>
    </row>
    <row r="40" spans="1:19" ht="13.15" customHeight="1">
      <c r="A40" s="316" t="s">
        <v>1242</v>
      </c>
      <c r="B40" s="2603" t="str">
        <f>IF('Part III-Sources of Funds'!$I$40="","",-FV('Part III-Sources of Funds'!$K$40/12,12,B26/12,'Part III-Sources of Funds'!$I$40))</f>
        <v/>
      </c>
      <c r="C40" s="2603" t="str">
        <f>IF('Part III-Sources of Funds'!$I$40="","",-FV('Part III-Sources of Funds'!$K$40/12,12,C26/12,B40))</f>
        <v/>
      </c>
      <c r="D40" s="2603" t="str">
        <f>IF('Part III-Sources of Funds'!$I$40="","",-FV('Part III-Sources of Funds'!$K$40/12,12,D26/12,C40))</f>
        <v/>
      </c>
      <c r="E40" s="2603" t="str">
        <f>IF('Part III-Sources of Funds'!$I$40="","",-FV('Part III-Sources of Funds'!$K$40/12,12,E26/12,D40))</f>
        <v/>
      </c>
      <c r="F40" s="2603" t="str">
        <f>IF('Part III-Sources of Funds'!$I$40="","",-FV('Part III-Sources of Funds'!$K$40/12,12,F26/12,E40))</f>
        <v/>
      </c>
      <c r="G40" s="2603" t="str">
        <f>IF('Part III-Sources of Funds'!$I$40="","",-FV('Part III-Sources of Funds'!$K$40/12,12,G26/12,F40))</f>
        <v/>
      </c>
      <c r="H40" s="2603" t="str">
        <f>IF('Part III-Sources of Funds'!$I$40="","",-FV('Part III-Sources of Funds'!$K$40/12,12,H26/12,G40))</f>
        <v/>
      </c>
      <c r="I40" s="2603" t="str">
        <f>IF('Part III-Sources of Funds'!$I$40="","",-FV('Part III-Sources of Funds'!$K$40/12,12,I26/12,H40))</f>
        <v/>
      </c>
      <c r="J40" s="2603" t="str">
        <f>IF('Part III-Sources of Funds'!$I$40="","",-FV('Part III-Sources of Funds'!$K$40/12,12,J26/12,I40))</f>
        <v/>
      </c>
      <c r="K40" s="2603" t="str">
        <f>IF('Part III-Sources of Funds'!$I$40="","",-FV('Part III-Sources of Funds'!$K$40/12,12,K26/12,J40))</f>
        <v/>
      </c>
      <c r="L40" s="102"/>
      <c r="M40" s="102"/>
      <c r="N40" s="2594"/>
      <c r="O40" s="2595"/>
      <c r="P40" s="102"/>
      <c r="Q40" s="102"/>
      <c r="R40" s="102"/>
      <c r="S40" s="102"/>
    </row>
    <row r="41" spans="1:19" ht="13.15" customHeight="1">
      <c r="A41" s="316" t="s">
        <v>1243</v>
      </c>
      <c r="B41" s="2606">
        <f>IF('Part III-Sources of Funds'!$I$42="","",-FV('Part III-Sources of Funds'!$K$42/12,12,B29/12,'Part III-Sources of Funds'!$I$42))</f>
        <v>69774</v>
      </c>
      <c r="C41" s="2606">
        <f>IF('Part III-Sources of Funds'!$I$42="","",IF(-FV('Part III-Sources of Funds'!$K$42/12,12,C29/12,B41)&gt;0,-FV('Part III-Sources of Funds'!$K$42/12,12,C29/12,B41),0))</f>
        <v>38964</v>
      </c>
      <c r="D41" s="2606">
        <f>IF('Part III-Sources of Funds'!$I$42="","",IF(-FV('Part III-Sources of Funds'!$K$42/12,12,D29/12,C41)&gt;0,-FV('Part III-Sources of Funds'!$K$42/12,12,D29/12,C41),0))</f>
        <v>7761</v>
      </c>
      <c r="E41" s="2606">
        <f>IF('Part III-Sources of Funds'!$I$42="","",IF(-FV('Part III-Sources of Funds'!$K$42/12,12,E29/12,D41)&gt;0,-FV('Part III-Sources of Funds'!$K$42/12,12,E29/12,D41),0))</f>
        <v>0</v>
      </c>
      <c r="F41" s="2606">
        <f>IF('Part III-Sources of Funds'!$I$42="","",IF(-FV('Part III-Sources of Funds'!$K$42/12,12,F29/12,E41)&gt;0,-FV('Part III-Sources of Funds'!$K$42/12,12,F29/12,E41),0))</f>
        <v>0</v>
      </c>
      <c r="G41" s="2606">
        <f>IF('Part III-Sources of Funds'!$I$42="","",IF(-FV('Part III-Sources of Funds'!$K$42/12,12,G29/12,F41)&gt;0,-FV('Part III-Sources of Funds'!$K$42/12,12,G29/12,F41),0))</f>
        <v>0</v>
      </c>
      <c r="H41" s="2606">
        <f>IF('Part III-Sources of Funds'!$I$42="","",IF(-FV('Part III-Sources of Funds'!$K$42/12,12,H29/12,G41)&gt;0,-FV('Part III-Sources of Funds'!$K$42/12,12,H29/12,G41),0))</f>
        <v>0</v>
      </c>
      <c r="I41" s="2606">
        <f>IF('Part III-Sources of Funds'!$I$42="","",IF(-FV('Part III-Sources of Funds'!$K$42/12,12,I29/12,H41)&gt;0,-FV('Part III-Sources of Funds'!$K$42/12,12,I29/12,H41),0))</f>
        <v>0</v>
      </c>
      <c r="J41" s="2606">
        <f>IF('Part III-Sources of Funds'!$I$42="","",IF(-FV('Part III-Sources of Funds'!$K$42/12,12,J29/12,I41)&gt;0,-FV('Part III-Sources of Funds'!$K$42/12,12,J29/12,I41),0))</f>
        <v>0</v>
      </c>
      <c r="K41" s="2606">
        <f>IF('Part III-Sources of Funds'!$I$42="","",IF(-FV('Part III-Sources of Funds'!$K$42/12,12,K29/12,J41)&gt;0,-FV('Part III-Sources of Funds'!$K$42/12,12,K29/12,J41),0))</f>
        <v>0</v>
      </c>
      <c r="L41" s="102"/>
      <c r="M41" s="102"/>
      <c r="N41" s="2600"/>
      <c r="O41" s="2601"/>
      <c r="P41" s="102"/>
      <c r="Q41" s="102"/>
      <c r="R41" s="102"/>
      <c r="S41" s="102"/>
    </row>
    <row r="42" spans="1:19" ht="4.1500000000000004" customHeight="1">
      <c r="A42" s="102"/>
      <c r="B42" s="1338"/>
      <c r="C42" s="1338"/>
      <c r="D42" s="1338"/>
      <c r="E42" s="1338"/>
      <c r="F42" s="1338"/>
      <c r="G42" s="1338"/>
      <c r="H42" s="1338"/>
      <c r="I42" s="1338"/>
      <c r="J42" s="1338"/>
      <c r="K42" s="1338"/>
      <c r="L42" s="102"/>
      <c r="M42" s="102"/>
      <c r="N42" s="102"/>
      <c r="O42" s="102"/>
      <c r="P42" s="102"/>
      <c r="Q42" s="102"/>
      <c r="R42" s="102"/>
      <c r="S42" s="102"/>
    </row>
    <row r="43" spans="1:19" ht="14.45" customHeight="1">
      <c r="A43" s="8" t="s">
        <v>627</v>
      </c>
      <c r="B43" s="10">
        <f>K13+1</f>
        <v>11</v>
      </c>
      <c r="C43" s="10">
        <f t="shared" ref="C43:K43" si="15">B43+1</f>
        <v>12</v>
      </c>
      <c r="D43" s="10">
        <f t="shared" si="15"/>
        <v>13</v>
      </c>
      <c r="E43" s="10">
        <f t="shared" si="15"/>
        <v>14</v>
      </c>
      <c r="F43" s="10">
        <f t="shared" si="15"/>
        <v>15</v>
      </c>
      <c r="G43" s="10">
        <f t="shared" si="15"/>
        <v>16</v>
      </c>
      <c r="H43" s="10">
        <f t="shared" si="15"/>
        <v>17</v>
      </c>
      <c r="I43" s="10">
        <f t="shared" si="15"/>
        <v>18</v>
      </c>
      <c r="J43" s="10">
        <f t="shared" si="15"/>
        <v>19</v>
      </c>
      <c r="K43" s="10">
        <f t="shared" si="15"/>
        <v>20</v>
      </c>
      <c r="L43" s="102"/>
      <c r="M43" s="102"/>
      <c r="N43" s="1666" t="s">
        <v>1144</v>
      </c>
      <c r="O43" s="1666"/>
      <c r="P43" s="102"/>
      <c r="Q43" s="102"/>
      <c r="R43" s="102"/>
      <c r="S43" s="102"/>
    </row>
    <row r="44" spans="1:19" ht="13.15" customHeight="1">
      <c r="A44" s="1396" t="s">
        <v>1221</v>
      </c>
      <c r="B44" s="1355">
        <f t="shared" ref="B44:K44" si="16">$B$14*(1+$B$5)^(B43-1)</f>
        <v>781234.01986391994</v>
      </c>
      <c r="C44" s="1355">
        <f t="shared" si="16"/>
        <v>796858.70026119822</v>
      </c>
      <c r="D44" s="1355">
        <f t="shared" si="16"/>
        <v>812795.87426642224</v>
      </c>
      <c r="E44" s="1355">
        <f t="shared" si="16"/>
        <v>829051.79175175063</v>
      </c>
      <c r="F44" s="1355">
        <f t="shared" si="16"/>
        <v>845632.82758678577</v>
      </c>
      <c r="G44" s="1355">
        <f t="shared" si="16"/>
        <v>862545.48413852125</v>
      </c>
      <c r="H44" s="1355">
        <f t="shared" si="16"/>
        <v>879796.39382129186</v>
      </c>
      <c r="I44" s="1355">
        <f t="shared" si="16"/>
        <v>897392.32169771777</v>
      </c>
      <c r="J44" s="1355">
        <f t="shared" si="16"/>
        <v>915340.16813167196</v>
      </c>
      <c r="K44" s="1356">
        <f t="shared" si="16"/>
        <v>933646.97149430541</v>
      </c>
      <c r="L44" s="102"/>
      <c r="M44" s="102"/>
      <c r="N44" s="2592"/>
      <c r="O44" s="2593"/>
      <c r="P44" s="102"/>
      <c r="Q44" s="102"/>
      <c r="R44" s="102"/>
      <c r="S44" s="102"/>
    </row>
    <row r="45" spans="1:19" ht="13.15" customHeight="1">
      <c r="A45" s="316" t="s">
        <v>1135</v>
      </c>
      <c r="B45" s="1332">
        <f t="shared" ref="B45:K45" si="17">$B$15*(1+$B$5)^(B43-1)</f>
        <v>15624.680397278398</v>
      </c>
      <c r="C45" s="1332">
        <f t="shared" si="17"/>
        <v>15937.174005223964</v>
      </c>
      <c r="D45" s="1332">
        <f t="shared" si="17"/>
        <v>16255.917485328446</v>
      </c>
      <c r="E45" s="1332">
        <f t="shared" si="17"/>
        <v>16581.035835035014</v>
      </c>
      <c r="F45" s="1332">
        <f t="shared" si="17"/>
        <v>16912.656551735716</v>
      </c>
      <c r="G45" s="1332">
        <f t="shared" si="17"/>
        <v>17250.909682770423</v>
      </c>
      <c r="H45" s="1332">
        <f t="shared" si="17"/>
        <v>17595.927876425838</v>
      </c>
      <c r="I45" s="1332">
        <f t="shared" si="17"/>
        <v>17947.846433954353</v>
      </c>
      <c r="J45" s="1332">
        <f t="shared" si="17"/>
        <v>18306.80336263344</v>
      </c>
      <c r="K45" s="1333">
        <f t="shared" si="17"/>
        <v>18672.939429886108</v>
      </c>
      <c r="L45" s="102"/>
      <c r="M45" s="102"/>
      <c r="N45" s="2594"/>
      <c r="O45" s="2595"/>
      <c r="P45" s="102"/>
      <c r="Q45" s="102"/>
      <c r="R45" s="102"/>
      <c r="S45" s="102"/>
    </row>
    <row r="46" spans="1:19" ht="13.15" customHeight="1">
      <c r="A46" s="316" t="s">
        <v>1223</v>
      </c>
      <c r="B46" s="1332">
        <f t="shared" ref="B46:K46" si="18">-(B44+B45)*$B$8</f>
        <v>-55780.109018283889</v>
      </c>
      <c r="C46" s="1332">
        <f t="shared" si="18"/>
        <v>-56895.711198649566</v>
      </c>
      <c r="D46" s="1332">
        <f t="shared" si="18"/>
        <v>-58033.62542262255</v>
      </c>
      <c r="E46" s="1332">
        <f t="shared" si="18"/>
        <v>-59194.297931075002</v>
      </c>
      <c r="F46" s="1332">
        <f t="shared" si="18"/>
        <v>-60378.183889696513</v>
      </c>
      <c r="G46" s="1332">
        <f t="shared" si="18"/>
        <v>-61585.74756749042</v>
      </c>
      <c r="H46" s="1332">
        <f t="shared" si="18"/>
        <v>-62817.462518840242</v>
      </c>
      <c r="I46" s="1332">
        <f t="shared" si="18"/>
        <v>-64073.811769217049</v>
      </c>
      <c r="J46" s="1332">
        <f t="shared" si="18"/>
        <v>-65355.288004601382</v>
      </c>
      <c r="K46" s="1333">
        <f t="shared" si="18"/>
        <v>-66662.393764693406</v>
      </c>
      <c r="L46" s="102"/>
      <c r="M46" s="102"/>
      <c r="N46" s="2594"/>
      <c r="O46" s="2595"/>
      <c r="P46" s="102"/>
      <c r="Q46" s="102"/>
      <c r="R46" s="102"/>
      <c r="S46" s="102"/>
    </row>
    <row r="47" spans="1:19" ht="13.15" customHeight="1">
      <c r="A47" s="316" t="s">
        <v>1226</v>
      </c>
      <c r="B47" s="1332">
        <f>'Part VI-Revenues &amp; Expenses'!G137</f>
        <v>0</v>
      </c>
      <c r="C47" s="1332">
        <f>'Part VI-Revenues &amp; Expenses'!H137</f>
        <v>0</v>
      </c>
      <c r="D47" s="1332">
        <f>'Part VI-Revenues &amp; Expenses'!I137</f>
        <v>0</v>
      </c>
      <c r="E47" s="1332">
        <f>'Part VI-Revenues &amp; Expenses'!J137</f>
        <v>0</v>
      </c>
      <c r="F47" s="1332">
        <f>'Part VI-Revenues &amp; Expenses'!K137</f>
        <v>0</v>
      </c>
      <c r="G47" s="1332">
        <f>'Part VI-Revenues &amp; Expenses'!L137</f>
        <v>0</v>
      </c>
      <c r="H47" s="1332">
        <f>'Part VI-Revenues &amp; Expenses'!M137</f>
        <v>0</v>
      </c>
      <c r="I47" s="1332">
        <f>'Part VI-Revenues &amp; Expenses'!N137</f>
        <v>0</v>
      </c>
      <c r="J47" s="1332">
        <f>'Part VI-Revenues &amp; Expenses'!O137</f>
        <v>0</v>
      </c>
      <c r="K47" s="1333">
        <f>'Part VI-Revenues &amp; Expenses'!P137</f>
        <v>0</v>
      </c>
      <c r="L47" s="102"/>
      <c r="M47" s="102"/>
      <c r="N47" s="2594"/>
      <c r="O47" s="2595"/>
      <c r="P47" s="102"/>
      <c r="Q47" s="102"/>
      <c r="R47" s="102"/>
      <c r="S47" s="102"/>
    </row>
    <row r="48" spans="1:19" ht="13.15" customHeight="1">
      <c r="A48" s="316" t="s">
        <v>1227</v>
      </c>
      <c r="B48" s="1332">
        <f>'Part VI-Revenues &amp; Expenses'!G141</f>
        <v>0</v>
      </c>
      <c r="C48" s="1332">
        <f>'Part VI-Revenues &amp; Expenses'!H141</f>
        <v>0</v>
      </c>
      <c r="D48" s="1332">
        <f>'Part VI-Revenues &amp; Expenses'!I141</f>
        <v>0</v>
      </c>
      <c r="E48" s="1332">
        <f>'Part VI-Revenues &amp; Expenses'!J141</f>
        <v>0</v>
      </c>
      <c r="F48" s="1332">
        <f>'Part VI-Revenues &amp; Expenses'!K141</f>
        <v>0</v>
      </c>
      <c r="G48" s="1332">
        <f>'Part VI-Revenues &amp; Expenses'!L141</f>
        <v>0</v>
      </c>
      <c r="H48" s="1332">
        <f>'Part VI-Revenues &amp; Expenses'!M141</f>
        <v>0</v>
      </c>
      <c r="I48" s="1332">
        <f>'Part VI-Revenues &amp; Expenses'!N141</f>
        <v>0</v>
      </c>
      <c r="J48" s="1332">
        <f>'Part VI-Revenues &amp; Expenses'!O141</f>
        <v>0</v>
      </c>
      <c r="K48" s="1333">
        <f>'Part VI-Revenues &amp; Expenses'!P141</f>
        <v>0</v>
      </c>
      <c r="L48" s="102"/>
      <c r="M48" s="102"/>
      <c r="N48" s="2594"/>
      <c r="O48" s="2595"/>
      <c r="P48" s="102"/>
      <c r="Q48" s="102"/>
      <c r="R48" s="102"/>
      <c r="S48" s="102"/>
    </row>
    <row r="49" spans="1:18" ht="13.15" customHeight="1">
      <c r="A49" s="316" t="s">
        <v>1228</v>
      </c>
      <c r="B49" s="1332">
        <f t="shared" ref="B49:K49" si="19">$B$19*(1+$B$6)^(B43-1)</f>
        <v>-470488.99741182488</v>
      </c>
      <c r="C49" s="1332">
        <f t="shared" si="19"/>
        <v>-484603.66733417968</v>
      </c>
      <c r="D49" s="1332">
        <f t="shared" si="19"/>
        <v>-499141.77735420497</v>
      </c>
      <c r="E49" s="1332">
        <f t="shared" si="19"/>
        <v>-514116.03067483113</v>
      </c>
      <c r="F49" s="1332">
        <f t="shared" si="19"/>
        <v>-529539.51159507607</v>
      </c>
      <c r="G49" s="1332">
        <f t="shared" si="19"/>
        <v>-545425.69694292836</v>
      </c>
      <c r="H49" s="1332">
        <f t="shared" si="19"/>
        <v>-561788.46785121621</v>
      </c>
      <c r="I49" s="1332">
        <f t="shared" si="19"/>
        <v>-578642.12188675266</v>
      </c>
      <c r="J49" s="1332">
        <f t="shared" si="19"/>
        <v>-596001.38554335525</v>
      </c>
      <c r="K49" s="1333">
        <f t="shared" si="19"/>
        <v>-613881.42710965592</v>
      </c>
      <c r="L49" s="102"/>
      <c r="M49" s="102"/>
      <c r="N49" s="2594"/>
      <c r="O49" s="2595"/>
      <c r="P49" s="102"/>
      <c r="Q49" s="102"/>
      <c r="R49" s="102"/>
    </row>
    <row r="50" spans="1:18" ht="13.15" customHeight="1">
      <c r="A50" s="316" t="s">
        <v>1229</v>
      </c>
      <c r="B50" s="1332">
        <f>IF(AND('Part VII-Pro Forma'!$G$8="Yes",'Part VII-Pro Forma'!$G$9="Yes"),"Choose One!",IF('Part VII-Pro Forma'!$G$8="Yes",ROUND((-$K$8*(1+'Part VII-Pro Forma'!$B$6)^('Part VII-Pro Forma'!B43-1)),),IF('Part VII-Pro Forma'!$G$9="Yes",ROUND((-(SUM(B44:B47)*'Part VII-Pro Forma'!$K$9)),),"Choose mgt fee")))</f>
        <v>-37054</v>
      </c>
      <c r="C50" s="1332">
        <f>IF(AND('Part VII-Pro Forma'!$G$8="Yes",'Part VII-Pro Forma'!$G$9="Yes"),"Choose One!",IF('Part VII-Pro Forma'!$G$8="Yes",ROUND((-$K$8*(1+'Part VII-Pro Forma'!$B$6)^('Part VII-Pro Forma'!C43-1)),),IF('Part VII-Pro Forma'!$G$9="Yes",ROUND((-(SUM(C44:C47)*'Part VII-Pro Forma'!$K$9)),),"Choose mgt fee")))</f>
        <v>-37795</v>
      </c>
      <c r="D50" s="1332">
        <f>IF(AND('Part VII-Pro Forma'!$G$8="Yes",'Part VII-Pro Forma'!$G$9="Yes"),"Choose One!",IF('Part VII-Pro Forma'!$G$8="Yes",ROUND((-$K$8*(1+'Part VII-Pro Forma'!$B$6)^('Part VII-Pro Forma'!D43-1)),),IF('Part VII-Pro Forma'!$G$9="Yes",ROUND((-(SUM(D44:D47)*'Part VII-Pro Forma'!$K$9)),),"Choose mgt fee")))</f>
        <v>-38551</v>
      </c>
      <c r="E50" s="1332">
        <f>IF(AND('Part VII-Pro Forma'!$G$8="Yes",'Part VII-Pro Forma'!$G$9="Yes"),"Choose One!",IF('Part VII-Pro Forma'!$G$8="Yes",ROUND((-$K$8*(1+'Part VII-Pro Forma'!$B$6)^('Part VII-Pro Forma'!E43-1)),),IF('Part VII-Pro Forma'!$G$9="Yes",ROUND((-(SUM(E44:E47)*'Part VII-Pro Forma'!$K$9)),),"Choose mgt fee")))</f>
        <v>-39322</v>
      </c>
      <c r="F50" s="1332">
        <f>IF(AND('Part VII-Pro Forma'!$G$8="Yes",'Part VII-Pro Forma'!$G$9="Yes"),"Choose One!",IF('Part VII-Pro Forma'!$G$8="Yes",ROUND((-$K$8*(1+'Part VII-Pro Forma'!$B$6)^('Part VII-Pro Forma'!F43-1)),),IF('Part VII-Pro Forma'!$G$9="Yes",ROUND((-(SUM(F44:F47)*'Part VII-Pro Forma'!$K$9)),),"Choose mgt fee")))</f>
        <v>-40108</v>
      </c>
      <c r="G50" s="1332">
        <f>IF(AND('Part VII-Pro Forma'!$G$8="Yes",'Part VII-Pro Forma'!$G$9="Yes"),"Choose One!",IF('Part VII-Pro Forma'!$G$8="Yes",ROUND((-$K$8*(1+'Part VII-Pro Forma'!$B$6)^('Part VII-Pro Forma'!G43-1)),),IF('Part VII-Pro Forma'!$G$9="Yes",ROUND((-(SUM(G44:G47)*'Part VII-Pro Forma'!$K$9)),),"Choose mgt fee")))</f>
        <v>-40911</v>
      </c>
      <c r="H50" s="1332">
        <f>IF(AND('Part VII-Pro Forma'!$G$8="Yes",'Part VII-Pro Forma'!$G$9="Yes"),"Choose One!",IF('Part VII-Pro Forma'!$G$8="Yes",ROUND((-$K$8*(1+'Part VII-Pro Forma'!$B$6)^('Part VII-Pro Forma'!H43-1)),),IF('Part VII-Pro Forma'!$G$9="Yes",ROUND((-(SUM(H44:H47)*'Part VII-Pro Forma'!$K$9)),),"Choose mgt fee")))</f>
        <v>-41729</v>
      </c>
      <c r="I50" s="1332">
        <f>IF(AND('Part VII-Pro Forma'!$G$8="Yes",'Part VII-Pro Forma'!$G$9="Yes"),"Choose One!",IF('Part VII-Pro Forma'!$G$8="Yes",ROUND((-$K$8*(1+'Part VII-Pro Forma'!$B$6)^('Part VII-Pro Forma'!I43-1)),),IF('Part VII-Pro Forma'!$G$9="Yes",ROUND((-(SUM(I44:I47)*'Part VII-Pro Forma'!$K$9)),),"Choose mgt fee")))</f>
        <v>-42563</v>
      </c>
      <c r="J50" s="1332">
        <f>IF(AND('Part VII-Pro Forma'!$G$8="Yes",'Part VII-Pro Forma'!$G$9="Yes"),"Choose One!",IF('Part VII-Pro Forma'!$G$8="Yes",ROUND((-$K$8*(1+'Part VII-Pro Forma'!$B$6)^('Part VII-Pro Forma'!J43-1)),),IF('Part VII-Pro Forma'!$G$9="Yes",ROUND((-(SUM(J44:J47)*'Part VII-Pro Forma'!$K$9)),),"Choose mgt fee")))</f>
        <v>-43415</v>
      </c>
      <c r="K50" s="1332">
        <f>IF(AND('Part VII-Pro Forma'!$G$8="Yes",'Part VII-Pro Forma'!$G$9="Yes"),"Choose One!",IF('Part VII-Pro Forma'!$G$8="Yes",ROUND((-$K$8*(1+'Part VII-Pro Forma'!$B$6)^('Part VII-Pro Forma'!K43-1)),),IF('Part VII-Pro Forma'!$G$9="Yes",ROUND((-(SUM(K44:K47)*'Part VII-Pro Forma'!$K$9)),),"Choose mgt fee")))</f>
        <v>-44283</v>
      </c>
      <c r="L50" s="102"/>
      <c r="M50" s="102"/>
      <c r="N50" s="2594"/>
      <c r="O50" s="2595"/>
      <c r="P50" s="102"/>
      <c r="Q50" s="102"/>
      <c r="R50" s="102"/>
    </row>
    <row r="51" spans="1:18" ht="13.15" customHeight="1">
      <c r="A51" s="316" t="s">
        <v>1230</v>
      </c>
      <c r="B51" s="1332">
        <f t="shared" ref="B51:K51" si="20">$B$21*(1+$B$7)^(B43-1)</f>
        <v>-24862.453017866254</v>
      </c>
      <c r="C51" s="1332">
        <f t="shared" si="20"/>
        <v>-25608.32660840224</v>
      </c>
      <c r="D51" s="1332">
        <f t="shared" si="20"/>
        <v>-26376.576406654305</v>
      </c>
      <c r="E51" s="1332">
        <f t="shared" si="20"/>
        <v>-27167.873698853931</v>
      </c>
      <c r="F51" s="1332">
        <f t="shared" si="20"/>
        <v>-27982.909909819555</v>
      </c>
      <c r="G51" s="1332">
        <f t="shared" si="20"/>
        <v>-28822.397207114143</v>
      </c>
      <c r="H51" s="1332">
        <f t="shared" si="20"/>
        <v>-29687.069123327561</v>
      </c>
      <c r="I51" s="1332">
        <f t="shared" si="20"/>
        <v>-30577.681197027388</v>
      </c>
      <c r="J51" s="1332">
        <f t="shared" si="20"/>
        <v>-31495.011632938211</v>
      </c>
      <c r="K51" s="1333">
        <f t="shared" si="20"/>
        <v>-32439.861981926355</v>
      </c>
      <c r="L51" s="102"/>
      <c r="M51" s="102"/>
      <c r="N51" s="2594"/>
      <c r="O51" s="2595"/>
      <c r="P51" s="102"/>
      <c r="Q51" s="102"/>
      <c r="R51" s="102"/>
    </row>
    <row r="52" spans="1:18" ht="13.15" customHeight="1">
      <c r="A52" s="316" t="s">
        <v>1231</v>
      </c>
      <c r="B52" s="1332">
        <f t="shared" ref="B52:K52" si="21">SUM(B44:B51)</f>
        <v>208673.14081322332</v>
      </c>
      <c r="C52" s="1332">
        <f t="shared" si="21"/>
        <v>207893.1691251907</v>
      </c>
      <c r="D52" s="1332">
        <f t="shared" si="21"/>
        <v>206948.8125682688</v>
      </c>
      <c r="E52" s="1332">
        <f t="shared" si="21"/>
        <v>205832.6252820256</v>
      </c>
      <c r="F52" s="1332">
        <f t="shared" si="21"/>
        <v>204536.87874392938</v>
      </c>
      <c r="G52" s="1332">
        <f t="shared" si="21"/>
        <v>203051.55210375867</v>
      </c>
      <c r="H52" s="1332">
        <f t="shared" si="21"/>
        <v>201370.32220433367</v>
      </c>
      <c r="I52" s="1332">
        <f t="shared" si="21"/>
        <v>199483.55327867501</v>
      </c>
      <c r="J52" s="1332">
        <f t="shared" si="21"/>
        <v>197380.28631341059</v>
      </c>
      <c r="K52" s="1333">
        <f t="shared" si="21"/>
        <v>195053.22806791577</v>
      </c>
      <c r="L52" s="102"/>
      <c r="M52" s="102"/>
      <c r="N52" s="2594"/>
      <c r="O52" s="2595"/>
      <c r="P52" s="102"/>
      <c r="Q52" s="102"/>
      <c r="R52" s="102"/>
    </row>
    <row r="53" spans="1:18" ht="13.15" customHeight="1">
      <c r="A53" s="316" t="str">
        <f>$A23</f>
        <v>Mortgage A</v>
      </c>
      <c r="B53" s="2602">
        <f>IF('Part III-Sources of Funds'!$N$37="", 0,-'Part III-Sources of Funds'!$N$37)</f>
        <v>-158640.76725498866</v>
      </c>
      <c r="C53" s="2602">
        <f>IF('Part III-Sources of Funds'!$N$37="", 0,-'Part III-Sources of Funds'!$N$37)</f>
        <v>-158640.76725498866</v>
      </c>
      <c r="D53" s="2602">
        <f>IF('Part III-Sources of Funds'!$N$37="", 0,-'Part III-Sources of Funds'!$N$37)</f>
        <v>-158640.76725498866</v>
      </c>
      <c r="E53" s="2602">
        <f>IF('Part III-Sources of Funds'!$N$37="", 0,-'Part III-Sources of Funds'!$N$37)</f>
        <v>-158640.76725498866</v>
      </c>
      <c r="F53" s="2602">
        <f>IF('Part III-Sources of Funds'!$N$37="", 0,-'Part III-Sources of Funds'!$N$37)</f>
        <v>-158640.76725498866</v>
      </c>
      <c r="G53" s="2602">
        <f>IF('Part III-Sources of Funds'!$N$37="", 0,-'Part III-Sources of Funds'!$N$37)</f>
        <v>-158640.76725498866</v>
      </c>
      <c r="H53" s="2602">
        <f>IF('Part III-Sources of Funds'!$N$37="", 0,-'Part III-Sources of Funds'!$N$37)</f>
        <v>-158640.76725498866</v>
      </c>
      <c r="I53" s="2602">
        <f>IF('Part III-Sources of Funds'!$N$37="", 0,-'Part III-Sources of Funds'!$N$37)</f>
        <v>-158640.76725498866</v>
      </c>
      <c r="J53" s="2602">
        <f>IF('Part III-Sources of Funds'!$N$37="", 0,-'Part III-Sources of Funds'!$N$37)</f>
        <v>-158640.76725498866</v>
      </c>
      <c r="K53" s="2602">
        <f>IF('Part III-Sources of Funds'!$N$37="", 0,-'Part III-Sources of Funds'!$N$37)</f>
        <v>-158640.76725498866</v>
      </c>
      <c r="L53" s="102"/>
      <c r="M53" s="102"/>
      <c r="N53" s="2594"/>
      <c r="O53" s="2595"/>
      <c r="P53" s="102"/>
      <c r="Q53" s="102"/>
      <c r="R53" s="102"/>
    </row>
    <row r="54" spans="1:18" ht="13.15" customHeight="1">
      <c r="A54" s="316" t="str">
        <f>$A24</f>
        <v>Mortgage B</v>
      </c>
      <c r="B54" s="2603">
        <f>IF('Part III-Sources of Funds'!$N$38="", 0,-'Part III-Sources of Funds'!$N$38)</f>
        <v>0</v>
      </c>
      <c r="C54" s="2603">
        <f>IF('Part III-Sources of Funds'!$N$38="", 0,-'Part III-Sources of Funds'!$N$38)</f>
        <v>0</v>
      </c>
      <c r="D54" s="2603">
        <f>IF('Part III-Sources of Funds'!$N$38="", 0,-'Part III-Sources of Funds'!$N$38)</f>
        <v>0</v>
      </c>
      <c r="E54" s="2603">
        <f>IF('Part III-Sources of Funds'!$N$38="", 0,-'Part III-Sources of Funds'!$N$38)</f>
        <v>0</v>
      </c>
      <c r="F54" s="2603">
        <f>IF('Part III-Sources of Funds'!$N$38="", 0,-'Part III-Sources of Funds'!$N$38)</f>
        <v>0</v>
      </c>
      <c r="G54" s="2603">
        <f>IF('Part III-Sources of Funds'!$N$38="", 0,-'Part III-Sources of Funds'!$N$38)</f>
        <v>0</v>
      </c>
      <c r="H54" s="2603">
        <f>IF('Part III-Sources of Funds'!$N$38="", 0,-'Part III-Sources of Funds'!$N$38)</f>
        <v>0</v>
      </c>
      <c r="I54" s="2603">
        <f>IF('Part III-Sources of Funds'!$N$38="", 0,-'Part III-Sources of Funds'!$N$38)</f>
        <v>0</v>
      </c>
      <c r="J54" s="2603">
        <f>IF('Part III-Sources of Funds'!$N$38="", 0,-'Part III-Sources of Funds'!$N$38)</f>
        <v>0</v>
      </c>
      <c r="K54" s="2603">
        <f>IF('Part III-Sources of Funds'!$N$38="", 0,-'Part III-Sources of Funds'!$N$38)</f>
        <v>0</v>
      </c>
      <c r="L54" s="102"/>
      <c r="M54" s="102"/>
      <c r="N54" s="2594"/>
      <c r="O54" s="2595"/>
      <c r="P54" s="102"/>
      <c r="Q54" s="102"/>
      <c r="R54" s="102"/>
    </row>
    <row r="55" spans="1:18" ht="13.15" customHeight="1">
      <c r="A55" s="316" t="str">
        <f>$A25</f>
        <v>Mortgage C</v>
      </c>
      <c r="B55" s="2603">
        <f>IF('Part III-Sources of Funds'!$N$39="", 0,-'Part III-Sources of Funds'!$N$39)</f>
        <v>0</v>
      </c>
      <c r="C55" s="2603">
        <f>IF('Part III-Sources of Funds'!$N$39="", 0,-'Part III-Sources of Funds'!$N$39)</f>
        <v>0</v>
      </c>
      <c r="D55" s="2603">
        <f>IF('Part III-Sources of Funds'!$N$39="", 0,-'Part III-Sources of Funds'!$N$39)</f>
        <v>0</v>
      </c>
      <c r="E55" s="2603">
        <f>IF('Part III-Sources of Funds'!$N$39="", 0,-'Part III-Sources of Funds'!$N$39)</f>
        <v>0</v>
      </c>
      <c r="F55" s="2603">
        <f>IF('Part III-Sources of Funds'!$N$39="", 0,-'Part III-Sources of Funds'!$N$39)</f>
        <v>0</v>
      </c>
      <c r="G55" s="2603">
        <f>IF('Part III-Sources of Funds'!$N$39="", 0,-'Part III-Sources of Funds'!$N$39)</f>
        <v>0</v>
      </c>
      <c r="H55" s="2603">
        <f>IF('Part III-Sources of Funds'!$N$39="", 0,-'Part III-Sources of Funds'!$N$39)</f>
        <v>0</v>
      </c>
      <c r="I55" s="2603">
        <f>IF('Part III-Sources of Funds'!$N$39="", 0,-'Part III-Sources of Funds'!$N$39)</f>
        <v>0</v>
      </c>
      <c r="J55" s="2603">
        <f>IF('Part III-Sources of Funds'!$N$39="", 0,-'Part III-Sources of Funds'!$N$39)</f>
        <v>0</v>
      </c>
      <c r="K55" s="2603">
        <f>IF('Part III-Sources of Funds'!$N$39="", 0,-'Part III-Sources of Funds'!$N$39)</f>
        <v>0</v>
      </c>
      <c r="L55" s="102"/>
      <c r="M55" s="102"/>
      <c r="N55" s="2594"/>
      <c r="O55" s="2595"/>
      <c r="P55" s="102"/>
      <c r="Q55" s="102"/>
      <c r="R55" s="102"/>
    </row>
    <row r="56" spans="1:18" ht="13.15" customHeight="1">
      <c r="A56" s="316" t="str">
        <f>$A26</f>
        <v>D/S Other Source,not DDF</v>
      </c>
      <c r="B56" s="2603">
        <f>IF('Part III-Sources of Funds'!$N$40="", 0,-'Part III-Sources of Funds'!$N$40)</f>
        <v>0</v>
      </c>
      <c r="C56" s="2603">
        <f>IF('Part III-Sources of Funds'!$N$40="", 0,-'Part III-Sources of Funds'!$N$40)</f>
        <v>0</v>
      </c>
      <c r="D56" s="2603">
        <f>IF('Part III-Sources of Funds'!$N$40="", 0,-'Part III-Sources of Funds'!$N$40)</f>
        <v>0</v>
      </c>
      <c r="E56" s="2603">
        <f>IF('Part III-Sources of Funds'!$N$40="", 0,-'Part III-Sources of Funds'!$N$40)</f>
        <v>0</v>
      </c>
      <c r="F56" s="2603">
        <f>IF('Part III-Sources of Funds'!$N$40="", 0,-'Part III-Sources of Funds'!$N$40)</f>
        <v>0</v>
      </c>
      <c r="G56" s="2603">
        <f>IF('Part III-Sources of Funds'!$N$40="", 0,-'Part III-Sources of Funds'!$N$40)</f>
        <v>0</v>
      </c>
      <c r="H56" s="2603">
        <f>IF('Part III-Sources of Funds'!$N$40="", 0,-'Part III-Sources of Funds'!$N$40)</f>
        <v>0</v>
      </c>
      <c r="I56" s="2603">
        <f>IF('Part III-Sources of Funds'!$N$40="", 0,-'Part III-Sources of Funds'!$N$40)</f>
        <v>0</v>
      </c>
      <c r="J56" s="2603">
        <f>IF('Part III-Sources of Funds'!$N$40="", 0,-'Part III-Sources of Funds'!$N$40)</f>
        <v>0</v>
      </c>
      <c r="K56" s="2603">
        <f>IF('Part III-Sources of Funds'!$N$40="", 0,-'Part III-Sources of Funds'!$N$40)</f>
        <v>0</v>
      </c>
      <c r="L56" s="102"/>
      <c r="M56" s="102"/>
      <c r="N56" s="2594"/>
      <c r="O56" s="2595"/>
      <c r="P56" s="102"/>
      <c r="Q56" s="102"/>
      <c r="R56" s="102"/>
    </row>
    <row r="57" spans="1:18" ht="13.15" customHeight="1">
      <c r="A57" s="316" t="s">
        <v>1233</v>
      </c>
      <c r="B57" s="2604"/>
      <c r="C57" s="2604"/>
      <c r="D57" s="2604"/>
      <c r="E57" s="2604"/>
      <c r="F57" s="2604"/>
      <c r="G57" s="2604"/>
      <c r="H57" s="2604"/>
      <c r="I57" s="2604"/>
      <c r="J57" s="2604"/>
      <c r="K57" s="2604"/>
      <c r="L57" s="102"/>
      <c r="M57" s="102"/>
      <c r="N57" s="2594"/>
      <c r="O57" s="2595"/>
      <c r="P57" s="102"/>
      <c r="Q57" s="102"/>
      <c r="R57" s="102"/>
    </row>
    <row r="58" spans="1:18" ht="13.15" customHeight="1">
      <c r="A58" s="316" t="s">
        <v>1234</v>
      </c>
      <c r="B58" s="2603">
        <f>+K28</f>
        <v>-20000</v>
      </c>
      <c r="C58" s="2603">
        <f t="shared" ref="C58:K58" si="22">+B58</f>
        <v>-20000</v>
      </c>
      <c r="D58" s="2603">
        <f t="shared" si="22"/>
        <v>-20000</v>
      </c>
      <c r="E58" s="2603">
        <f t="shared" si="22"/>
        <v>-20000</v>
      </c>
      <c r="F58" s="2603">
        <f t="shared" si="22"/>
        <v>-20000</v>
      </c>
      <c r="G58" s="2603">
        <f t="shared" si="22"/>
        <v>-20000</v>
      </c>
      <c r="H58" s="2603">
        <f t="shared" si="22"/>
        <v>-20000</v>
      </c>
      <c r="I58" s="2603">
        <f t="shared" si="22"/>
        <v>-20000</v>
      </c>
      <c r="J58" s="2603">
        <f t="shared" si="22"/>
        <v>-20000</v>
      </c>
      <c r="K58" s="2603">
        <f t="shared" si="22"/>
        <v>-20000</v>
      </c>
      <c r="L58" s="102"/>
      <c r="M58" s="102"/>
      <c r="N58" s="2594"/>
      <c r="O58" s="2595"/>
      <c r="P58" s="102"/>
      <c r="Q58" s="840"/>
      <c r="R58" s="792"/>
    </row>
    <row r="59" spans="1:18" ht="13.15" customHeight="1">
      <c r="A59" s="316" t="s">
        <v>1235</v>
      </c>
      <c r="B59" s="2606">
        <f>IF('Part III-Sources of Funds'!$N$42="", 0,-'Part III-Sources of Funds'!$N$42)</f>
        <v>0</v>
      </c>
      <c r="C59" s="2606">
        <f>IF('Part III-Sources of Funds'!$N$42="", 0,-'Part III-Sources of Funds'!$N$42)</f>
        <v>0</v>
      </c>
      <c r="D59" s="2606">
        <f>IF('Part III-Sources of Funds'!$N$42="", 0,-'Part III-Sources of Funds'!$N$42)</f>
        <v>0</v>
      </c>
      <c r="E59" s="2606">
        <f>IF('Part III-Sources of Funds'!$N$42="", 0,-'Part III-Sources of Funds'!$N$42)</f>
        <v>0</v>
      </c>
      <c r="F59" s="2606">
        <f>IF('Part III-Sources of Funds'!$N$42="", 0,-'Part III-Sources of Funds'!$N$42)</f>
        <v>0</v>
      </c>
      <c r="G59" s="2606"/>
      <c r="H59" s="2606"/>
      <c r="I59" s="2606"/>
      <c r="J59" s="2606"/>
      <c r="K59" s="2606"/>
      <c r="L59" s="102"/>
      <c r="M59" s="102"/>
      <c r="N59" s="2594"/>
      <c r="O59" s="2595"/>
      <c r="P59" s="102"/>
      <c r="Q59" s="102"/>
      <c r="R59" s="102"/>
    </row>
    <row r="60" spans="1:18" ht="13.15" customHeight="1">
      <c r="A60" s="316" t="s">
        <v>595</v>
      </c>
      <c r="B60" s="1332">
        <f>SUM(B52:B59)</f>
        <v>30032.373558234656</v>
      </c>
      <c r="C60" s="1332">
        <f t="shared" ref="C60:K60" si="23">SUM(C52:C59)</f>
        <v>29252.40187020204</v>
      </c>
      <c r="D60" s="1332">
        <f t="shared" si="23"/>
        <v>28308.045313280134</v>
      </c>
      <c r="E60" s="1332">
        <f t="shared" si="23"/>
        <v>27191.858027036942</v>
      </c>
      <c r="F60" s="1332">
        <f t="shared" si="23"/>
        <v>25896.111488940718</v>
      </c>
      <c r="G60" s="1332">
        <f t="shared" si="23"/>
        <v>24410.78484877001</v>
      </c>
      <c r="H60" s="1332">
        <f t="shared" si="23"/>
        <v>22729.554949345009</v>
      </c>
      <c r="I60" s="1332">
        <f t="shared" si="23"/>
        <v>20842.786023686349</v>
      </c>
      <c r="J60" s="1332">
        <f t="shared" si="23"/>
        <v>18739.519058421924</v>
      </c>
      <c r="K60" s="1332">
        <f t="shared" si="23"/>
        <v>16412.460812927107</v>
      </c>
      <c r="L60" s="102"/>
      <c r="M60" s="102"/>
      <c r="N60" s="2594"/>
      <c r="O60" s="2595"/>
      <c r="P60" s="102"/>
      <c r="Q60" s="102"/>
      <c r="R60" s="102"/>
    </row>
    <row r="61" spans="1:18" ht="13.15" customHeight="1">
      <c r="A61" s="316" t="str">
        <f>$A31</f>
        <v>DCR Mortgage A</v>
      </c>
      <c r="B61" s="1334">
        <f t="shared" ref="B61:K61" si="24">IF(B53=0,"",-B52/B53)</f>
        <v>1.3153815656842855</v>
      </c>
      <c r="C61" s="1334">
        <f t="shared" si="24"/>
        <v>1.3104649751916353</v>
      </c>
      <c r="D61" s="1334">
        <f t="shared" si="24"/>
        <v>1.3045121764674334</v>
      </c>
      <c r="E61" s="1334">
        <f t="shared" si="24"/>
        <v>1.2974762341585493</v>
      </c>
      <c r="F61" s="1334">
        <f t="shared" si="24"/>
        <v>1.289308431137189</v>
      </c>
      <c r="G61" s="1334">
        <f t="shared" si="24"/>
        <v>1.2799456004734713</v>
      </c>
      <c r="H61" s="1334">
        <f t="shared" si="24"/>
        <v>1.2693478838302916</v>
      </c>
      <c r="I61" s="1334">
        <f t="shared" si="24"/>
        <v>1.2574545416692189</v>
      </c>
      <c r="J61" s="1334">
        <f t="shared" si="24"/>
        <v>1.2441964933020941</v>
      </c>
      <c r="K61" s="1335">
        <f t="shared" si="24"/>
        <v>1.2295277654223655</v>
      </c>
      <c r="L61" s="102"/>
      <c r="M61" s="102"/>
      <c r="N61" s="2594"/>
      <c r="O61" s="2595"/>
      <c r="P61" s="102"/>
      <c r="Q61" s="102"/>
      <c r="R61" s="102"/>
    </row>
    <row r="62" spans="1:18" ht="13.15" customHeight="1">
      <c r="A62" s="316" t="str">
        <f>$A32</f>
        <v>DCR Mortgage B</v>
      </c>
      <c r="B62" s="1334" t="str">
        <f t="shared" ref="B62:K62" si="25">IF(B54=0,"",-(B52+B53)/B54)</f>
        <v/>
      </c>
      <c r="C62" s="1334" t="str">
        <f t="shared" si="25"/>
        <v/>
      </c>
      <c r="D62" s="1334" t="str">
        <f t="shared" si="25"/>
        <v/>
      </c>
      <c r="E62" s="1334" t="str">
        <f t="shared" si="25"/>
        <v/>
      </c>
      <c r="F62" s="1334" t="str">
        <f t="shared" si="25"/>
        <v/>
      </c>
      <c r="G62" s="1334" t="str">
        <f t="shared" si="25"/>
        <v/>
      </c>
      <c r="H62" s="1334" t="str">
        <f t="shared" si="25"/>
        <v/>
      </c>
      <c r="I62" s="1334" t="str">
        <f t="shared" si="25"/>
        <v/>
      </c>
      <c r="J62" s="1334" t="str">
        <f t="shared" si="25"/>
        <v/>
      </c>
      <c r="K62" s="1335" t="str">
        <f t="shared" si="25"/>
        <v/>
      </c>
      <c r="L62" s="102"/>
      <c r="M62" s="102"/>
      <c r="N62" s="2594"/>
      <c r="O62" s="2595"/>
      <c r="P62" s="102"/>
      <c r="Q62" s="102"/>
      <c r="R62" s="102"/>
    </row>
    <row r="63" spans="1:18" ht="13.15" customHeight="1">
      <c r="A63" s="316" t="str">
        <f>$A33</f>
        <v>DCR Mortgage C</v>
      </c>
      <c r="B63" s="1334" t="str">
        <f t="shared" ref="B63:K63" si="26">IF(B55=0,"",-(B52+B53+B54)/B55)</f>
        <v/>
      </c>
      <c r="C63" s="1334" t="str">
        <f t="shared" si="26"/>
        <v/>
      </c>
      <c r="D63" s="1334" t="str">
        <f t="shared" si="26"/>
        <v/>
      </c>
      <c r="E63" s="1334" t="str">
        <f t="shared" si="26"/>
        <v/>
      </c>
      <c r="F63" s="1334" t="str">
        <f t="shared" si="26"/>
        <v/>
      </c>
      <c r="G63" s="1334" t="str">
        <f t="shared" si="26"/>
        <v/>
      </c>
      <c r="H63" s="1334" t="str">
        <f t="shared" si="26"/>
        <v/>
      </c>
      <c r="I63" s="1334" t="str">
        <f t="shared" si="26"/>
        <v/>
      </c>
      <c r="J63" s="1334" t="str">
        <f t="shared" si="26"/>
        <v/>
      </c>
      <c r="K63" s="1335" t="str">
        <f t="shared" si="26"/>
        <v/>
      </c>
      <c r="L63" s="102"/>
      <c r="M63" s="102"/>
      <c r="N63" s="2594"/>
      <c r="O63" s="2595"/>
      <c r="P63" s="102"/>
      <c r="Q63" s="102"/>
      <c r="R63" s="102"/>
    </row>
    <row r="64" spans="1:18" ht="13.15" customHeight="1">
      <c r="A64" s="316" t="str">
        <f>$A34</f>
        <v>DCR Other Source</v>
      </c>
      <c r="B64" s="1334" t="str">
        <f t="shared" ref="B64:K64" si="27">IF(B56=0,"",-(B52+B53+B54+B55)/B56)</f>
        <v/>
      </c>
      <c r="C64" s="1334" t="str">
        <f t="shared" si="27"/>
        <v/>
      </c>
      <c r="D64" s="1334" t="str">
        <f t="shared" si="27"/>
        <v/>
      </c>
      <c r="E64" s="1334" t="str">
        <f t="shared" si="27"/>
        <v/>
      </c>
      <c r="F64" s="1334" t="str">
        <f t="shared" si="27"/>
        <v/>
      </c>
      <c r="G64" s="1334" t="str">
        <f t="shared" si="27"/>
        <v/>
      </c>
      <c r="H64" s="1334" t="str">
        <f t="shared" si="27"/>
        <v/>
      </c>
      <c r="I64" s="1334" t="str">
        <f t="shared" si="27"/>
        <v/>
      </c>
      <c r="J64" s="1334" t="str">
        <f t="shared" si="27"/>
        <v/>
      </c>
      <c r="K64" s="1335" t="str">
        <f t="shared" si="27"/>
        <v/>
      </c>
      <c r="L64" s="102"/>
      <c r="M64" s="102"/>
      <c r="N64" s="2594"/>
      <c r="O64" s="2595"/>
      <c r="P64" s="102"/>
      <c r="Q64" s="102"/>
      <c r="R64" s="102"/>
    </row>
    <row r="65" spans="1:15" ht="13.15" customHeight="1">
      <c r="A65" s="316" t="s">
        <v>1237</v>
      </c>
      <c r="B65" s="1334">
        <f t="shared" ref="B65:K65" si="28">IF(AND(B53=0,B54=0,B55=0,B56=0),"",-B52/(B53+B54+B55+B56))</f>
        <v>1.3153815656842855</v>
      </c>
      <c r="C65" s="1334">
        <f t="shared" si="28"/>
        <v>1.3104649751916353</v>
      </c>
      <c r="D65" s="1334">
        <f t="shared" si="28"/>
        <v>1.3045121764674334</v>
      </c>
      <c r="E65" s="1334">
        <f t="shared" si="28"/>
        <v>1.2974762341585493</v>
      </c>
      <c r="F65" s="1334">
        <f t="shared" si="28"/>
        <v>1.289308431137189</v>
      </c>
      <c r="G65" s="1334">
        <f t="shared" si="28"/>
        <v>1.2799456004734713</v>
      </c>
      <c r="H65" s="1334">
        <f t="shared" si="28"/>
        <v>1.2693478838302916</v>
      </c>
      <c r="I65" s="1334">
        <f t="shared" si="28"/>
        <v>1.2574545416692189</v>
      </c>
      <c r="J65" s="1334">
        <f t="shared" si="28"/>
        <v>1.2441964933020941</v>
      </c>
      <c r="K65" s="1335">
        <f t="shared" si="28"/>
        <v>1.2295277654223655</v>
      </c>
      <c r="L65" s="102"/>
      <c r="M65" s="102"/>
      <c r="N65" s="2594"/>
      <c r="O65" s="2595"/>
    </row>
    <row r="66" spans="1:15" ht="13.15" customHeight="1">
      <c r="A66" s="316" t="s">
        <v>1238</v>
      </c>
      <c r="B66" s="1336">
        <f t="shared" ref="B66:K66" si="29">IF(OR(B50="Choose mgt fee",B50="Choose One!"),"",(B44+B45+B46+B47+B48) / -(B49+B50+B51))</f>
        <v>1.3919440355931902</v>
      </c>
      <c r="C66" s="1336">
        <f t="shared" si="29"/>
        <v>1.3793622552689044</v>
      </c>
      <c r="D66" s="1336">
        <f t="shared" si="29"/>
        <v>1.3668854036980813</v>
      </c>
      <c r="E66" s="1336">
        <f t="shared" si="29"/>
        <v>1.3545134896691462</v>
      </c>
      <c r="F66" s="1336">
        <f t="shared" si="29"/>
        <v>1.3422464308776052</v>
      </c>
      <c r="G66" s="1336">
        <f t="shared" si="29"/>
        <v>1.3300797371520816</v>
      </c>
      <c r="H66" s="1336">
        <f t="shared" si="29"/>
        <v>1.318017813274811</v>
      </c>
      <c r="I66" s="1336">
        <f t="shared" si="29"/>
        <v>1.3060583254649529</v>
      </c>
      <c r="J66" s="1336">
        <f t="shared" si="29"/>
        <v>1.2941972474221444</v>
      </c>
      <c r="K66" s="1337">
        <f t="shared" si="29"/>
        <v>1.282438483439609</v>
      </c>
      <c r="L66" s="102"/>
      <c r="M66" s="102"/>
      <c r="N66" s="2594"/>
      <c r="O66" s="2595"/>
    </row>
    <row r="67" spans="1:15" ht="13.15" customHeight="1">
      <c r="A67" s="316" t="s">
        <v>1239</v>
      </c>
      <c r="B67" s="2607">
        <f>IF('Part III-Sources of Funds'!$I$37="","",-FV('Part III-Sources of Funds'!$K$37/12,12,B53/12,K37))</f>
        <v>2360298.1997504849</v>
      </c>
      <c r="C67" s="2607">
        <f>IF('Part III-Sources of Funds'!$I$37="","",-FV('Part III-Sources of Funds'!$K$37/12,12,C53/12,B67))</f>
        <v>2324725.2087464891</v>
      </c>
      <c r="D67" s="2607">
        <f>IF('Part III-Sources of Funds'!$I$37="","",-FV('Part III-Sources of Funds'!$K$37/12,12,D53/12,C67))</f>
        <v>2287239.0351697593</v>
      </c>
      <c r="E67" s="2607">
        <f>IF('Part III-Sources of Funds'!$I$37="","",-FV('Part III-Sources of Funds'!$K$37/12,12,E53/12,D67))</f>
        <v>2247736.78445188</v>
      </c>
      <c r="F67" s="2607">
        <f>IF('Part III-Sources of Funds'!$I$37="","",-FV('Part III-Sources of Funds'!$K$37/12,12,F53/12,E67))</f>
        <v>2206110.0281604119</v>
      </c>
      <c r="G67" s="2607">
        <f>IF('Part III-Sources of Funds'!$I$37="","",-FV('Part III-Sources of Funds'!$K$37/12,12,G53/12,F67))</f>
        <v>2162244.5063772444</v>
      </c>
      <c r="H67" s="2607">
        <f>IF('Part III-Sources of Funds'!$I$37="","",-FV('Part III-Sources of Funds'!$K$37/12,12,H53/12,G67))</f>
        <v>2116019.8140702937</v>
      </c>
      <c r="I67" s="2607">
        <f>IF('Part III-Sources of Funds'!$I$37="","",-FV('Part III-Sources of Funds'!$K$37/12,12,I53/12,H67))</f>
        <v>2067309.0705976782</v>
      </c>
      <c r="J67" s="2607">
        <f>IF('Part III-Sources of Funds'!$I$37="","",-FV('Part III-Sources of Funds'!$K$37/12,12,J53/12,I67))</f>
        <v>2015978.5714372082</v>
      </c>
      <c r="K67" s="2607">
        <f>IF('Part III-Sources of Funds'!$I$37="","",-FV('Part III-Sources of Funds'!$K$37/12,12,K53/12,J67))</f>
        <v>1961887.4211852259</v>
      </c>
      <c r="L67" s="102"/>
      <c r="M67" s="102"/>
      <c r="N67" s="2594"/>
      <c r="O67" s="2595"/>
    </row>
    <row r="68" spans="1:15" ht="13.15" customHeight="1">
      <c r="A68" s="316" t="s">
        <v>1240</v>
      </c>
      <c r="B68" s="2603" t="str">
        <f>IF('Part III-Sources of Funds'!$I$38="","",-FV('Part III-Sources of Funds'!$K$38/12,12,B54/12,K38))</f>
        <v/>
      </c>
      <c r="C68" s="2603" t="str">
        <f>IF('Part III-Sources of Funds'!$I$38="","",-FV('Part III-Sources of Funds'!$K$38/12,12,C54/12,B68))</f>
        <v/>
      </c>
      <c r="D68" s="2603" t="str">
        <f>IF('Part III-Sources of Funds'!$I$38="","",-FV('Part III-Sources of Funds'!$K$38/12,12,D54/12,C68))</f>
        <v/>
      </c>
      <c r="E68" s="2603" t="str">
        <f>IF('Part III-Sources of Funds'!$I$38="","",-FV('Part III-Sources of Funds'!$K$38/12,12,E54/12,D68))</f>
        <v/>
      </c>
      <c r="F68" s="2603" t="str">
        <f>IF('Part III-Sources of Funds'!$I$38="","",-FV('Part III-Sources of Funds'!$K$38/12,12,F54/12,E68))</f>
        <v/>
      </c>
      <c r="G68" s="2603" t="str">
        <f>IF('Part III-Sources of Funds'!$I$38="","",-FV('Part III-Sources of Funds'!$K$38/12,12,G54/12,F68))</f>
        <v/>
      </c>
      <c r="H68" s="2603" t="str">
        <f>IF('Part III-Sources of Funds'!$I$38="","",-FV('Part III-Sources of Funds'!$K$38/12,12,H54/12,G68))</f>
        <v/>
      </c>
      <c r="I68" s="2603" t="str">
        <f>IF('Part III-Sources of Funds'!$I$38="","",-FV('Part III-Sources of Funds'!$K$38/12,12,I54/12,H68))</f>
        <v/>
      </c>
      <c r="J68" s="2603" t="str">
        <f>IF('Part III-Sources of Funds'!$I$38="","",-FV('Part III-Sources of Funds'!$K$38/12,12,J54/12,I68))</f>
        <v/>
      </c>
      <c r="K68" s="2603" t="str">
        <f>IF('Part III-Sources of Funds'!$I$38="","",-FV('Part III-Sources of Funds'!$K$38/12,12,K54/12,J68))</f>
        <v/>
      </c>
      <c r="L68" s="102"/>
      <c r="M68" s="102"/>
      <c r="N68" s="2594"/>
      <c r="O68" s="2595"/>
    </row>
    <row r="69" spans="1:15" ht="13.15" customHeight="1">
      <c r="A69" s="316" t="s">
        <v>1241</v>
      </c>
      <c r="B69" s="2603" t="str">
        <f>IF('Part III-Sources of Funds'!$I$39="","",-FV('Part III-Sources of Funds'!$K$39/12,12,B55/12,K39))</f>
        <v/>
      </c>
      <c r="C69" s="2603" t="str">
        <f>IF('Part III-Sources of Funds'!$I$39="","",-FV('Part III-Sources of Funds'!$K$39/12,12,C55/12,B69))</f>
        <v/>
      </c>
      <c r="D69" s="2603" t="str">
        <f>IF('Part III-Sources of Funds'!$I$39="","",-FV('Part III-Sources of Funds'!$K$39/12,12,D55/12,C69))</f>
        <v/>
      </c>
      <c r="E69" s="2603" t="str">
        <f>IF('Part III-Sources of Funds'!$I$39="","",-FV('Part III-Sources of Funds'!$K$39/12,12,E55/12,D69))</f>
        <v/>
      </c>
      <c r="F69" s="2603" t="str">
        <f>IF('Part III-Sources of Funds'!$I$39="","",-FV('Part III-Sources of Funds'!$K$39/12,12,F55/12,E69))</f>
        <v/>
      </c>
      <c r="G69" s="2603" t="str">
        <f>IF('Part III-Sources of Funds'!$I$39="","",-FV('Part III-Sources of Funds'!$K$39/12,12,G55/12,F69))</f>
        <v/>
      </c>
      <c r="H69" s="2603" t="str">
        <f>IF('Part III-Sources of Funds'!$I$39="","",-FV('Part III-Sources of Funds'!$K$39/12,12,H55/12,G69))</f>
        <v/>
      </c>
      <c r="I69" s="2603" t="str">
        <f>IF('Part III-Sources of Funds'!$I$39="","",-FV('Part III-Sources of Funds'!$K$39/12,12,I55/12,H69))</f>
        <v/>
      </c>
      <c r="J69" s="2603" t="str">
        <f>IF('Part III-Sources of Funds'!$I$39="","",-FV('Part III-Sources of Funds'!$K$39/12,12,J55/12,I69))</f>
        <v/>
      </c>
      <c r="K69" s="2603" t="str">
        <f>IF('Part III-Sources of Funds'!$I$39="","",-FV('Part III-Sources of Funds'!$K$39/12,12,K55/12,J69))</f>
        <v/>
      </c>
      <c r="L69" s="102"/>
      <c r="M69" s="102"/>
      <c r="N69" s="2594"/>
      <c r="O69" s="2595"/>
    </row>
    <row r="70" spans="1:15" ht="13.15" customHeight="1">
      <c r="A70" s="316" t="s">
        <v>1242</v>
      </c>
      <c r="B70" s="2603" t="str">
        <f>IF('Part III-Sources of Funds'!$I$40="","",-FV('Part III-Sources of Funds'!$K$40/12,12,B56/12,K40))</f>
        <v/>
      </c>
      <c r="C70" s="2603" t="str">
        <f>IF('Part III-Sources of Funds'!$I$40="","",-FV('Part III-Sources of Funds'!$K$40/12,12,C56/12,B70))</f>
        <v/>
      </c>
      <c r="D70" s="2603" t="str">
        <f>IF('Part III-Sources of Funds'!$I$40="","",-FV('Part III-Sources of Funds'!$K$40/12,12,D56/12,C70))</f>
        <v/>
      </c>
      <c r="E70" s="2603" t="str">
        <f>IF('Part III-Sources of Funds'!$I$40="","",-FV('Part III-Sources of Funds'!$K$40/12,12,E56/12,D70))</f>
        <v/>
      </c>
      <c r="F70" s="2603" t="str">
        <f>IF('Part III-Sources of Funds'!$I$40="","",-FV('Part III-Sources of Funds'!$K$40/12,12,F56/12,E70))</f>
        <v/>
      </c>
      <c r="G70" s="2603" t="str">
        <f>IF('Part III-Sources of Funds'!$I$40="","",-FV('Part III-Sources of Funds'!$K$40/12,12,G56/12,F70))</f>
        <v/>
      </c>
      <c r="H70" s="2603" t="str">
        <f>IF('Part III-Sources of Funds'!$I$40="","",-FV('Part III-Sources of Funds'!$K$40/12,12,H56/12,G70))</f>
        <v/>
      </c>
      <c r="I70" s="2603" t="str">
        <f>IF('Part III-Sources of Funds'!$I$40="","",-FV('Part III-Sources of Funds'!$K$40/12,12,I56/12,H70))</f>
        <v/>
      </c>
      <c r="J70" s="2603" t="str">
        <f>IF('Part III-Sources of Funds'!$I$40="","",-FV('Part III-Sources of Funds'!$K$40/12,12,J56/12,I70))</f>
        <v/>
      </c>
      <c r="K70" s="2603" t="str">
        <f>IF('Part III-Sources of Funds'!$I$40="","",-FV('Part III-Sources of Funds'!$K$40/12,12,K56/12,J70))</f>
        <v/>
      </c>
      <c r="L70" s="102"/>
      <c r="M70" s="102"/>
      <c r="N70" s="2594"/>
      <c r="O70" s="2595"/>
    </row>
    <row r="71" spans="1:15" ht="13.15" customHeight="1">
      <c r="A71" s="316" t="s">
        <v>1243</v>
      </c>
      <c r="B71" s="2606">
        <f>IF('Part III-Sources of Funds'!$I$42="","",IF(-FV('Part III-Sources of Funds'!$K$42/12,12,B59/12,K41)&gt;0,-FV('Part III-Sources of Funds'!$K$42/12,12,B59/12,K41),0))</f>
        <v>0</v>
      </c>
      <c r="C71" s="2606">
        <f>IF('Part III-Sources of Funds'!$I$42="","",IF(-FV('Part III-Sources of Funds'!$K$42/12,12,C59/12,B71)&gt;0,-FV('Part III-Sources of Funds'!$K$42/12,12,C59/12,B71),0))</f>
        <v>0</v>
      </c>
      <c r="D71" s="2606">
        <f>IF('Part III-Sources of Funds'!$I$42="","",IF(-FV('Part III-Sources of Funds'!$K$42/12,12,D59/12,C71)&gt;0,-FV('Part III-Sources of Funds'!$K$42/12,12,D59/12,C71),0))</f>
        <v>0</v>
      </c>
      <c r="E71" s="2606">
        <f>IF('Part III-Sources of Funds'!$I$42="","",IF(-FV('Part III-Sources of Funds'!$K$42/12,12,E59/12,D71)&gt;0,-FV('Part III-Sources of Funds'!$K$42/12,12,E59/12,D71),0))</f>
        <v>0</v>
      </c>
      <c r="F71" s="2606">
        <f>IF('Part III-Sources of Funds'!$I$42="","",IF(-FV('Part III-Sources of Funds'!$K$42/12,12,F59/12,E71)&gt;0,-FV('Part III-Sources of Funds'!$K$42/12,12,F59/12,E71),0))</f>
        <v>0</v>
      </c>
      <c r="G71" s="2606">
        <f>IF('Part III-Sources of Funds'!$I$42="","",IF(-FV('Part III-Sources of Funds'!$K$42/12,12,G59/12,F71)&gt;0,-FV('Part III-Sources of Funds'!$K$42/12,12,G59/12,F71),0))</f>
        <v>0</v>
      </c>
      <c r="H71" s="2606" t="str">
        <f>IF('Part III-Sources of Funds'!$I$40="","",-FV('Part III-Sources of Funds'!$K$40/12,12,H57/12,G71))</f>
        <v/>
      </c>
      <c r="I71" s="2606" t="str">
        <f>IF('Part III-Sources of Funds'!$I$40="","",-FV('Part III-Sources of Funds'!$K$40/12,12,I57/12,H71))</f>
        <v/>
      </c>
      <c r="J71" s="2606" t="str">
        <f>IF('Part III-Sources of Funds'!$I$40="","",-FV('Part III-Sources of Funds'!$K$40/12,12,J57/12,I71))</f>
        <v/>
      </c>
      <c r="K71" s="2606" t="str">
        <f>IF('Part III-Sources of Funds'!$I$40="","",-FV('Part III-Sources of Funds'!$K$40/12,12,K57/12,J71))</f>
        <v/>
      </c>
      <c r="L71" s="102"/>
      <c r="M71" s="102"/>
      <c r="N71" s="2600"/>
      <c r="O71" s="2601"/>
    </row>
    <row r="72" spans="1:15" ht="4.1500000000000004" customHeight="1">
      <c r="A72" s="102"/>
      <c r="B72" s="1338"/>
      <c r="C72" s="1338"/>
      <c r="D72" s="1338"/>
      <c r="E72" s="1338"/>
      <c r="F72" s="1338"/>
      <c r="G72" s="1338"/>
      <c r="H72" s="1338"/>
      <c r="I72" s="1338"/>
      <c r="J72" s="1338"/>
      <c r="K72" s="1338"/>
      <c r="L72" s="102"/>
      <c r="M72" s="102"/>
      <c r="N72" s="102"/>
      <c r="O72" s="102"/>
    </row>
    <row r="73" spans="1:15" ht="14.45" customHeight="1">
      <c r="A73" s="8" t="s">
        <v>627</v>
      </c>
      <c r="B73" s="10">
        <f>K43+1</f>
        <v>21</v>
      </c>
      <c r="C73" s="10">
        <f t="shared" ref="C73:K73" si="30">B73+1</f>
        <v>22</v>
      </c>
      <c r="D73" s="10">
        <f t="shared" si="30"/>
        <v>23</v>
      </c>
      <c r="E73" s="10">
        <f t="shared" si="30"/>
        <v>24</v>
      </c>
      <c r="F73" s="10">
        <f t="shared" si="30"/>
        <v>25</v>
      </c>
      <c r="G73" s="10">
        <f t="shared" si="30"/>
        <v>26</v>
      </c>
      <c r="H73" s="10">
        <f t="shared" si="30"/>
        <v>27</v>
      </c>
      <c r="I73" s="10">
        <f t="shared" si="30"/>
        <v>28</v>
      </c>
      <c r="J73" s="10">
        <f t="shared" si="30"/>
        <v>29</v>
      </c>
      <c r="K73" s="10">
        <f t="shared" si="30"/>
        <v>30</v>
      </c>
      <c r="L73" s="102"/>
      <c r="M73" s="102"/>
      <c r="N73" s="1666" t="s">
        <v>1145</v>
      </c>
      <c r="O73" s="1666"/>
    </row>
    <row r="74" spans="1:15" ht="13.15" customHeight="1">
      <c r="A74" s="1396" t="s">
        <v>1221</v>
      </c>
      <c r="B74" s="1355">
        <f t="shared" ref="B74:K74" si="31">$B$14*(1+$B$5)^(B73-1)</f>
        <v>952319.91092419159</v>
      </c>
      <c r="C74" s="1355">
        <f t="shared" si="31"/>
        <v>971366.30914267537</v>
      </c>
      <c r="D74" s="1355">
        <f t="shared" si="31"/>
        <v>990793.63532552891</v>
      </c>
      <c r="E74" s="1355">
        <f t="shared" si="31"/>
        <v>1010609.5080320393</v>
      </c>
      <c r="F74" s="1355">
        <f t="shared" si="31"/>
        <v>1030821.6981926801</v>
      </c>
      <c r="G74" s="1355">
        <f t="shared" si="31"/>
        <v>1051438.1321565337</v>
      </c>
      <c r="H74" s="1355">
        <f t="shared" si="31"/>
        <v>1072466.8947996646</v>
      </c>
      <c r="I74" s="1355">
        <f t="shared" si="31"/>
        <v>1093916.2326956575</v>
      </c>
      <c r="J74" s="1355">
        <f t="shared" si="31"/>
        <v>1115794.557349571</v>
      </c>
      <c r="K74" s="1356">
        <f t="shared" si="31"/>
        <v>1138110.4484965622</v>
      </c>
      <c r="L74" s="102"/>
      <c r="M74" s="102"/>
      <c r="N74" s="2592"/>
      <c r="O74" s="2593"/>
    </row>
    <row r="75" spans="1:15" ht="13.15" customHeight="1">
      <c r="A75" s="316" t="s">
        <v>1135</v>
      </c>
      <c r="B75" s="1332">
        <f t="shared" ref="B75:K75" si="32">$B$15*(1+$B$5)^(B73-1)</f>
        <v>19046.398218483831</v>
      </c>
      <c r="C75" s="1332">
        <f t="shared" si="32"/>
        <v>19427.326182853507</v>
      </c>
      <c r="D75" s="1332">
        <f t="shared" si="32"/>
        <v>19815.872706510578</v>
      </c>
      <c r="E75" s="1332">
        <f t="shared" si="32"/>
        <v>20212.190160640785</v>
      </c>
      <c r="F75" s="1332">
        <f t="shared" si="32"/>
        <v>20616.433963853604</v>
      </c>
      <c r="G75" s="1332">
        <f t="shared" si="32"/>
        <v>21028.762643130674</v>
      </c>
      <c r="H75" s="1332">
        <f t="shared" si="32"/>
        <v>21449.337895993292</v>
      </c>
      <c r="I75" s="1332">
        <f t="shared" si="32"/>
        <v>21878.324653913154</v>
      </c>
      <c r="J75" s="1332">
        <f t="shared" si="32"/>
        <v>22315.89114699142</v>
      </c>
      <c r="K75" s="1333">
        <f t="shared" si="32"/>
        <v>22762.208969931246</v>
      </c>
      <c r="L75" s="102"/>
      <c r="M75" s="102"/>
      <c r="N75" s="2594"/>
      <c r="O75" s="2595"/>
    </row>
    <row r="76" spans="1:15" ht="13.15" customHeight="1">
      <c r="A76" s="316" t="s">
        <v>1223</v>
      </c>
      <c r="B76" s="1332">
        <f t="shared" ref="B76:K76" si="33">-(B74+B75)*$B$8</f>
        <v>-67995.641639987283</v>
      </c>
      <c r="C76" s="1332">
        <f t="shared" si="33"/>
        <v>-69355.554472787029</v>
      </c>
      <c r="D76" s="1332">
        <f t="shared" si="33"/>
        <v>-70742.665562242779</v>
      </c>
      <c r="E76" s="1332">
        <f t="shared" si="33"/>
        <v>-72157.518873487614</v>
      </c>
      <c r="F76" s="1332">
        <f t="shared" si="33"/>
        <v>-73600.669250957362</v>
      </c>
      <c r="G76" s="1332">
        <f t="shared" si="33"/>
        <v>-75072.682635976511</v>
      </c>
      <c r="H76" s="1332">
        <f t="shared" si="33"/>
        <v>-76574.136288696071</v>
      </c>
      <c r="I76" s="1332">
        <f t="shared" si="33"/>
        <v>-78105.619014469965</v>
      </c>
      <c r="J76" s="1332">
        <f t="shared" si="33"/>
        <v>-79667.731394759379</v>
      </c>
      <c r="K76" s="1333">
        <f t="shared" si="33"/>
        <v>-81261.086022654563</v>
      </c>
      <c r="L76" s="102"/>
      <c r="M76" s="102"/>
      <c r="N76" s="2594"/>
      <c r="O76" s="2595"/>
    </row>
    <row r="77" spans="1:15" ht="13.15" customHeight="1">
      <c r="A77" s="316" t="s">
        <v>1226</v>
      </c>
      <c r="B77" s="1332">
        <f>'Part VI-Revenues &amp; Expenses'!G146</f>
        <v>0</v>
      </c>
      <c r="C77" s="1332">
        <f>'Part VI-Revenues &amp; Expenses'!H146</f>
        <v>0</v>
      </c>
      <c r="D77" s="1332">
        <f>'Part VI-Revenues &amp; Expenses'!I146</f>
        <v>0</v>
      </c>
      <c r="E77" s="1332">
        <f>'Part VI-Revenues &amp; Expenses'!J146</f>
        <v>0</v>
      </c>
      <c r="F77" s="1332">
        <f>'Part VI-Revenues &amp; Expenses'!K146</f>
        <v>0</v>
      </c>
      <c r="G77" s="1332">
        <f>'Part VI-Revenues &amp; Expenses'!L146</f>
        <v>0</v>
      </c>
      <c r="H77" s="1332">
        <f>'Part VI-Revenues &amp; Expenses'!M146</f>
        <v>0</v>
      </c>
      <c r="I77" s="1332">
        <f>'Part VI-Revenues &amp; Expenses'!N146</f>
        <v>0</v>
      </c>
      <c r="J77" s="1332">
        <f>'Part VI-Revenues &amp; Expenses'!O146</f>
        <v>0</v>
      </c>
      <c r="K77" s="1333">
        <f>'Part VI-Revenues &amp; Expenses'!P146</f>
        <v>0</v>
      </c>
      <c r="L77" s="102"/>
      <c r="M77" s="102"/>
      <c r="N77" s="2594"/>
      <c r="O77" s="2595"/>
    </row>
    <row r="78" spans="1:15" ht="13.15" customHeight="1">
      <c r="A78" s="316" t="s">
        <v>1227</v>
      </c>
      <c r="B78" s="1332">
        <f>'Part VI-Revenues &amp; Expenses'!G150</f>
        <v>0</v>
      </c>
      <c r="C78" s="1332">
        <f>'Part VI-Revenues &amp; Expenses'!H150</f>
        <v>0</v>
      </c>
      <c r="D78" s="1332">
        <f>'Part VI-Revenues &amp; Expenses'!I150</f>
        <v>0</v>
      </c>
      <c r="E78" s="1332">
        <f>'Part VI-Revenues &amp; Expenses'!J150</f>
        <v>0</v>
      </c>
      <c r="F78" s="1332">
        <f>'Part VI-Revenues &amp; Expenses'!K150</f>
        <v>0</v>
      </c>
      <c r="G78" s="1332">
        <f>'Part VI-Revenues &amp; Expenses'!L150</f>
        <v>0</v>
      </c>
      <c r="H78" s="1332">
        <f>'Part VI-Revenues &amp; Expenses'!M150</f>
        <v>0</v>
      </c>
      <c r="I78" s="1332">
        <f>'Part VI-Revenues &amp; Expenses'!N150</f>
        <v>0</v>
      </c>
      <c r="J78" s="1332">
        <f>'Part VI-Revenues &amp; Expenses'!O150</f>
        <v>0</v>
      </c>
      <c r="K78" s="1333">
        <f>'Part VI-Revenues &amp; Expenses'!P150</f>
        <v>0</v>
      </c>
      <c r="L78" s="102"/>
      <c r="M78" s="102"/>
      <c r="N78" s="2594"/>
      <c r="O78" s="2595"/>
    </row>
    <row r="79" spans="1:15" ht="13.15" customHeight="1">
      <c r="A79" s="316" t="s">
        <v>1228</v>
      </c>
      <c r="B79" s="1332">
        <f t="shared" ref="B79:K79" si="34">$B$19*(1+$B$6)^(B73-1)</f>
        <v>-632297.86992294551</v>
      </c>
      <c r="C79" s="1332">
        <f t="shared" si="34"/>
        <v>-651266.80602063378</v>
      </c>
      <c r="D79" s="1332">
        <f t="shared" si="34"/>
        <v>-670804.81020125293</v>
      </c>
      <c r="E79" s="1332">
        <f t="shared" si="34"/>
        <v>-690928.9545072905</v>
      </c>
      <c r="F79" s="1332">
        <f t="shared" si="34"/>
        <v>-711656.82314250921</v>
      </c>
      <c r="G79" s="1332">
        <f t="shared" si="34"/>
        <v>-733006.52783678437</v>
      </c>
      <c r="H79" s="1332">
        <f t="shared" si="34"/>
        <v>-754996.723671888</v>
      </c>
      <c r="I79" s="1332">
        <f t="shared" si="34"/>
        <v>-777646.62538204459</v>
      </c>
      <c r="J79" s="1332">
        <f t="shared" si="34"/>
        <v>-800976.02414350596</v>
      </c>
      <c r="K79" s="1333">
        <f t="shared" si="34"/>
        <v>-825005.30486781104</v>
      </c>
      <c r="L79" s="102"/>
      <c r="M79" s="102"/>
      <c r="N79" s="2594"/>
      <c r="O79" s="2595"/>
    </row>
    <row r="80" spans="1:15" ht="13.15" customHeight="1">
      <c r="A80" s="316" t="s">
        <v>1229</v>
      </c>
      <c r="B80" s="1332">
        <f>IF(AND('Part VII-Pro Forma'!$G$8="Yes",'Part VII-Pro Forma'!$G$9="Yes"),"Choose One!",IF('Part VII-Pro Forma'!$G$8="Yes",ROUND((-$K$8*(1+'Part VII-Pro Forma'!$B$6)^('Part VII-Pro Forma'!B73-1)),),IF('Part VII-Pro Forma'!$G$9="Yes",ROUND((-(SUM(B74:B77)*'Part VII-Pro Forma'!$K$9)),),"Choose mgt fee")))</f>
        <v>-45169</v>
      </c>
      <c r="C80" s="1332">
        <f>IF(AND('Part VII-Pro Forma'!$G$8="Yes",'Part VII-Pro Forma'!$G$9="Yes"),"Choose One!",IF('Part VII-Pro Forma'!$G$8="Yes",ROUND((-$K$8*(1+'Part VII-Pro Forma'!$B$6)^('Part VII-Pro Forma'!C73-1)),),IF('Part VII-Pro Forma'!$G$9="Yes",ROUND((-(SUM(C74:C77)*'Part VII-Pro Forma'!$K$9)),),"Choose mgt fee")))</f>
        <v>-46072</v>
      </c>
      <c r="D80" s="1332">
        <f>IF(AND('Part VII-Pro Forma'!$G$8="Yes",'Part VII-Pro Forma'!$G$9="Yes"),"Choose One!",IF('Part VII-Pro Forma'!$G$8="Yes",ROUND((-$K$8*(1+'Part VII-Pro Forma'!$B$6)^('Part VII-Pro Forma'!D73-1)),),IF('Part VII-Pro Forma'!$G$9="Yes",ROUND((-(SUM(D74:D77)*'Part VII-Pro Forma'!$K$9)),),"Choose mgt fee")))</f>
        <v>-46993</v>
      </c>
      <c r="E80" s="1332">
        <f>IF(AND('Part VII-Pro Forma'!$G$8="Yes",'Part VII-Pro Forma'!$G$9="Yes"),"Choose One!",IF('Part VII-Pro Forma'!$G$8="Yes",ROUND((-$K$8*(1+'Part VII-Pro Forma'!$B$6)^('Part VII-Pro Forma'!E73-1)),),IF('Part VII-Pro Forma'!$G$9="Yes",ROUND((-(SUM(E74:E77)*'Part VII-Pro Forma'!$K$9)),),"Choose mgt fee")))</f>
        <v>-47933</v>
      </c>
      <c r="F80" s="1332">
        <f>IF(AND('Part VII-Pro Forma'!$G$8="Yes",'Part VII-Pro Forma'!$G$9="Yes"),"Choose One!",IF('Part VII-Pro Forma'!$G$8="Yes",ROUND((-$K$8*(1+'Part VII-Pro Forma'!$B$6)^('Part VII-Pro Forma'!F73-1)),),IF('Part VII-Pro Forma'!$G$9="Yes",ROUND((-(SUM(F74:F77)*'Part VII-Pro Forma'!$K$9)),),"Choose mgt fee")))</f>
        <v>-48892</v>
      </c>
      <c r="G80" s="1332">
        <f>IF(AND('Part VII-Pro Forma'!$G$8="Yes",'Part VII-Pro Forma'!$G$9="Yes"),"Choose One!",IF('Part VII-Pro Forma'!$G$8="Yes",ROUND((-$K$8*(1+'Part VII-Pro Forma'!$B$6)^('Part VII-Pro Forma'!G73-1)),),IF('Part VII-Pro Forma'!$G$9="Yes",ROUND((-(SUM(G74:G77)*'Part VII-Pro Forma'!$K$9)),),"Choose mgt fee")))</f>
        <v>-49870</v>
      </c>
      <c r="H80" s="1332">
        <f>IF(AND('Part VII-Pro Forma'!$G$8="Yes",'Part VII-Pro Forma'!$G$9="Yes"),"Choose One!",IF('Part VII-Pro Forma'!$G$8="Yes",ROUND((-$K$8*(1+'Part VII-Pro Forma'!$B$6)^('Part VII-Pro Forma'!H73-1)),),IF('Part VII-Pro Forma'!$G$9="Yes",ROUND((-(SUM(H74:H77)*'Part VII-Pro Forma'!$K$9)),),"Choose mgt fee")))</f>
        <v>-50867</v>
      </c>
      <c r="I80" s="1332">
        <f>IF(AND('Part VII-Pro Forma'!$G$8="Yes",'Part VII-Pro Forma'!$G$9="Yes"),"Choose One!",IF('Part VII-Pro Forma'!$G$8="Yes",ROUND((-$K$8*(1+'Part VII-Pro Forma'!$B$6)^('Part VII-Pro Forma'!I73-1)),),IF('Part VII-Pro Forma'!$G$9="Yes",ROUND((-(SUM(I74:I77)*'Part VII-Pro Forma'!$K$9)),),"Choose mgt fee")))</f>
        <v>-51884</v>
      </c>
      <c r="J80" s="1332">
        <f>IF(AND('Part VII-Pro Forma'!$G$8="Yes",'Part VII-Pro Forma'!$G$9="Yes"),"Choose One!",IF('Part VII-Pro Forma'!$G$8="Yes",ROUND((-$K$8*(1+'Part VII-Pro Forma'!$B$6)^('Part VII-Pro Forma'!J73-1)),),IF('Part VII-Pro Forma'!$G$9="Yes",ROUND((-(SUM(J74:J77)*'Part VII-Pro Forma'!$K$9)),),"Choose mgt fee")))</f>
        <v>-52922</v>
      </c>
      <c r="K80" s="1332">
        <f>IF(AND('Part VII-Pro Forma'!$G$8="Yes",'Part VII-Pro Forma'!$G$9="Yes"),"Choose One!",IF('Part VII-Pro Forma'!$G$8="Yes",ROUND((-$K$8*(1+'Part VII-Pro Forma'!$B$6)^('Part VII-Pro Forma'!K73-1)),),IF('Part VII-Pro Forma'!$G$9="Yes",ROUND((-(SUM(K74:K77)*'Part VII-Pro Forma'!$K$9)),),"Choose mgt fee")))</f>
        <v>-53981</v>
      </c>
      <c r="L80" s="102"/>
      <c r="M80" s="102"/>
      <c r="N80" s="2594"/>
      <c r="O80" s="2595"/>
    </row>
    <row r="81" spans="1:15" ht="13.15" customHeight="1">
      <c r="A81" s="316" t="s">
        <v>1230</v>
      </c>
      <c r="B81" s="1332">
        <f t="shared" ref="B81:K81" si="35">$B$21*(1+$B$7)^(B73-1)</f>
        <v>-33413.057841384143</v>
      </c>
      <c r="C81" s="1332">
        <f t="shared" si="35"/>
        <v>-34415.449576625666</v>
      </c>
      <c r="D81" s="1332">
        <f t="shared" si="35"/>
        <v>-35447.913063924439</v>
      </c>
      <c r="E81" s="1332">
        <f t="shared" si="35"/>
        <v>-36511.350455842177</v>
      </c>
      <c r="F81" s="1332">
        <f t="shared" si="35"/>
        <v>-37606.690969517433</v>
      </c>
      <c r="G81" s="1332">
        <f t="shared" si="35"/>
        <v>-38734.891698602958</v>
      </c>
      <c r="H81" s="1332">
        <f t="shared" si="35"/>
        <v>-39896.93844956105</v>
      </c>
      <c r="I81" s="1332">
        <f t="shared" si="35"/>
        <v>-41093.846603047874</v>
      </c>
      <c r="J81" s="1332">
        <f t="shared" si="35"/>
        <v>-42326.662001139317</v>
      </c>
      <c r="K81" s="1333">
        <f t="shared" si="35"/>
        <v>-43596.461861173491</v>
      </c>
      <c r="L81" s="102"/>
      <c r="M81" s="102"/>
      <c r="N81" s="2594"/>
      <c r="O81" s="2595"/>
    </row>
    <row r="82" spans="1:15" ht="13.15" customHeight="1">
      <c r="A82" s="316" t="s">
        <v>1231</v>
      </c>
      <c r="B82" s="1332">
        <f t="shared" ref="B82:K82" si="36">SUM(B74:B81)</f>
        <v>192490.73973835848</v>
      </c>
      <c r="C82" s="1332">
        <f t="shared" si="36"/>
        <v>189683.8252554824</v>
      </c>
      <c r="D82" s="1332">
        <f t="shared" si="36"/>
        <v>186621.1192046194</v>
      </c>
      <c r="E82" s="1332">
        <f t="shared" si="36"/>
        <v>183290.87435605974</v>
      </c>
      <c r="F82" s="1332">
        <f t="shared" si="36"/>
        <v>179681.9487935497</v>
      </c>
      <c r="G82" s="1332">
        <f t="shared" si="36"/>
        <v>175782.79262830058</v>
      </c>
      <c r="H82" s="1332">
        <f t="shared" si="36"/>
        <v>171581.43428551286</v>
      </c>
      <c r="I82" s="1332">
        <f t="shared" si="36"/>
        <v>167064.46635000844</v>
      </c>
      <c r="J82" s="1332">
        <f t="shared" si="36"/>
        <v>162218.03095715778</v>
      </c>
      <c r="K82" s="1333">
        <f t="shared" si="36"/>
        <v>157028.80471485446</v>
      </c>
      <c r="L82" s="102"/>
      <c r="M82" s="102"/>
      <c r="N82" s="2594"/>
      <c r="O82" s="2595"/>
    </row>
    <row r="83" spans="1:15" ht="13.15" customHeight="1">
      <c r="A83" s="316" t="str">
        <f>$A53</f>
        <v>Mortgage A</v>
      </c>
      <c r="B83" s="2602">
        <f>IF('Part III-Sources of Funds'!$N$37="", 0,-'Part III-Sources of Funds'!$N$37)</f>
        <v>-158640.76725498866</v>
      </c>
      <c r="C83" s="2602">
        <f>IF('Part III-Sources of Funds'!$N$37="", 0,-'Part III-Sources of Funds'!$N$37)</f>
        <v>-158640.76725498866</v>
      </c>
      <c r="D83" s="2602">
        <f>IF('Part III-Sources of Funds'!$N$37="", 0,-'Part III-Sources of Funds'!$N$37)</f>
        <v>-158640.76725498866</v>
      </c>
      <c r="E83" s="2602">
        <f>IF('Part III-Sources of Funds'!$N$37="", 0,-'Part III-Sources of Funds'!$N$37)</f>
        <v>-158640.76725498866</v>
      </c>
      <c r="F83" s="2602">
        <f>IF('Part III-Sources of Funds'!$N$37="", 0,-'Part III-Sources of Funds'!$N$37)</f>
        <v>-158640.76725498866</v>
      </c>
      <c r="G83" s="2602">
        <f>IF('Part III-Sources of Funds'!$N$37="", 0,-'Part III-Sources of Funds'!$N$37)</f>
        <v>-158640.76725498866</v>
      </c>
      <c r="H83" s="2602">
        <f>IF('Part III-Sources of Funds'!$N$37="", 0,-'Part III-Sources of Funds'!$N$37)</f>
        <v>-158640.76725498866</v>
      </c>
      <c r="I83" s="2602">
        <f>IF('Part III-Sources of Funds'!$N$37="", 0,-'Part III-Sources of Funds'!$N$37)</f>
        <v>-158640.76725498866</v>
      </c>
      <c r="J83" s="2602">
        <f>IF('Part III-Sources of Funds'!$N$37="", 0,-'Part III-Sources of Funds'!$N$37)</f>
        <v>-158640.76725498866</v>
      </c>
      <c r="K83" s="2602">
        <f>IF('Part III-Sources of Funds'!$N$37="", 0,-'Part III-Sources of Funds'!$N$37)</f>
        <v>-158640.76725498866</v>
      </c>
      <c r="L83" s="102"/>
      <c r="M83" s="102"/>
      <c r="N83" s="2594"/>
      <c r="O83" s="2595"/>
    </row>
    <row r="84" spans="1:15" ht="13.15" customHeight="1">
      <c r="A84" s="316" t="str">
        <f>$A54</f>
        <v>Mortgage B</v>
      </c>
      <c r="B84" s="2603">
        <f>IF('Part III-Sources of Funds'!$N$38="", 0,-'Part III-Sources of Funds'!$N$38)</f>
        <v>0</v>
      </c>
      <c r="C84" s="2603">
        <f>IF('Part III-Sources of Funds'!$N$38="", 0,-'Part III-Sources of Funds'!$N$38)</f>
        <v>0</v>
      </c>
      <c r="D84" s="2603">
        <f>IF('Part III-Sources of Funds'!$N$38="", 0,-'Part III-Sources of Funds'!$N$38)</f>
        <v>0</v>
      </c>
      <c r="E84" s="2603">
        <f>IF('Part III-Sources of Funds'!$N$38="", 0,-'Part III-Sources of Funds'!$N$38)</f>
        <v>0</v>
      </c>
      <c r="F84" s="2603">
        <f>IF('Part III-Sources of Funds'!$N$38="", 0,-'Part III-Sources of Funds'!$N$38)</f>
        <v>0</v>
      </c>
      <c r="G84" s="2603">
        <f>IF('Part III-Sources of Funds'!$N$38="", 0,-'Part III-Sources of Funds'!$N$38)</f>
        <v>0</v>
      </c>
      <c r="H84" s="2603">
        <f>IF('Part III-Sources of Funds'!$N$38="", 0,-'Part III-Sources of Funds'!$N$38)</f>
        <v>0</v>
      </c>
      <c r="I84" s="2603">
        <f>IF('Part III-Sources of Funds'!$N$38="", 0,-'Part III-Sources of Funds'!$N$38)</f>
        <v>0</v>
      </c>
      <c r="J84" s="2603">
        <f>IF('Part III-Sources of Funds'!$N$38="", 0,-'Part III-Sources of Funds'!$N$38)</f>
        <v>0</v>
      </c>
      <c r="K84" s="2603">
        <f>IF('Part III-Sources of Funds'!$N$38="", 0,-'Part III-Sources of Funds'!$N$38)</f>
        <v>0</v>
      </c>
      <c r="L84" s="102"/>
      <c r="M84" s="102"/>
      <c r="N84" s="2594"/>
      <c r="O84" s="2595"/>
    </row>
    <row r="85" spans="1:15" ht="13.15" customHeight="1">
      <c r="A85" s="316" t="str">
        <f>$A55</f>
        <v>Mortgage C</v>
      </c>
      <c r="B85" s="2603">
        <f>IF('Part III-Sources of Funds'!$N$39="", 0,-'Part III-Sources of Funds'!$N$39)</f>
        <v>0</v>
      </c>
      <c r="C85" s="2603">
        <f>IF('Part III-Sources of Funds'!$N$39="", 0,-'Part III-Sources of Funds'!$N$39)</f>
        <v>0</v>
      </c>
      <c r="D85" s="2603">
        <f>IF('Part III-Sources of Funds'!$N$39="", 0,-'Part III-Sources of Funds'!$N$39)</f>
        <v>0</v>
      </c>
      <c r="E85" s="2603">
        <f>IF('Part III-Sources of Funds'!$N$39="", 0,-'Part III-Sources of Funds'!$N$39)</f>
        <v>0</v>
      </c>
      <c r="F85" s="2603">
        <f>IF('Part III-Sources of Funds'!$N$39="", 0,-'Part III-Sources of Funds'!$N$39)</f>
        <v>0</v>
      </c>
      <c r="G85" s="2603">
        <f>IF('Part III-Sources of Funds'!$N$39="", 0,-'Part III-Sources of Funds'!$N$39)</f>
        <v>0</v>
      </c>
      <c r="H85" s="2603">
        <f>IF('Part III-Sources of Funds'!$N$39="", 0,-'Part III-Sources of Funds'!$N$39)</f>
        <v>0</v>
      </c>
      <c r="I85" s="2603">
        <f>IF('Part III-Sources of Funds'!$N$39="", 0,-'Part III-Sources of Funds'!$N$39)</f>
        <v>0</v>
      </c>
      <c r="J85" s="2603">
        <f>IF('Part III-Sources of Funds'!$N$39="", 0,-'Part III-Sources of Funds'!$N$39)</f>
        <v>0</v>
      </c>
      <c r="K85" s="2603">
        <f>IF('Part III-Sources of Funds'!$N$39="", 0,-'Part III-Sources of Funds'!$N$39)</f>
        <v>0</v>
      </c>
      <c r="L85" s="102"/>
      <c r="M85" s="102"/>
      <c r="N85" s="2594"/>
      <c r="O85" s="2595"/>
    </row>
    <row r="86" spans="1:15" ht="13.15" customHeight="1">
      <c r="A86" s="316" t="str">
        <f>$A56</f>
        <v>D/S Other Source,not DDF</v>
      </c>
      <c r="B86" s="2603">
        <f>IF('Part III-Sources of Funds'!$N$40="", 0,-'Part III-Sources of Funds'!$N$40)</f>
        <v>0</v>
      </c>
      <c r="C86" s="2603">
        <f>IF('Part III-Sources of Funds'!$N$40="", 0,-'Part III-Sources of Funds'!$N$40)</f>
        <v>0</v>
      </c>
      <c r="D86" s="2603">
        <f>IF('Part III-Sources of Funds'!$N$40="", 0,-'Part III-Sources of Funds'!$N$40)</f>
        <v>0</v>
      </c>
      <c r="E86" s="2603">
        <f>IF('Part III-Sources of Funds'!$N$40="", 0,-'Part III-Sources of Funds'!$N$40)</f>
        <v>0</v>
      </c>
      <c r="F86" s="2603">
        <f>IF('Part III-Sources of Funds'!$N$40="", 0,-'Part III-Sources of Funds'!$N$40)</f>
        <v>0</v>
      </c>
      <c r="G86" s="2603">
        <f>IF('Part III-Sources of Funds'!$N$40="", 0,-'Part III-Sources of Funds'!$N$40)</f>
        <v>0</v>
      </c>
      <c r="H86" s="2603">
        <f>IF('Part III-Sources of Funds'!$N$40="", 0,-'Part III-Sources of Funds'!$N$40)</f>
        <v>0</v>
      </c>
      <c r="I86" s="2603">
        <f>IF('Part III-Sources of Funds'!$N$40="", 0,-'Part III-Sources of Funds'!$N$40)</f>
        <v>0</v>
      </c>
      <c r="J86" s="2603">
        <f>IF('Part III-Sources of Funds'!$N$40="", 0,-'Part III-Sources of Funds'!$N$40)</f>
        <v>0</v>
      </c>
      <c r="K86" s="2603">
        <f>IF('Part III-Sources of Funds'!$N$40="", 0,-'Part III-Sources of Funds'!$N$40)</f>
        <v>0</v>
      </c>
      <c r="L86" s="102"/>
      <c r="M86" s="102"/>
      <c r="N86" s="2594"/>
      <c r="O86" s="2595"/>
    </row>
    <row r="87" spans="1:15" ht="13.15" customHeight="1">
      <c r="A87" s="316" t="s">
        <v>1233</v>
      </c>
      <c r="B87" s="2604"/>
      <c r="C87" s="2604"/>
      <c r="D87" s="2604"/>
      <c r="E87" s="2604"/>
      <c r="F87" s="2604"/>
      <c r="G87" s="2604"/>
      <c r="H87" s="2604"/>
      <c r="I87" s="2604"/>
      <c r="J87" s="2604"/>
      <c r="K87" s="2604"/>
      <c r="L87" s="102"/>
      <c r="M87" s="102"/>
      <c r="N87" s="2594"/>
      <c r="O87" s="2595"/>
    </row>
    <row r="88" spans="1:15" ht="13.15" customHeight="1">
      <c r="A88" s="316" t="s">
        <v>1234</v>
      </c>
      <c r="B88" s="2606">
        <f>+K58</f>
        <v>-20000</v>
      </c>
      <c r="C88" s="2606">
        <f t="shared" ref="C88:K88" si="37">+B88</f>
        <v>-20000</v>
      </c>
      <c r="D88" s="2606">
        <f t="shared" si="37"/>
        <v>-20000</v>
      </c>
      <c r="E88" s="2606">
        <f t="shared" si="37"/>
        <v>-20000</v>
      </c>
      <c r="F88" s="2606">
        <f t="shared" si="37"/>
        <v>-20000</v>
      </c>
      <c r="G88" s="2606">
        <f t="shared" si="37"/>
        <v>-20000</v>
      </c>
      <c r="H88" s="2606">
        <f t="shared" si="37"/>
        <v>-20000</v>
      </c>
      <c r="I88" s="2606">
        <f t="shared" si="37"/>
        <v>-20000</v>
      </c>
      <c r="J88" s="2606">
        <f t="shared" si="37"/>
        <v>-20000</v>
      </c>
      <c r="K88" s="2606">
        <f t="shared" si="37"/>
        <v>-20000</v>
      </c>
      <c r="L88" s="102"/>
      <c r="M88" s="102"/>
      <c r="N88" s="2594"/>
      <c r="O88" s="2595"/>
    </row>
    <row r="89" spans="1:15" ht="13.15" customHeight="1">
      <c r="A89" s="316" t="s">
        <v>595</v>
      </c>
      <c r="B89" s="1332">
        <f t="shared" ref="B89:K89" si="38">SUM(B82:B88)</f>
        <v>13849.972483369813</v>
      </c>
      <c r="C89" s="1332">
        <f t="shared" si="38"/>
        <v>11043.058000493736</v>
      </c>
      <c r="D89" s="1332">
        <f t="shared" si="38"/>
        <v>7980.3519496307417</v>
      </c>
      <c r="E89" s="1332">
        <f t="shared" si="38"/>
        <v>4650.107101071073</v>
      </c>
      <c r="F89" s="1332">
        <f t="shared" si="38"/>
        <v>1041.1815385610389</v>
      </c>
      <c r="G89" s="1332">
        <f t="shared" si="38"/>
        <v>-2857.9746266880829</v>
      </c>
      <c r="H89" s="1332">
        <f t="shared" si="38"/>
        <v>-7059.3329694757995</v>
      </c>
      <c r="I89" s="1332">
        <f t="shared" si="38"/>
        <v>-11576.30090498022</v>
      </c>
      <c r="J89" s="1332">
        <f t="shared" si="38"/>
        <v>-16422.736297830881</v>
      </c>
      <c r="K89" s="1333">
        <f t="shared" si="38"/>
        <v>-21611.962540134205</v>
      </c>
      <c r="L89" s="102"/>
      <c r="M89" s="102"/>
      <c r="N89" s="2594"/>
      <c r="O89" s="2595"/>
    </row>
    <row r="90" spans="1:15" ht="13.15" customHeight="1">
      <c r="A90" s="316" t="str">
        <f>$A61</f>
        <v>DCR Mortgage A</v>
      </c>
      <c r="B90" s="1334">
        <f>IF(B83=0,"",-B82/B83)</f>
        <v>1.2133749922487553</v>
      </c>
      <c r="C90" s="1334">
        <f t="shared" ref="C90:K90" si="39">IF(C83=0,"",-C82/C83)</f>
        <v>1.1956814666093816</v>
      </c>
      <c r="D90" s="1334">
        <f t="shared" si="39"/>
        <v>1.1763755460452165</v>
      </c>
      <c r="E90" s="1334">
        <f t="shared" si="39"/>
        <v>1.1553831813070479</v>
      </c>
      <c r="F90" s="1334">
        <f t="shared" si="39"/>
        <v>1.1326341387692662</v>
      </c>
      <c r="G90" s="1334">
        <f t="shared" si="39"/>
        <v>1.1080556131310118</v>
      </c>
      <c r="H90" s="1334">
        <f t="shared" si="39"/>
        <v>1.0815721409725927</v>
      </c>
      <c r="I90" s="1334">
        <f t="shared" si="39"/>
        <v>1.0530992079827759</v>
      </c>
      <c r="J90" s="1334">
        <f t="shared" si="39"/>
        <v>1.0225494604197121</v>
      </c>
      <c r="K90" s="1335">
        <f t="shared" si="39"/>
        <v>0.9898389136157969</v>
      </c>
      <c r="L90" s="102"/>
      <c r="M90" s="102"/>
      <c r="N90" s="2594"/>
      <c r="O90" s="2595"/>
    </row>
    <row r="91" spans="1:15" ht="13.15" customHeight="1">
      <c r="A91" s="316" t="str">
        <f>$A62</f>
        <v>DCR Mortgage B</v>
      </c>
      <c r="B91" s="1334" t="str">
        <f>IF(B84=0,"",-(B82+B83)/B84)</f>
        <v/>
      </c>
      <c r="C91" s="1334" t="str">
        <f t="shared" ref="C91:K91" si="40">IF(C84=0,"",-(C82+C83)/C84)</f>
        <v/>
      </c>
      <c r="D91" s="1334" t="str">
        <f t="shared" si="40"/>
        <v/>
      </c>
      <c r="E91" s="1334" t="str">
        <f t="shared" si="40"/>
        <v/>
      </c>
      <c r="F91" s="1334" t="str">
        <f t="shared" si="40"/>
        <v/>
      </c>
      <c r="G91" s="1334" t="str">
        <f t="shared" si="40"/>
        <v/>
      </c>
      <c r="H91" s="1334" t="str">
        <f t="shared" si="40"/>
        <v/>
      </c>
      <c r="I91" s="1334" t="str">
        <f t="shared" si="40"/>
        <v/>
      </c>
      <c r="J91" s="1334" t="str">
        <f t="shared" si="40"/>
        <v/>
      </c>
      <c r="K91" s="1335" t="str">
        <f t="shared" si="40"/>
        <v/>
      </c>
      <c r="L91" s="102"/>
      <c r="M91" s="102"/>
      <c r="N91" s="2594"/>
      <c r="O91" s="2595"/>
    </row>
    <row r="92" spans="1:15" ht="13.15" customHeight="1">
      <c r="A92" s="316" t="str">
        <f>$A63</f>
        <v>DCR Mortgage C</v>
      </c>
      <c r="B92" s="1334" t="str">
        <f>IF(B85=0,"",-(B82+B83+B84)/B85)</f>
        <v/>
      </c>
      <c r="C92" s="1334" t="str">
        <f t="shared" ref="C92:K92" si="41">IF(C85=0,"",-(C82+C83+C84)/C85)</f>
        <v/>
      </c>
      <c r="D92" s="1334" t="str">
        <f t="shared" si="41"/>
        <v/>
      </c>
      <c r="E92" s="1334" t="str">
        <f t="shared" si="41"/>
        <v/>
      </c>
      <c r="F92" s="1334" t="str">
        <f t="shared" si="41"/>
        <v/>
      </c>
      <c r="G92" s="1334" t="str">
        <f t="shared" si="41"/>
        <v/>
      </c>
      <c r="H92" s="1334" t="str">
        <f t="shared" si="41"/>
        <v/>
      </c>
      <c r="I92" s="1334" t="str">
        <f t="shared" si="41"/>
        <v/>
      </c>
      <c r="J92" s="1334" t="str">
        <f t="shared" si="41"/>
        <v/>
      </c>
      <c r="K92" s="1335" t="str">
        <f t="shared" si="41"/>
        <v/>
      </c>
      <c r="L92" s="102"/>
      <c r="M92" s="102"/>
      <c r="N92" s="2594"/>
      <c r="O92" s="2595"/>
    </row>
    <row r="93" spans="1:15" ht="13.15" customHeight="1">
      <c r="A93" s="316" t="str">
        <f>$A64</f>
        <v>DCR Other Source</v>
      </c>
      <c r="B93" s="1334" t="str">
        <f>IF(B86=0,"",-(B82+B83+B84+B85)/B86)</f>
        <v/>
      </c>
      <c r="C93" s="1334" t="str">
        <f t="shared" ref="C93:K93" si="42">IF(C86=0,"",-(C82+C83+C84+C85)/C86)</f>
        <v/>
      </c>
      <c r="D93" s="1334" t="str">
        <f t="shared" si="42"/>
        <v/>
      </c>
      <c r="E93" s="1334" t="str">
        <f t="shared" si="42"/>
        <v/>
      </c>
      <c r="F93" s="1334" t="str">
        <f t="shared" si="42"/>
        <v/>
      </c>
      <c r="G93" s="1334" t="str">
        <f t="shared" si="42"/>
        <v/>
      </c>
      <c r="H93" s="1334" t="str">
        <f t="shared" si="42"/>
        <v/>
      </c>
      <c r="I93" s="1334" t="str">
        <f t="shared" si="42"/>
        <v/>
      </c>
      <c r="J93" s="1334" t="str">
        <f t="shared" si="42"/>
        <v/>
      </c>
      <c r="K93" s="1335" t="str">
        <f t="shared" si="42"/>
        <v/>
      </c>
      <c r="L93" s="102"/>
      <c r="M93" s="102"/>
      <c r="N93" s="2594"/>
      <c r="O93" s="2595"/>
    </row>
    <row r="94" spans="1:15" ht="13.15" customHeight="1">
      <c r="A94" s="316" t="s">
        <v>1237</v>
      </c>
      <c r="B94" s="1334">
        <f>IF(AND(B83=0,B84=0,B85=0,B86=0),"",-B82/(B83+B84+B85+B86))</f>
        <v>1.2133749922487553</v>
      </c>
      <c r="C94" s="1334">
        <f t="shared" ref="C94:K94" si="43">IF(AND(C83=0,C84=0,C85=0,C86=0),"",-C82/(C83+C84+C85+C86))</f>
        <v>1.1956814666093816</v>
      </c>
      <c r="D94" s="1334">
        <f t="shared" si="43"/>
        <v>1.1763755460452165</v>
      </c>
      <c r="E94" s="1334">
        <f t="shared" si="43"/>
        <v>1.1553831813070479</v>
      </c>
      <c r="F94" s="1334">
        <f t="shared" si="43"/>
        <v>1.1326341387692662</v>
      </c>
      <c r="G94" s="1334">
        <f t="shared" si="43"/>
        <v>1.1080556131310118</v>
      </c>
      <c r="H94" s="1334">
        <f t="shared" si="43"/>
        <v>1.0815721409725927</v>
      </c>
      <c r="I94" s="1334">
        <f t="shared" si="43"/>
        <v>1.0530992079827759</v>
      </c>
      <c r="J94" s="1334">
        <f t="shared" si="43"/>
        <v>1.0225494604197121</v>
      </c>
      <c r="K94" s="1335">
        <f t="shared" si="43"/>
        <v>0.9898389136157969</v>
      </c>
      <c r="L94" s="102"/>
      <c r="M94" s="102"/>
      <c r="N94" s="2594"/>
      <c r="O94" s="2595"/>
    </row>
    <row r="95" spans="1:15" ht="13.15" customHeight="1">
      <c r="A95" s="316" t="s">
        <v>1238</v>
      </c>
      <c r="B95" s="1336">
        <f>IF(OR(B80="Choose mgt fee",B80="Choose One!"),"",(B74+B75+B76+B77+B78) / -(B79+B80+B81))</f>
        <v>1.2707781331563675</v>
      </c>
      <c r="C95" s="1336">
        <f t="shared" ref="C95:K95" si="44">IF(OR(C80="Choose mgt fee",C80="Choose One!"),"",(C74+C75+C76+C77+C78) / -(C79+C80+C81))</f>
        <v>1.2592179325293598</v>
      </c>
      <c r="D95" s="1336">
        <f t="shared" si="44"/>
        <v>1.2477559625505104</v>
      </c>
      <c r="E95" s="1336">
        <f t="shared" si="44"/>
        <v>1.2363904885334875</v>
      </c>
      <c r="F95" s="1336">
        <f t="shared" si="44"/>
        <v>1.2251214777278729</v>
      </c>
      <c r="G95" s="1336">
        <f t="shared" si="44"/>
        <v>1.2139488186857286</v>
      </c>
      <c r="H95" s="1336">
        <f t="shared" si="44"/>
        <v>1.2028723277991313</v>
      </c>
      <c r="I95" s="1336">
        <f t="shared" si="44"/>
        <v>1.1918903864132009</v>
      </c>
      <c r="J95" s="1336">
        <f t="shared" si="44"/>
        <v>1.1810015205617497</v>
      </c>
      <c r="K95" s="1337">
        <f t="shared" si="44"/>
        <v>1.1702056556633935</v>
      </c>
      <c r="L95" s="102"/>
      <c r="M95" s="102"/>
      <c r="N95" s="2594"/>
      <c r="O95" s="2595"/>
    </row>
    <row r="96" spans="1:15" ht="13.15" customHeight="1">
      <c r="A96" s="316" t="s">
        <v>1239</v>
      </c>
      <c r="B96" s="2607">
        <f>IF('Part III-Sources of Funds'!$I$37="","",-FV('Part III-Sources of Funds'!$K$37/12,12,B83/12,K67))</f>
        <v>1904887.1468174332</v>
      </c>
      <c r="C96" s="2607">
        <f>IF('Part III-Sources of Funds'!$I$37="","",-FV('Part III-Sources of Funds'!$K$37/12,12,C83/12,B96))</f>
        <v>1844821.2901501576</v>
      </c>
      <c r="D96" s="2607">
        <f>IF('Part III-Sources of Funds'!$I$37="","",-FV('Part III-Sources of Funds'!$K$37/12,12,D83/12,C96))</f>
        <v>1781524.9783834147</v>
      </c>
      <c r="E96" s="2607">
        <f>IF('Part III-Sources of Funds'!$I$37="","",-FV('Part III-Sources of Funds'!$K$37/12,12,E83/12,D96))</f>
        <v>1714824.4715469666</v>
      </c>
      <c r="F96" s="2607">
        <f>IF('Part III-Sources of Funds'!$I$37="","",-FV('Part III-Sources of Funds'!$K$37/12,12,F83/12,E96))</f>
        <v>1644536.6856071763</v>
      </c>
      <c r="G96" s="2607">
        <f>IF('Part III-Sources of Funds'!$I$37="","",-FV('Part III-Sources of Funds'!$K$37/12,12,G83/12,F96))</f>
        <v>1570468.689925648</v>
      </c>
      <c r="H96" s="2607">
        <f>IF('Part III-Sources of Funds'!$I$37="","",-FV('Part III-Sources of Funds'!$K$37/12,12,H83/12,G96))</f>
        <v>1492417.1776902457</v>
      </c>
      <c r="I96" s="2607">
        <f>IF('Part III-Sources of Funds'!$I$37="","",-FV('Part III-Sources of Funds'!$K$37/12,12,I83/12,H96))</f>
        <v>1410167.9078648919</v>
      </c>
      <c r="J96" s="2607">
        <f>IF('Part III-Sources of Funds'!$I$37="","",-FV('Part III-Sources of Funds'!$K$37/12,12,J83/12,I96))</f>
        <v>1323495.1171263745</v>
      </c>
      <c r="K96" s="2607">
        <f>IF('Part III-Sources of Funds'!$I$37="","",-FV('Part III-Sources of Funds'!$K$37/12,12,K83/12,J96))</f>
        <v>1232160.900174005</v>
      </c>
      <c r="L96" s="102"/>
      <c r="M96" s="102"/>
      <c r="N96" s="2594"/>
      <c r="O96" s="2595"/>
    </row>
    <row r="97" spans="1:15" ht="13.15" customHeight="1">
      <c r="A97" s="316" t="s">
        <v>1240</v>
      </c>
      <c r="B97" s="2603" t="str">
        <f>IF('Part III-Sources of Funds'!$I$38="","",-FV('Part III-Sources of Funds'!$K$38/12,12,B84/12,K68))</f>
        <v/>
      </c>
      <c r="C97" s="2603" t="str">
        <f>IF('Part III-Sources of Funds'!$I$38="","",-FV('Part III-Sources of Funds'!$K$38/12,12,C84/12,B97))</f>
        <v/>
      </c>
      <c r="D97" s="2603" t="str">
        <f>IF('Part III-Sources of Funds'!$I$38="","",-FV('Part III-Sources of Funds'!$K$38/12,12,D84/12,C97))</f>
        <v/>
      </c>
      <c r="E97" s="2603" t="str">
        <f>IF('Part III-Sources of Funds'!$I$38="","",-FV('Part III-Sources of Funds'!$K$38/12,12,E84/12,D97))</f>
        <v/>
      </c>
      <c r="F97" s="2603" t="str">
        <f>IF('Part III-Sources of Funds'!$I$38="","",-FV('Part III-Sources of Funds'!$K$38/12,12,F84/12,E97))</f>
        <v/>
      </c>
      <c r="G97" s="2603" t="str">
        <f>IF('Part III-Sources of Funds'!$I$38="","",-FV('Part III-Sources of Funds'!$K$38/12,12,G84/12,F97))</f>
        <v/>
      </c>
      <c r="H97" s="2603" t="str">
        <f>IF('Part III-Sources of Funds'!$I$38="","",-FV('Part III-Sources of Funds'!$K$38/12,12,H84/12,G97))</f>
        <v/>
      </c>
      <c r="I97" s="2603" t="str">
        <f>IF('Part III-Sources of Funds'!$I$38="","",-FV('Part III-Sources of Funds'!$K$38/12,12,I84/12,H97))</f>
        <v/>
      </c>
      <c r="J97" s="2603" t="str">
        <f>IF('Part III-Sources of Funds'!$I$38="","",-FV('Part III-Sources of Funds'!$K$38/12,12,J84/12,I97))</f>
        <v/>
      </c>
      <c r="K97" s="2603" t="str">
        <f>IF('Part III-Sources of Funds'!$I$38="","",-FV('Part III-Sources of Funds'!$K$38/12,12,K84/12,J97))</f>
        <v/>
      </c>
      <c r="L97" s="102"/>
      <c r="M97" s="102"/>
      <c r="N97" s="2594"/>
      <c r="O97" s="2595"/>
    </row>
    <row r="98" spans="1:15" ht="13.15" customHeight="1">
      <c r="A98" s="316" t="s">
        <v>1241</v>
      </c>
      <c r="B98" s="2603" t="str">
        <f>IF('Part III-Sources of Funds'!$I$39="","",-FV('Part III-Sources of Funds'!$K$39/12,12,B85/12,K69))</f>
        <v/>
      </c>
      <c r="C98" s="2603" t="str">
        <f>IF('Part III-Sources of Funds'!$I$39="","",-FV('Part III-Sources of Funds'!$K$39/12,12,C85/12,B98))</f>
        <v/>
      </c>
      <c r="D98" s="2603" t="str">
        <f>IF('Part III-Sources of Funds'!$I$39="","",-FV('Part III-Sources of Funds'!$K$39/12,12,D85/12,C98))</f>
        <v/>
      </c>
      <c r="E98" s="2603" t="str">
        <f>IF('Part III-Sources of Funds'!$I$39="","",-FV('Part III-Sources of Funds'!$K$39/12,12,E85/12,D98))</f>
        <v/>
      </c>
      <c r="F98" s="2603" t="str">
        <f>IF('Part III-Sources of Funds'!$I$39="","",-FV('Part III-Sources of Funds'!$K$39/12,12,F85/12,E98))</f>
        <v/>
      </c>
      <c r="G98" s="2603" t="str">
        <f>IF('Part III-Sources of Funds'!$I$39="","",-FV('Part III-Sources of Funds'!$K$39/12,12,G85/12,F98))</f>
        <v/>
      </c>
      <c r="H98" s="2603" t="str">
        <f>IF('Part III-Sources of Funds'!$I$39="","",-FV('Part III-Sources of Funds'!$K$39/12,12,H85/12,G98))</f>
        <v/>
      </c>
      <c r="I98" s="2603" t="str">
        <f>IF('Part III-Sources of Funds'!$I$39="","",-FV('Part III-Sources of Funds'!$K$39/12,12,I85/12,H98))</f>
        <v/>
      </c>
      <c r="J98" s="2603" t="str">
        <f>IF('Part III-Sources of Funds'!$I$39="","",-FV('Part III-Sources of Funds'!$K$39/12,12,J85/12,I98))</f>
        <v/>
      </c>
      <c r="K98" s="2603" t="str">
        <f>IF('Part III-Sources of Funds'!$I$39="","",-FV('Part III-Sources of Funds'!$K$39/12,12,K85/12,J98))</f>
        <v/>
      </c>
      <c r="L98" s="102"/>
      <c r="M98" s="102"/>
      <c r="N98" s="2594"/>
      <c r="O98" s="2595"/>
    </row>
    <row r="99" spans="1:15" ht="13.15" customHeight="1">
      <c r="A99" s="316" t="s">
        <v>1242</v>
      </c>
      <c r="B99" s="2606" t="str">
        <f>IF('Part III-Sources of Funds'!$I$40="","",-FV('Part III-Sources of Funds'!$K$40/12,12,B86/12,K70))</f>
        <v/>
      </c>
      <c r="C99" s="2606" t="str">
        <f>IF('Part III-Sources of Funds'!$I$40="","",-FV('Part III-Sources of Funds'!$K$40/12,12,C86/12,B99))</f>
        <v/>
      </c>
      <c r="D99" s="2606" t="str">
        <f>IF('Part III-Sources of Funds'!$I$40="","",-FV('Part III-Sources of Funds'!$K$40/12,12,D86/12,C99))</f>
        <v/>
      </c>
      <c r="E99" s="2606" t="str">
        <f>IF('Part III-Sources of Funds'!$I$40="","",-FV('Part III-Sources of Funds'!$K$40/12,12,E86/12,D99))</f>
        <v/>
      </c>
      <c r="F99" s="2606" t="str">
        <f>IF('Part III-Sources of Funds'!$I$40="","",-FV('Part III-Sources of Funds'!$K$40/12,12,F86/12,E99))</f>
        <v/>
      </c>
      <c r="G99" s="2606" t="str">
        <f>IF('Part III-Sources of Funds'!$I$40="","",-FV('Part III-Sources of Funds'!$K$40/12,12,G86/12,F99))</f>
        <v/>
      </c>
      <c r="H99" s="2606" t="str">
        <f>IF('Part III-Sources of Funds'!$I$40="","",-FV('Part III-Sources of Funds'!$K$40/12,12,H86/12,G99))</f>
        <v/>
      </c>
      <c r="I99" s="2606" t="str">
        <f>IF('Part III-Sources of Funds'!$I$40="","",-FV('Part III-Sources of Funds'!$K$40/12,12,I86/12,H99))</f>
        <v/>
      </c>
      <c r="J99" s="2606" t="str">
        <f>IF('Part III-Sources of Funds'!$I$40="","",-FV('Part III-Sources of Funds'!$K$40/12,12,J86/12,I99))</f>
        <v/>
      </c>
      <c r="K99" s="2606" t="str">
        <f>IF('Part III-Sources of Funds'!$I$40="","",-FV('Part III-Sources of Funds'!$K$40/12,12,K86/12,J99))</f>
        <v/>
      </c>
      <c r="L99" s="102"/>
      <c r="M99" s="102"/>
      <c r="N99" s="2600"/>
      <c r="O99" s="2601"/>
    </row>
    <row r="100" spans="1:15" ht="4.1500000000000004" customHeight="1">
      <c r="A100" s="102"/>
      <c r="B100" s="1338"/>
      <c r="C100" s="1338"/>
      <c r="D100" s="1338"/>
      <c r="E100" s="1338"/>
      <c r="F100" s="1338"/>
      <c r="G100" s="1338"/>
      <c r="H100" s="1338"/>
      <c r="I100" s="1338"/>
      <c r="J100" s="1338"/>
      <c r="K100" s="1338"/>
      <c r="L100" s="102"/>
      <c r="M100" s="102"/>
      <c r="N100" s="102"/>
      <c r="O100" s="102"/>
    </row>
    <row r="101" spans="1:15" ht="14.45" customHeight="1">
      <c r="A101" s="8" t="s">
        <v>627</v>
      </c>
      <c r="B101" s="10">
        <f>K73+1</f>
        <v>31</v>
      </c>
      <c r="C101" s="10">
        <f>B101+1</f>
        <v>32</v>
      </c>
      <c r="D101" s="10">
        <f>C101+1</f>
        <v>33</v>
      </c>
      <c r="E101" s="10">
        <f>D101+1</f>
        <v>34</v>
      </c>
      <c r="F101" s="10">
        <f>E101+1</f>
        <v>35</v>
      </c>
      <c r="G101" s="1338"/>
      <c r="H101" s="1338"/>
      <c r="I101" s="1338"/>
      <c r="J101" s="1338"/>
      <c r="K101" s="1338"/>
      <c r="L101" s="102"/>
      <c r="M101" s="102"/>
      <c r="N101" s="1666" t="s">
        <v>1244</v>
      </c>
      <c r="O101" s="1666"/>
    </row>
    <row r="102" spans="1:15" ht="13.15" customHeight="1">
      <c r="A102" s="1396" t="s">
        <v>1221</v>
      </c>
      <c r="B102" s="1355">
        <f>$B$14*(1+$B$5)^(B101-1)</f>
        <v>1160872.6574664935</v>
      </c>
      <c r="C102" s="1355">
        <f>$B$14*(1+$B$5)^(C101-1)</f>
        <v>1184090.1106158232</v>
      </c>
      <c r="D102" s="1355">
        <f>$B$14*(1+$B$5)^(D101-1)</f>
        <v>1207771.91282814</v>
      </c>
      <c r="E102" s="1355">
        <f>$B$14*(1+$B$5)^(E101-1)</f>
        <v>1231927.3510847029</v>
      </c>
      <c r="F102" s="1356">
        <f>$B$14*(1+$B$5)^(F101-1)</f>
        <v>1256565.8981063967</v>
      </c>
      <c r="G102" s="1338"/>
      <c r="H102" s="1338"/>
      <c r="I102" s="1338"/>
      <c r="J102" s="1338"/>
      <c r="K102" s="1338"/>
      <c r="L102" s="102"/>
      <c r="M102" s="102"/>
      <c r="N102" s="2592"/>
      <c r="O102" s="2593"/>
    </row>
    <row r="103" spans="1:15" ht="13.15" customHeight="1">
      <c r="A103" s="316" t="s">
        <v>1135</v>
      </c>
      <c r="B103" s="1332">
        <f>$B$15*(1+$B$5)^(B101-1)</f>
        <v>23217.453149329871</v>
      </c>
      <c r="C103" s="1332">
        <f>$B$15*(1+$B$5)^(C101-1)</f>
        <v>23681.802212316463</v>
      </c>
      <c r="D103" s="1332">
        <f>$B$15*(1+$B$5)^(D101-1)</f>
        <v>24155.438256562797</v>
      </c>
      <c r="E103" s="1332">
        <f>$B$15*(1+$B$5)^(E101-1)</f>
        <v>24638.547021694056</v>
      </c>
      <c r="F103" s="1333">
        <f>$B$15*(1+$B$5)^(F101-1)</f>
        <v>25131.317962127934</v>
      </c>
      <c r="G103" s="1338"/>
      <c r="H103" s="1338"/>
      <c r="I103" s="1338"/>
      <c r="J103" s="1338"/>
      <c r="K103" s="1338"/>
      <c r="L103" s="102"/>
      <c r="M103" s="102"/>
      <c r="N103" s="2594"/>
      <c r="O103" s="2595"/>
    </row>
    <row r="104" spans="1:15" ht="13.15" customHeight="1">
      <c r="A104" s="316" t="s">
        <v>1223</v>
      </c>
      <c r="B104" s="1332">
        <f>-(B102+B103)*$B$8</f>
        <v>-82886.307743107653</v>
      </c>
      <c r="C104" s="1332">
        <f>-(C102+C103)*$B$8</f>
        <v>-84544.033897969784</v>
      </c>
      <c r="D104" s="1332">
        <f>-(D102+D103)*$B$8</f>
        <v>-86234.914575929201</v>
      </c>
      <c r="E104" s="1332">
        <f>-(E102+E103)*$B$8</f>
        <v>-87959.612867447795</v>
      </c>
      <c r="F104" s="1333">
        <f>-(F102+F103)*$B$8</f>
        <v>-89718.805124796738</v>
      </c>
      <c r="G104" s="1338"/>
      <c r="H104" s="1338"/>
      <c r="I104" s="1338"/>
      <c r="J104" s="1338"/>
      <c r="K104" s="1338"/>
      <c r="L104" s="102"/>
      <c r="M104" s="102"/>
      <c r="N104" s="2594"/>
      <c r="O104" s="2595"/>
    </row>
    <row r="105" spans="1:15" ht="13.15" customHeight="1">
      <c r="A105" s="316" t="s">
        <v>1226</v>
      </c>
      <c r="B105" s="1332">
        <f>'Part VI-Revenues &amp; Expenses'!G155</f>
        <v>0</v>
      </c>
      <c r="C105" s="1332">
        <f>'Part VI-Revenues &amp; Expenses'!H155</f>
        <v>0</v>
      </c>
      <c r="D105" s="1332">
        <f>'Part VI-Revenues &amp; Expenses'!I155</f>
        <v>0</v>
      </c>
      <c r="E105" s="1332">
        <f>'Part VI-Revenues &amp; Expenses'!J155</f>
        <v>0</v>
      </c>
      <c r="F105" s="1333">
        <f>'Part VI-Revenues &amp; Expenses'!K155</f>
        <v>0</v>
      </c>
      <c r="G105" s="1338"/>
      <c r="H105" s="1338"/>
      <c r="I105" s="1338"/>
      <c r="J105" s="1338"/>
      <c r="K105" s="1338"/>
      <c r="L105" s="102"/>
      <c r="M105" s="102"/>
      <c r="N105" s="2594"/>
      <c r="O105" s="2595"/>
    </row>
    <row r="106" spans="1:15" ht="13.15" customHeight="1">
      <c r="A106" s="316" t="s">
        <v>1227</v>
      </c>
      <c r="B106" s="1332">
        <f>'Part VI-Revenues &amp; Expenses'!G159</f>
        <v>0</v>
      </c>
      <c r="C106" s="1332">
        <f>'Part VI-Revenues &amp; Expenses'!H159</f>
        <v>0</v>
      </c>
      <c r="D106" s="1332">
        <f>'Part VI-Revenues &amp; Expenses'!I159</f>
        <v>0</v>
      </c>
      <c r="E106" s="1332">
        <f>'Part VI-Revenues &amp; Expenses'!J159</f>
        <v>0</v>
      </c>
      <c r="F106" s="1333">
        <f>'Part VI-Revenues &amp; Expenses'!K159</f>
        <v>0</v>
      </c>
      <c r="G106" s="1338"/>
      <c r="H106" s="1338"/>
      <c r="I106" s="1338"/>
      <c r="J106" s="1338"/>
      <c r="K106" s="1338"/>
      <c r="L106" s="102"/>
      <c r="M106" s="102"/>
      <c r="N106" s="2594"/>
      <c r="O106" s="2595"/>
    </row>
    <row r="107" spans="1:15" ht="13.15" customHeight="1">
      <c r="A107" s="316" t="s">
        <v>1228</v>
      </c>
      <c r="B107" s="1332">
        <f>$B$19*(1+$B$6)^(B101-1)</f>
        <v>-849755.46401384543</v>
      </c>
      <c r="C107" s="1332">
        <f>$B$19*(1+$B$6)^(C101-1)</f>
        <v>-875248.12793426088</v>
      </c>
      <c r="D107" s="1332">
        <f>$B$19*(1+$B$6)^(D101-1)</f>
        <v>-901505.57177228853</v>
      </c>
      <c r="E107" s="1332">
        <f>$B$19*(1+$B$6)^(E101-1)</f>
        <v>-928550.73892545723</v>
      </c>
      <c r="F107" s="1333">
        <f>$B$19*(1+$B$6)^(F101-1)</f>
        <v>-956407.26109322079</v>
      </c>
      <c r="G107" s="1338"/>
      <c r="H107" s="1338"/>
      <c r="I107" s="1338"/>
      <c r="J107" s="1338"/>
      <c r="K107" s="1338"/>
      <c r="L107" s="102"/>
      <c r="M107" s="102"/>
      <c r="N107" s="2594"/>
      <c r="O107" s="2595"/>
    </row>
    <row r="108" spans="1:15" ht="13.15" customHeight="1">
      <c r="A108" s="316" t="s">
        <v>1229</v>
      </c>
      <c r="B108" s="1332">
        <f>IF(AND('Part VII-Pro Forma'!$G$8="Yes",'Part VII-Pro Forma'!$G$9="Yes"),"Choose One!",IF('Part VII-Pro Forma'!$G$8="Yes",ROUND((-$K$8*(1+'Part VII-Pro Forma'!$B$6)^('Part VII-Pro Forma'!B101-1)),),IF('Part VII-Pro Forma'!$G$9="Yes",ROUND((-(SUM(B102:B105)*'Part VII-Pro Forma'!$K$9)),),"Choose mgt fee")))</f>
        <v>-55060</v>
      </c>
      <c r="C108" s="1332">
        <f>IF(AND('Part VII-Pro Forma'!$G$8="Yes",'Part VII-Pro Forma'!$G$9="Yes"),"Choose One!",IF('Part VII-Pro Forma'!$G$8="Yes",ROUND((-$K$8*(1+'Part VII-Pro Forma'!$B$6)^('Part VII-Pro Forma'!C101-1)),),IF('Part VII-Pro Forma'!$G$9="Yes",ROUND((-(SUM(C102:C105)*'Part VII-Pro Forma'!$K$9)),),"Choose mgt fee")))</f>
        <v>-56161</v>
      </c>
      <c r="D108" s="1332">
        <f>IF(AND('Part VII-Pro Forma'!$G$8="Yes",'Part VII-Pro Forma'!$G$9="Yes"),"Choose One!",IF('Part VII-Pro Forma'!$G$8="Yes",ROUND((-$K$8*(1+'Part VII-Pro Forma'!$B$6)^('Part VII-Pro Forma'!D101-1)),),IF('Part VII-Pro Forma'!$G$9="Yes",ROUND((-(SUM(D102:D105)*'Part VII-Pro Forma'!$K$9)),),"Choose mgt fee")))</f>
        <v>-57285</v>
      </c>
      <c r="E108" s="1332">
        <f>IF(AND('Part VII-Pro Forma'!$G$8="Yes",'Part VII-Pro Forma'!$G$9="Yes"),"Choose One!",IF('Part VII-Pro Forma'!$G$8="Yes",ROUND((-$K$8*(1+'Part VII-Pro Forma'!$B$6)^('Part VII-Pro Forma'!E101-1)),),IF('Part VII-Pro Forma'!$G$9="Yes",ROUND((-(SUM(E102:E105)*'Part VII-Pro Forma'!$K$9)),),"Choose mgt fee")))</f>
        <v>-58430</v>
      </c>
      <c r="F108" s="1333">
        <f>IF(AND('Part VII-Pro Forma'!$G$8="Yes",'Part VII-Pro Forma'!$G$9="Yes"),"Choose One!",IF('Part VII-Pro Forma'!$G$8="Yes",ROUND((-$K$8*(1+'Part VII-Pro Forma'!$B$6)^('Part VII-Pro Forma'!F101-1)),),IF('Part VII-Pro Forma'!$G$9="Yes",ROUND((-(SUM(F102:F105)*'Part VII-Pro Forma'!$K$9)),),"Choose mgt fee")))</f>
        <v>-59599</v>
      </c>
      <c r="G108" s="1338"/>
      <c r="H108" s="1338"/>
      <c r="I108" s="1338"/>
      <c r="J108" s="1338"/>
      <c r="K108" s="1338"/>
      <c r="L108" s="102"/>
      <c r="M108" s="102"/>
      <c r="N108" s="2594"/>
      <c r="O108" s="2595"/>
    </row>
    <row r="109" spans="1:15" ht="13.15" customHeight="1">
      <c r="A109" s="316" t="s">
        <v>1230</v>
      </c>
      <c r="B109" s="1332">
        <f>$B$21*(1+$B$7)^(B101-1)</f>
        <v>-44904.355717008693</v>
      </c>
      <c r="C109" s="1332">
        <f>$B$21*(1+$B$7)^(C101-1)</f>
        <v>-46251.486388518962</v>
      </c>
      <c r="D109" s="1332">
        <f>$B$21*(1+$B$7)^(D101-1)</f>
        <v>-47639.030980174524</v>
      </c>
      <c r="E109" s="1332">
        <f>$B$21*(1+$B$7)^(E101-1)</f>
        <v>-49068.201909579759</v>
      </c>
      <c r="F109" s="1333">
        <f>$B$21*(1+$B$7)^(F101-1)</f>
        <v>-50540.247966867144</v>
      </c>
      <c r="G109" s="1338"/>
      <c r="H109" s="1338"/>
      <c r="I109" s="1338"/>
      <c r="J109" s="1338"/>
      <c r="K109" s="1338"/>
      <c r="L109" s="102"/>
      <c r="M109" s="102"/>
      <c r="N109" s="2594"/>
      <c r="O109" s="2595"/>
    </row>
    <row r="110" spans="1:15" ht="13.15" customHeight="1">
      <c r="A110" s="316" t="s">
        <v>1231</v>
      </c>
      <c r="B110" s="1332">
        <f>SUM(B102:B109)</f>
        <v>151483.98314186162</v>
      </c>
      <c r="C110" s="1332">
        <f>SUM(C102:C109)</f>
        <v>145567.26460739001</v>
      </c>
      <c r="D110" s="1332">
        <f>SUM(D102:D109)</f>
        <v>139262.83375631031</v>
      </c>
      <c r="E110" s="1332">
        <f>SUM(E102:E109)</f>
        <v>132557.34440391214</v>
      </c>
      <c r="F110" s="1333">
        <f>SUM(F102:F109)</f>
        <v>125431.90188364001</v>
      </c>
      <c r="G110" s="1338"/>
      <c r="H110" s="1338"/>
      <c r="I110" s="1338"/>
      <c r="J110" s="1338"/>
      <c r="K110" s="1338"/>
      <c r="L110" s="102"/>
      <c r="M110" s="102"/>
      <c r="N110" s="2594"/>
      <c r="O110" s="2595"/>
    </row>
    <row r="111" spans="1:15" ht="13.15" customHeight="1">
      <c r="A111" s="316" t="str">
        <f>$A83</f>
        <v>Mortgage A</v>
      </c>
      <c r="B111" s="2602">
        <f>IF('Part III-Sources of Funds'!$N$37="", 0,-'Part III-Sources of Funds'!$N$37)</f>
        <v>-158640.76725498866</v>
      </c>
      <c r="C111" s="2602">
        <f>IF('Part III-Sources of Funds'!$N$37="", 0,-'Part III-Sources of Funds'!$N$37)</f>
        <v>-158640.76725498866</v>
      </c>
      <c r="D111" s="2602">
        <f>IF('Part III-Sources of Funds'!$N$37="", 0,-'Part III-Sources of Funds'!$N$37)</f>
        <v>-158640.76725498866</v>
      </c>
      <c r="E111" s="2602">
        <f>IF('Part III-Sources of Funds'!$N$37="", 0,-'Part III-Sources of Funds'!$N$37)</f>
        <v>-158640.76725498866</v>
      </c>
      <c r="F111" s="2602">
        <f>IF('Part III-Sources of Funds'!$N$37="", 0,-'Part III-Sources of Funds'!$N$37)</f>
        <v>-158640.76725498866</v>
      </c>
      <c r="G111" s="1338"/>
      <c r="H111" s="1338"/>
      <c r="I111" s="1338"/>
      <c r="J111" s="1338"/>
      <c r="K111" s="1338"/>
      <c r="L111" s="102"/>
      <c r="M111" s="102"/>
      <c r="N111" s="2594"/>
      <c r="O111" s="2595"/>
    </row>
    <row r="112" spans="1:15" ht="13.15" customHeight="1">
      <c r="A112" s="316" t="str">
        <f>$A84</f>
        <v>Mortgage B</v>
      </c>
      <c r="B112" s="2603">
        <f>IF('Part III-Sources of Funds'!$N$38="", 0,-'Part III-Sources of Funds'!$N$38)</f>
        <v>0</v>
      </c>
      <c r="C112" s="2603">
        <f>IF('Part III-Sources of Funds'!$N$38="", 0,-'Part III-Sources of Funds'!$N$38)</f>
        <v>0</v>
      </c>
      <c r="D112" s="2603">
        <f>IF('Part III-Sources of Funds'!$N$38="", 0,-'Part III-Sources of Funds'!$N$38)</f>
        <v>0</v>
      </c>
      <c r="E112" s="2603">
        <f>IF('Part III-Sources of Funds'!$N$38="", 0,-'Part III-Sources of Funds'!$N$38)</f>
        <v>0</v>
      </c>
      <c r="F112" s="2603">
        <f>IF('Part III-Sources of Funds'!$N$38="", 0,-'Part III-Sources of Funds'!$N$38)</f>
        <v>0</v>
      </c>
      <c r="G112" s="1338"/>
      <c r="H112" s="1338"/>
      <c r="I112" s="1338"/>
      <c r="J112" s="1338"/>
      <c r="K112" s="1338"/>
      <c r="L112" s="102"/>
      <c r="M112" s="102"/>
      <c r="N112" s="2594"/>
      <c r="O112" s="2595"/>
    </row>
    <row r="113" spans="1:15" ht="13.15" customHeight="1">
      <c r="A113" s="316" t="str">
        <f>$A85</f>
        <v>Mortgage C</v>
      </c>
      <c r="B113" s="2603">
        <f>IF('Part III-Sources of Funds'!$N$39="", 0,-'Part III-Sources of Funds'!$N$39)</f>
        <v>0</v>
      </c>
      <c r="C113" s="2603">
        <f>IF('Part III-Sources of Funds'!$N$39="", 0,-'Part III-Sources of Funds'!$N$39)</f>
        <v>0</v>
      </c>
      <c r="D113" s="2603">
        <f>IF('Part III-Sources of Funds'!$N$39="", 0,-'Part III-Sources of Funds'!$N$39)</f>
        <v>0</v>
      </c>
      <c r="E113" s="2603">
        <f>IF('Part III-Sources of Funds'!$N$39="", 0,-'Part III-Sources of Funds'!$N$39)</f>
        <v>0</v>
      </c>
      <c r="F113" s="2603">
        <f>IF('Part III-Sources of Funds'!$N$39="", 0,-'Part III-Sources of Funds'!$N$39)</f>
        <v>0</v>
      </c>
      <c r="G113" s="1338"/>
      <c r="H113" s="1338"/>
      <c r="I113" s="1338"/>
      <c r="J113" s="1338"/>
      <c r="K113" s="1338"/>
      <c r="L113" s="102"/>
      <c r="M113" s="102"/>
      <c r="N113" s="2594"/>
      <c r="O113" s="2595"/>
    </row>
    <row r="114" spans="1:15" ht="13.15" customHeight="1">
      <c r="A114" s="316" t="str">
        <f>$A86</f>
        <v>D/S Other Source,not DDF</v>
      </c>
      <c r="B114" s="2603">
        <f>IF('Part III-Sources of Funds'!$N$40="", 0,-'Part III-Sources of Funds'!$N$40)</f>
        <v>0</v>
      </c>
      <c r="C114" s="2603">
        <f>IF('Part III-Sources of Funds'!$N$40="", 0,-'Part III-Sources of Funds'!$N$40)</f>
        <v>0</v>
      </c>
      <c r="D114" s="2603">
        <f>IF('Part III-Sources of Funds'!$N$40="", 0,-'Part III-Sources of Funds'!$N$40)</f>
        <v>0</v>
      </c>
      <c r="E114" s="2603">
        <f>IF('Part III-Sources of Funds'!$N$40="", 0,-'Part III-Sources of Funds'!$N$40)</f>
        <v>0</v>
      </c>
      <c r="F114" s="2603">
        <f>IF('Part III-Sources of Funds'!$N$40="", 0,-'Part III-Sources of Funds'!$N$40)</f>
        <v>0</v>
      </c>
      <c r="G114" s="1338"/>
      <c r="H114" s="1338"/>
      <c r="I114" s="1338"/>
      <c r="J114" s="1338"/>
      <c r="K114" s="1338"/>
      <c r="L114" s="102"/>
      <c r="M114" s="102"/>
      <c r="N114" s="2594"/>
      <c r="O114" s="2595"/>
    </row>
    <row r="115" spans="1:15" ht="13.15" customHeight="1">
      <c r="A115" s="316" t="s">
        <v>1233</v>
      </c>
      <c r="B115" s="2604"/>
      <c r="C115" s="2604"/>
      <c r="D115" s="2604"/>
      <c r="E115" s="2604"/>
      <c r="F115" s="2604"/>
      <c r="G115" s="1338"/>
      <c r="H115" s="1338"/>
      <c r="I115" s="1338"/>
      <c r="J115" s="1338"/>
      <c r="K115" s="1338"/>
      <c r="L115" s="102"/>
      <c r="M115" s="102"/>
      <c r="N115" s="2594"/>
      <c r="O115" s="2595"/>
    </row>
    <row r="116" spans="1:15" ht="13.15" customHeight="1">
      <c r="A116" s="316" t="s">
        <v>1234</v>
      </c>
      <c r="B116" s="2606">
        <f>+K88</f>
        <v>-20000</v>
      </c>
      <c r="C116" s="2606">
        <f>+B116</f>
        <v>-20000</v>
      </c>
      <c r="D116" s="2606">
        <f>+C116</f>
        <v>-20000</v>
      </c>
      <c r="E116" s="2606">
        <f>+D116</f>
        <v>-20000</v>
      </c>
      <c r="F116" s="2606">
        <f>+E116</f>
        <v>-20000</v>
      </c>
      <c r="G116" s="1338"/>
      <c r="H116" s="1338"/>
      <c r="I116" s="1338"/>
      <c r="J116" s="1338"/>
      <c r="K116" s="1338"/>
      <c r="L116" s="102"/>
      <c r="M116" s="102"/>
      <c r="N116" s="2594"/>
      <c r="O116" s="2595"/>
    </row>
    <row r="117" spans="1:15" ht="13.15" customHeight="1">
      <c r="A117" s="316" t="s">
        <v>595</v>
      </c>
      <c r="B117" s="1332">
        <f>SUM(B110:B116)</f>
        <v>-27156.78411312704</v>
      </c>
      <c r="C117" s="1332">
        <f>SUM(C110:C116)</f>
        <v>-33073.502647598652</v>
      </c>
      <c r="D117" s="1332">
        <f>SUM(D110:D116)</f>
        <v>-39377.933498678351</v>
      </c>
      <c r="E117" s="1332">
        <f>SUM(E110:E116)</f>
        <v>-46083.422851076524</v>
      </c>
      <c r="F117" s="1333">
        <f>SUM(F110:F116)</f>
        <v>-53208.865371348656</v>
      </c>
      <c r="G117" s="1338"/>
      <c r="H117" s="1338"/>
      <c r="I117" s="1338"/>
      <c r="J117" s="1338"/>
      <c r="K117" s="1338"/>
      <c r="L117" s="102"/>
      <c r="M117" s="102"/>
      <c r="N117" s="2594"/>
      <c r="O117" s="2595"/>
    </row>
    <row r="118" spans="1:15" ht="13.15" customHeight="1">
      <c r="A118" s="316" t="str">
        <f>$A90</f>
        <v>DCR Mortgage A</v>
      </c>
      <c r="B118" s="1334">
        <f>IF(B111=0,"",-B110/B111)</f>
        <v>0.95488685388401018</v>
      </c>
      <c r="C118" s="1334">
        <f>IF(C111=0,"",-C110/C111)</f>
        <v>0.91759052308045652</v>
      </c>
      <c r="D118" s="1334">
        <f>IF(D111=0,"",-D110/D111)</f>
        <v>0.87785022832415116</v>
      </c>
      <c r="E118" s="1334">
        <f>IF(E111=0,"",-E110/E111)</f>
        <v>0.83558184127317192</v>
      </c>
      <c r="F118" s="1335">
        <f>IF(F111=0,"",-F110/F111)</f>
        <v>0.79066625845315708</v>
      </c>
      <c r="G118" s="1338"/>
      <c r="H118" s="1338"/>
      <c r="I118" s="1338"/>
      <c r="J118" s="1338"/>
      <c r="K118" s="1338"/>
      <c r="L118" s="102"/>
      <c r="M118" s="102"/>
      <c r="N118" s="2594"/>
      <c r="O118" s="2595"/>
    </row>
    <row r="119" spans="1:15" ht="13.15" customHeight="1">
      <c r="A119" s="316" t="str">
        <f>$A91</f>
        <v>DCR Mortgage B</v>
      </c>
      <c r="B119" s="1334" t="str">
        <f>IF(B112=0,"",-(B110+B111)/B112)</f>
        <v/>
      </c>
      <c r="C119" s="1334" t="str">
        <f>IF(C112=0,"",-(C110+C111)/C112)</f>
        <v/>
      </c>
      <c r="D119" s="1334" t="str">
        <f>IF(D112=0,"",-(D110+D111)/D112)</f>
        <v/>
      </c>
      <c r="E119" s="1334" t="str">
        <f>IF(E112=0,"",-(E110+E111)/E112)</f>
        <v/>
      </c>
      <c r="F119" s="1335" t="str">
        <f>IF(F112=0,"",-(F110+F111)/F112)</f>
        <v/>
      </c>
      <c r="G119" s="1338"/>
      <c r="H119" s="1338"/>
      <c r="I119" s="1338"/>
      <c r="J119" s="1338"/>
      <c r="K119" s="1338"/>
      <c r="L119" s="102"/>
      <c r="M119" s="102"/>
      <c r="N119" s="2594"/>
      <c r="O119" s="2595"/>
    </row>
    <row r="120" spans="1:15" ht="13.15" customHeight="1">
      <c r="A120" s="316" t="str">
        <f>$A92</f>
        <v>DCR Mortgage C</v>
      </c>
      <c r="B120" s="1334" t="str">
        <f>IF(B113=0,"",-(B110+B111+B112)/B113)</f>
        <v/>
      </c>
      <c r="C120" s="1334" t="str">
        <f>IF(C113=0,"",-(C110+C111+C112)/C113)</f>
        <v/>
      </c>
      <c r="D120" s="1334" t="str">
        <f>IF(D113=0,"",-(D110+D111+D112)/D113)</f>
        <v/>
      </c>
      <c r="E120" s="1334" t="str">
        <f>IF(E113=0,"",-(E110+E111+E112)/E113)</f>
        <v/>
      </c>
      <c r="F120" s="1335" t="str">
        <f>IF(F113=0,"",-(F110+F111+F112)/F113)</f>
        <v/>
      </c>
      <c r="G120" s="1338"/>
      <c r="H120" s="1338"/>
      <c r="I120" s="1338"/>
      <c r="J120" s="1338"/>
      <c r="K120" s="1338"/>
      <c r="L120" s="102"/>
      <c r="M120" s="102"/>
      <c r="N120" s="2594"/>
      <c r="O120" s="2595"/>
    </row>
    <row r="121" spans="1:15" ht="13.15" customHeight="1">
      <c r="A121" s="316" t="str">
        <f>$A93</f>
        <v>DCR Other Source</v>
      </c>
      <c r="B121" s="1334" t="str">
        <f>IF(B114=0,"",-(B110+B111+B112+B113)/B114)</f>
        <v/>
      </c>
      <c r="C121" s="1334" t="str">
        <f>IF(C114=0,"",-(C110+C111+C112+C113)/C114)</f>
        <v/>
      </c>
      <c r="D121" s="1334" t="str">
        <f>IF(D114=0,"",-(D110+D111+D112+D113)/D114)</f>
        <v/>
      </c>
      <c r="E121" s="1334" t="str">
        <f>IF(E114=0,"",-(E110+E111+E112+E113)/E114)</f>
        <v/>
      </c>
      <c r="F121" s="1335" t="str">
        <f>IF(F114=0,"",-(F110+F111+F112+F113)/F114)</f>
        <v/>
      </c>
      <c r="G121" s="1338"/>
      <c r="H121" s="1338"/>
      <c r="I121" s="1338"/>
      <c r="J121" s="1338"/>
      <c r="K121" s="1338"/>
      <c r="L121" s="102"/>
      <c r="M121" s="102"/>
      <c r="N121" s="2594"/>
      <c r="O121" s="2595"/>
    </row>
    <row r="122" spans="1:15" ht="13.15" customHeight="1">
      <c r="A122" s="316" t="s">
        <v>1237</v>
      </c>
      <c r="B122" s="1334">
        <f>IF(AND(B111=0,B112=0,B113=0,B114=0),"",-B110/(B111+B112+B113+B114))</f>
        <v>0.95488685388401018</v>
      </c>
      <c r="C122" s="1334">
        <f>IF(AND(C111=0,C112=0,C113=0,C114=0),"",-C110/(C111+C112+C113+C114))</f>
        <v>0.91759052308045652</v>
      </c>
      <c r="D122" s="1334">
        <f>IF(AND(D111=0,D112=0,D113=0,D114=0),"",-D110/(D111+D112+D113+D114))</f>
        <v>0.87785022832415116</v>
      </c>
      <c r="E122" s="1334">
        <f>IF(AND(E111=0,E112=0,E113=0,E114=0),"",-E110/(E111+E112+E113+E114))</f>
        <v>0.83558184127317192</v>
      </c>
      <c r="F122" s="1335">
        <f>IF(AND(F111=0,F112=0,F113=0,F114=0),"",-F110/(F111+F112+F113+F114))</f>
        <v>0.79066625845315708</v>
      </c>
      <c r="G122" s="1338"/>
      <c r="H122" s="1338"/>
      <c r="I122" s="1338"/>
      <c r="J122" s="1338"/>
      <c r="K122" s="1338"/>
      <c r="L122" s="102"/>
      <c r="M122" s="102"/>
      <c r="N122" s="2594"/>
      <c r="O122" s="2595"/>
    </row>
    <row r="123" spans="1:15" ht="13.15" customHeight="1">
      <c r="A123" s="316" t="s">
        <v>1238</v>
      </c>
      <c r="B123" s="1336">
        <f>IF(OR(B108="Choose mgt fee",B108="Choose One!"),"",(B102+B103+B104+B105+B106) / -(B107+B108+B109))</f>
        <v>1.1595038662926835</v>
      </c>
      <c r="C123" s="1336">
        <f>IF(OR(C108="Choose mgt fee",C108="Choose One!"),"",(C102+C103+C104+C105+C106) / -(C107+C108+C109))</f>
        <v>1.148893452876</v>
      </c>
      <c r="D123" s="1336">
        <f>IF(OR(D108="Choose mgt fee",D108="Choose One!"),"",(D102+D103+D104+D105+D106) / -(D107+D108+D109))</f>
        <v>1.1383731493742268</v>
      </c>
      <c r="E123" s="1336">
        <f>IF(OR(E108="Choose mgt fee",E108="Choose One!"),"",(E102+E103+E104+E105+E106) / -(E107+E108+E109))</f>
        <v>1.1279450604882364</v>
      </c>
      <c r="F123" s="1339">
        <f>IF(OR(F108="Choose mgt fee",F108="Choose One!"),"",(F102+F103+F104+F105+F106) / -(F107+F108+F109))</f>
        <v>1.1176056560291769</v>
      </c>
      <c r="G123" s="1338"/>
      <c r="H123" s="1338"/>
      <c r="I123" s="1338"/>
      <c r="J123" s="1338"/>
      <c r="K123" s="1338"/>
      <c r="L123" s="102"/>
      <c r="M123" s="102"/>
      <c r="N123" s="2594"/>
      <c r="O123" s="2595"/>
    </row>
    <row r="124" spans="1:15" ht="13.15" customHeight="1">
      <c r="A124" s="316" t="s">
        <v>1239</v>
      </c>
      <c r="B124" s="2607">
        <f>IF('Part III-Sources of Funds'!$I$37="","",-FV('Part III-Sources of Funds'!$K$37/12,12,B111/12,K96))</f>
        <v>1135914.5567111617</v>
      </c>
      <c r="C124" s="2607">
        <f>IF('Part III-Sources of Funds'!$I$37="","",-FV('Part III-Sources of Funds'!$K$37/12,12,C111/12,B124))</f>
        <v>1034491.9033062675</v>
      </c>
      <c r="D124" s="2607">
        <f>IF('Part III-Sources of Funds'!$I$37="","",-FV('Part III-Sources of Funds'!$K$37/12,12,D111/12,C124))</f>
        <v>927614.54824435245</v>
      </c>
      <c r="E124" s="2607">
        <f>IF('Part III-Sources of Funds'!$I$37="","",-FV('Part III-Sources of Funds'!$K$37/12,12,E111/12,D124))</f>
        <v>814989.12737876689</v>
      </c>
      <c r="F124" s="2607">
        <f>IF('Part III-Sources of Funds'!$I$37="","",-FV('Part III-Sources of Funds'!$K$37/12,12,F111/12,E124))</f>
        <v>696306.49888555566</v>
      </c>
      <c r="G124" s="1338"/>
      <c r="H124" s="1338"/>
      <c r="I124" s="1338"/>
      <c r="J124" s="1338"/>
      <c r="K124" s="1338"/>
      <c r="L124" s="102"/>
      <c r="M124" s="102"/>
      <c r="N124" s="2594"/>
      <c r="O124" s="2595"/>
    </row>
    <row r="125" spans="1:15" ht="13.15" customHeight="1">
      <c r="A125" s="316" t="s">
        <v>1240</v>
      </c>
      <c r="B125" s="2603" t="str">
        <f>IF('Part III-Sources of Funds'!$I$38="","",-FV('Part III-Sources of Funds'!$K$38/12,12,B112/12,K97))</f>
        <v/>
      </c>
      <c r="C125" s="2603" t="str">
        <f>IF('Part III-Sources of Funds'!$I$38="","",-FV('Part III-Sources of Funds'!$K$38/12,12,C112/12,B125))</f>
        <v/>
      </c>
      <c r="D125" s="2603" t="str">
        <f>IF('Part III-Sources of Funds'!$I$38="","",-FV('Part III-Sources of Funds'!$K$38/12,12,D112/12,C125))</f>
        <v/>
      </c>
      <c r="E125" s="2603" t="str">
        <f>IF('Part III-Sources of Funds'!$I$38="","",-FV('Part III-Sources of Funds'!$K$38/12,12,E112/12,D125))</f>
        <v/>
      </c>
      <c r="F125" s="2603" t="str">
        <f>IF('Part III-Sources of Funds'!$I$38="","",-FV('Part III-Sources of Funds'!$K$38/12,12,F112/12,E125))</f>
        <v/>
      </c>
      <c r="G125" s="1338"/>
      <c r="H125" s="1338"/>
      <c r="I125" s="1338"/>
      <c r="J125" s="1338"/>
      <c r="K125" s="1338"/>
      <c r="L125" s="102"/>
      <c r="M125" s="102"/>
      <c r="N125" s="2594"/>
      <c r="O125" s="2595"/>
    </row>
    <row r="126" spans="1:15" ht="13.15" customHeight="1">
      <c r="A126" s="316" t="s">
        <v>1241</v>
      </c>
      <c r="B126" s="2603" t="str">
        <f>IF('Part III-Sources of Funds'!$I$39="","",-FV('Part III-Sources of Funds'!$K$39/12,12,B113/12,K98))</f>
        <v/>
      </c>
      <c r="C126" s="2603" t="str">
        <f>IF('Part III-Sources of Funds'!$I$39="","",-FV('Part III-Sources of Funds'!$K$39/12,12,C113/12,B126))</f>
        <v/>
      </c>
      <c r="D126" s="2603" t="str">
        <f>IF('Part III-Sources of Funds'!$I$39="","",-FV('Part III-Sources of Funds'!$K$39/12,12,D113/12,C126))</f>
        <v/>
      </c>
      <c r="E126" s="2603" t="str">
        <f>IF('Part III-Sources of Funds'!$I$39="","",-FV('Part III-Sources of Funds'!$K$39/12,12,E113/12,D126))</f>
        <v/>
      </c>
      <c r="F126" s="2603" t="str">
        <f>IF('Part III-Sources of Funds'!$I$39="","",-FV('Part III-Sources of Funds'!$K$39/12,12,F113/12,E126))</f>
        <v/>
      </c>
      <c r="G126" s="1338"/>
      <c r="H126" s="1338"/>
      <c r="I126" s="1338"/>
      <c r="J126" s="1338"/>
      <c r="K126" s="1338"/>
      <c r="L126" s="102"/>
      <c r="M126" s="102"/>
      <c r="N126" s="2594"/>
      <c r="O126" s="2595"/>
    </row>
    <row r="127" spans="1:15" ht="13.15" customHeight="1">
      <c r="A127" s="1340" t="s">
        <v>1242</v>
      </c>
      <c r="B127" s="2606" t="str">
        <f>IF('Part III-Sources of Funds'!$I$40="","",-FV('Part III-Sources of Funds'!$K$40/12,12,B114/12,K99))</f>
        <v/>
      </c>
      <c r="C127" s="2606" t="str">
        <f>IF('Part III-Sources of Funds'!$I$40="","",-FV('Part III-Sources of Funds'!$K$40/12,12,C114/12,B127))</f>
        <v/>
      </c>
      <c r="D127" s="2606" t="str">
        <f>IF('Part III-Sources of Funds'!$I$40="","",-FV('Part III-Sources of Funds'!$K$40/12,12,D114/12,C127))</f>
        <v/>
      </c>
      <c r="E127" s="2606" t="str">
        <f>IF('Part III-Sources of Funds'!$I$40="","",-FV('Part III-Sources of Funds'!$K$40/12,12,E114/12,D127))</f>
        <v/>
      </c>
      <c r="F127" s="2606" t="str">
        <f>IF('Part III-Sources of Funds'!$I$40="","",-FV('Part III-Sources of Funds'!$K$40/12,12,F114/12,E127))</f>
        <v/>
      </c>
      <c r="G127" s="1338"/>
      <c r="H127" s="1338"/>
      <c r="I127" s="1338"/>
      <c r="J127" s="1338"/>
      <c r="K127" s="1338"/>
      <c r="L127" s="102"/>
      <c r="M127" s="102"/>
      <c r="N127" s="2600"/>
      <c r="O127" s="2601"/>
    </row>
    <row r="128" spans="1:15" ht="4.1500000000000004" customHeight="1">
      <c r="A128" s="102"/>
      <c r="B128" s="102"/>
      <c r="C128" s="102"/>
      <c r="D128" s="102"/>
      <c r="E128" s="102"/>
      <c r="F128" s="102"/>
      <c r="G128" s="102"/>
      <c r="H128" s="102"/>
      <c r="I128" s="102"/>
      <c r="J128" s="102"/>
      <c r="K128" s="102"/>
      <c r="L128" s="102"/>
      <c r="M128" s="102"/>
      <c r="N128" s="102"/>
      <c r="O128" s="102"/>
    </row>
    <row r="129" spans="1:18" ht="12" customHeight="1">
      <c r="A129" s="8" t="s">
        <v>1245</v>
      </c>
      <c r="B129" s="8"/>
      <c r="C129" s="102"/>
      <c r="D129" s="102"/>
      <c r="E129" s="102"/>
      <c r="F129" s="102"/>
      <c r="G129" s="8" t="s">
        <v>1246</v>
      </c>
      <c r="H129" s="102"/>
      <c r="I129" s="102"/>
      <c r="J129" s="102"/>
      <c r="K129" s="102"/>
      <c r="L129" s="102"/>
      <c r="M129" s="102"/>
      <c r="N129" s="102"/>
      <c r="O129" s="102"/>
      <c r="P129" s="102"/>
      <c r="Q129" s="102"/>
      <c r="R129" s="102"/>
    </row>
    <row r="130" spans="1:18" ht="12" customHeight="1">
      <c r="A130" s="102"/>
      <c r="B130" s="16"/>
      <c r="C130" s="102"/>
      <c r="D130" s="102"/>
      <c r="E130" s="102"/>
      <c r="F130" s="102"/>
      <c r="G130" s="102"/>
      <c r="H130" s="102"/>
      <c r="I130" s="102"/>
      <c r="J130" s="102"/>
      <c r="K130" s="102"/>
      <c r="L130" s="102"/>
      <c r="M130" s="102"/>
      <c r="N130" s="102"/>
      <c r="O130" s="102"/>
      <c r="P130" s="102"/>
      <c r="Q130" s="102"/>
      <c r="R130" s="102"/>
    </row>
    <row r="131" spans="1:18" ht="409.5" customHeight="1">
      <c r="A131" s="2608" t="s">
        <v>4725</v>
      </c>
      <c r="B131" s="2609"/>
      <c r="C131" s="2609"/>
      <c r="D131" s="2609"/>
      <c r="E131" s="2609"/>
      <c r="F131" s="2610"/>
      <c r="G131" s="2611"/>
      <c r="H131" s="2612"/>
      <c r="I131" s="2612"/>
      <c r="J131" s="2612"/>
      <c r="K131" s="2613"/>
      <c r="L131" s="102"/>
      <c r="M131" s="102"/>
      <c r="N131" s="1639" t="s">
        <v>262</v>
      </c>
      <c r="O131" s="1639"/>
      <c r="P131" s="102"/>
      <c r="Q131" s="102"/>
      <c r="R131" s="102"/>
    </row>
    <row r="132" spans="1:18" ht="11.25" customHeight="1">
      <c r="A132" s="102"/>
      <c r="B132" s="102"/>
      <c r="C132" s="102"/>
      <c r="D132" s="102"/>
      <c r="E132" s="102"/>
      <c r="F132" s="102"/>
      <c r="G132" s="102"/>
      <c r="H132" s="102"/>
      <c r="I132" s="102"/>
      <c r="J132" s="102"/>
      <c r="K132" s="102"/>
      <c r="L132" s="102"/>
      <c r="M132" s="102"/>
      <c r="N132" s="102"/>
      <c r="O132" s="102"/>
      <c r="P132" s="102"/>
      <c r="Q132" s="102"/>
      <c r="R132" s="102"/>
    </row>
    <row r="133" spans="1:18" ht="12" customHeight="1">
      <c r="A133" s="102"/>
      <c r="B133" s="8"/>
      <c r="C133" s="102"/>
      <c r="D133" s="102"/>
      <c r="E133" s="102"/>
      <c r="F133" s="102"/>
      <c r="G133" s="102"/>
      <c r="H133" s="102"/>
      <c r="I133" s="102"/>
      <c r="J133" s="102"/>
      <c r="K133" s="102"/>
      <c r="L133" s="102"/>
      <c r="M133" s="102"/>
      <c r="N133" s="102"/>
      <c r="O133" s="102"/>
      <c r="P133" s="102"/>
      <c r="Q133" s="102"/>
      <c r="R133" s="102"/>
    </row>
    <row r="134" spans="1:18" ht="12" customHeight="1">
      <c r="A134" s="102"/>
      <c r="B134" s="16"/>
      <c r="C134" s="102"/>
      <c r="D134" s="102"/>
      <c r="E134" s="102"/>
      <c r="F134" s="102"/>
      <c r="G134" s="102"/>
      <c r="H134" s="102"/>
      <c r="I134" s="102"/>
      <c r="J134" s="102"/>
      <c r="K134" s="102"/>
      <c r="L134" s="102"/>
      <c r="M134" s="102"/>
      <c r="N134" s="102"/>
      <c r="O134" s="102"/>
      <c r="P134" s="102"/>
      <c r="Q134" s="102"/>
      <c r="R134" s="102"/>
    </row>
    <row r="135" spans="1:18" ht="12" customHeight="1">
      <c r="A135" s="102"/>
      <c r="B135" s="102"/>
      <c r="C135" s="102"/>
      <c r="D135" s="102"/>
      <c r="E135" s="102"/>
      <c r="F135" s="102"/>
      <c r="G135" s="102"/>
      <c r="H135" s="102"/>
      <c r="I135" s="102"/>
      <c r="J135" s="102"/>
      <c r="K135" s="102"/>
      <c r="L135" s="102"/>
      <c r="M135" s="102"/>
      <c r="N135" s="102"/>
      <c r="O135" s="102"/>
      <c r="P135" s="102"/>
      <c r="Q135" s="58"/>
      <c r="R135" s="58"/>
    </row>
    <row r="136" spans="1:18" s="1" customFormat="1" ht="12" customHeight="1">
      <c r="A136" s="58"/>
      <c r="B136" s="58"/>
      <c r="C136" s="58"/>
      <c r="D136" s="58"/>
      <c r="E136" s="58"/>
      <c r="F136" s="58"/>
      <c r="G136" s="58"/>
      <c r="H136" s="58"/>
      <c r="I136" s="58"/>
      <c r="J136" s="58"/>
      <c r="K136" s="58"/>
      <c r="L136" s="102"/>
      <c r="M136" s="102"/>
      <c r="N136" s="102"/>
      <c r="O136" s="102"/>
      <c r="P136" s="58"/>
      <c r="Q136" s="58"/>
      <c r="R136" s="58"/>
    </row>
    <row r="137" spans="1:18" s="1" customFormat="1" ht="12" customHeight="1">
      <c r="A137" s="58"/>
      <c r="B137" s="58"/>
      <c r="C137" s="58"/>
      <c r="D137" s="58"/>
      <c r="E137" s="58"/>
      <c r="F137" s="58"/>
      <c r="G137" s="58"/>
      <c r="H137" s="58"/>
      <c r="I137" s="58"/>
      <c r="J137" s="58"/>
      <c r="K137" s="58"/>
      <c r="L137" s="102"/>
      <c r="M137" s="102"/>
      <c r="N137" s="102"/>
      <c r="O137" s="102"/>
      <c r="P137" s="58"/>
      <c r="Q137" s="58"/>
      <c r="R137" s="58"/>
    </row>
    <row r="138" spans="1:18" s="1" customFormat="1" ht="12" customHeight="1">
      <c r="A138" s="58"/>
      <c r="B138" s="58"/>
      <c r="C138" s="58"/>
      <c r="D138" s="58"/>
      <c r="E138" s="58"/>
      <c r="F138" s="58"/>
      <c r="G138" s="58"/>
      <c r="H138" s="58"/>
      <c r="I138" s="58"/>
      <c r="J138" s="58"/>
      <c r="K138" s="58"/>
      <c r="L138" s="102"/>
      <c r="M138" s="102"/>
      <c r="N138" s="102"/>
      <c r="O138" s="102"/>
      <c r="P138" s="58"/>
      <c r="Q138" s="58"/>
      <c r="R138" s="58"/>
    </row>
    <row r="139" spans="1:18" s="1" customFormat="1" ht="12" customHeight="1">
      <c r="A139" s="58"/>
      <c r="B139" s="58"/>
      <c r="C139" s="58"/>
      <c r="D139" s="58"/>
      <c r="E139" s="58"/>
      <c r="F139" s="58"/>
      <c r="G139" s="58"/>
      <c r="H139" s="58"/>
      <c r="I139" s="58"/>
      <c r="J139" s="58"/>
      <c r="K139" s="58"/>
      <c r="L139" s="102"/>
      <c r="M139" s="102"/>
      <c r="N139" s="102"/>
      <c r="O139" s="102"/>
      <c r="P139" s="58"/>
      <c r="Q139" s="102"/>
      <c r="R139" s="102"/>
    </row>
    <row r="140" spans="1:18" ht="12" customHeight="1">
      <c r="A140" s="102"/>
      <c r="B140" s="102"/>
      <c r="C140" s="102"/>
      <c r="D140" s="102"/>
      <c r="E140" s="102"/>
      <c r="F140" s="102"/>
      <c r="G140" s="102"/>
      <c r="H140" s="102"/>
      <c r="I140" s="102"/>
      <c r="J140" s="102"/>
      <c r="K140" s="102"/>
      <c r="L140" s="102"/>
      <c r="M140" s="102"/>
      <c r="N140" s="102"/>
      <c r="O140" s="102"/>
      <c r="P140" s="102"/>
      <c r="Q140" s="58"/>
      <c r="R140" s="58"/>
    </row>
    <row r="141" spans="1:18" s="1" customFormat="1" ht="12" customHeight="1">
      <c r="A141" s="58"/>
      <c r="B141" s="58"/>
      <c r="C141" s="58"/>
      <c r="D141" s="58"/>
      <c r="E141" s="58"/>
      <c r="F141" s="58"/>
      <c r="G141" s="58"/>
      <c r="H141" s="58"/>
      <c r="I141" s="58"/>
      <c r="J141" s="58"/>
      <c r="K141" s="58"/>
      <c r="L141" s="102"/>
      <c r="M141" s="102"/>
      <c r="N141" s="102"/>
      <c r="O141" s="102"/>
      <c r="P141" s="58"/>
      <c r="Q141" s="58"/>
      <c r="R141" s="58"/>
    </row>
    <row r="142" spans="1:18" s="1" customFormat="1" ht="12" customHeight="1">
      <c r="A142" s="58"/>
      <c r="B142" s="58"/>
      <c r="C142" s="58"/>
      <c r="D142" s="58"/>
      <c r="E142" s="58"/>
      <c r="F142" s="58"/>
      <c r="G142" s="58"/>
      <c r="H142" s="58"/>
      <c r="I142" s="58"/>
      <c r="J142" s="58"/>
      <c r="K142" s="58"/>
      <c r="L142" s="102"/>
      <c r="M142" s="102"/>
      <c r="N142" s="102"/>
      <c r="O142" s="102"/>
      <c r="P142" s="58"/>
      <c r="Q142" s="102"/>
      <c r="R142" s="102"/>
    </row>
    <row r="143" spans="1:18" ht="12" customHeight="1">
      <c r="A143" s="102"/>
      <c r="B143" s="102"/>
      <c r="C143" s="102"/>
      <c r="D143" s="102"/>
      <c r="E143" s="102"/>
      <c r="F143" s="102"/>
      <c r="G143" s="102"/>
      <c r="H143" s="102"/>
      <c r="I143" s="102"/>
      <c r="J143" s="102"/>
      <c r="K143" s="102"/>
      <c r="L143" s="102"/>
      <c r="M143" s="102"/>
      <c r="N143" s="102"/>
      <c r="O143" s="102"/>
      <c r="P143" s="102"/>
      <c r="Q143" s="58"/>
      <c r="R143" s="58"/>
    </row>
    <row r="144" spans="1:18" s="1" customFormat="1" ht="12" customHeight="1">
      <c r="A144" s="58"/>
      <c r="B144" s="58"/>
      <c r="C144" s="58"/>
      <c r="D144" s="58"/>
      <c r="E144" s="58"/>
      <c r="F144" s="58"/>
      <c r="G144" s="58"/>
      <c r="H144" s="58"/>
      <c r="I144" s="58"/>
      <c r="J144" s="58"/>
      <c r="K144" s="58"/>
      <c r="L144" s="102"/>
      <c r="M144" s="102"/>
      <c r="N144" s="102"/>
      <c r="O144" s="102"/>
      <c r="P144" s="58"/>
      <c r="Q144" s="58"/>
      <c r="R144" s="58"/>
    </row>
    <row r="145" spans="12:18" s="1" customFormat="1" ht="12" customHeight="1">
      <c r="L145" s="102"/>
      <c r="M145" s="102"/>
      <c r="N145" s="102"/>
      <c r="O145" s="102"/>
      <c r="P145" s="58"/>
      <c r="Q145" s="58"/>
      <c r="R145" s="58"/>
    </row>
    <row r="146" spans="12:18" s="1" customFormat="1" ht="12" customHeight="1">
      <c r="L146" s="102"/>
      <c r="M146" s="102"/>
      <c r="N146" s="102"/>
      <c r="O146" s="102"/>
      <c r="P146" s="58"/>
      <c r="Q146" s="58"/>
      <c r="R146" s="58"/>
    </row>
    <row r="147" spans="12:18" s="1" customFormat="1" ht="12" customHeight="1">
      <c r="L147" s="102"/>
      <c r="M147" s="102"/>
      <c r="N147" s="102"/>
      <c r="O147" s="102"/>
      <c r="P147" s="58"/>
      <c r="Q147" s="58"/>
      <c r="R147" s="58"/>
    </row>
    <row r="148" spans="12:18" s="1" customFormat="1" ht="12" customHeight="1">
      <c r="L148" s="102"/>
      <c r="M148" s="102"/>
      <c r="N148" s="102"/>
      <c r="O148" s="102"/>
      <c r="P148" s="58"/>
      <c r="Q148" s="58"/>
      <c r="R148" s="58"/>
    </row>
    <row r="149" spans="12:18" s="1" customFormat="1" ht="12" customHeight="1">
      <c r="L149" s="102"/>
      <c r="M149" s="102"/>
      <c r="N149" s="102"/>
      <c r="O149" s="102"/>
      <c r="P149" s="58"/>
      <c r="Q149" s="58"/>
      <c r="R149" s="58"/>
    </row>
    <row r="150" spans="12:18" s="1" customFormat="1" ht="12" customHeight="1">
      <c r="L150" s="102"/>
      <c r="M150" s="102"/>
      <c r="N150" s="102"/>
      <c r="O150" s="102"/>
      <c r="P150" s="58"/>
      <c r="Q150" s="102"/>
      <c r="R150" s="102"/>
    </row>
    <row r="151" spans="12:18" ht="12" customHeight="1">
      <c r="L151" s="102"/>
      <c r="M151" s="102"/>
      <c r="N151" s="102"/>
      <c r="O151" s="102"/>
      <c r="P151" s="102"/>
      <c r="Q151" s="58"/>
      <c r="R151" s="58"/>
    </row>
    <row r="152" spans="12:18" s="1" customFormat="1" ht="12" customHeight="1">
      <c r="L152" s="102"/>
      <c r="M152" s="102"/>
      <c r="N152" s="102"/>
      <c r="O152" s="102"/>
      <c r="P152" s="58"/>
      <c r="Q152" s="58"/>
      <c r="R152" s="58"/>
    </row>
    <row r="153" spans="12:18" s="1" customFormat="1" ht="12" customHeight="1">
      <c r="L153" s="102"/>
      <c r="M153" s="102"/>
      <c r="N153" s="102"/>
      <c r="O153" s="102"/>
      <c r="P153" s="58"/>
      <c r="Q153" s="58"/>
      <c r="R153" s="58"/>
    </row>
    <row r="154" spans="12:18" s="1" customFormat="1" ht="12" customHeight="1">
      <c r="L154" s="102"/>
      <c r="M154" s="102"/>
      <c r="N154" s="102"/>
      <c r="O154" s="102"/>
      <c r="P154" s="58"/>
      <c r="Q154" s="58"/>
      <c r="R154" s="58"/>
    </row>
    <row r="155" spans="12:18" s="1" customFormat="1" ht="12" customHeight="1">
      <c r="L155" s="102"/>
      <c r="M155" s="102"/>
      <c r="N155" s="102"/>
      <c r="O155" s="102"/>
      <c r="P155" s="58"/>
      <c r="Q155" s="58"/>
      <c r="R155" s="58"/>
    </row>
    <row r="156" spans="12:18" s="1" customFormat="1" ht="12" customHeight="1">
      <c r="L156" s="102"/>
      <c r="M156" s="102"/>
      <c r="N156" s="102"/>
      <c r="O156" s="102"/>
      <c r="P156" s="58"/>
      <c r="Q156" s="58"/>
      <c r="R156" s="58"/>
    </row>
    <row r="157" spans="12:18" s="1" customFormat="1" ht="12" customHeight="1">
      <c r="L157" s="102"/>
      <c r="M157" s="102"/>
      <c r="N157" s="102"/>
      <c r="O157" s="102"/>
      <c r="P157" s="58"/>
      <c r="Q157" s="58"/>
      <c r="R157" s="58"/>
    </row>
    <row r="158" spans="12:18" s="1" customFormat="1" ht="12" customHeight="1">
      <c r="L158" s="102"/>
      <c r="M158" s="102"/>
      <c r="N158" s="102"/>
      <c r="O158" s="102"/>
      <c r="P158" s="58"/>
      <c r="Q158" s="58"/>
      <c r="R158" s="58"/>
    </row>
    <row r="159" spans="12:18" s="1" customFormat="1" ht="12" customHeight="1">
      <c r="L159" s="102"/>
      <c r="M159" s="102"/>
      <c r="N159" s="102"/>
      <c r="O159" s="102"/>
      <c r="P159" s="58"/>
      <c r="Q159" s="58"/>
      <c r="R159" s="58"/>
    </row>
    <row r="160" spans="12:18" s="1" customFormat="1" ht="12" customHeight="1">
      <c r="L160" s="102"/>
      <c r="M160" s="102"/>
      <c r="N160" s="102"/>
      <c r="O160" s="102"/>
      <c r="P160" s="58"/>
      <c r="Q160" s="58"/>
      <c r="R160" s="58"/>
    </row>
    <row r="161" spans="12:18" s="1" customFormat="1" ht="12" customHeight="1">
      <c r="L161" s="102"/>
      <c r="M161" s="102"/>
      <c r="N161" s="102"/>
      <c r="O161" s="102"/>
      <c r="P161" s="58"/>
      <c r="Q161" s="58"/>
      <c r="R161" s="58"/>
    </row>
    <row r="162" spans="12:18" s="1" customFormat="1" ht="12" customHeight="1">
      <c r="L162" s="102"/>
      <c r="M162" s="102"/>
      <c r="N162" s="102"/>
      <c r="O162" s="102"/>
      <c r="P162" s="58"/>
      <c r="Q162" s="102"/>
      <c r="R162" s="102"/>
    </row>
    <row r="163" spans="12:18" ht="12" customHeight="1">
      <c r="L163" s="102"/>
      <c r="M163" s="102"/>
      <c r="N163" s="102"/>
      <c r="O163" s="102"/>
      <c r="P163" s="102"/>
      <c r="Q163" s="102"/>
      <c r="R163" s="102"/>
    </row>
    <row r="164" spans="12:18" ht="12" customHeight="1">
      <c r="L164" s="102"/>
      <c r="M164" s="102"/>
      <c r="N164" s="102"/>
      <c r="O164" s="102"/>
      <c r="P164" s="102"/>
      <c r="Q164" s="102"/>
      <c r="R164" s="102"/>
    </row>
    <row r="165" spans="12:18" ht="12" customHeight="1">
      <c r="L165" s="102"/>
      <c r="M165" s="102"/>
      <c r="N165" s="102"/>
      <c r="O165" s="102"/>
      <c r="P165" s="102"/>
      <c r="Q165" s="102"/>
      <c r="R165" s="102"/>
    </row>
    <row r="166" spans="12:18" ht="12" customHeight="1">
      <c r="L166" s="102"/>
      <c r="M166" s="102"/>
      <c r="N166" s="102"/>
      <c r="O166" s="102"/>
      <c r="P166" s="102"/>
      <c r="Q166" s="102"/>
      <c r="R166" s="102"/>
    </row>
  </sheetData>
  <sheetProtection algorithmName="SHA-512" hashValue="1h9T9n1deqdzGA8vVYmDN4p34LTgApPBAnx7vVyv1bemn5uz1T/sp71Ay0zckEL+FieuOk4GEabwSgOrsjl01g==" saltValue="r1Hhty4eRrVAVZ3wYy/bLA=="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4294967295" verticalDpi="4294967295"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zoomScaleNormal="100" workbookViewId="0">
      <selection activeCell="A4" sqref="A1:XFD1048576"/>
    </sheetView>
  </sheetViews>
  <sheetFormatPr defaultColWidth="9.140625" defaultRowHeight="12.75"/>
  <cols>
    <col min="1" max="1" width="5.28515625" style="19" customWidth="1"/>
    <col min="2" max="2" width="2.5703125" style="19" customWidth="1"/>
    <col min="3" max="3" width="2.28515625" style="19" customWidth="1"/>
    <col min="4" max="10" width="8.85546875" style="19" customWidth="1"/>
    <col min="11" max="11" width="7.5703125" style="19" customWidth="1"/>
    <col min="12" max="15" width="9.28515625" style="19" customWidth="1"/>
    <col min="16" max="16" width="8.85546875" style="19" customWidth="1"/>
    <col min="17" max="17" width="9.28515625" style="19" customWidth="1"/>
    <col min="18" max="30" width="9.140625" style="19"/>
    <col min="31" max="32" width="9.140625" style="86"/>
    <col min="33" max="16384" width="9.140625" style="19"/>
  </cols>
  <sheetData>
    <row r="1" spans="1:32" ht="13.9" customHeight="1">
      <c r="A1" s="1821" t="str">
        <f>CONCATENATE("PART EIGHT - THRESHOLD CRITERIA","  -  ",'Part I-Project Information'!$O$6," ",'Part I-Project Information'!$F$34,", ",'Part I-Project Information'!F38,", ",'Part I-Project Information'!J39," County")</f>
        <v>PART EIGHT - THRESHOLD CRITERIA  -  2018-008 Mill at Stone Valley, Ball Ground, Cherokee County</v>
      </c>
      <c r="B1" s="1822"/>
      <c r="C1" s="1822"/>
      <c r="D1" s="1822"/>
      <c r="E1" s="1822"/>
      <c r="F1" s="1822"/>
      <c r="G1" s="1822"/>
      <c r="H1" s="1822"/>
      <c r="I1" s="1822"/>
      <c r="J1" s="1822"/>
      <c r="K1" s="1822"/>
      <c r="L1" s="1822"/>
      <c r="M1" s="1822"/>
      <c r="N1" s="1822"/>
      <c r="O1" s="1822"/>
      <c r="P1" s="1822"/>
      <c r="Q1" s="1822"/>
      <c r="R1" s="102"/>
      <c r="S1" s="102"/>
      <c r="T1" s="102"/>
      <c r="U1" s="102"/>
      <c r="V1" s="102"/>
      <c r="W1" s="102"/>
      <c r="X1" s="102"/>
      <c r="Y1" s="102"/>
      <c r="Z1" s="102"/>
      <c r="AA1" s="102"/>
      <c r="AB1" s="102"/>
      <c r="AC1" s="102"/>
      <c r="AD1" s="102"/>
      <c r="AE1" s="366"/>
      <c r="AF1" s="366"/>
    </row>
    <row r="2" spans="1:32" s="12" customFormat="1" ht="3" customHeight="1">
      <c r="S2" s="102"/>
      <c r="T2" s="102"/>
      <c r="AE2" s="76"/>
      <c r="AF2" s="76"/>
    </row>
    <row r="3" spans="1:32" ht="13.5" customHeight="1">
      <c r="A3" s="1911"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11"/>
      <c r="C3" s="1911"/>
      <c r="D3" s="1911"/>
      <c r="E3" s="1911"/>
      <c r="F3" s="1911"/>
      <c r="G3" s="1911"/>
      <c r="H3" s="1911"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11"/>
      <c r="J3" s="1911"/>
      <c r="K3" s="1911"/>
      <c r="L3" s="1911"/>
      <c r="M3" s="1911"/>
      <c r="N3" s="1912"/>
      <c r="O3" s="1913" t="s">
        <v>1247</v>
      </c>
      <c r="P3" s="1914"/>
      <c r="Q3" s="1479" t="s">
        <v>1248</v>
      </c>
      <c r="R3" s="102"/>
      <c r="S3" s="102"/>
      <c r="T3" s="102"/>
      <c r="U3" s="102"/>
      <c r="V3" s="102"/>
      <c r="W3" s="102"/>
      <c r="X3" s="102"/>
      <c r="Y3" s="102"/>
      <c r="Z3" s="102"/>
      <c r="AA3" s="102"/>
      <c r="AB3" s="102"/>
      <c r="AC3" s="102"/>
      <c r="AD3" s="102"/>
      <c r="AE3" s="366"/>
      <c r="AF3" s="366"/>
    </row>
    <row r="4" spans="1:32" ht="3" customHeight="1">
      <c r="A4" s="1524"/>
      <c r="B4" s="1915"/>
      <c r="C4" s="1915"/>
      <c r="D4" s="1915"/>
      <c r="E4" s="1524"/>
      <c r="F4" s="1524"/>
      <c r="G4" s="1524"/>
      <c r="H4" s="1524"/>
      <c r="I4" s="1524"/>
      <c r="J4" s="1524"/>
      <c r="K4" s="1524"/>
      <c r="L4" s="1524"/>
      <c r="M4" s="1524"/>
      <c r="N4" s="1524"/>
      <c r="O4" s="102"/>
      <c r="P4" s="1524"/>
      <c r="Q4" s="1524"/>
      <c r="R4" s="102"/>
      <c r="S4" s="102"/>
      <c r="T4" s="102"/>
      <c r="U4" s="102"/>
      <c r="V4" s="102"/>
      <c r="W4" s="102"/>
      <c r="X4" s="102"/>
      <c r="Y4" s="102"/>
      <c r="Z4" s="102"/>
      <c r="AA4" s="102"/>
      <c r="AB4" s="102"/>
      <c r="AC4" s="102"/>
      <c r="AD4" s="102"/>
      <c r="AE4" s="366"/>
      <c r="AF4" s="366"/>
    </row>
    <row r="5" spans="1:32" ht="10.9" hidden="1" customHeight="1">
      <c r="A5" s="1524"/>
      <c r="B5" s="1524"/>
      <c r="C5" s="1524"/>
      <c r="D5" s="1524"/>
      <c r="E5" s="1524"/>
      <c r="F5" s="1524"/>
      <c r="G5" s="1524"/>
      <c r="H5" s="1524"/>
      <c r="I5" s="1524"/>
      <c r="J5" s="1524"/>
      <c r="K5" s="1524"/>
      <c r="L5" s="1524"/>
      <c r="M5" s="1524"/>
      <c r="N5" s="1524"/>
      <c r="O5" s="102"/>
      <c r="P5" s="1524"/>
      <c r="Q5" s="1524"/>
      <c r="R5" s="102"/>
      <c r="S5" s="102"/>
      <c r="T5" s="102"/>
      <c r="U5" s="102"/>
      <c r="V5" s="102"/>
      <c r="W5" s="102"/>
      <c r="X5" s="102"/>
      <c r="Y5" s="102"/>
      <c r="Z5" s="102"/>
      <c r="AA5" s="102"/>
      <c r="AB5" s="102"/>
      <c r="AC5" s="102"/>
      <c r="AD5" s="102"/>
      <c r="AE5" s="366"/>
      <c r="AF5" s="366"/>
    </row>
    <row r="6" spans="1:32" ht="17.25" customHeight="1">
      <c r="A6" s="84" t="s">
        <v>1249</v>
      </c>
      <c r="B6" s="102"/>
      <c r="C6" s="102"/>
      <c r="D6" s="102"/>
      <c r="E6" s="102"/>
      <c r="F6" s="102"/>
      <c r="G6" s="102"/>
      <c r="H6" s="102"/>
      <c r="I6" s="102"/>
      <c r="J6" s="1918" t="s">
        <v>1250</v>
      </c>
      <c r="K6" s="1918"/>
      <c r="L6" s="1918"/>
      <c r="M6" s="1918"/>
      <c r="N6" s="1918"/>
      <c r="O6" s="1919"/>
      <c r="P6" s="1916"/>
      <c r="Q6" s="1917"/>
      <c r="R6" s="102"/>
      <c r="S6" s="102"/>
      <c r="T6" s="102"/>
      <c r="U6" s="102"/>
      <c r="V6" s="102"/>
      <c r="W6" s="102"/>
      <c r="X6" s="102"/>
      <c r="Y6" s="102"/>
      <c r="Z6" s="102"/>
      <c r="AA6" s="102"/>
      <c r="AB6" s="102"/>
      <c r="AC6" s="102"/>
      <c r="AD6" s="102"/>
      <c r="AE6" s="366"/>
      <c r="AF6" s="366"/>
    </row>
    <row r="7" spans="1:32" ht="12.6" customHeight="1">
      <c r="A7" s="85" t="s">
        <v>1251</v>
      </c>
      <c r="B7" s="102"/>
      <c r="C7" s="366"/>
      <c r="D7" s="366"/>
      <c r="E7" s="102"/>
      <c r="F7" s="102"/>
      <c r="G7" s="102"/>
      <c r="H7" s="1182"/>
      <c r="I7" s="1182"/>
      <c r="J7" s="1182"/>
      <c r="K7" s="1182"/>
      <c r="L7" s="1182"/>
      <c r="M7" s="1524"/>
      <c r="N7" s="1524"/>
      <c r="O7" s="102"/>
      <c r="P7" s="102"/>
      <c r="Q7" s="102"/>
      <c r="R7" s="102"/>
      <c r="S7" s="102"/>
      <c r="T7" s="102"/>
      <c r="U7" s="102"/>
      <c r="V7" s="102"/>
      <c r="W7" s="102"/>
      <c r="X7" s="102"/>
      <c r="Y7" s="102"/>
      <c r="Z7" s="102"/>
      <c r="AA7" s="102"/>
      <c r="AB7" s="102"/>
      <c r="AC7" s="102"/>
      <c r="AD7" s="102"/>
      <c r="AE7" s="366"/>
      <c r="AF7" s="366"/>
    </row>
    <row r="8" spans="1:32" ht="24.6" customHeight="1">
      <c r="A8" s="1927" t="s">
        <v>1252</v>
      </c>
      <c r="B8" s="1928"/>
      <c r="C8" s="1928"/>
      <c r="D8" s="1928"/>
      <c r="E8" s="1928"/>
      <c r="F8" s="1928"/>
      <c r="G8" s="1928"/>
      <c r="H8" s="1928"/>
      <c r="I8" s="1928"/>
      <c r="J8" s="1928"/>
      <c r="K8" s="1928"/>
      <c r="L8" s="1928"/>
      <c r="M8" s="1928"/>
      <c r="N8" s="1928"/>
      <c r="O8" s="1928"/>
      <c r="P8" s="1928"/>
      <c r="Q8" s="1929"/>
      <c r="R8" s="1785" t="s">
        <v>441</v>
      </c>
      <c r="S8" s="1561"/>
      <c r="T8" s="102"/>
      <c r="U8" s="102"/>
      <c r="V8" s="102"/>
      <c r="W8" s="102"/>
      <c r="X8" s="102"/>
      <c r="Y8" s="102"/>
      <c r="Z8" s="102"/>
      <c r="AA8" s="102"/>
      <c r="AB8" s="102"/>
      <c r="AC8" s="102"/>
      <c r="AD8" s="102"/>
      <c r="AE8" s="366"/>
      <c r="AF8" s="366"/>
    </row>
    <row r="9" spans="1:32" ht="24.6" customHeight="1">
      <c r="A9" s="1908" t="s">
        <v>1253</v>
      </c>
      <c r="B9" s="1909"/>
      <c r="C9" s="1909"/>
      <c r="D9" s="1909"/>
      <c r="E9" s="1909"/>
      <c r="F9" s="1909"/>
      <c r="G9" s="1909"/>
      <c r="H9" s="1909"/>
      <c r="I9" s="1909"/>
      <c r="J9" s="1909"/>
      <c r="K9" s="1909"/>
      <c r="L9" s="1909"/>
      <c r="M9" s="1909"/>
      <c r="N9" s="1909"/>
      <c r="O9" s="1909"/>
      <c r="P9" s="1909"/>
      <c r="Q9" s="1910"/>
      <c r="R9" s="1785"/>
      <c r="S9" s="1561"/>
      <c r="T9" s="102"/>
      <c r="U9" s="102"/>
      <c r="V9" s="102"/>
      <c r="W9" s="102"/>
      <c r="X9" s="102"/>
      <c r="Y9" s="102"/>
      <c r="Z9" s="102"/>
      <c r="AA9" s="102"/>
      <c r="AB9" s="102"/>
      <c r="AC9" s="102"/>
      <c r="AD9" s="102"/>
      <c r="AE9" s="366"/>
      <c r="AF9" s="366"/>
    </row>
    <row r="10" spans="1:32" ht="24.6" customHeight="1">
      <c r="A10" s="1908" t="s">
        <v>1254</v>
      </c>
      <c r="B10" s="1909"/>
      <c r="C10" s="1909"/>
      <c r="D10" s="1909"/>
      <c r="E10" s="1909"/>
      <c r="F10" s="1909"/>
      <c r="G10" s="1909"/>
      <c r="H10" s="1909"/>
      <c r="I10" s="1909"/>
      <c r="J10" s="1909"/>
      <c r="K10" s="1909"/>
      <c r="L10" s="1909"/>
      <c r="M10" s="1909"/>
      <c r="N10" s="1909"/>
      <c r="O10" s="1909"/>
      <c r="P10" s="1909"/>
      <c r="Q10" s="1910"/>
      <c r="R10" s="1785"/>
      <c r="S10" s="1561"/>
      <c r="T10" s="102"/>
      <c r="U10" s="102"/>
      <c r="V10" s="102"/>
      <c r="W10" s="102"/>
      <c r="X10" s="102"/>
      <c r="Y10" s="102"/>
      <c r="Z10" s="102"/>
      <c r="AA10" s="102"/>
      <c r="AB10" s="102"/>
      <c r="AC10" s="102"/>
      <c r="AD10" s="102"/>
      <c r="AE10" s="366"/>
      <c r="AF10" s="366"/>
    </row>
    <row r="11" spans="1:32" ht="24.6" customHeight="1">
      <c r="A11" s="1908" t="s">
        <v>1255</v>
      </c>
      <c r="B11" s="1909"/>
      <c r="C11" s="1909"/>
      <c r="D11" s="1909"/>
      <c r="E11" s="1909"/>
      <c r="F11" s="1909"/>
      <c r="G11" s="1909"/>
      <c r="H11" s="1909"/>
      <c r="I11" s="1909"/>
      <c r="J11" s="1909"/>
      <c r="K11" s="1909"/>
      <c r="L11" s="1909"/>
      <c r="M11" s="1909"/>
      <c r="N11" s="1909"/>
      <c r="O11" s="1909"/>
      <c r="P11" s="1909"/>
      <c r="Q11" s="1910"/>
      <c r="R11" s="1785"/>
      <c r="S11" s="1561"/>
      <c r="T11" s="102"/>
      <c r="U11" s="102"/>
      <c r="V11" s="102"/>
      <c r="W11" s="102"/>
      <c r="X11" s="102"/>
      <c r="Y11" s="102"/>
      <c r="Z11" s="102"/>
      <c r="AA11" s="102"/>
      <c r="AB11" s="102"/>
      <c r="AC11" s="102"/>
      <c r="AD11" s="102"/>
      <c r="AE11" s="366"/>
      <c r="AF11" s="366"/>
    </row>
    <row r="12" spans="1:32" ht="24" customHeight="1">
      <c r="A12" s="1908" t="s">
        <v>1256</v>
      </c>
      <c r="B12" s="1909"/>
      <c r="C12" s="1909"/>
      <c r="D12" s="1909"/>
      <c r="E12" s="1909"/>
      <c r="F12" s="1909"/>
      <c r="G12" s="1909"/>
      <c r="H12" s="1909"/>
      <c r="I12" s="1909"/>
      <c r="J12" s="1909"/>
      <c r="K12" s="1909"/>
      <c r="L12" s="1909"/>
      <c r="M12" s="1909"/>
      <c r="N12" s="1909"/>
      <c r="O12" s="1909"/>
      <c r="P12" s="1909"/>
      <c r="Q12" s="1910"/>
      <c r="R12" s="1496"/>
      <c r="S12" s="1496"/>
      <c r="T12" s="102"/>
      <c r="U12" s="102"/>
      <c r="V12" s="102"/>
      <c r="W12" s="102"/>
      <c r="X12" s="102"/>
      <c r="Y12" s="102"/>
      <c r="Z12" s="102"/>
      <c r="AA12" s="102"/>
      <c r="AB12" s="102"/>
      <c r="AC12" s="102"/>
      <c r="AD12" s="102"/>
      <c r="AE12" s="366"/>
      <c r="AF12" s="366"/>
    </row>
    <row r="13" spans="1:32" ht="11.25" customHeight="1">
      <c r="A13" s="1908" t="s">
        <v>1257</v>
      </c>
      <c r="B13" s="1909"/>
      <c r="C13" s="1909"/>
      <c r="D13" s="1909"/>
      <c r="E13" s="1909"/>
      <c r="F13" s="1909"/>
      <c r="G13" s="1909"/>
      <c r="H13" s="1909"/>
      <c r="I13" s="1909"/>
      <c r="J13" s="1909"/>
      <c r="K13" s="1909"/>
      <c r="L13" s="1909"/>
      <c r="M13" s="1909"/>
      <c r="N13" s="1909"/>
      <c r="O13" s="1909"/>
      <c r="P13" s="1909"/>
      <c r="Q13" s="1910"/>
      <c r="R13" s="1496"/>
      <c r="S13" s="1496"/>
      <c r="T13" s="102"/>
      <c r="U13" s="102"/>
      <c r="V13" s="102"/>
      <c r="W13" s="102"/>
      <c r="X13" s="102"/>
      <c r="Y13" s="102"/>
      <c r="Z13" s="102"/>
      <c r="AA13" s="102"/>
      <c r="AB13" s="102"/>
      <c r="AC13" s="102"/>
      <c r="AD13" s="102"/>
      <c r="AE13" s="366"/>
      <c r="AF13" s="366"/>
    </row>
    <row r="14" spans="1:32" ht="11.25" customHeight="1">
      <c r="A14" s="1908" t="s">
        <v>1258</v>
      </c>
      <c r="B14" s="1909"/>
      <c r="C14" s="1909"/>
      <c r="D14" s="1909"/>
      <c r="E14" s="1909"/>
      <c r="F14" s="1909"/>
      <c r="G14" s="1909"/>
      <c r="H14" s="1909"/>
      <c r="I14" s="1909"/>
      <c r="J14" s="1909"/>
      <c r="K14" s="1909"/>
      <c r="L14" s="1909"/>
      <c r="M14" s="1909"/>
      <c r="N14" s="1909"/>
      <c r="O14" s="1909"/>
      <c r="P14" s="1909"/>
      <c r="Q14" s="1910"/>
      <c r="R14" s="102"/>
      <c r="S14" s="102"/>
      <c r="T14" s="102"/>
      <c r="U14" s="102"/>
      <c r="V14" s="102"/>
      <c r="W14" s="102"/>
      <c r="X14" s="102"/>
      <c r="Y14" s="102"/>
      <c r="Z14" s="102"/>
      <c r="AA14" s="102"/>
      <c r="AB14" s="102"/>
      <c r="AC14" s="102"/>
      <c r="AD14" s="102"/>
      <c r="AE14" s="366"/>
      <c r="AF14" s="366"/>
    </row>
    <row r="15" spans="1:32" ht="11.25" customHeight="1">
      <c r="A15" s="1908" t="s">
        <v>1259</v>
      </c>
      <c r="B15" s="1909"/>
      <c r="C15" s="1909"/>
      <c r="D15" s="1909"/>
      <c r="E15" s="1909"/>
      <c r="F15" s="1909"/>
      <c r="G15" s="1909"/>
      <c r="H15" s="1909"/>
      <c r="I15" s="1909"/>
      <c r="J15" s="1909"/>
      <c r="K15" s="1909"/>
      <c r="L15" s="1909"/>
      <c r="M15" s="1909"/>
      <c r="N15" s="1909"/>
      <c r="O15" s="1909"/>
      <c r="P15" s="1909"/>
      <c r="Q15" s="1910"/>
      <c r="R15" s="1785" t="s">
        <v>441</v>
      </c>
      <c r="S15" s="1638"/>
      <c r="T15" s="102"/>
      <c r="U15" s="102"/>
      <c r="V15" s="102"/>
      <c r="W15" s="102"/>
      <c r="X15" s="102"/>
      <c r="Y15" s="102"/>
      <c r="Z15" s="102"/>
      <c r="AA15" s="102"/>
      <c r="AB15" s="102"/>
      <c r="AC15" s="102"/>
      <c r="AD15" s="102"/>
      <c r="AE15" s="366"/>
      <c r="AF15" s="366"/>
    </row>
    <row r="16" spans="1:32" ht="11.25" customHeight="1">
      <c r="A16" s="1908" t="s">
        <v>1260</v>
      </c>
      <c r="B16" s="1909"/>
      <c r="C16" s="1909"/>
      <c r="D16" s="1909"/>
      <c r="E16" s="1909"/>
      <c r="F16" s="1909"/>
      <c r="G16" s="1909"/>
      <c r="H16" s="1909"/>
      <c r="I16" s="1909"/>
      <c r="J16" s="1909"/>
      <c r="K16" s="1909"/>
      <c r="L16" s="1909"/>
      <c r="M16" s="1909"/>
      <c r="N16" s="1909"/>
      <c r="O16" s="1909"/>
      <c r="P16" s="1909"/>
      <c r="Q16" s="1910"/>
      <c r="R16" s="1785"/>
      <c r="S16" s="1638"/>
      <c r="T16" s="102"/>
      <c r="U16" s="102"/>
      <c r="V16" s="102"/>
      <c r="W16" s="102"/>
      <c r="X16" s="102"/>
      <c r="Y16" s="102"/>
      <c r="Z16" s="102"/>
      <c r="AA16" s="102"/>
      <c r="AB16" s="102"/>
      <c r="AC16" s="102"/>
      <c r="AD16" s="102"/>
      <c r="AE16" s="366"/>
      <c r="AF16" s="366"/>
    </row>
    <row r="17" spans="1:31" ht="11.25" customHeight="1">
      <c r="A17" s="1908" t="s">
        <v>1261</v>
      </c>
      <c r="B17" s="1909"/>
      <c r="C17" s="1909"/>
      <c r="D17" s="1909"/>
      <c r="E17" s="1909"/>
      <c r="F17" s="1909"/>
      <c r="G17" s="1909"/>
      <c r="H17" s="1909"/>
      <c r="I17" s="1909"/>
      <c r="J17" s="1909"/>
      <c r="K17" s="1909"/>
      <c r="L17" s="1909"/>
      <c r="M17" s="1909"/>
      <c r="N17" s="1909"/>
      <c r="O17" s="1909"/>
      <c r="P17" s="1909"/>
      <c r="Q17" s="1910"/>
      <c r="R17" s="1785"/>
      <c r="S17" s="1638"/>
      <c r="T17" s="102"/>
      <c r="U17" s="102"/>
      <c r="V17" s="102"/>
      <c r="W17" s="102"/>
      <c r="X17" s="102"/>
      <c r="Y17" s="102"/>
      <c r="Z17" s="102"/>
      <c r="AA17" s="102"/>
      <c r="AB17" s="102"/>
      <c r="AC17" s="102"/>
      <c r="AD17" s="102"/>
      <c r="AE17" s="366"/>
    </row>
    <row r="18" spans="1:31" ht="11.25" customHeight="1">
      <c r="A18" s="1908" t="s">
        <v>1262</v>
      </c>
      <c r="B18" s="1909"/>
      <c r="C18" s="1909"/>
      <c r="D18" s="1909"/>
      <c r="E18" s="1909"/>
      <c r="F18" s="1909"/>
      <c r="G18" s="1909"/>
      <c r="H18" s="1909"/>
      <c r="I18" s="1909"/>
      <c r="J18" s="1909"/>
      <c r="K18" s="1909"/>
      <c r="L18" s="1909"/>
      <c r="M18" s="1909"/>
      <c r="N18" s="1909"/>
      <c r="O18" s="1909"/>
      <c r="P18" s="1909"/>
      <c r="Q18" s="1910"/>
      <c r="R18" s="1785"/>
      <c r="S18" s="1638"/>
      <c r="T18" s="102"/>
      <c r="U18" s="102"/>
      <c r="V18" s="102"/>
      <c r="W18" s="102"/>
      <c r="X18" s="102"/>
      <c r="Y18" s="102"/>
      <c r="Z18" s="102"/>
      <c r="AA18" s="102"/>
      <c r="AB18" s="102"/>
      <c r="AC18" s="102"/>
      <c r="AD18" s="102"/>
      <c r="AE18" s="366"/>
    </row>
    <row r="19" spans="1:31" ht="11.25" customHeight="1">
      <c r="A19" s="1908" t="s">
        <v>1263</v>
      </c>
      <c r="B19" s="1909"/>
      <c r="C19" s="1909"/>
      <c r="D19" s="1909"/>
      <c r="E19" s="1909"/>
      <c r="F19" s="1909"/>
      <c r="G19" s="1909"/>
      <c r="H19" s="1909"/>
      <c r="I19" s="1909"/>
      <c r="J19" s="1909"/>
      <c r="K19" s="1909"/>
      <c r="L19" s="1909"/>
      <c r="M19" s="1909"/>
      <c r="N19" s="1909"/>
      <c r="O19" s="1909"/>
      <c r="P19" s="1909"/>
      <c r="Q19" s="1910"/>
      <c r="R19" s="1785"/>
      <c r="S19" s="1638"/>
      <c r="T19" s="102"/>
      <c r="U19" s="102"/>
      <c r="V19" s="102"/>
      <c r="W19" s="102"/>
      <c r="X19" s="102"/>
      <c r="Y19" s="102"/>
      <c r="Z19" s="102"/>
      <c r="AA19" s="102"/>
      <c r="AB19" s="102"/>
      <c r="AC19" s="102"/>
      <c r="AD19" s="102"/>
      <c r="AE19" s="366"/>
    </row>
    <row r="20" spans="1:31" ht="11.25" customHeight="1">
      <c r="A20" s="1908" t="s">
        <v>1264</v>
      </c>
      <c r="B20" s="1909"/>
      <c r="C20" s="1909"/>
      <c r="D20" s="1909"/>
      <c r="E20" s="1909"/>
      <c r="F20" s="1909"/>
      <c r="G20" s="1909"/>
      <c r="H20" s="1909"/>
      <c r="I20" s="1909"/>
      <c r="J20" s="1909"/>
      <c r="K20" s="1909"/>
      <c r="L20" s="1909"/>
      <c r="M20" s="1909"/>
      <c r="N20" s="1909"/>
      <c r="O20" s="1909"/>
      <c r="P20" s="1909"/>
      <c r="Q20" s="1910"/>
      <c r="R20" s="1785"/>
      <c r="S20" s="1638"/>
      <c r="T20" s="102"/>
      <c r="U20" s="102"/>
      <c r="V20" s="102"/>
      <c r="W20" s="102"/>
      <c r="X20" s="102"/>
      <c r="Y20" s="102"/>
      <c r="Z20" s="102"/>
      <c r="AA20" s="102"/>
      <c r="AB20" s="102"/>
      <c r="AC20" s="102"/>
      <c r="AD20" s="102"/>
      <c r="AE20" s="366"/>
    </row>
    <row r="21" spans="1:31" ht="11.25" customHeight="1">
      <c r="A21" s="1908" t="s">
        <v>1265</v>
      </c>
      <c r="B21" s="1909"/>
      <c r="C21" s="1909"/>
      <c r="D21" s="1909"/>
      <c r="E21" s="1909"/>
      <c r="F21" s="1909"/>
      <c r="G21" s="1909"/>
      <c r="H21" s="1909"/>
      <c r="I21" s="1909"/>
      <c r="J21" s="1909"/>
      <c r="K21" s="1909"/>
      <c r="L21" s="1909"/>
      <c r="M21" s="1909"/>
      <c r="N21" s="1909"/>
      <c r="O21" s="1909"/>
      <c r="P21" s="1909"/>
      <c r="Q21" s="1910"/>
      <c r="R21" s="102"/>
      <c r="S21" s="102"/>
      <c r="T21" s="102"/>
      <c r="U21" s="102"/>
      <c r="V21" s="102"/>
      <c r="W21" s="102"/>
      <c r="X21" s="102"/>
      <c r="Y21" s="102"/>
      <c r="Z21" s="102"/>
      <c r="AA21" s="102"/>
      <c r="AB21" s="102"/>
      <c r="AC21" s="102"/>
      <c r="AD21" s="102"/>
      <c r="AE21" s="366"/>
    </row>
    <row r="22" spans="1:31" ht="11.25" customHeight="1">
      <c r="A22" s="1908" t="s">
        <v>1266</v>
      </c>
      <c r="B22" s="1909"/>
      <c r="C22" s="1909"/>
      <c r="D22" s="1909"/>
      <c r="E22" s="1909"/>
      <c r="F22" s="1909"/>
      <c r="G22" s="1909"/>
      <c r="H22" s="1909"/>
      <c r="I22" s="1909"/>
      <c r="J22" s="1909"/>
      <c r="K22" s="1909"/>
      <c r="L22" s="1909"/>
      <c r="M22" s="1909"/>
      <c r="N22" s="1909"/>
      <c r="O22" s="1909"/>
      <c r="P22" s="1909"/>
      <c r="Q22" s="1910"/>
      <c r="R22" s="1785" t="s">
        <v>441</v>
      </c>
      <c r="S22" s="1638"/>
      <c r="T22" s="102"/>
      <c r="U22" s="102"/>
      <c r="V22" s="102"/>
      <c r="W22" s="102"/>
      <c r="X22" s="102"/>
      <c r="Y22" s="102"/>
      <c r="Z22" s="102"/>
      <c r="AA22" s="102"/>
      <c r="AB22" s="102"/>
      <c r="AC22" s="102"/>
      <c r="AD22" s="102"/>
      <c r="AE22" s="366"/>
    </row>
    <row r="23" spans="1:31" ht="11.25" customHeight="1">
      <c r="A23" s="1908" t="s">
        <v>1267</v>
      </c>
      <c r="B23" s="1909"/>
      <c r="C23" s="1909"/>
      <c r="D23" s="1909"/>
      <c r="E23" s="1909"/>
      <c r="F23" s="1909"/>
      <c r="G23" s="1909"/>
      <c r="H23" s="1909"/>
      <c r="I23" s="1909"/>
      <c r="J23" s="1909"/>
      <c r="K23" s="1909"/>
      <c r="L23" s="1909"/>
      <c r="M23" s="1909"/>
      <c r="N23" s="1909"/>
      <c r="O23" s="1909"/>
      <c r="P23" s="1909"/>
      <c r="Q23" s="1910"/>
      <c r="R23" s="1785"/>
      <c r="S23" s="1638"/>
      <c r="T23" s="102"/>
      <c r="U23" s="102"/>
      <c r="V23" s="102"/>
      <c r="W23" s="102"/>
      <c r="X23" s="102"/>
      <c r="Y23" s="102"/>
      <c r="Z23" s="102"/>
      <c r="AA23" s="102"/>
      <c r="AB23" s="102"/>
      <c r="AC23" s="102"/>
      <c r="AD23" s="102"/>
      <c r="AE23" s="366"/>
    </row>
    <row r="24" spans="1:31" ht="11.25" customHeight="1">
      <c r="A24" s="1908" t="s">
        <v>1268</v>
      </c>
      <c r="B24" s="1909"/>
      <c r="C24" s="1909"/>
      <c r="D24" s="1909"/>
      <c r="E24" s="1909"/>
      <c r="F24" s="1909"/>
      <c r="G24" s="1909"/>
      <c r="H24" s="1909"/>
      <c r="I24" s="1909"/>
      <c r="J24" s="1909"/>
      <c r="K24" s="1909"/>
      <c r="L24" s="1909"/>
      <c r="M24" s="1909"/>
      <c r="N24" s="1909"/>
      <c r="O24" s="1909"/>
      <c r="P24" s="1909"/>
      <c r="Q24" s="1910"/>
      <c r="R24" s="1785"/>
      <c r="S24" s="1638"/>
      <c r="T24" s="102"/>
      <c r="U24" s="102"/>
      <c r="V24" s="102"/>
      <c r="W24" s="102"/>
      <c r="X24" s="102"/>
      <c r="Y24" s="102"/>
      <c r="Z24" s="102"/>
      <c r="AA24" s="102"/>
      <c r="AB24" s="102"/>
      <c r="AC24" s="102"/>
      <c r="AD24" s="102"/>
      <c r="AE24" s="366"/>
    </row>
    <row r="25" spans="1:31" ht="11.25" customHeight="1">
      <c r="A25" s="1908" t="s">
        <v>1269</v>
      </c>
      <c r="B25" s="1909"/>
      <c r="C25" s="1909"/>
      <c r="D25" s="1909"/>
      <c r="E25" s="1909"/>
      <c r="F25" s="1909"/>
      <c r="G25" s="1909"/>
      <c r="H25" s="1909"/>
      <c r="I25" s="1909"/>
      <c r="J25" s="1909"/>
      <c r="K25" s="1909"/>
      <c r="L25" s="1909"/>
      <c r="M25" s="1909"/>
      <c r="N25" s="1909"/>
      <c r="O25" s="1909"/>
      <c r="P25" s="1909"/>
      <c r="Q25" s="1910"/>
      <c r="R25" s="1785"/>
      <c r="S25" s="1638"/>
      <c r="T25" s="102"/>
      <c r="U25" s="102"/>
      <c r="V25" s="102"/>
      <c r="W25" s="102"/>
      <c r="X25" s="102"/>
      <c r="Y25" s="102"/>
      <c r="Z25" s="102"/>
      <c r="AA25" s="102"/>
      <c r="AB25" s="102"/>
      <c r="AC25" s="102"/>
      <c r="AD25" s="102"/>
      <c r="AE25" s="366"/>
    </row>
    <row r="26" spans="1:31" ht="11.25" customHeight="1">
      <c r="A26" s="1908" t="s">
        <v>1270</v>
      </c>
      <c r="B26" s="1909"/>
      <c r="C26" s="1909"/>
      <c r="D26" s="1909"/>
      <c r="E26" s="1909"/>
      <c r="F26" s="1909"/>
      <c r="G26" s="1909"/>
      <c r="H26" s="1909"/>
      <c r="I26" s="1909"/>
      <c r="J26" s="1909"/>
      <c r="K26" s="1909"/>
      <c r="L26" s="1909"/>
      <c r="M26" s="1909"/>
      <c r="N26" s="1909"/>
      <c r="O26" s="1909"/>
      <c r="P26" s="1909"/>
      <c r="Q26" s="1910"/>
      <c r="R26" s="1785"/>
      <c r="S26" s="1638"/>
      <c r="T26" s="102"/>
      <c r="U26" s="102"/>
      <c r="V26" s="102"/>
      <c r="W26" s="102"/>
      <c r="X26" s="102"/>
      <c r="Y26" s="102"/>
      <c r="Z26" s="102"/>
      <c r="AA26" s="102"/>
      <c r="AB26" s="102"/>
      <c r="AC26" s="102"/>
      <c r="AD26" s="102"/>
      <c r="AE26" s="366"/>
    </row>
    <row r="27" spans="1:31" ht="11.25" customHeight="1">
      <c r="A27" s="1920" t="s">
        <v>1271</v>
      </c>
      <c r="B27" s="1921"/>
      <c r="C27" s="1921"/>
      <c r="D27" s="1921"/>
      <c r="E27" s="1921"/>
      <c r="F27" s="1921"/>
      <c r="G27" s="1921"/>
      <c r="H27" s="1921"/>
      <c r="I27" s="1921"/>
      <c r="J27" s="1921"/>
      <c r="K27" s="1921"/>
      <c r="L27" s="1921"/>
      <c r="M27" s="1921"/>
      <c r="N27" s="1921"/>
      <c r="O27" s="1921"/>
      <c r="P27" s="1921"/>
      <c r="Q27" s="1922"/>
      <c r="R27" s="1785"/>
      <c r="S27" s="1638"/>
      <c r="T27" s="102"/>
      <c r="U27" s="102"/>
      <c r="V27" s="102"/>
      <c r="W27" s="102"/>
      <c r="X27" s="102"/>
      <c r="Y27" s="102"/>
      <c r="Z27" s="102"/>
      <c r="AA27" s="102"/>
      <c r="AB27" s="102"/>
      <c r="AC27" s="102"/>
      <c r="AD27" s="102"/>
      <c r="AE27" s="366"/>
    </row>
    <row r="28" spans="1:31" ht="6" customHeight="1">
      <c r="A28" s="102"/>
      <c r="B28" s="102"/>
      <c r="C28" s="102"/>
      <c r="D28" s="102"/>
      <c r="E28" s="102"/>
      <c r="F28" s="102"/>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366"/>
    </row>
    <row r="29" spans="1:31" ht="13.9" customHeight="1">
      <c r="A29" s="87" t="s">
        <v>9</v>
      </c>
      <c r="B29" s="88" t="s">
        <v>1272</v>
      </c>
      <c r="C29" s="89"/>
      <c r="D29" s="51"/>
      <c r="E29" s="51"/>
      <c r="F29" s="51"/>
      <c r="G29" s="51"/>
      <c r="H29" s="102"/>
      <c r="I29" s="1529"/>
      <c r="J29" s="1529"/>
      <c r="K29" s="1529"/>
      <c r="L29" s="1524"/>
      <c r="M29" s="1524"/>
      <c r="N29" s="102"/>
      <c r="O29" s="90" t="s">
        <v>1273</v>
      </c>
      <c r="P29" s="1838"/>
      <c r="Q29" s="1845"/>
      <c r="R29" s="102"/>
      <c r="S29" s="102"/>
      <c r="T29" s="102"/>
      <c r="U29" s="102"/>
      <c r="V29" s="102"/>
      <c r="W29" s="102"/>
      <c r="X29" s="102"/>
      <c r="Y29" s="102"/>
      <c r="Z29" s="102"/>
      <c r="AA29" s="102"/>
      <c r="AB29" s="102"/>
      <c r="AC29" s="102"/>
      <c r="AD29" s="102"/>
      <c r="AE29" s="366"/>
    </row>
    <row r="30" spans="1:31" ht="3" customHeight="1">
      <c r="A30" s="102"/>
      <c r="B30" s="102"/>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02"/>
      <c r="AB30" s="102"/>
      <c r="AC30" s="102"/>
      <c r="AD30" s="102"/>
      <c r="AE30" s="366"/>
    </row>
    <row r="31" spans="1:31" ht="11.25" customHeight="1">
      <c r="A31" s="102"/>
      <c r="B31" s="41" t="s">
        <v>1274</v>
      </c>
      <c r="C31" s="41"/>
      <c r="D31" s="41"/>
      <c r="E31" s="41"/>
      <c r="F31" s="41"/>
      <c r="G31" s="1529"/>
      <c r="H31" s="1529"/>
      <c r="I31" s="1529"/>
      <c r="J31" s="1529"/>
      <c r="K31" s="1524"/>
      <c r="L31" s="1524"/>
      <c r="M31" s="1524"/>
      <c r="N31" s="1524"/>
      <c r="O31" s="1524"/>
      <c r="P31" s="771"/>
      <c r="Q31" s="102"/>
      <c r="R31" s="102"/>
      <c r="S31" s="110"/>
      <c r="T31" s="110"/>
      <c r="U31" s="102"/>
      <c r="V31" s="102"/>
      <c r="W31" s="102"/>
      <c r="X31" s="102"/>
      <c r="Y31" s="102"/>
      <c r="Z31" s="102"/>
      <c r="AA31" s="102"/>
      <c r="AB31" s="102"/>
      <c r="AC31" s="102"/>
      <c r="AD31" s="102"/>
      <c r="AE31" s="366"/>
    </row>
    <row r="32" spans="1:31" ht="108.75" customHeight="1">
      <c r="A32" s="2496" t="s">
        <v>4727</v>
      </c>
      <c r="B32" s="2497"/>
      <c r="C32" s="2497"/>
      <c r="D32" s="2497"/>
      <c r="E32" s="2497"/>
      <c r="F32" s="2497"/>
      <c r="G32" s="2497"/>
      <c r="H32" s="2497"/>
      <c r="I32" s="2497"/>
      <c r="J32" s="2497"/>
      <c r="K32" s="2497"/>
      <c r="L32" s="2497"/>
      <c r="M32" s="2497"/>
      <c r="N32" s="2497"/>
      <c r="O32" s="2497"/>
      <c r="P32" s="2497"/>
      <c r="Q32" s="2498"/>
      <c r="R32" s="341" t="s">
        <v>1275</v>
      </c>
      <c r="S32" s="342"/>
      <c r="T32" s="110"/>
      <c r="U32" s="94"/>
      <c r="V32" s="94"/>
      <c r="W32" s="94"/>
      <c r="X32" s="94"/>
      <c r="Y32" s="94"/>
      <c r="Z32" s="94"/>
      <c r="AA32" s="94"/>
      <c r="AB32" s="94"/>
      <c r="AC32" s="94"/>
      <c r="AD32" s="94"/>
      <c r="AE32" s="365"/>
    </row>
    <row r="33" spans="1:295" ht="11.25" customHeight="1">
      <c r="A33" s="102"/>
      <c r="B33" s="95" t="s">
        <v>1276</v>
      </c>
      <c r="C33" s="96"/>
      <c r="D33" s="1532"/>
      <c r="E33" s="1532"/>
      <c r="F33" s="1532"/>
      <c r="G33" s="1532"/>
      <c r="H33" s="1532"/>
      <c r="I33" s="1532"/>
      <c r="J33" s="1532"/>
      <c r="K33" s="1532"/>
      <c r="L33" s="1532"/>
      <c r="M33" s="1532"/>
      <c r="N33" s="1532"/>
      <c r="O33" s="1532"/>
      <c r="P33" s="1532"/>
      <c r="Q33" s="102"/>
      <c r="R33" s="102"/>
      <c r="S33" s="102"/>
      <c r="T33" s="102"/>
      <c r="U33" s="102"/>
      <c r="V33" s="102"/>
      <c r="W33" s="102"/>
      <c r="X33" s="102"/>
      <c r="Y33" s="102"/>
      <c r="Z33" s="102"/>
      <c r="AA33" s="102"/>
      <c r="AB33" s="102"/>
      <c r="AC33" s="102"/>
      <c r="AD33" s="102"/>
      <c r="AE33" s="366"/>
      <c r="AF33" s="366"/>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c r="BH33" s="102"/>
      <c r="BI33" s="102"/>
      <c r="BJ33" s="102"/>
      <c r="BK33" s="102"/>
      <c r="BL33" s="102"/>
      <c r="BM33" s="102"/>
      <c r="BN33" s="102"/>
      <c r="BO33" s="102"/>
      <c r="BP33" s="102"/>
      <c r="BQ33" s="102"/>
      <c r="BR33" s="102"/>
      <c r="BS33" s="102"/>
      <c r="BT33" s="102"/>
      <c r="BU33" s="102"/>
      <c r="BV33" s="102"/>
      <c r="BW33" s="102"/>
      <c r="BX33" s="102"/>
      <c r="BY33" s="102"/>
      <c r="BZ33" s="102"/>
      <c r="CA33" s="102"/>
      <c r="CB33" s="102"/>
      <c r="CC33" s="102"/>
      <c r="CD33" s="102"/>
      <c r="CE33" s="102"/>
      <c r="CF33" s="102"/>
      <c r="CG33" s="102"/>
      <c r="CH33" s="102"/>
      <c r="CI33" s="102"/>
      <c r="CJ33" s="102"/>
      <c r="CK33" s="102"/>
      <c r="CL33" s="102"/>
      <c r="CM33" s="102"/>
      <c r="CN33" s="102"/>
      <c r="CO33" s="102"/>
      <c r="CP33" s="102"/>
      <c r="CQ33" s="102"/>
      <c r="CR33" s="102"/>
      <c r="CS33" s="102"/>
      <c r="CT33" s="102"/>
      <c r="CU33" s="102"/>
      <c r="CV33" s="102"/>
      <c r="CW33" s="102"/>
      <c r="CX33" s="102"/>
      <c r="CY33" s="102"/>
      <c r="CZ33" s="102"/>
      <c r="DA33" s="102"/>
      <c r="DB33" s="102"/>
      <c r="DC33" s="102"/>
      <c r="DD33" s="102"/>
      <c r="DE33" s="102"/>
      <c r="DF33" s="102"/>
      <c r="DG33" s="102"/>
      <c r="DH33" s="102"/>
      <c r="DI33" s="102"/>
      <c r="DJ33" s="102"/>
      <c r="DK33" s="102"/>
      <c r="DL33" s="102"/>
      <c r="DM33" s="102"/>
      <c r="DN33" s="102"/>
      <c r="DO33" s="102"/>
      <c r="DP33" s="102"/>
      <c r="DQ33" s="102"/>
      <c r="DR33" s="102"/>
      <c r="DS33" s="102"/>
      <c r="DT33" s="102"/>
      <c r="DU33" s="102"/>
      <c r="DV33" s="102"/>
      <c r="DW33" s="102"/>
      <c r="DX33" s="102"/>
      <c r="DY33" s="102"/>
      <c r="DZ33" s="102"/>
      <c r="EA33" s="102"/>
      <c r="EB33" s="102"/>
      <c r="EC33" s="102"/>
      <c r="ED33" s="102"/>
      <c r="EE33" s="102"/>
      <c r="EF33" s="102"/>
      <c r="EG33" s="102"/>
      <c r="EH33" s="102"/>
      <c r="EI33" s="102"/>
      <c r="EJ33" s="102"/>
      <c r="EK33" s="102"/>
      <c r="EL33" s="102"/>
      <c r="EM33" s="102"/>
      <c r="EN33" s="102"/>
      <c r="EO33" s="102"/>
      <c r="EP33" s="102"/>
      <c r="EQ33" s="102"/>
      <c r="ER33" s="102"/>
      <c r="ES33" s="102"/>
      <c r="ET33" s="102"/>
      <c r="EU33" s="102"/>
      <c r="EV33" s="102"/>
      <c r="EW33" s="102"/>
      <c r="EX33" s="102"/>
      <c r="EY33" s="102"/>
      <c r="EZ33" s="102"/>
      <c r="FA33" s="102"/>
      <c r="FB33" s="102"/>
      <c r="FC33" s="102"/>
      <c r="FD33" s="102"/>
      <c r="FE33" s="102"/>
      <c r="FF33" s="102"/>
      <c r="FG33" s="102"/>
      <c r="FH33" s="102"/>
      <c r="FI33" s="102"/>
      <c r="FJ33" s="102"/>
      <c r="FK33" s="102"/>
      <c r="FL33" s="102"/>
      <c r="FM33" s="102"/>
      <c r="FN33" s="102"/>
      <c r="FO33" s="102"/>
      <c r="FP33" s="102"/>
      <c r="FQ33" s="102"/>
      <c r="FR33" s="102"/>
      <c r="FS33" s="102"/>
      <c r="FT33" s="102"/>
      <c r="FU33" s="102"/>
      <c r="FV33" s="102"/>
      <c r="FW33" s="102"/>
      <c r="FX33" s="102"/>
      <c r="FY33" s="102"/>
      <c r="FZ33" s="102"/>
      <c r="GA33" s="102"/>
      <c r="GB33" s="102"/>
      <c r="GC33" s="102"/>
      <c r="GD33" s="102"/>
      <c r="GE33" s="102"/>
      <c r="GF33" s="102"/>
      <c r="GG33" s="102"/>
      <c r="GH33" s="102"/>
      <c r="GI33" s="102"/>
      <c r="GJ33" s="102"/>
      <c r="GK33" s="102"/>
      <c r="GL33" s="102"/>
      <c r="GM33" s="102"/>
      <c r="GN33" s="102"/>
      <c r="GO33" s="102"/>
      <c r="GP33" s="102"/>
      <c r="GQ33" s="102"/>
      <c r="GR33" s="102"/>
      <c r="GS33" s="102"/>
      <c r="GT33" s="102"/>
      <c r="GU33" s="102"/>
      <c r="GV33" s="102"/>
      <c r="GW33" s="102"/>
      <c r="GX33" s="102"/>
      <c r="GY33" s="102"/>
      <c r="GZ33" s="102"/>
      <c r="HA33" s="102"/>
      <c r="HB33" s="102"/>
      <c r="HC33" s="102"/>
      <c r="HD33" s="102"/>
      <c r="HE33" s="102"/>
      <c r="HF33" s="102"/>
      <c r="HG33" s="102"/>
      <c r="HH33" s="102"/>
      <c r="HI33" s="102"/>
      <c r="HJ33" s="102"/>
      <c r="HK33" s="102"/>
      <c r="HL33" s="102"/>
      <c r="HM33" s="102"/>
      <c r="HN33" s="102"/>
      <c r="HO33" s="102"/>
      <c r="HP33" s="102"/>
      <c r="HQ33" s="102"/>
      <c r="HR33" s="102"/>
      <c r="HS33" s="102"/>
      <c r="HT33" s="102"/>
      <c r="HU33" s="102"/>
      <c r="HV33" s="102"/>
      <c r="HW33" s="102"/>
      <c r="HX33" s="102"/>
      <c r="HY33" s="102"/>
      <c r="HZ33" s="102"/>
      <c r="IA33" s="102"/>
      <c r="IB33" s="102"/>
      <c r="IC33" s="102"/>
      <c r="ID33" s="102"/>
      <c r="IE33" s="102"/>
      <c r="IF33" s="102"/>
      <c r="IG33" s="102"/>
      <c r="IH33" s="102"/>
      <c r="II33" s="102"/>
      <c r="IJ33" s="102"/>
      <c r="IK33" s="102"/>
      <c r="IL33" s="102"/>
      <c r="IM33" s="102"/>
      <c r="IN33" s="102"/>
      <c r="IO33" s="102"/>
      <c r="IP33" s="102"/>
      <c r="IQ33" s="102"/>
      <c r="IR33" s="102"/>
      <c r="IS33" s="102"/>
      <c r="IT33" s="102"/>
      <c r="IU33" s="102"/>
      <c r="IV33" s="102"/>
      <c r="IW33" s="102"/>
      <c r="IX33" s="102"/>
      <c r="IY33" s="102"/>
      <c r="IZ33" s="102"/>
      <c r="JA33" s="102"/>
      <c r="JB33" s="102"/>
      <c r="JC33" s="102"/>
      <c r="JD33" s="102"/>
      <c r="JE33" s="102"/>
      <c r="JF33" s="102"/>
      <c r="JG33" s="102"/>
      <c r="JH33" s="102"/>
      <c r="JI33" s="102"/>
      <c r="JJ33" s="102"/>
      <c r="JK33" s="102"/>
      <c r="JL33" s="102"/>
      <c r="JM33" s="102"/>
      <c r="JN33" s="102"/>
      <c r="JO33" s="102"/>
      <c r="JP33" s="102"/>
      <c r="JQ33" s="102"/>
      <c r="JR33" s="102"/>
      <c r="JS33" s="102"/>
      <c r="JT33" s="102"/>
      <c r="JU33" s="102"/>
      <c r="JV33" s="102"/>
      <c r="JW33" s="102"/>
      <c r="JX33" s="102"/>
      <c r="JY33" s="102"/>
      <c r="JZ33" s="102"/>
      <c r="KA33" s="102"/>
      <c r="KB33" s="102"/>
      <c r="KC33" s="102"/>
      <c r="KD33" s="102"/>
      <c r="KE33" s="102"/>
      <c r="KF33" s="102"/>
      <c r="KG33" s="102"/>
      <c r="KH33" s="102"/>
      <c r="KI33" s="102"/>
    </row>
    <row r="34" spans="1:295" ht="36" customHeight="1">
      <c r="A34" s="1936"/>
      <c r="B34" s="1936"/>
      <c r="C34" s="1936"/>
      <c r="D34" s="1936"/>
      <c r="E34" s="1936"/>
      <c r="F34" s="1936"/>
      <c r="G34" s="1936"/>
      <c r="H34" s="1936"/>
      <c r="I34" s="1936"/>
      <c r="J34" s="1936"/>
      <c r="K34" s="1936"/>
      <c r="L34" s="1936"/>
      <c r="M34" s="1936"/>
      <c r="N34" s="1936"/>
      <c r="O34" s="1936"/>
      <c r="P34" s="1936"/>
      <c r="Q34" s="1936"/>
      <c r="R34" s="341" t="s">
        <v>1275</v>
      </c>
      <c r="S34" s="342"/>
      <c r="T34" s="102"/>
      <c r="U34" s="102"/>
      <c r="V34" s="102"/>
      <c r="W34" s="102"/>
      <c r="X34" s="102"/>
      <c r="Y34" s="102"/>
      <c r="Z34" s="102"/>
      <c r="AA34" s="102"/>
      <c r="AB34" s="102"/>
      <c r="AC34" s="102"/>
      <c r="AD34" s="102"/>
      <c r="AE34" s="366"/>
      <c r="AF34" s="366"/>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2"/>
      <c r="BC34" s="102"/>
      <c r="BD34" s="102"/>
      <c r="BE34" s="102"/>
      <c r="BF34" s="102"/>
      <c r="BG34" s="102"/>
      <c r="BH34" s="102"/>
      <c r="BI34" s="102"/>
      <c r="BJ34" s="102"/>
      <c r="BK34" s="102"/>
      <c r="BL34" s="102"/>
      <c r="BM34" s="102"/>
      <c r="BN34" s="102"/>
      <c r="BO34" s="102"/>
      <c r="BP34" s="102"/>
      <c r="BQ34" s="102"/>
      <c r="BR34" s="102"/>
      <c r="BS34" s="102"/>
      <c r="BT34" s="102"/>
      <c r="BU34" s="102"/>
      <c r="BV34" s="102"/>
      <c r="BW34" s="102"/>
      <c r="BX34" s="102"/>
      <c r="BY34" s="102"/>
      <c r="BZ34" s="102"/>
      <c r="CA34" s="102"/>
      <c r="CB34" s="102"/>
      <c r="CC34" s="102"/>
      <c r="CD34" s="102"/>
      <c r="CE34" s="102"/>
      <c r="CF34" s="102"/>
      <c r="CG34" s="102"/>
      <c r="CH34" s="102"/>
      <c r="CI34" s="102"/>
      <c r="CJ34" s="102"/>
      <c r="CK34" s="102"/>
      <c r="CL34" s="102"/>
      <c r="CM34" s="102"/>
      <c r="CN34" s="102"/>
      <c r="CO34" s="102"/>
      <c r="CP34" s="102"/>
      <c r="CQ34" s="102"/>
      <c r="CR34" s="102"/>
      <c r="CS34" s="102"/>
      <c r="CT34" s="102"/>
      <c r="CU34" s="102"/>
      <c r="CV34" s="102"/>
      <c r="CW34" s="102"/>
      <c r="CX34" s="102"/>
      <c r="CY34" s="102"/>
      <c r="CZ34" s="102"/>
      <c r="DA34" s="102"/>
      <c r="DB34" s="102"/>
      <c r="DC34" s="102"/>
      <c r="DD34" s="102"/>
      <c r="DE34" s="102"/>
      <c r="DF34" s="102"/>
      <c r="DG34" s="102"/>
      <c r="DH34" s="102"/>
      <c r="DI34" s="102"/>
      <c r="DJ34" s="102"/>
      <c r="DK34" s="102"/>
      <c r="DL34" s="102"/>
      <c r="DM34" s="102"/>
      <c r="DN34" s="102"/>
      <c r="DO34" s="102"/>
      <c r="DP34" s="102"/>
      <c r="DQ34" s="102"/>
      <c r="DR34" s="102"/>
      <c r="DS34" s="102"/>
      <c r="DT34" s="102"/>
      <c r="DU34" s="102"/>
      <c r="DV34" s="102"/>
      <c r="DW34" s="102"/>
      <c r="DX34" s="102"/>
      <c r="DY34" s="102"/>
      <c r="DZ34" s="102"/>
      <c r="EA34" s="102"/>
      <c r="EB34" s="102"/>
      <c r="EC34" s="102"/>
      <c r="ED34" s="102"/>
      <c r="EE34" s="102"/>
      <c r="EF34" s="102"/>
      <c r="EG34" s="102"/>
      <c r="EH34" s="102"/>
      <c r="EI34" s="102"/>
      <c r="EJ34" s="102"/>
      <c r="EK34" s="102"/>
      <c r="EL34" s="102"/>
      <c r="EM34" s="102"/>
      <c r="EN34" s="102"/>
      <c r="EO34" s="102"/>
      <c r="EP34" s="102"/>
      <c r="EQ34" s="102"/>
      <c r="ER34" s="102"/>
      <c r="ES34" s="102"/>
      <c r="ET34" s="102"/>
      <c r="EU34" s="102"/>
      <c r="EV34" s="102"/>
      <c r="EW34" s="102"/>
      <c r="EX34" s="102"/>
      <c r="EY34" s="102"/>
      <c r="EZ34" s="102"/>
      <c r="FA34" s="102"/>
      <c r="FB34" s="102"/>
      <c r="FC34" s="102"/>
      <c r="FD34" s="102"/>
      <c r="FE34" s="102"/>
      <c r="FF34" s="102"/>
      <c r="FG34" s="102"/>
      <c r="FH34" s="102"/>
      <c r="FI34" s="102"/>
      <c r="FJ34" s="102"/>
      <c r="FK34" s="102"/>
      <c r="FL34" s="102"/>
      <c r="FM34" s="102"/>
      <c r="FN34" s="102"/>
      <c r="FO34" s="102"/>
      <c r="FP34" s="102"/>
      <c r="FQ34" s="102"/>
      <c r="FR34" s="102"/>
      <c r="FS34" s="102"/>
      <c r="FT34" s="102"/>
      <c r="FU34" s="102"/>
      <c r="FV34" s="102"/>
      <c r="FW34" s="102"/>
      <c r="FX34" s="102"/>
      <c r="FY34" s="102"/>
      <c r="FZ34" s="102"/>
      <c r="GA34" s="102"/>
      <c r="GB34" s="102"/>
      <c r="GC34" s="102"/>
      <c r="GD34" s="102"/>
      <c r="GE34" s="102"/>
      <c r="GF34" s="102"/>
      <c r="GG34" s="102"/>
      <c r="GH34" s="102"/>
      <c r="GI34" s="102"/>
      <c r="GJ34" s="102"/>
      <c r="GK34" s="102"/>
      <c r="GL34" s="102"/>
      <c r="GM34" s="102"/>
      <c r="GN34" s="102"/>
      <c r="GO34" s="102"/>
      <c r="GP34" s="102"/>
      <c r="GQ34" s="102"/>
      <c r="GR34" s="102"/>
      <c r="GS34" s="102"/>
      <c r="GT34" s="102"/>
      <c r="GU34" s="102"/>
      <c r="GV34" s="102"/>
      <c r="GW34" s="102"/>
      <c r="GX34" s="102"/>
      <c r="GY34" s="102"/>
      <c r="GZ34" s="102"/>
      <c r="HA34" s="102"/>
      <c r="HB34" s="102"/>
      <c r="HC34" s="102"/>
      <c r="HD34" s="102"/>
      <c r="HE34" s="102"/>
      <c r="HF34" s="102"/>
      <c r="HG34" s="102"/>
      <c r="HH34" s="102"/>
      <c r="HI34" s="102"/>
      <c r="HJ34" s="102"/>
      <c r="HK34" s="102"/>
      <c r="HL34" s="102"/>
      <c r="HM34" s="102"/>
      <c r="HN34" s="102"/>
      <c r="HO34" s="102"/>
      <c r="HP34" s="102"/>
      <c r="HQ34" s="102"/>
      <c r="HR34" s="102"/>
      <c r="HS34" s="102"/>
      <c r="HT34" s="102"/>
      <c r="HU34" s="102"/>
      <c r="HV34" s="102"/>
      <c r="HW34" s="102"/>
      <c r="HX34" s="102"/>
      <c r="HY34" s="102"/>
      <c r="HZ34" s="102"/>
      <c r="IA34" s="102"/>
      <c r="IB34" s="102"/>
      <c r="IC34" s="102"/>
      <c r="ID34" s="102"/>
      <c r="IE34" s="102"/>
      <c r="IF34" s="102"/>
      <c r="IG34" s="102"/>
      <c r="IH34" s="102"/>
      <c r="II34" s="102"/>
      <c r="IJ34" s="102"/>
      <c r="IK34" s="102"/>
      <c r="IL34" s="102"/>
      <c r="IM34" s="102"/>
      <c r="IN34" s="102"/>
      <c r="IO34" s="102"/>
      <c r="IP34" s="102"/>
      <c r="IQ34" s="102"/>
      <c r="IR34" s="102"/>
      <c r="IS34" s="102"/>
      <c r="IT34" s="102"/>
      <c r="IU34" s="102"/>
      <c r="IV34" s="102"/>
      <c r="IW34" s="102"/>
      <c r="IX34" s="102"/>
      <c r="IY34" s="102"/>
      <c r="IZ34" s="102"/>
      <c r="JA34" s="102"/>
      <c r="JB34" s="102"/>
      <c r="JC34" s="102"/>
      <c r="JD34" s="102"/>
      <c r="JE34" s="102"/>
      <c r="JF34" s="102"/>
      <c r="JG34" s="102"/>
      <c r="JH34" s="102"/>
      <c r="JI34" s="102"/>
      <c r="JJ34" s="102"/>
      <c r="JK34" s="102"/>
      <c r="JL34" s="102"/>
      <c r="JM34" s="102"/>
      <c r="JN34" s="102"/>
      <c r="JO34" s="102"/>
      <c r="JP34" s="102"/>
      <c r="JQ34" s="102"/>
      <c r="JR34" s="102"/>
      <c r="JS34" s="102"/>
      <c r="JT34" s="102"/>
      <c r="JU34" s="102"/>
      <c r="JV34" s="102"/>
      <c r="JW34" s="102"/>
      <c r="JX34" s="102"/>
      <c r="JY34" s="102"/>
      <c r="JZ34" s="102"/>
      <c r="KA34" s="102"/>
      <c r="KB34" s="102"/>
      <c r="KC34" s="102"/>
      <c r="KD34" s="102"/>
      <c r="KE34" s="102"/>
      <c r="KF34" s="102"/>
      <c r="KG34" s="102"/>
      <c r="KH34" s="102"/>
      <c r="KI34" s="102"/>
    </row>
    <row r="35" spans="1:295" ht="3" customHeight="1">
      <c r="A35" s="102"/>
      <c r="B35" s="1529"/>
      <c r="C35" s="1532"/>
      <c r="D35" s="1532"/>
      <c r="E35" s="1532"/>
      <c r="F35" s="1532"/>
      <c r="G35" s="1532"/>
      <c r="H35" s="1532"/>
      <c r="I35" s="1532"/>
      <c r="J35" s="1532"/>
      <c r="K35" s="1532"/>
      <c r="L35" s="1532"/>
      <c r="M35" s="1532"/>
      <c r="N35" s="1532"/>
      <c r="O35" s="1532"/>
      <c r="P35" s="1532"/>
      <c r="Q35" s="1524"/>
      <c r="R35" s="102"/>
      <c r="S35" s="102"/>
      <c r="T35" s="102"/>
      <c r="U35" s="102"/>
      <c r="V35" s="102"/>
      <c r="W35" s="102"/>
      <c r="X35" s="102"/>
      <c r="Y35" s="102"/>
      <c r="Z35" s="102"/>
      <c r="AA35" s="102"/>
      <c r="AB35" s="102"/>
      <c r="AC35" s="102"/>
      <c r="AD35" s="102"/>
      <c r="AE35" s="366"/>
      <c r="AF35" s="366"/>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2"/>
      <c r="BC35" s="102"/>
      <c r="BD35" s="102"/>
      <c r="BE35" s="102"/>
      <c r="BF35" s="102"/>
      <c r="BG35" s="102"/>
      <c r="BH35" s="102"/>
      <c r="BI35" s="102"/>
      <c r="BJ35" s="102"/>
      <c r="BK35" s="102"/>
      <c r="BL35" s="102"/>
      <c r="BM35" s="102"/>
      <c r="BN35" s="102"/>
      <c r="BO35" s="102"/>
      <c r="BP35" s="102"/>
      <c r="BQ35" s="102"/>
      <c r="BR35" s="102"/>
      <c r="BS35" s="102"/>
      <c r="BT35" s="102"/>
      <c r="BU35" s="102"/>
      <c r="BV35" s="102"/>
      <c r="BW35" s="102"/>
      <c r="BX35" s="102"/>
      <c r="BY35" s="102"/>
      <c r="BZ35" s="102"/>
      <c r="CA35" s="102"/>
      <c r="CB35" s="102"/>
      <c r="CC35" s="102"/>
      <c r="CD35" s="102"/>
      <c r="CE35" s="102"/>
      <c r="CF35" s="102"/>
      <c r="CG35" s="102"/>
      <c r="CH35" s="102"/>
      <c r="CI35" s="102"/>
      <c r="CJ35" s="102"/>
      <c r="CK35" s="102"/>
      <c r="CL35" s="102"/>
      <c r="CM35" s="102"/>
      <c r="CN35" s="102"/>
      <c r="CO35" s="102"/>
      <c r="CP35" s="102"/>
      <c r="CQ35" s="102"/>
      <c r="CR35" s="102"/>
      <c r="CS35" s="102"/>
      <c r="CT35" s="102"/>
      <c r="CU35" s="102"/>
      <c r="CV35" s="102"/>
      <c r="CW35" s="102"/>
      <c r="CX35" s="102"/>
      <c r="CY35" s="102"/>
      <c r="CZ35" s="102"/>
      <c r="DA35" s="102"/>
      <c r="DB35" s="102"/>
      <c r="DC35" s="102"/>
      <c r="DD35" s="102"/>
      <c r="DE35" s="102"/>
      <c r="DF35" s="102"/>
      <c r="DG35" s="102"/>
      <c r="DH35" s="102"/>
      <c r="DI35" s="102"/>
      <c r="DJ35" s="102"/>
      <c r="DK35" s="102"/>
      <c r="DL35" s="102"/>
      <c r="DM35" s="102"/>
      <c r="DN35" s="102"/>
      <c r="DO35" s="102"/>
      <c r="DP35" s="102"/>
      <c r="DQ35" s="102"/>
      <c r="DR35" s="102"/>
      <c r="DS35" s="102"/>
      <c r="DT35" s="102"/>
      <c r="DU35" s="102"/>
      <c r="DV35" s="102"/>
      <c r="DW35" s="102"/>
      <c r="DX35" s="102"/>
      <c r="DY35" s="102"/>
      <c r="DZ35" s="102"/>
      <c r="EA35" s="102"/>
      <c r="EB35" s="102"/>
      <c r="EC35" s="102"/>
      <c r="ED35" s="102"/>
      <c r="EE35" s="102"/>
      <c r="EF35" s="102"/>
      <c r="EG35" s="102"/>
      <c r="EH35" s="102"/>
      <c r="EI35" s="102"/>
      <c r="EJ35" s="102"/>
      <c r="EK35" s="102"/>
      <c r="EL35" s="102"/>
      <c r="EM35" s="102"/>
      <c r="EN35" s="102"/>
      <c r="EO35" s="102"/>
      <c r="EP35" s="102"/>
      <c r="EQ35" s="102"/>
      <c r="ER35" s="102"/>
      <c r="ES35" s="102"/>
      <c r="ET35" s="102"/>
      <c r="EU35" s="102"/>
      <c r="EV35" s="102"/>
      <c r="EW35" s="102"/>
      <c r="EX35" s="102"/>
      <c r="EY35" s="102"/>
      <c r="EZ35" s="102"/>
      <c r="FA35" s="102"/>
      <c r="FB35" s="102"/>
      <c r="FC35" s="102"/>
      <c r="FD35" s="102"/>
      <c r="FE35" s="102"/>
      <c r="FF35" s="102"/>
      <c r="FG35" s="102"/>
      <c r="FH35" s="102"/>
      <c r="FI35" s="102"/>
      <c r="FJ35" s="102"/>
      <c r="FK35" s="102"/>
      <c r="FL35" s="102"/>
      <c r="FM35" s="102"/>
      <c r="FN35" s="102"/>
      <c r="FO35" s="102"/>
      <c r="FP35" s="102"/>
      <c r="FQ35" s="102"/>
      <c r="FR35" s="102"/>
      <c r="FS35" s="102"/>
      <c r="FT35" s="102"/>
      <c r="FU35" s="102"/>
      <c r="FV35" s="102"/>
      <c r="FW35" s="102"/>
      <c r="FX35" s="102"/>
      <c r="FY35" s="102"/>
      <c r="FZ35" s="102"/>
      <c r="GA35" s="102"/>
      <c r="GB35" s="102"/>
      <c r="GC35" s="102"/>
      <c r="GD35" s="102"/>
      <c r="GE35" s="102"/>
      <c r="GF35" s="102"/>
      <c r="GG35" s="102"/>
      <c r="GH35" s="102"/>
      <c r="GI35" s="102"/>
      <c r="GJ35" s="102"/>
      <c r="GK35" s="102"/>
      <c r="GL35" s="102"/>
      <c r="GM35" s="102"/>
      <c r="GN35" s="102"/>
      <c r="GO35" s="102"/>
      <c r="GP35" s="102"/>
      <c r="GQ35" s="102"/>
      <c r="GR35" s="102"/>
      <c r="GS35" s="102"/>
      <c r="GT35" s="102"/>
      <c r="GU35" s="102"/>
      <c r="GV35" s="102"/>
      <c r="GW35" s="102"/>
      <c r="GX35" s="102"/>
      <c r="GY35" s="102"/>
      <c r="GZ35" s="102"/>
      <c r="HA35" s="102"/>
      <c r="HB35" s="102"/>
      <c r="HC35" s="102"/>
      <c r="HD35" s="102"/>
      <c r="HE35" s="102"/>
      <c r="HF35" s="102"/>
      <c r="HG35" s="102"/>
      <c r="HH35" s="102"/>
      <c r="HI35" s="102"/>
      <c r="HJ35" s="102"/>
      <c r="HK35" s="102"/>
      <c r="HL35" s="102"/>
      <c r="HM35" s="102"/>
      <c r="HN35" s="102"/>
      <c r="HO35" s="102"/>
      <c r="HP35" s="102"/>
      <c r="HQ35" s="102"/>
      <c r="HR35" s="102"/>
      <c r="HS35" s="102"/>
      <c r="HT35" s="102"/>
      <c r="HU35" s="102"/>
      <c r="HV35" s="102"/>
      <c r="HW35" s="102"/>
      <c r="HX35" s="102"/>
      <c r="HY35" s="102"/>
      <c r="HZ35" s="102"/>
      <c r="IA35" s="102"/>
      <c r="IB35" s="102"/>
      <c r="IC35" s="102"/>
      <c r="ID35" s="102"/>
      <c r="IE35" s="102"/>
      <c r="IF35" s="102"/>
      <c r="IG35" s="102"/>
      <c r="IH35" s="102"/>
      <c r="II35" s="102"/>
      <c r="IJ35" s="102"/>
      <c r="IK35" s="102"/>
      <c r="IL35" s="102"/>
      <c r="IM35" s="102"/>
      <c r="IN35" s="102"/>
      <c r="IO35" s="102"/>
      <c r="IP35" s="102"/>
      <c r="IQ35" s="102"/>
      <c r="IR35" s="102"/>
      <c r="IS35" s="102"/>
      <c r="IT35" s="102"/>
      <c r="IU35" s="102"/>
      <c r="IV35" s="102"/>
      <c r="IW35" s="102"/>
      <c r="IX35" s="102"/>
      <c r="IY35" s="102"/>
      <c r="IZ35" s="102"/>
      <c r="JA35" s="102"/>
      <c r="JB35" s="102"/>
      <c r="JC35" s="102"/>
      <c r="JD35" s="102"/>
      <c r="JE35" s="102"/>
      <c r="JF35" s="102"/>
      <c r="JG35" s="102"/>
      <c r="JH35" s="102"/>
      <c r="JI35" s="102"/>
      <c r="JJ35" s="102"/>
      <c r="JK35" s="102"/>
      <c r="JL35" s="102"/>
      <c r="JM35" s="102"/>
      <c r="JN35" s="102"/>
      <c r="JO35" s="102"/>
      <c r="JP35" s="102"/>
      <c r="JQ35" s="102"/>
      <c r="JR35" s="102"/>
      <c r="JS35" s="102"/>
      <c r="JT35" s="102"/>
      <c r="JU35" s="102"/>
      <c r="JV35" s="102"/>
      <c r="JW35" s="102"/>
      <c r="JX35" s="102"/>
      <c r="JY35" s="102"/>
      <c r="JZ35" s="102"/>
      <c r="KA35" s="102"/>
      <c r="KB35" s="102"/>
      <c r="KC35" s="102"/>
      <c r="KD35" s="102"/>
      <c r="KE35" s="102"/>
      <c r="KF35" s="102"/>
      <c r="KG35" s="102"/>
      <c r="KH35" s="102"/>
      <c r="KI35" s="102"/>
    </row>
    <row r="36" spans="1:295" ht="12.75" customHeight="1">
      <c r="A36" s="1526" t="s">
        <v>13</v>
      </c>
      <c r="B36" s="4" t="s">
        <v>1277</v>
      </c>
      <c r="C36" s="4"/>
      <c r="D36" s="4"/>
      <c r="E36" s="1532"/>
      <c r="F36" s="102"/>
      <c r="G36" s="497"/>
      <c r="H36" s="497"/>
      <c r="I36" s="497"/>
      <c r="J36" s="58"/>
      <c r="K36" s="102"/>
      <c r="L36" s="498"/>
      <c r="M36" s="498"/>
      <c r="N36" s="498"/>
      <c r="O36" s="90" t="s">
        <v>1273</v>
      </c>
      <c r="P36" s="1838"/>
      <c r="Q36" s="1845"/>
      <c r="R36" s="102"/>
      <c r="S36" s="102"/>
      <c r="T36" s="102"/>
      <c r="U36" s="102"/>
      <c r="V36" s="102"/>
      <c r="W36" s="102"/>
      <c r="X36" s="102"/>
      <c r="Y36" s="102"/>
      <c r="Z36" s="102"/>
      <c r="AA36" s="102"/>
      <c r="AB36" s="102"/>
      <c r="AC36" s="102"/>
      <c r="AD36" s="102"/>
      <c r="AE36" s="366"/>
      <c r="AF36" s="366"/>
      <c r="AG36" s="102"/>
      <c r="AH36" s="102"/>
      <c r="AI36" s="102"/>
      <c r="AJ36" s="102"/>
      <c r="AK36" s="102"/>
      <c r="AL36" s="102"/>
      <c r="AM36" s="102"/>
      <c r="AN36" s="102"/>
      <c r="AO36" s="102"/>
      <c r="AP36" s="102"/>
      <c r="AQ36" s="102"/>
      <c r="AR36" s="102"/>
      <c r="AS36" s="102"/>
      <c r="AT36" s="102"/>
      <c r="AU36" s="102"/>
      <c r="AV36" s="102"/>
      <c r="AW36" s="102"/>
      <c r="AX36" s="102"/>
      <c r="AY36" s="102"/>
      <c r="AZ36" s="102"/>
      <c r="BA36" s="102"/>
      <c r="BB36" s="102"/>
      <c r="BC36" s="102"/>
      <c r="BD36" s="102"/>
      <c r="BE36" s="102"/>
      <c r="BF36" s="102"/>
      <c r="BG36" s="102"/>
      <c r="BH36" s="102"/>
      <c r="BI36" s="102"/>
      <c r="BJ36" s="102"/>
      <c r="BK36" s="102"/>
      <c r="BL36" s="102"/>
      <c r="BM36" s="102"/>
      <c r="BN36" s="102"/>
      <c r="BO36" s="102"/>
      <c r="BP36" s="102"/>
      <c r="BQ36" s="102"/>
      <c r="BR36" s="102"/>
      <c r="BS36" s="102"/>
      <c r="BT36" s="102"/>
      <c r="BU36" s="102"/>
      <c r="BV36" s="102"/>
      <c r="BW36" s="102"/>
      <c r="BX36" s="102"/>
      <c r="BY36" s="102"/>
      <c r="BZ36" s="102"/>
      <c r="CA36" s="102"/>
      <c r="CB36" s="102"/>
      <c r="CC36" s="102"/>
      <c r="CD36" s="102"/>
      <c r="CE36" s="102"/>
      <c r="CF36" s="102"/>
      <c r="CG36" s="102"/>
      <c r="CH36" s="102"/>
      <c r="CI36" s="102"/>
      <c r="CJ36" s="102"/>
      <c r="CK36" s="102"/>
      <c r="CL36" s="102"/>
      <c r="CM36" s="102"/>
      <c r="CN36" s="102"/>
      <c r="CO36" s="102"/>
      <c r="CP36" s="102"/>
      <c r="CQ36" s="102"/>
      <c r="CR36" s="102"/>
      <c r="CS36" s="102"/>
      <c r="CT36" s="102"/>
      <c r="CU36" s="102"/>
      <c r="CV36" s="102"/>
      <c r="CW36" s="102"/>
      <c r="CX36" s="102"/>
      <c r="CY36" s="102"/>
      <c r="CZ36" s="102"/>
      <c r="DA36" s="102"/>
      <c r="DB36" s="102"/>
      <c r="DC36" s="102"/>
      <c r="DD36" s="102"/>
      <c r="DE36" s="102"/>
      <c r="DF36" s="102"/>
      <c r="DG36" s="102"/>
      <c r="DH36" s="102"/>
      <c r="DI36" s="102"/>
      <c r="DJ36" s="102"/>
      <c r="DK36" s="102"/>
      <c r="DL36" s="102"/>
      <c r="DM36" s="102"/>
      <c r="DN36" s="102"/>
      <c r="DO36" s="102"/>
      <c r="DP36" s="102"/>
      <c r="DQ36" s="102"/>
      <c r="DR36" s="102"/>
      <c r="DS36" s="102"/>
      <c r="DT36" s="102"/>
      <c r="DU36" s="102"/>
      <c r="DV36" s="102"/>
      <c r="DW36" s="102"/>
      <c r="DX36" s="102"/>
      <c r="DY36" s="102"/>
      <c r="DZ36" s="102"/>
      <c r="EA36" s="102"/>
      <c r="EB36" s="102"/>
      <c r="EC36" s="102"/>
      <c r="ED36" s="102"/>
      <c r="EE36" s="102"/>
      <c r="EF36" s="102"/>
      <c r="EG36" s="102"/>
      <c r="EH36" s="102"/>
      <c r="EI36" s="102"/>
      <c r="EJ36" s="102"/>
      <c r="EK36" s="102"/>
      <c r="EL36" s="102"/>
      <c r="EM36" s="102"/>
      <c r="EN36" s="102"/>
      <c r="EO36" s="102"/>
      <c r="EP36" s="102"/>
      <c r="EQ36" s="102"/>
      <c r="ER36" s="102"/>
      <c r="ES36" s="102"/>
      <c r="ET36" s="102"/>
      <c r="EU36" s="102"/>
      <c r="EV36" s="102"/>
      <c r="EW36" s="102"/>
      <c r="EX36" s="102"/>
      <c r="EY36" s="102"/>
      <c r="EZ36" s="102"/>
      <c r="FA36" s="102"/>
      <c r="FB36" s="102"/>
      <c r="FC36" s="102"/>
      <c r="FD36" s="102"/>
      <c r="FE36" s="102"/>
      <c r="FF36" s="102"/>
      <c r="FG36" s="102"/>
      <c r="FH36" s="102"/>
      <c r="FI36" s="102"/>
      <c r="FJ36" s="102"/>
      <c r="FK36" s="102"/>
      <c r="FL36" s="102"/>
      <c r="FM36" s="102"/>
      <c r="FN36" s="102"/>
      <c r="FO36" s="102"/>
      <c r="FP36" s="102"/>
      <c r="FQ36" s="102"/>
      <c r="FR36" s="102"/>
      <c r="FS36" s="102"/>
      <c r="FT36" s="102"/>
      <c r="FU36" s="102"/>
      <c r="FV36" s="102"/>
      <c r="FW36" s="102"/>
      <c r="FX36" s="102"/>
      <c r="FY36" s="102"/>
      <c r="FZ36" s="102"/>
      <c r="GA36" s="102"/>
      <c r="GB36" s="102"/>
      <c r="GC36" s="102"/>
      <c r="GD36" s="102"/>
      <c r="GE36" s="102"/>
      <c r="GF36" s="102"/>
      <c r="GG36" s="102"/>
      <c r="GH36" s="102"/>
      <c r="GI36" s="102"/>
      <c r="GJ36" s="102"/>
      <c r="GK36" s="102"/>
      <c r="GL36" s="102"/>
      <c r="GM36" s="102"/>
      <c r="GN36" s="102"/>
      <c r="GO36" s="102"/>
      <c r="GP36" s="102"/>
      <c r="GQ36" s="102"/>
      <c r="GR36" s="102"/>
      <c r="GS36" s="102"/>
      <c r="GT36" s="102"/>
      <c r="GU36" s="102"/>
      <c r="GV36" s="102"/>
      <c r="GW36" s="102"/>
      <c r="GX36" s="102"/>
      <c r="GY36" s="102"/>
      <c r="GZ36" s="102"/>
      <c r="HA36" s="102"/>
      <c r="HB36" s="102"/>
      <c r="HC36" s="102"/>
      <c r="HD36" s="102"/>
      <c r="HE36" s="102"/>
      <c r="HF36" s="102"/>
      <c r="HG36" s="102"/>
      <c r="HH36" s="102"/>
      <c r="HI36" s="102"/>
      <c r="HJ36" s="102"/>
      <c r="HK36" s="102"/>
      <c r="HL36" s="102"/>
      <c r="HM36" s="102"/>
      <c r="HN36" s="102"/>
      <c r="HO36" s="102"/>
      <c r="HP36" s="102"/>
      <c r="HQ36" s="102"/>
      <c r="HR36" s="102"/>
      <c r="HS36" s="102"/>
      <c r="HT36" s="102"/>
      <c r="HU36" s="102"/>
      <c r="HV36" s="102"/>
      <c r="HW36" s="102"/>
      <c r="HX36" s="102"/>
      <c r="HY36" s="102"/>
      <c r="HZ36" s="102"/>
      <c r="IA36" s="102"/>
      <c r="IB36" s="102"/>
      <c r="IC36" s="102"/>
      <c r="ID36" s="102"/>
      <c r="IE36" s="102"/>
      <c r="IF36" s="102"/>
      <c r="IG36" s="102"/>
      <c r="IH36" s="102"/>
      <c r="II36" s="102"/>
      <c r="IJ36" s="102"/>
      <c r="IK36" s="102"/>
      <c r="IL36" s="102"/>
      <c r="IM36" s="102"/>
      <c r="IN36" s="102"/>
      <c r="IO36" s="102"/>
      <c r="IP36" s="102"/>
      <c r="IQ36" s="102"/>
      <c r="IR36" s="102"/>
      <c r="IS36" s="102"/>
      <c r="IT36" s="102"/>
      <c r="IU36" s="102"/>
      <c r="IV36" s="102"/>
      <c r="IW36" s="102"/>
      <c r="IX36" s="102"/>
      <c r="IY36" s="102"/>
      <c r="IZ36" s="102"/>
      <c r="JA36" s="102"/>
      <c r="JB36" s="102"/>
      <c r="JC36" s="102"/>
      <c r="JD36" s="102"/>
      <c r="JE36" s="102"/>
      <c r="JF36" s="102"/>
      <c r="JG36" s="102"/>
      <c r="JH36" s="102"/>
      <c r="JI36" s="102"/>
      <c r="JJ36" s="102"/>
      <c r="JK36" s="102"/>
      <c r="JL36" s="102"/>
      <c r="JM36" s="102"/>
      <c r="JN36" s="102"/>
      <c r="JO36" s="102"/>
      <c r="JP36" s="102"/>
      <c r="JQ36" s="102"/>
      <c r="JR36" s="102"/>
      <c r="JS36" s="102"/>
      <c r="JT36" s="102"/>
      <c r="JU36" s="102"/>
      <c r="JV36" s="102"/>
      <c r="JW36" s="102"/>
      <c r="JX36" s="102"/>
      <c r="JY36" s="102"/>
      <c r="JZ36" s="102"/>
      <c r="KA36" s="102"/>
      <c r="KB36" s="102"/>
      <c r="KC36" s="102"/>
      <c r="KD36" s="102"/>
      <c r="KE36" s="102"/>
      <c r="KF36" s="102"/>
      <c r="KG36" s="102"/>
      <c r="KH36" s="102"/>
      <c r="KI36" s="102"/>
    </row>
    <row r="37" spans="1:295" ht="11.25" customHeight="1">
      <c r="A37" s="1937" t="s">
        <v>1278</v>
      </c>
      <c r="B37" s="1937"/>
      <c r="C37" s="1937"/>
      <c r="D37" s="1937"/>
      <c r="E37" s="1937"/>
      <c r="F37" s="1937"/>
      <c r="G37" s="1938" t="s">
        <v>1279</v>
      </c>
      <c r="H37" s="1939"/>
      <c r="I37" s="501"/>
      <c r="J37" s="58"/>
      <c r="K37" s="1940" t="s">
        <v>1280</v>
      </c>
      <c r="L37" s="1941"/>
      <c r="M37" s="1941"/>
      <c r="N37" s="1942"/>
      <c r="O37" s="102"/>
      <c r="P37" s="102"/>
      <c r="Q37" s="102"/>
      <c r="R37" s="102"/>
      <c r="S37" s="102"/>
      <c r="T37" s="102"/>
      <c r="U37" s="102"/>
      <c r="V37" s="102"/>
      <c r="W37" s="102"/>
      <c r="X37" s="102"/>
      <c r="Y37" s="102"/>
      <c r="Z37" s="102"/>
      <c r="AA37" s="102"/>
      <c r="AB37" s="102"/>
      <c r="AC37" s="102"/>
      <c r="AD37" s="102"/>
      <c r="AE37" s="366"/>
      <c r="AF37" s="366"/>
      <c r="AG37" s="102"/>
      <c r="AH37" s="102"/>
      <c r="AI37" s="102"/>
      <c r="AJ37" s="102"/>
      <c r="AK37" s="102"/>
      <c r="AL37" s="102"/>
      <c r="AM37" s="102"/>
      <c r="AN37" s="102"/>
      <c r="AO37" s="102"/>
      <c r="AP37" s="102"/>
      <c r="AQ37" s="102"/>
      <c r="AR37" s="102"/>
      <c r="AS37" s="102"/>
      <c r="AT37" s="102"/>
      <c r="AU37" s="102"/>
      <c r="AV37" s="102"/>
      <c r="AW37" s="102"/>
      <c r="AX37" s="102"/>
      <c r="AY37" s="102"/>
      <c r="AZ37" s="102"/>
      <c r="BA37" s="102"/>
      <c r="BB37" s="102"/>
      <c r="BC37" s="102"/>
      <c r="BD37" s="102"/>
      <c r="BE37" s="102"/>
      <c r="BF37" s="102"/>
      <c r="BG37" s="102"/>
      <c r="BH37" s="102"/>
      <c r="BI37" s="102"/>
      <c r="BJ37" s="102"/>
      <c r="BK37" s="102"/>
      <c r="BL37" s="102"/>
      <c r="BM37" s="102"/>
      <c r="BN37" s="102"/>
      <c r="BO37" s="102"/>
      <c r="BP37" s="102"/>
      <c r="BQ37" s="102"/>
      <c r="BR37" s="102"/>
      <c r="BS37" s="102"/>
      <c r="BT37" s="102"/>
      <c r="BU37" s="102"/>
      <c r="BV37" s="102"/>
      <c r="BW37" s="102"/>
      <c r="BX37" s="102"/>
      <c r="BY37" s="102"/>
      <c r="BZ37" s="102"/>
      <c r="CA37" s="102"/>
      <c r="CB37" s="102"/>
      <c r="CC37" s="102"/>
      <c r="CD37" s="102"/>
      <c r="CE37" s="102"/>
      <c r="CF37" s="102"/>
      <c r="CG37" s="102"/>
      <c r="CH37" s="102"/>
      <c r="CI37" s="102"/>
      <c r="CJ37" s="102"/>
      <c r="CK37" s="102"/>
      <c r="CL37" s="102"/>
      <c r="CM37" s="102"/>
      <c r="CN37" s="102"/>
      <c r="CO37" s="102"/>
      <c r="CP37" s="102"/>
      <c r="CQ37" s="102"/>
      <c r="CR37" s="102"/>
      <c r="CS37" s="102"/>
      <c r="CT37" s="102"/>
      <c r="CU37" s="102"/>
      <c r="CV37" s="102"/>
      <c r="CW37" s="102"/>
      <c r="CX37" s="102"/>
      <c r="CY37" s="102"/>
      <c r="CZ37" s="102"/>
      <c r="DA37" s="102"/>
      <c r="DB37" s="102"/>
      <c r="DC37" s="102"/>
      <c r="DD37" s="102"/>
      <c r="DE37" s="102"/>
      <c r="DF37" s="102"/>
      <c r="DG37" s="102"/>
      <c r="DH37" s="102"/>
      <c r="DI37" s="102"/>
      <c r="DJ37" s="102"/>
      <c r="DK37" s="102"/>
      <c r="DL37" s="102"/>
      <c r="DM37" s="102"/>
      <c r="DN37" s="102"/>
      <c r="DO37" s="102"/>
      <c r="DP37" s="102"/>
      <c r="DQ37" s="102"/>
      <c r="DR37" s="102"/>
      <c r="DS37" s="102"/>
      <c r="DT37" s="102"/>
      <c r="DU37" s="102"/>
      <c r="DV37" s="102"/>
      <c r="DW37" s="102"/>
      <c r="DX37" s="102"/>
      <c r="DY37" s="102"/>
      <c r="DZ37" s="102"/>
      <c r="EA37" s="102"/>
      <c r="EB37" s="102"/>
      <c r="EC37" s="102"/>
      <c r="ED37" s="102"/>
      <c r="EE37" s="102"/>
      <c r="EF37" s="102"/>
      <c r="EG37" s="102"/>
      <c r="EH37" s="102"/>
      <c r="EI37" s="102"/>
      <c r="EJ37" s="102"/>
      <c r="EK37" s="102"/>
      <c r="EL37" s="102"/>
      <c r="EM37" s="102"/>
      <c r="EN37" s="102"/>
      <c r="EO37" s="102"/>
      <c r="EP37" s="102"/>
      <c r="EQ37" s="102"/>
      <c r="ER37" s="102"/>
      <c r="ES37" s="102"/>
      <c r="ET37" s="102"/>
      <c r="EU37" s="102"/>
      <c r="EV37" s="102"/>
      <c r="EW37" s="102"/>
      <c r="EX37" s="102"/>
      <c r="EY37" s="102"/>
      <c r="EZ37" s="102"/>
      <c r="FA37" s="102"/>
      <c r="FB37" s="102"/>
      <c r="FC37" s="102"/>
      <c r="FD37" s="102"/>
      <c r="FE37" s="102"/>
      <c r="FF37" s="102"/>
      <c r="FG37" s="102"/>
      <c r="FH37" s="102"/>
      <c r="FI37" s="102"/>
      <c r="FJ37" s="102"/>
      <c r="FK37" s="102"/>
      <c r="FL37" s="102"/>
      <c r="FM37" s="102"/>
      <c r="FN37" s="102"/>
      <c r="FO37" s="102"/>
      <c r="FP37" s="102"/>
      <c r="FQ37" s="102"/>
      <c r="FR37" s="102"/>
      <c r="FS37" s="102"/>
      <c r="FT37" s="102"/>
      <c r="FU37" s="102"/>
      <c r="FV37" s="102"/>
      <c r="FW37" s="102"/>
      <c r="FX37" s="102"/>
      <c r="FY37" s="102"/>
      <c r="FZ37" s="102"/>
      <c r="GA37" s="102"/>
      <c r="GB37" s="102"/>
      <c r="GC37" s="102"/>
      <c r="GD37" s="102"/>
      <c r="GE37" s="102"/>
      <c r="GF37" s="102"/>
      <c r="GG37" s="102"/>
      <c r="GH37" s="102"/>
      <c r="GI37" s="102"/>
      <c r="GJ37" s="102"/>
      <c r="GK37" s="102"/>
      <c r="GL37" s="102"/>
      <c r="GM37" s="102"/>
      <c r="GN37" s="102"/>
      <c r="GO37" s="102"/>
      <c r="GP37" s="102"/>
      <c r="GQ37" s="102"/>
      <c r="GR37" s="102"/>
      <c r="GS37" s="102"/>
      <c r="GT37" s="102"/>
      <c r="GU37" s="102"/>
      <c r="GV37" s="102"/>
      <c r="GW37" s="102"/>
      <c r="GX37" s="102"/>
      <c r="GY37" s="102"/>
      <c r="GZ37" s="102"/>
      <c r="HA37" s="102"/>
      <c r="HB37" s="102"/>
      <c r="HC37" s="102"/>
      <c r="HD37" s="102"/>
      <c r="HE37" s="102"/>
      <c r="HF37" s="102"/>
      <c r="HG37" s="102"/>
      <c r="HH37" s="102"/>
      <c r="HI37" s="102"/>
      <c r="HJ37" s="102"/>
      <c r="HK37" s="102"/>
      <c r="HL37" s="102"/>
      <c r="HM37" s="102"/>
      <c r="HN37" s="102"/>
      <c r="HO37" s="102"/>
      <c r="HP37" s="102"/>
      <c r="HQ37" s="102"/>
      <c r="HR37" s="102"/>
      <c r="HS37" s="102"/>
      <c r="HT37" s="102"/>
      <c r="HU37" s="102"/>
      <c r="HV37" s="102"/>
      <c r="HW37" s="102"/>
      <c r="HX37" s="102"/>
      <c r="HY37" s="102"/>
      <c r="HZ37" s="102"/>
      <c r="IA37" s="102"/>
      <c r="IB37" s="102"/>
      <c r="IC37" s="102"/>
      <c r="ID37" s="102"/>
      <c r="IE37" s="102"/>
      <c r="IF37" s="102"/>
      <c r="IG37" s="102"/>
      <c r="IH37" s="102"/>
      <c r="II37" s="102"/>
      <c r="IJ37" s="102"/>
      <c r="IK37" s="102"/>
      <c r="IL37" s="102"/>
      <c r="IM37" s="102"/>
      <c r="IN37" s="102"/>
      <c r="IO37" s="102"/>
      <c r="IP37" s="102"/>
      <c r="IQ37" s="102"/>
      <c r="IR37" s="102"/>
      <c r="IS37" s="102"/>
      <c r="IT37" s="102"/>
      <c r="IU37" s="102"/>
      <c r="IV37" s="102"/>
      <c r="IW37" s="102"/>
      <c r="IX37" s="102"/>
      <c r="IY37" s="102"/>
      <c r="IZ37" s="102"/>
      <c r="JA37" s="102"/>
      <c r="JB37" s="102"/>
      <c r="JC37" s="102"/>
      <c r="JD37" s="102"/>
      <c r="JE37" s="102"/>
      <c r="JF37" s="102"/>
      <c r="JG37" s="102"/>
      <c r="JH37" s="102"/>
      <c r="JI37" s="102"/>
      <c r="JJ37" s="102"/>
      <c r="JK37" s="102"/>
      <c r="JL37" s="102"/>
      <c r="JM37" s="102"/>
      <c r="JN37" s="102"/>
      <c r="JO37" s="102"/>
      <c r="JP37" s="102"/>
      <c r="JQ37" s="102"/>
      <c r="JR37" s="102"/>
      <c r="JS37" s="102"/>
      <c r="JT37" s="102"/>
      <c r="JU37" s="102"/>
      <c r="JV37" s="102"/>
      <c r="JW37" s="102"/>
      <c r="JX37" s="102"/>
      <c r="JY37" s="102"/>
      <c r="JZ37" s="102"/>
      <c r="KA37" s="102"/>
      <c r="KB37" s="102"/>
      <c r="KC37" s="102"/>
      <c r="KD37" s="102"/>
      <c r="KE37" s="102"/>
      <c r="KF37" s="102"/>
      <c r="KG37" s="102"/>
      <c r="KH37" s="102"/>
      <c r="KI37" s="102"/>
    </row>
    <row r="38" spans="1:295" ht="11.25" customHeight="1">
      <c r="A38" s="1937"/>
      <c r="B38" s="1937"/>
      <c r="C38" s="1937"/>
      <c r="D38" s="1937"/>
      <c r="E38" s="1937"/>
      <c r="F38" s="1937"/>
      <c r="G38" s="1943" t="s">
        <v>118</v>
      </c>
      <c r="H38" s="1944"/>
      <c r="I38" s="501"/>
      <c r="J38" s="58"/>
      <c r="K38" s="1883" t="s">
        <v>1281</v>
      </c>
      <c r="L38" s="1884"/>
      <c r="M38" s="1884"/>
      <c r="N38" s="1885"/>
      <c r="O38" s="102"/>
      <c r="P38" s="414" t="s">
        <v>1282</v>
      </c>
      <c r="Q38" s="2383" t="s">
        <v>22</v>
      </c>
      <c r="R38" s="102"/>
      <c r="S38" s="102"/>
      <c r="T38" s="102"/>
      <c r="U38" s="102"/>
      <c r="V38" s="102"/>
      <c r="W38" s="102"/>
      <c r="X38" s="102"/>
      <c r="Y38" s="102"/>
      <c r="Z38" s="102"/>
      <c r="AA38" s="102"/>
      <c r="AB38" s="102"/>
      <c r="AC38" s="102"/>
      <c r="AD38" s="102"/>
      <c r="AE38" s="366"/>
      <c r="AF38" s="366"/>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02"/>
      <c r="BH38" s="102"/>
      <c r="BI38" s="102"/>
      <c r="BJ38" s="102"/>
      <c r="BK38" s="102"/>
      <c r="BL38" s="102"/>
      <c r="BM38" s="102"/>
      <c r="BN38" s="102"/>
      <c r="BO38" s="102"/>
      <c r="BP38" s="102"/>
      <c r="BQ38" s="102"/>
      <c r="BR38" s="102"/>
      <c r="BS38" s="102"/>
      <c r="BT38" s="102"/>
      <c r="BU38" s="102"/>
      <c r="BV38" s="102"/>
      <c r="BW38" s="102"/>
      <c r="BX38" s="102"/>
      <c r="BY38" s="102"/>
      <c r="BZ38" s="102"/>
      <c r="CA38" s="102"/>
      <c r="CB38" s="102"/>
      <c r="CC38" s="102"/>
      <c r="CD38" s="102"/>
      <c r="CE38" s="102"/>
      <c r="CF38" s="102"/>
      <c r="CG38" s="102"/>
      <c r="CH38" s="102"/>
      <c r="CI38" s="102"/>
      <c r="CJ38" s="102"/>
      <c r="CK38" s="102"/>
      <c r="CL38" s="102"/>
      <c r="CM38" s="102"/>
      <c r="CN38" s="102"/>
      <c r="CO38" s="102"/>
      <c r="CP38" s="102"/>
      <c r="CQ38" s="102"/>
      <c r="CR38" s="102"/>
      <c r="CS38" s="102"/>
      <c r="CT38" s="102"/>
      <c r="CU38" s="102"/>
      <c r="CV38" s="102"/>
      <c r="CW38" s="102"/>
      <c r="CX38" s="102"/>
      <c r="CY38" s="102"/>
      <c r="CZ38" s="102"/>
      <c r="DA38" s="102"/>
      <c r="DB38" s="102"/>
      <c r="DC38" s="102"/>
      <c r="DD38" s="102"/>
      <c r="DE38" s="102"/>
      <c r="DF38" s="102"/>
      <c r="DG38" s="102"/>
      <c r="DH38" s="102"/>
      <c r="DI38" s="102"/>
      <c r="DJ38" s="102"/>
      <c r="DK38" s="102"/>
      <c r="DL38" s="102"/>
      <c r="DM38" s="102"/>
      <c r="DN38" s="102"/>
      <c r="DO38" s="102"/>
      <c r="DP38" s="102"/>
      <c r="DQ38" s="102"/>
      <c r="DR38" s="102"/>
      <c r="DS38" s="102"/>
      <c r="DT38" s="102"/>
      <c r="DU38" s="102"/>
      <c r="DV38" s="102"/>
      <c r="DW38" s="102"/>
      <c r="DX38" s="102"/>
      <c r="DY38" s="102"/>
      <c r="DZ38" s="102"/>
      <c r="EA38" s="102"/>
      <c r="EB38" s="102"/>
      <c r="EC38" s="102"/>
      <c r="ED38" s="102"/>
      <c r="EE38" s="102"/>
      <c r="EF38" s="102"/>
      <c r="EG38" s="102"/>
      <c r="EH38" s="102"/>
      <c r="EI38" s="102"/>
      <c r="EJ38" s="102"/>
      <c r="EK38" s="102"/>
      <c r="EL38" s="102"/>
      <c r="EM38" s="102"/>
      <c r="EN38" s="102"/>
      <c r="EO38" s="102"/>
      <c r="EP38" s="102"/>
      <c r="EQ38" s="102"/>
      <c r="ER38" s="102"/>
      <c r="ES38" s="102"/>
      <c r="ET38" s="102"/>
      <c r="EU38" s="102"/>
      <c r="EV38" s="102"/>
      <c r="EW38" s="102"/>
      <c r="EX38" s="102"/>
      <c r="EY38" s="102"/>
      <c r="EZ38" s="102"/>
      <c r="FA38" s="102"/>
      <c r="FB38" s="102"/>
      <c r="FC38" s="102"/>
      <c r="FD38" s="102"/>
      <c r="FE38" s="102"/>
      <c r="FF38" s="102"/>
      <c r="FG38" s="102"/>
      <c r="FH38" s="102"/>
      <c r="FI38" s="102"/>
      <c r="FJ38" s="102"/>
      <c r="FK38" s="102"/>
      <c r="FL38" s="102"/>
      <c r="FM38" s="102"/>
      <c r="FN38" s="102"/>
      <c r="FO38" s="102"/>
      <c r="FP38" s="102"/>
      <c r="FQ38" s="102"/>
      <c r="FR38" s="102"/>
      <c r="FS38" s="102"/>
      <c r="FT38" s="102"/>
      <c r="FU38" s="102"/>
      <c r="FV38" s="102"/>
      <c r="FW38" s="102"/>
      <c r="FX38" s="102"/>
      <c r="FY38" s="102"/>
      <c r="FZ38" s="102"/>
      <c r="GA38" s="102"/>
      <c r="GB38" s="102"/>
      <c r="GC38" s="102"/>
      <c r="GD38" s="102"/>
      <c r="GE38" s="102"/>
      <c r="GF38" s="102"/>
      <c r="GG38" s="102"/>
      <c r="GH38" s="102"/>
      <c r="GI38" s="102"/>
      <c r="GJ38" s="102"/>
      <c r="GK38" s="102"/>
      <c r="GL38" s="102"/>
      <c r="GM38" s="102"/>
      <c r="GN38" s="102"/>
      <c r="GO38" s="102"/>
      <c r="GP38" s="102"/>
      <c r="GQ38" s="102"/>
      <c r="GR38" s="102"/>
      <c r="GS38" s="102"/>
      <c r="GT38" s="102"/>
      <c r="GU38" s="102"/>
      <c r="GV38" s="102"/>
      <c r="GW38" s="102"/>
      <c r="GX38" s="102"/>
      <c r="GY38" s="102"/>
      <c r="GZ38" s="102"/>
      <c r="HA38" s="102"/>
      <c r="HB38" s="102"/>
      <c r="HC38" s="102"/>
      <c r="HD38" s="102"/>
      <c r="HE38" s="102"/>
      <c r="HF38" s="102"/>
      <c r="HG38" s="102"/>
      <c r="HH38" s="102"/>
      <c r="HI38" s="102"/>
      <c r="HJ38" s="102"/>
      <c r="HK38" s="102"/>
      <c r="HL38" s="102"/>
      <c r="HM38" s="102"/>
      <c r="HN38" s="102"/>
      <c r="HO38" s="102"/>
      <c r="HP38" s="102"/>
      <c r="HQ38" s="102"/>
      <c r="HR38" s="102"/>
      <c r="HS38" s="102"/>
      <c r="HT38" s="102"/>
      <c r="HU38" s="102"/>
      <c r="HV38" s="102"/>
      <c r="HW38" s="102"/>
      <c r="HX38" s="102"/>
      <c r="HY38" s="102"/>
      <c r="HZ38" s="102"/>
      <c r="IA38" s="102"/>
      <c r="IB38" s="102"/>
      <c r="IC38" s="102"/>
      <c r="ID38" s="102"/>
      <c r="IE38" s="102"/>
      <c r="IF38" s="102"/>
      <c r="IG38" s="102"/>
      <c r="IH38" s="102"/>
      <c r="II38" s="102"/>
      <c r="IJ38" s="102"/>
      <c r="IK38" s="102"/>
      <c r="IL38" s="102"/>
      <c r="IM38" s="102"/>
      <c r="IN38" s="102"/>
      <c r="IO38" s="102"/>
      <c r="IP38" s="102"/>
      <c r="IQ38" s="102"/>
      <c r="IR38" s="102"/>
      <c r="IS38" s="102"/>
      <c r="IT38" s="102"/>
      <c r="IU38" s="102"/>
      <c r="IV38" s="102"/>
      <c r="IW38" s="102"/>
      <c r="IX38" s="102"/>
      <c r="IY38" s="102"/>
      <c r="IZ38" s="102"/>
      <c r="JA38" s="102"/>
      <c r="JB38" s="102"/>
      <c r="JC38" s="102"/>
      <c r="JD38" s="102"/>
      <c r="JE38" s="102"/>
      <c r="JF38" s="102"/>
      <c r="JG38" s="102"/>
      <c r="JH38" s="102"/>
      <c r="JI38" s="102"/>
      <c r="JJ38" s="102"/>
      <c r="JK38" s="102"/>
      <c r="JL38" s="102"/>
      <c r="JM38" s="102"/>
      <c r="JN38" s="102"/>
      <c r="JO38" s="102"/>
      <c r="JP38" s="102"/>
      <c r="JQ38" s="102"/>
      <c r="JR38" s="102"/>
      <c r="JS38" s="102"/>
      <c r="JT38" s="102"/>
      <c r="JU38" s="102"/>
      <c r="JV38" s="102"/>
      <c r="JW38" s="102"/>
      <c r="JX38" s="102"/>
      <c r="JY38" s="102"/>
      <c r="JZ38" s="102"/>
      <c r="KA38" s="102"/>
      <c r="KB38" s="102"/>
      <c r="KC38" s="102"/>
      <c r="KD38" s="102"/>
      <c r="KE38" s="102"/>
      <c r="KF38" s="102"/>
      <c r="KG38" s="102"/>
      <c r="KH38" s="102"/>
      <c r="KI38" s="102"/>
    </row>
    <row r="39" spans="1:295" ht="4.5" customHeight="1">
      <c r="A39" s="1937"/>
      <c r="B39" s="1937"/>
      <c r="C39" s="1937"/>
      <c r="D39" s="1937"/>
      <c r="E39" s="1937"/>
      <c r="F39" s="1937"/>
      <c r="G39" s="156"/>
      <c r="H39" s="156"/>
      <c r="I39" s="156"/>
      <c r="J39" s="58"/>
      <c r="K39" s="1930"/>
      <c r="L39" s="1930"/>
      <c r="M39" s="1930"/>
      <c r="N39" s="1930"/>
      <c r="O39" s="102"/>
      <c r="P39" s="102"/>
      <c r="Q39" s="102"/>
      <c r="R39" s="102"/>
      <c r="S39" s="102"/>
      <c r="T39" s="102"/>
      <c r="U39" s="102"/>
      <c r="V39" s="102"/>
      <c r="W39" s="102"/>
      <c r="X39" s="102"/>
      <c r="Y39" s="102"/>
      <c r="Z39" s="102"/>
      <c r="AA39" s="102"/>
      <c r="AB39" s="102"/>
      <c r="AC39" s="102"/>
      <c r="AD39" s="102"/>
      <c r="AE39" s="366"/>
      <c r="AF39" s="366"/>
      <c r="AG39" s="102"/>
      <c r="AH39" s="102"/>
      <c r="AI39" s="102"/>
      <c r="AJ39" s="102"/>
      <c r="AK39" s="102"/>
      <c r="AL39" s="102"/>
      <c r="AM39" s="102"/>
      <c r="AN39" s="102"/>
      <c r="AO39" s="102"/>
      <c r="AP39" s="102"/>
      <c r="AQ39" s="102"/>
      <c r="AR39" s="102"/>
      <c r="AS39" s="102"/>
      <c r="AT39" s="102"/>
      <c r="AU39" s="102"/>
      <c r="AV39" s="102"/>
      <c r="AW39" s="102"/>
      <c r="AX39" s="102"/>
      <c r="AY39" s="102"/>
      <c r="AZ39" s="102"/>
      <c r="BA39" s="102"/>
      <c r="BB39" s="102"/>
      <c r="BC39" s="102"/>
      <c r="BD39" s="102"/>
      <c r="BE39" s="102"/>
      <c r="BF39" s="102"/>
      <c r="BG39" s="102"/>
      <c r="BH39" s="102"/>
      <c r="BI39" s="102"/>
      <c r="BJ39" s="102"/>
      <c r="BK39" s="102"/>
      <c r="BL39" s="102"/>
      <c r="BM39" s="102"/>
      <c r="BN39" s="102"/>
      <c r="BO39" s="102"/>
      <c r="BP39" s="102"/>
      <c r="BQ39" s="102"/>
      <c r="BR39" s="102"/>
      <c r="BS39" s="102"/>
      <c r="BT39" s="102"/>
      <c r="BU39" s="102"/>
      <c r="BV39" s="102"/>
      <c r="BW39" s="102"/>
      <c r="BX39" s="102"/>
      <c r="BY39" s="102"/>
      <c r="BZ39" s="102"/>
      <c r="CA39" s="102"/>
      <c r="CB39" s="102"/>
      <c r="CC39" s="102"/>
      <c r="CD39" s="102"/>
      <c r="CE39" s="102"/>
      <c r="CF39" s="102"/>
      <c r="CG39" s="102"/>
      <c r="CH39" s="102"/>
      <c r="CI39" s="102"/>
      <c r="CJ39" s="102"/>
      <c r="CK39" s="102"/>
      <c r="CL39" s="102"/>
      <c r="CM39" s="102"/>
      <c r="CN39" s="102"/>
      <c r="CO39" s="102"/>
      <c r="CP39" s="102"/>
      <c r="CQ39" s="102"/>
      <c r="CR39" s="102"/>
      <c r="CS39" s="102"/>
      <c r="CT39" s="102"/>
      <c r="CU39" s="102"/>
      <c r="CV39" s="102"/>
      <c r="CW39" s="102"/>
      <c r="CX39" s="102"/>
      <c r="CY39" s="102"/>
      <c r="CZ39" s="102"/>
      <c r="DA39" s="102"/>
      <c r="DB39" s="102"/>
      <c r="DC39" s="102"/>
      <c r="DD39" s="102"/>
      <c r="DE39" s="102"/>
      <c r="DF39" s="102"/>
      <c r="DG39" s="102"/>
      <c r="DH39" s="102"/>
      <c r="DI39" s="102"/>
      <c r="DJ39" s="102"/>
      <c r="DK39" s="102"/>
      <c r="DL39" s="102"/>
      <c r="DM39" s="102"/>
      <c r="DN39" s="102"/>
      <c r="DO39" s="102"/>
      <c r="DP39" s="102"/>
      <c r="DQ39" s="102"/>
      <c r="DR39" s="102"/>
      <c r="DS39" s="102"/>
      <c r="DT39" s="102"/>
      <c r="DU39" s="102"/>
      <c r="DV39" s="102"/>
      <c r="DW39" s="102"/>
      <c r="DX39" s="102"/>
      <c r="DY39" s="102"/>
      <c r="DZ39" s="102"/>
      <c r="EA39" s="102"/>
      <c r="EB39" s="102"/>
      <c r="EC39" s="102"/>
      <c r="ED39" s="102"/>
      <c r="EE39" s="102"/>
      <c r="EF39" s="102"/>
      <c r="EG39" s="102"/>
      <c r="EH39" s="102"/>
      <c r="EI39" s="102"/>
      <c r="EJ39" s="102"/>
      <c r="EK39" s="102"/>
      <c r="EL39" s="102"/>
      <c r="EM39" s="102"/>
      <c r="EN39" s="102"/>
      <c r="EO39" s="102"/>
      <c r="EP39" s="102"/>
      <c r="EQ39" s="102"/>
      <c r="ER39" s="102"/>
      <c r="ES39" s="102"/>
      <c r="ET39" s="102"/>
      <c r="EU39" s="102"/>
      <c r="EV39" s="102"/>
      <c r="EW39" s="102"/>
      <c r="EX39" s="102"/>
      <c r="EY39" s="102"/>
      <c r="EZ39" s="102"/>
      <c r="FA39" s="102"/>
      <c r="FB39" s="102"/>
      <c r="FC39" s="102"/>
      <c r="FD39" s="102"/>
      <c r="FE39" s="102"/>
      <c r="FF39" s="102"/>
      <c r="FG39" s="102"/>
      <c r="FH39" s="102"/>
      <c r="FI39" s="102"/>
      <c r="FJ39" s="102"/>
      <c r="FK39" s="102"/>
      <c r="FL39" s="102"/>
      <c r="FM39" s="102"/>
      <c r="FN39" s="102"/>
      <c r="FO39" s="102"/>
      <c r="FP39" s="102"/>
      <c r="FQ39" s="102"/>
      <c r="FR39" s="102"/>
      <c r="FS39" s="102"/>
      <c r="FT39" s="102"/>
      <c r="FU39" s="102"/>
      <c r="FV39" s="102"/>
      <c r="FW39" s="102"/>
      <c r="FX39" s="102"/>
      <c r="FY39" s="102"/>
      <c r="FZ39" s="102"/>
      <c r="GA39" s="102"/>
      <c r="GB39" s="102"/>
      <c r="GC39" s="102"/>
      <c r="GD39" s="102"/>
      <c r="GE39" s="102"/>
      <c r="GF39" s="102"/>
      <c r="GG39" s="102"/>
      <c r="GH39" s="102"/>
      <c r="GI39" s="102"/>
      <c r="GJ39" s="102"/>
      <c r="GK39" s="102"/>
      <c r="GL39" s="102"/>
      <c r="GM39" s="102"/>
      <c r="GN39" s="102"/>
      <c r="GO39" s="102"/>
      <c r="GP39" s="102"/>
      <c r="GQ39" s="102"/>
      <c r="GR39" s="102"/>
      <c r="GS39" s="102"/>
      <c r="GT39" s="102"/>
      <c r="GU39" s="102"/>
      <c r="GV39" s="102"/>
      <c r="GW39" s="102"/>
      <c r="GX39" s="102"/>
      <c r="GY39" s="102"/>
      <c r="GZ39" s="102"/>
      <c r="HA39" s="102"/>
      <c r="HB39" s="102"/>
      <c r="HC39" s="102"/>
      <c r="HD39" s="102"/>
      <c r="HE39" s="102"/>
      <c r="HF39" s="102"/>
      <c r="HG39" s="102"/>
      <c r="HH39" s="102"/>
      <c r="HI39" s="102"/>
      <c r="HJ39" s="102"/>
      <c r="HK39" s="102"/>
      <c r="HL39" s="102"/>
      <c r="HM39" s="102"/>
      <c r="HN39" s="102"/>
      <c r="HO39" s="102"/>
      <c r="HP39" s="102"/>
      <c r="HQ39" s="102"/>
      <c r="HR39" s="102"/>
      <c r="HS39" s="102"/>
      <c r="HT39" s="102"/>
      <c r="HU39" s="102"/>
      <c r="HV39" s="102"/>
      <c r="HW39" s="102"/>
      <c r="HX39" s="102"/>
      <c r="HY39" s="102"/>
      <c r="HZ39" s="102"/>
      <c r="IA39" s="102"/>
      <c r="IB39" s="102"/>
      <c r="IC39" s="102"/>
      <c r="ID39" s="102"/>
      <c r="IE39" s="102"/>
      <c r="IF39" s="102"/>
      <c r="IG39" s="102"/>
      <c r="IH39" s="102"/>
      <c r="II39" s="102"/>
      <c r="IJ39" s="102"/>
      <c r="IK39" s="102"/>
      <c r="IL39" s="102"/>
      <c r="IM39" s="102"/>
      <c r="IN39" s="102"/>
      <c r="IO39" s="102"/>
      <c r="IP39" s="102"/>
      <c r="IQ39" s="102"/>
      <c r="IR39" s="102"/>
      <c r="IS39" s="102"/>
      <c r="IT39" s="102"/>
      <c r="IU39" s="102"/>
      <c r="IV39" s="102"/>
      <c r="IW39" s="102"/>
      <c r="IX39" s="102"/>
      <c r="IY39" s="102"/>
      <c r="IZ39" s="102"/>
      <c r="JA39" s="102"/>
      <c r="JB39" s="102"/>
      <c r="JC39" s="102"/>
      <c r="JD39" s="102"/>
      <c r="JE39" s="102"/>
      <c r="JF39" s="102"/>
      <c r="JG39" s="102"/>
      <c r="JH39" s="102"/>
      <c r="JI39" s="102"/>
      <c r="JJ39" s="102"/>
      <c r="JK39" s="102"/>
      <c r="JL39" s="102"/>
      <c r="JM39" s="102"/>
      <c r="JN39" s="102"/>
      <c r="JO39" s="102"/>
      <c r="JP39" s="102"/>
      <c r="JQ39" s="102"/>
      <c r="JR39" s="102"/>
      <c r="JS39" s="102"/>
      <c r="JT39" s="102"/>
      <c r="JU39" s="102"/>
      <c r="JV39" s="102"/>
      <c r="JW39" s="102"/>
      <c r="JX39" s="102"/>
      <c r="JY39" s="102"/>
      <c r="JZ39" s="102"/>
      <c r="KA39" s="102"/>
      <c r="KB39" s="102"/>
      <c r="KC39" s="102"/>
      <c r="KD39" s="102"/>
      <c r="KE39" s="102"/>
      <c r="KF39" s="102"/>
      <c r="KG39" s="102"/>
      <c r="KH39" s="102"/>
      <c r="KI39" s="102"/>
    </row>
    <row r="40" spans="1:295" s="48" customFormat="1" ht="10.5" customHeight="1">
      <c r="D40" s="502" t="s">
        <v>1187</v>
      </c>
      <c r="E40" s="102"/>
      <c r="F40" s="503" t="s">
        <v>1283</v>
      </c>
      <c r="G40" s="1931" t="s">
        <v>1284</v>
      </c>
      <c r="H40" s="1931"/>
      <c r="I40" s="1931"/>
      <c r="J40" s="102"/>
      <c r="K40" s="503" t="s">
        <v>1283</v>
      </c>
      <c r="L40" s="1931" t="s">
        <v>1284</v>
      </c>
      <c r="M40" s="1931"/>
      <c r="N40" s="1931"/>
      <c r="O40" s="102"/>
      <c r="R40" s="304"/>
      <c r="U40" s="102"/>
      <c r="V40" s="346"/>
      <c r="W40" s="346"/>
      <c r="X40" s="349"/>
      <c r="Y40" s="346"/>
      <c r="Z40" s="358"/>
      <c r="AA40" s="359"/>
      <c r="AB40" s="359"/>
      <c r="AC40" s="359"/>
      <c r="AD40" s="359"/>
      <c r="AE40" s="359"/>
      <c r="AF40" s="359"/>
      <c r="AG40" s="523"/>
      <c r="AH40" s="344"/>
      <c r="AI40" s="344"/>
      <c r="AJ40" s="344"/>
      <c r="AK40" s="344"/>
      <c r="AL40" s="344"/>
      <c r="AM40" s="344"/>
      <c r="AN40" s="344"/>
      <c r="AO40" s="344"/>
      <c r="AP40" s="344"/>
      <c r="AQ40" s="344"/>
      <c r="AR40" s="344"/>
      <c r="AS40" s="344"/>
      <c r="AT40" s="344"/>
      <c r="AU40" s="344"/>
      <c r="AV40" s="344"/>
      <c r="AW40" s="344"/>
      <c r="AX40" s="344"/>
      <c r="AY40" s="344"/>
      <c r="AZ40" s="344"/>
      <c r="BA40" s="344"/>
      <c r="BB40" s="344"/>
      <c r="BC40" s="344"/>
      <c r="BD40" s="344"/>
      <c r="BE40" s="344"/>
      <c r="BF40" s="344"/>
      <c r="BG40" s="344"/>
      <c r="BH40" s="344"/>
      <c r="BI40" s="344"/>
      <c r="BJ40" s="344"/>
      <c r="BK40" s="344"/>
      <c r="BL40" s="344"/>
      <c r="BM40" s="344"/>
      <c r="BN40" s="344"/>
      <c r="BO40" s="344"/>
      <c r="BP40" s="344"/>
      <c r="BQ40" s="344"/>
      <c r="BR40" s="344"/>
      <c r="BS40" s="344"/>
      <c r="BT40" s="344"/>
      <c r="BU40" s="344"/>
      <c r="BV40" s="344"/>
      <c r="BW40" s="344"/>
      <c r="BX40" s="344"/>
      <c r="BY40" s="344"/>
      <c r="BZ40" s="344"/>
      <c r="CA40" s="344"/>
      <c r="CB40" s="344"/>
      <c r="CC40" s="344"/>
      <c r="CD40" s="344"/>
      <c r="CE40" s="344"/>
      <c r="CF40" s="344"/>
      <c r="CG40" s="344"/>
      <c r="CH40" s="344"/>
      <c r="CI40" s="344"/>
      <c r="CJ40" s="344"/>
      <c r="CK40" s="344"/>
      <c r="CL40" s="344"/>
      <c r="CM40" s="344"/>
      <c r="CN40" s="344"/>
      <c r="CO40" s="344"/>
      <c r="CP40" s="344"/>
      <c r="CQ40" s="344"/>
      <c r="CR40" s="344"/>
      <c r="CS40" s="344"/>
      <c r="CT40" s="344"/>
      <c r="CU40" s="344"/>
      <c r="CV40" s="344"/>
      <c r="CW40" s="344"/>
      <c r="CX40" s="344"/>
      <c r="CY40" s="344"/>
      <c r="CZ40" s="344"/>
      <c r="DA40" s="344"/>
      <c r="DB40" s="344"/>
      <c r="DC40" s="344"/>
      <c r="DD40" s="344"/>
      <c r="DE40" s="344"/>
      <c r="DF40" s="344"/>
      <c r="DG40" s="344"/>
      <c r="DH40" s="344"/>
      <c r="DI40" s="344"/>
      <c r="DJ40" s="344"/>
      <c r="DK40" s="344"/>
      <c r="DL40" s="344"/>
      <c r="DM40" s="344"/>
      <c r="DN40" s="344"/>
      <c r="DO40" s="344"/>
      <c r="DP40" s="344"/>
      <c r="DQ40" s="344"/>
      <c r="DR40" s="344"/>
      <c r="DS40" s="344"/>
      <c r="DT40" s="344"/>
      <c r="DU40" s="344"/>
      <c r="DV40" s="344"/>
      <c r="DW40" s="344"/>
      <c r="DX40" s="344"/>
      <c r="DY40" s="344"/>
      <c r="DZ40" s="344"/>
      <c r="EA40" s="344"/>
      <c r="EB40" s="344"/>
      <c r="EC40" s="344"/>
      <c r="ED40" s="344"/>
      <c r="EE40" s="344"/>
      <c r="EF40" s="344"/>
      <c r="EG40" s="344"/>
      <c r="EH40" s="344"/>
      <c r="EI40" s="344"/>
      <c r="EJ40" s="344"/>
      <c r="EK40" s="344"/>
      <c r="EL40" s="344"/>
      <c r="EM40" s="344"/>
      <c r="EN40" s="344"/>
      <c r="EO40" s="344"/>
      <c r="EP40" s="344"/>
      <c r="EQ40" s="344"/>
      <c r="ER40" s="344"/>
      <c r="ES40" s="344"/>
      <c r="ET40" s="344"/>
      <c r="EU40" s="344"/>
      <c r="EV40" s="344"/>
      <c r="EW40" s="344"/>
      <c r="EX40" s="344"/>
      <c r="EY40" s="344"/>
      <c r="EZ40" s="344"/>
      <c r="FA40" s="344"/>
      <c r="FB40" s="344"/>
      <c r="FC40" s="344"/>
      <c r="FD40" s="344"/>
      <c r="FE40" s="344"/>
      <c r="FF40" s="344"/>
      <c r="FG40" s="344"/>
      <c r="FH40" s="344"/>
      <c r="FI40" s="344"/>
      <c r="FJ40" s="344"/>
      <c r="FK40" s="344"/>
      <c r="FL40" s="344"/>
      <c r="FM40" s="344"/>
      <c r="FN40" s="344"/>
      <c r="FO40" s="344"/>
      <c r="FP40" s="344"/>
      <c r="FQ40" s="344"/>
      <c r="FR40" s="344"/>
      <c r="FS40" s="344"/>
      <c r="FT40" s="344"/>
      <c r="FU40" s="344"/>
      <c r="FV40" s="344"/>
      <c r="FW40" s="344"/>
      <c r="FX40" s="344"/>
      <c r="FY40" s="344"/>
      <c r="FZ40" s="344"/>
      <c r="GA40" s="344"/>
      <c r="GB40" s="344"/>
      <c r="GC40" s="344"/>
      <c r="GD40" s="344"/>
      <c r="GE40" s="344"/>
      <c r="GF40" s="344"/>
      <c r="GG40" s="344"/>
      <c r="GH40" s="344"/>
      <c r="GI40" s="344"/>
      <c r="GJ40" s="344"/>
      <c r="GK40" s="344"/>
      <c r="GL40" s="344"/>
      <c r="GM40" s="344"/>
      <c r="GN40" s="344"/>
      <c r="GO40" s="344"/>
      <c r="GP40" s="344"/>
      <c r="GQ40" s="344"/>
      <c r="GR40" s="344"/>
      <c r="GS40" s="344"/>
      <c r="GT40" s="344"/>
      <c r="GU40" s="344"/>
      <c r="GV40" s="344"/>
      <c r="GW40" s="344"/>
      <c r="GX40" s="344"/>
      <c r="GY40" s="344"/>
      <c r="GZ40" s="344"/>
      <c r="HA40" s="344"/>
      <c r="HB40" s="344"/>
      <c r="HC40" s="344"/>
      <c r="HD40" s="344"/>
      <c r="HE40" s="344"/>
      <c r="HF40" s="344"/>
      <c r="HG40" s="344"/>
      <c r="HH40" s="344"/>
      <c r="HI40" s="344"/>
      <c r="HJ40" s="344"/>
      <c r="HK40" s="344"/>
      <c r="HL40" s="344"/>
      <c r="HM40" s="344"/>
      <c r="HN40" s="344"/>
      <c r="HO40" s="344"/>
      <c r="HP40" s="344"/>
      <c r="HQ40" s="344"/>
      <c r="HR40" s="344"/>
      <c r="HS40" s="344"/>
      <c r="HT40" s="344"/>
      <c r="HU40" s="344"/>
      <c r="HV40" s="344"/>
      <c r="HW40" s="344"/>
      <c r="HX40" s="344"/>
      <c r="HY40" s="344"/>
      <c r="HZ40" s="344"/>
      <c r="IA40" s="344"/>
      <c r="IB40" s="344"/>
      <c r="IC40" s="344"/>
      <c r="ID40" s="344"/>
      <c r="IE40" s="344"/>
      <c r="IF40" s="344"/>
      <c r="IG40" s="344"/>
      <c r="IH40" s="344"/>
      <c r="II40" s="344"/>
      <c r="IJ40" s="357"/>
      <c r="IK40" s="357"/>
      <c r="IL40" s="344"/>
      <c r="IM40" s="344"/>
      <c r="IN40" s="344"/>
      <c r="IO40" s="344"/>
      <c r="IP40" s="344"/>
      <c r="IQ40" s="344"/>
      <c r="IR40" s="344"/>
      <c r="IS40" s="344"/>
      <c r="IT40" s="344"/>
      <c r="IU40" s="344"/>
      <c r="IV40" s="344"/>
      <c r="IW40" s="344"/>
      <c r="IX40" s="344"/>
      <c r="IY40" s="344"/>
      <c r="IZ40" s="344"/>
      <c r="JA40" s="357"/>
      <c r="JB40" s="344"/>
      <c r="JC40" s="344"/>
      <c r="JD40" s="102"/>
      <c r="JE40" s="102"/>
      <c r="JF40" s="102"/>
      <c r="JG40" s="102"/>
      <c r="JH40" s="102"/>
      <c r="JI40" s="102"/>
      <c r="JJ40" s="102"/>
      <c r="JK40" s="102"/>
      <c r="JL40" s="102"/>
      <c r="JM40" s="102"/>
      <c r="JN40" s="102"/>
      <c r="JO40" s="102"/>
      <c r="JP40" s="102"/>
      <c r="JQ40" s="102"/>
      <c r="JR40" s="102"/>
      <c r="JS40" s="102"/>
      <c r="JT40" s="102"/>
      <c r="JU40" s="102"/>
      <c r="JV40" s="102"/>
      <c r="JW40" s="102"/>
      <c r="JX40" s="102"/>
      <c r="JY40" s="102"/>
      <c r="JZ40" s="102"/>
      <c r="KA40" s="102"/>
      <c r="KB40" s="102"/>
      <c r="KC40" s="102"/>
      <c r="KD40" s="102"/>
      <c r="KE40" s="102"/>
      <c r="KF40" s="102"/>
      <c r="KG40" s="102"/>
      <c r="KH40" s="102"/>
      <c r="KI40" s="102"/>
    </row>
    <row r="41" spans="1:295" s="48" customFormat="1" ht="10.5" customHeight="1">
      <c r="A41" s="1898" t="s">
        <v>1285</v>
      </c>
      <c r="B41" s="1898"/>
      <c r="C41" s="1898"/>
      <c r="D41" s="726" t="s">
        <v>831</v>
      </c>
      <c r="E41" s="727">
        <v>0</v>
      </c>
      <c r="F41" s="728">
        <f>'Part VI-Revenues &amp; Expenses'!$J$104</f>
        <v>0</v>
      </c>
      <c r="G41" s="729">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22" t="str">
        <f>CONCATENATE("x ", F41," units = ")</f>
        <v xml:space="preserve">x 0 units = </v>
      </c>
      <c r="I41" s="730">
        <f>F41*G41</f>
        <v>0</v>
      </c>
      <c r="J41" s="58"/>
      <c r="K41" s="728">
        <f>'Part VI-Revenues &amp; Expenses'!$J$105</f>
        <v>0</v>
      </c>
      <c r="L41" s="729">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22" t="str">
        <f>CONCATENATE("x ", K41," units = ")</f>
        <v xml:space="preserve">x 0 units = </v>
      </c>
      <c r="N41" s="730">
        <f>K41*L41</f>
        <v>0</v>
      </c>
      <c r="O41" s="1532"/>
      <c r="P41" s="1890" t="s">
        <v>1286</v>
      </c>
      <c r="Q41" s="1890"/>
      <c r="R41" s="304"/>
      <c r="U41" s="102"/>
      <c r="V41" s="346"/>
      <c r="W41" s="346"/>
      <c r="X41" s="349"/>
      <c r="Y41" s="346"/>
      <c r="Z41" s="358"/>
      <c r="AA41" s="359"/>
      <c r="AB41" s="359"/>
      <c r="AC41" s="359"/>
      <c r="AD41" s="359"/>
      <c r="AE41" s="359"/>
      <c r="AF41" s="359"/>
      <c r="AG41" s="523"/>
      <c r="AH41" s="344"/>
      <c r="AI41" s="344"/>
      <c r="AJ41" s="344"/>
      <c r="AK41" s="344"/>
      <c r="AL41" s="344"/>
      <c r="AM41" s="344"/>
      <c r="AN41" s="344"/>
      <c r="AO41" s="344"/>
      <c r="AP41" s="344"/>
      <c r="AQ41" s="344"/>
      <c r="AR41" s="344"/>
      <c r="AS41" s="344"/>
      <c r="AT41" s="344"/>
      <c r="AU41" s="344"/>
      <c r="AV41" s="344"/>
      <c r="AW41" s="344"/>
      <c r="AX41" s="344"/>
      <c r="AY41" s="344"/>
      <c r="AZ41" s="344"/>
      <c r="BA41" s="344"/>
      <c r="BB41" s="344"/>
      <c r="BC41" s="344"/>
      <c r="BD41" s="344"/>
      <c r="BE41" s="344"/>
      <c r="BF41" s="344"/>
      <c r="BG41" s="344"/>
      <c r="BH41" s="344"/>
      <c r="BI41" s="344"/>
      <c r="BJ41" s="344"/>
      <c r="BK41" s="344"/>
      <c r="BL41" s="344"/>
      <c r="BM41" s="344"/>
      <c r="BN41" s="344"/>
      <c r="BO41" s="344"/>
      <c r="BP41" s="344"/>
      <c r="BQ41" s="344"/>
      <c r="BR41" s="344"/>
      <c r="BS41" s="344"/>
      <c r="BT41" s="344"/>
      <c r="BU41" s="344"/>
      <c r="BV41" s="344"/>
      <c r="BW41" s="344"/>
      <c r="BX41" s="344"/>
      <c r="BY41" s="344"/>
      <c r="BZ41" s="344"/>
      <c r="CA41" s="344"/>
      <c r="CB41" s="344"/>
      <c r="CC41" s="344"/>
      <c r="CD41" s="344"/>
      <c r="CE41" s="344"/>
      <c r="CF41" s="344"/>
      <c r="CG41" s="344"/>
      <c r="CH41" s="344"/>
      <c r="CI41" s="344"/>
      <c r="CJ41" s="344"/>
      <c r="CK41" s="344"/>
      <c r="CL41" s="344"/>
      <c r="CM41" s="344"/>
      <c r="CN41" s="344"/>
      <c r="CO41" s="344"/>
      <c r="CP41" s="344"/>
      <c r="CQ41" s="344"/>
      <c r="CR41" s="344"/>
      <c r="CS41" s="344"/>
      <c r="CT41" s="344"/>
      <c r="CU41" s="344"/>
      <c r="CV41" s="344"/>
      <c r="CW41" s="344"/>
      <c r="CX41" s="344"/>
      <c r="CY41" s="344"/>
      <c r="CZ41" s="344"/>
      <c r="DA41" s="344"/>
      <c r="DB41" s="344"/>
      <c r="DC41" s="344"/>
      <c r="DD41" s="344"/>
      <c r="DE41" s="344"/>
      <c r="DF41" s="344"/>
      <c r="DG41" s="344"/>
      <c r="DH41" s="344"/>
      <c r="DI41" s="344"/>
      <c r="DJ41" s="344"/>
      <c r="DK41" s="344"/>
      <c r="DL41" s="344"/>
      <c r="DM41" s="344"/>
      <c r="DN41" s="344"/>
      <c r="DO41" s="344"/>
      <c r="DP41" s="344"/>
      <c r="DQ41" s="344"/>
      <c r="DR41" s="344"/>
      <c r="DS41" s="344"/>
      <c r="DT41" s="344"/>
      <c r="DU41" s="344"/>
      <c r="DV41" s="344"/>
      <c r="DW41" s="344"/>
      <c r="DX41" s="344"/>
      <c r="DY41" s="344"/>
      <c r="DZ41" s="344"/>
      <c r="EA41" s="344"/>
      <c r="EB41" s="344"/>
      <c r="EC41" s="344"/>
      <c r="ED41" s="344"/>
      <c r="EE41" s="344"/>
      <c r="EF41" s="344"/>
      <c r="EG41" s="344"/>
      <c r="EH41" s="344"/>
      <c r="EI41" s="344"/>
      <c r="EJ41" s="344"/>
      <c r="EK41" s="344"/>
      <c r="EL41" s="344"/>
      <c r="EM41" s="344"/>
      <c r="EN41" s="344"/>
      <c r="EO41" s="344"/>
      <c r="EP41" s="344"/>
      <c r="EQ41" s="344"/>
      <c r="ER41" s="344"/>
      <c r="ES41" s="344"/>
      <c r="ET41" s="344"/>
      <c r="EU41" s="344"/>
      <c r="EV41" s="344"/>
      <c r="EW41" s="344"/>
      <c r="EX41" s="344"/>
      <c r="EY41" s="344"/>
      <c r="EZ41" s="344"/>
      <c r="FA41" s="344"/>
      <c r="FB41" s="344"/>
      <c r="FC41" s="344"/>
      <c r="FD41" s="344"/>
      <c r="FE41" s="344"/>
      <c r="FF41" s="344"/>
      <c r="FG41" s="344"/>
      <c r="FH41" s="344"/>
      <c r="FI41" s="344"/>
      <c r="FJ41" s="344"/>
      <c r="FK41" s="344"/>
      <c r="FL41" s="344"/>
      <c r="FM41" s="344"/>
      <c r="FN41" s="344"/>
      <c r="FO41" s="344"/>
      <c r="FP41" s="344"/>
      <c r="FQ41" s="344"/>
      <c r="FR41" s="344"/>
      <c r="FS41" s="344"/>
      <c r="FT41" s="344"/>
      <c r="FU41" s="344"/>
      <c r="FV41" s="344"/>
      <c r="FW41" s="344"/>
      <c r="FX41" s="344"/>
      <c r="FY41" s="344"/>
      <c r="FZ41" s="344"/>
      <c r="GA41" s="344"/>
      <c r="GB41" s="344"/>
      <c r="GC41" s="344"/>
      <c r="GD41" s="344"/>
      <c r="GE41" s="344"/>
      <c r="GF41" s="344"/>
      <c r="GG41" s="344"/>
      <c r="GH41" s="344"/>
      <c r="GI41" s="344"/>
      <c r="GJ41" s="344"/>
      <c r="GK41" s="344"/>
      <c r="GL41" s="344"/>
      <c r="GM41" s="344"/>
      <c r="GN41" s="344"/>
      <c r="GO41" s="344"/>
      <c r="GP41" s="344"/>
      <c r="GQ41" s="344"/>
      <c r="GR41" s="344"/>
      <c r="GS41" s="344"/>
      <c r="GT41" s="344"/>
      <c r="GU41" s="344"/>
      <c r="GV41" s="344"/>
      <c r="GW41" s="344"/>
      <c r="GX41" s="344"/>
      <c r="GY41" s="344"/>
      <c r="GZ41" s="344"/>
      <c r="HA41" s="344"/>
      <c r="HB41" s="344"/>
      <c r="HC41" s="344"/>
      <c r="HD41" s="344"/>
      <c r="HE41" s="344"/>
      <c r="HF41" s="344"/>
      <c r="HG41" s="344"/>
      <c r="HH41" s="344"/>
      <c r="HI41" s="344"/>
      <c r="HJ41" s="344"/>
      <c r="HK41" s="344"/>
      <c r="HL41" s="344"/>
      <c r="HM41" s="344"/>
      <c r="HN41" s="344"/>
      <c r="HO41" s="344"/>
      <c r="HP41" s="344"/>
      <c r="HQ41" s="344"/>
      <c r="HR41" s="344"/>
      <c r="HS41" s="344"/>
      <c r="HT41" s="344"/>
      <c r="HU41" s="344"/>
      <c r="HV41" s="344"/>
      <c r="HW41" s="344"/>
      <c r="HX41" s="344"/>
      <c r="HY41" s="344"/>
      <c r="HZ41" s="344"/>
      <c r="IA41" s="344"/>
      <c r="IB41" s="344"/>
      <c r="IC41" s="344"/>
      <c r="ID41" s="344"/>
      <c r="IE41" s="344"/>
      <c r="IF41" s="344"/>
      <c r="IG41" s="344"/>
      <c r="IH41" s="344"/>
      <c r="II41" s="344"/>
      <c r="IJ41" s="357"/>
      <c r="IK41" s="357"/>
      <c r="IL41" s="344"/>
      <c r="IM41" s="344"/>
      <c r="IN41" s="344"/>
      <c r="IO41" s="344"/>
      <c r="IP41" s="344"/>
      <c r="IQ41" s="344"/>
      <c r="IR41" s="344"/>
      <c r="IS41" s="344"/>
      <c r="IT41" s="344"/>
      <c r="IU41" s="344"/>
      <c r="IV41" s="344"/>
      <c r="IW41" s="344"/>
      <c r="IX41" s="344"/>
      <c r="IY41" s="344"/>
      <c r="IZ41" s="344"/>
      <c r="JA41" s="357"/>
      <c r="JB41" s="344"/>
      <c r="JC41" s="344"/>
      <c r="JD41" s="102"/>
      <c r="JE41" s="102"/>
      <c r="JF41" s="102"/>
      <c r="JG41" s="102"/>
      <c r="JH41" s="102"/>
      <c r="JI41" s="102"/>
      <c r="JJ41" s="102"/>
      <c r="JK41" s="102"/>
      <c r="JL41" s="102"/>
      <c r="JM41" s="102"/>
      <c r="JN41" s="102"/>
      <c r="JO41" s="102"/>
      <c r="JP41" s="102"/>
      <c r="JQ41" s="102"/>
      <c r="JR41" s="102"/>
      <c r="JS41" s="102"/>
      <c r="JT41" s="102"/>
      <c r="JU41" s="102"/>
      <c r="JV41" s="102"/>
      <c r="JW41" s="102"/>
      <c r="JX41" s="102"/>
      <c r="JY41" s="102"/>
      <c r="JZ41" s="102"/>
      <c r="KA41" s="102"/>
      <c r="KB41" s="102"/>
      <c r="KC41" s="102"/>
      <c r="KD41" s="102"/>
      <c r="KE41" s="102"/>
      <c r="KF41" s="102"/>
      <c r="KG41" s="102"/>
      <c r="KH41" s="102"/>
      <c r="KI41" s="102"/>
    </row>
    <row r="42" spans="1:295" s="48" customFormat="1" ht="10.5" customHeight="1">
      <c r="A42" s="1898"/>
      <c r="B42" s="1898"/>
      <c r="C42" s="1898"/>
      <c r="D42" s="726" t="s">
        <v>855</v>
      </c>
      <c r="E42" s="727">
        <v>1</v>
      </c>
      <c r="F42" s="728">
        <f>'Part VI-Revenues &amp; Expenses'!$K$104</f>
        <v>0</v>
      </c>
      <c r="G42" s="729">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22" t="str">
        <f>CONCATENATE("x ", F42," units = ")</f>
        <v xml:space="preserve">x 0 units = </v>
      </c>
      <c r="I42" s="730">
        <f>F42*G42</f>
        <v>0</v>
      </c>
      <c r="J42" s="58"/>
      <c r="K42" s="728">
        <f>'Part VI-Revenues &amp; Expenses'!$K$105</f>
        <v>0</v>
      </c>
      <c r="L42" s="729">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22" t="str">
        <f>CONCATENATE("x ", K42," units = ")</f>
        <v xml:space="preserve">x 0 units = </v>
      </c>
      <c r="N42" s="730">
        <f>K42*L42</f>
        <v>0</v>
      </c>
      <c r="O42" s="1532"/>
      <c r="P42" s="1932" t="str">
        <f>IF('Part I-Project Information'!$F$38="","",VLOOKUP('Part I-Project Information'!$J$39,'DCA Underwriting Assumptions'!$G$155:$N$314,8,FALSE))</f>
        <v>Atlanta</v>
      </c>
      <c r="Q42" s="1933"/>
      <c r="R42" s="304"/>
      <c r="S42" s="1923" t="s">
        <v>1287</v>
      </c>
      <c r="T42" s="1923"/>
      <c r="U42" s="1923"/>
      <c r="V42" s="1923"/>
      <c r="W42" s="346"/>
      <c r="X42" s="349"/>
      <c r="Y42" s="346"/>
      <c r="Z42" s="358"/>
      <c r="AA42" s="359"/>
      <c r="AB42" s="359"/>
      <c r="AC42" s="359"/>
      <c r="AD42" s="359"/>
      <c r="AE42" s="359"/>
      <c r="AF42" s="359"/>
      <c r="AG42" s="523"/>
      <c r="AH42" s="344"/>
      <c r="AI42" s="344"/>
      <c r="AJ42" s="344"/>
      <c r="AK42" s="344"/>
      <c r="AL42" s="344"/>
      <c r="AM42" s="344"/>
      <c r="AN42" s="344"/>
      <c r="AO42" s="344"/>
      <c r="AP42" s="344"/>
      <c r="AQ42" s="344"/>
      <c r="AR42" s="344"/>
      <c r="AS42" s="344"/>
      <c r="AT42" s="344"/>
      <c r="AU42" s="344"/>
      <c r="AV42" s="344"/>
      <c r="AW42" s="344"/>
      <c r="AX42" s="344"/>
      <c r="AY42" s="344"/>
      <c r="AZ42" s="344"/>
      <c r="BA42" s="344"/>
      <c r="BB42" s="344"/>
      <c r="BC42" s="344"/>
      <c r="BD42" s="344"/>
      <c r="BE42" s="344"/>
      <c r="BF42" s="344"/>
      <c r="BG42" s="344"/>
      <c r="BH42" s="344"/>
      <c r="BI42" s="344"/>
      <c r="BJ42" s="344"/>
      <c r="BK42" s="344"/>
      <c r="BL42" s="344"/>
      <c r="BM42" s="344"/>
      <c r="BN42" s="344"/>
      <c r="BO42" s="344"/>
      <c r="BP42" s="344"/>
      <c r="BQ42" s="344"/>
      <c r="BR42" s="344"/>
      <c r="BS42" s="344"/>
      <c r="BT42" s="344"/>
      <c r="BU42" s="344"/>
      <c r="BV42" s="344"/>
      <c r="BW42" s="344"/>
      <c r="BX42" s="344"/>
      <c r="BY42" s="344"/>
      <c r="BZ42" s="344"/>
      <c r="CA42" s="344"/>
      <c r="CB42" s="344"/>
      <c r="CC42" s="344"/>
      <c r="CD42" s="344"/>
      <c r="CE42" s="344"/>
      <c r="CF42" s="344"/>
      <c r="CG42" s="344"/>
      <c r="CH42" s="344"/>
      <c r="CI42" s="344"/>
      <c r="CJ42" s="344"/>
      <c r="CK42" s="344"/>
      <c r="CL42" s="344"/>
      <c r="CM42" s="344"/>
      <c r="CN42" s="344"/>
      <c r="CO42" s="344"/>
      <c r="CP42" s="344"/>
      <c r="CQ42" s="344"/>
      <c r="CR42" s="344"/>
      <c r="CS42" s="344"/>
      <c r="CT42" s="344"/>
      <c r="CU42" s="344"/>
      <c r="CV42" s="344"/>
      <c r="CW42" s="344"/>
      <c r="CX42" s="344"/>
      <c r="CY42" s="344"/>
      <c r="CZ42" s="344"/>
      <c r="DA42" s="344"/>
      <c r="DB42" s="344"/>
      <c r="DC42" s="344"/>
      <c r="DD42" s="344"/>
      <c r="DE42" s="344"/>
      <c r="DF42" s="344"/>
      <c r="DG42" s="344"/>
      <c r="DH42" s="344"/>
      <c r="DI42" s="344"/>
      <c r="DJ42" s="344"/>
      <c r="DK42" s="344"/>
      <c r="DL42" s="344"/>
      <c r="DM42" s="344"/>
      <c r="DN42" s="344"/>
      <c r="DO42" s="344"/>
      <c r="DP42" s="344"/>
      <c r="DQ42" s="344"/>
      <c r="DR42" s="344"/>
      <c r="DS42" s="344"/>
      <c r="DT42" s="344"/>
      <c r="DU42" s="344"/>
      <c r="DV42" s="344"/>
      <c r="DW42" s="344"/>
      <c r="DX42" s="344"/>
      <c r="DY42" s="344"/>
      <c r="DZ42" s="344"/>
      <c r="EA42" s="344"/>
      <c r="EB42" s="344"/>
      <c r="EC42" s="344"/>
      <c r="ED42" s="344"/>
      <c r="EE42" s="344"/>
      <c r="EF42" s="344"/>
      <c r="EG42" s="344"/>
      <c r="EH42" s="344"/>
      <c r="EI42" s="344"/>
      <c r="EJ42" s="344"/>
      <c r="EK42" s="344"/>
      <c r="EL42" s="344"/>
      <c r="EM42" s="344"/>
      <c r="EN42" s="344"/>
      <c r="EO42" s="344"/>
      <c r="EP42" s="344"/>
      <c r="EQ42" s="344"/>
      <c r="ER42" s="344"/>
      <c r="ES42" s="344"/>
      <c r="ET42" s="344"/>
      <c r="EU42" s="344"/>
      <c r="EV42" s="344"/>
      <c r="EW42" s="344"/>
      <c r="EX42" s="344"/>
      <c r="EY42" s="344"/>
      <c r="EZ42" s="344"/>
      <c r="FA42" s="344"/>
      <c r="FB42" s="344"/>
      <c r="FC42" s="344"/>
      <c r="FD42" s="344"/>
      <c r="FE42" s="344"/>
      <c r="FF42" s="344"/>
      <c r="FG42" s="344"/>
      <c r="FH42" s="344"/>
      <c r="FI42" s="344"/>
      <c r="FJ42" s="344"/>
      <c r="FK42" s="344"/>
      <c r="FL42" s="344"/>
      <c r="FM42" s="344"/>
      <c r="FN42" s="344"/>
      <c r="FO42" s="344"/>
      <c r="FP42" s="344"/>
      <c r="FQ42" s="344"/>
      <c r="FR42" s="344"/>
      <c r="FS42" s="344"/>
      <c r="FT42" s="344"/>
      <c r="FU42" s="344"/>
      <c r="FV42" s="344"/>
      <c r="FW42" s="344"/>
      <c r="FX42" s="344"/>
      <c r="FY42" s="344"/>
      <c r="FZ42" s="344"/>
      <c r="GA42" s="344"/>
      <c r="GB42" s="344"/>
      <c r="GC42" s="344"/>
      <c r="GD42" s="344"/>
      <c r="GE42" s="344"/>
      <c r="GF42" s="344"/>
      <c r="GG42" s="344"/>
      <c r="GH42" s="344"/>
      <c r="GI42" s="344"/>
      <c r="GJ42" s="344"/>
      <c r="GK42" s="344"/>
      <c r="GL42" s="344"/>
      <c r="GM42" s="344"/>
      <c r="GN42" s="344"/>
      <c r="GO42" s="344"/>
      <c r="GP42" s="344"/>
      <c r="GQ42" s="344"/>
      <c r="GR42" s="344"/>
      <c r="GS42" s="344"/>
      <c r="GT42" s="344"/>
      <c r="GU42" s="344"/>
      <c r="GV42" s="344"/>
      <c r="GW42" s="344"/>
      <c r="GX42" s="344"/>
      <c r="GY42" s="344"/>
      <c r="GZ42" s="344"/>
      <c r="HA42" s="344"/>
      <c r="HB42" s="344"/>
      <c r="HC42" s="344"/>
      <c r="HD42" s="344"/>
      <c r="HE42" s="344"/>
      <c r="HF42" s="344"/>
      <c r="HG42" s="344"/>
      <c r="HH42" s="344"/>
      <c r="HI42" s="344"/>
      <c r="HJ42" s="344"/>
      <c r="HK42" s="344"/>
      <c r="HL42" s="344"/>
      <c r="HM42" s="344"/>
      <c r="HN42" s="344"/>
      <c r="HO42" s="344"/>
      <c r="HP42" s="344"/>
      <c r="HQ42" s="344"/>
      <c r="HR42" s="344"/>
      <c r="HS42" s="344"/>
      <c r="HT42" s="344"/>
      <c r="HU42" s="344"/>
      <c r="HV42" s="344"/>
      <c r="HW42" s="344"/>
      <c r="HX42" s="344"/>
      <c r="HY42" s="344"/>
      <c r="HZ42" s="344"/>
      <c r="IA42" s="344"/>
      <c r="IB42" s="344"/>
      <c r="IC42" s="344"/>
      <c r="ID42" s="344"/>
      <c r="IE42" s="344"/>
      <c r="IF42" s="344"/>
      <c r="IG42" s="344"/>
      <c r="IH42" s="344"/>
      <c r="II42" s="344"/>
      <c r="IJ42" s="357"/>
      <c r="IK42" s="357"/>
      <c r="IL42" s="344"/>
      <c r="IM42" s="344"/>
      <c r="IN42" s="344"/>
      <c r="IO42" s="344"/>
      <c r="IP42" s="344"/>
      <c r="IQ42" s="344"/>
      <c r="IR42" s="344"/>
      <c r="IS42" s="344"/>
      <c r="IT42" s="344"/>
      <c r="IU42" s="344"/>
      <c r="IV42" s="344"/>
      <c r="IW42" s="344"/>
      <c r="IX42" s="344"/>
      <c r="IY42" s="344"/>
      <c r="IZ42" s="344"/>
      <c r="JA42" s="357"/>
      <c r="JB42" s="344"/>
      <c r="JC42" s="344"/>
      <c r="JD42" s="102"/>
      <c r="JE42" s="102"/>
      <c r="JF42" s="102"/>
      <c r="JG42" s="102"/>
      <c r="JH42" s="102"/>
      <c r="JI42" s="102"/>
      <c r="JJ42" s="102"/>
      <c r="JK42" s="102"/>
      <c r="JL42" s="102"/>
      <c r="JM42" s="102"/>
      <c r="JN42" s="102"/>
      <c r="JO42" s="102"/>
      <c r="JP42" s="102"/>
      <c r="JQ42" s="102"/>
      <c r="JR42" s="102"/>
      <c r="JS42" s="102"/>
      <c r="JT42" s="102"/>
      <c r="JU42" s="102"/>
      <c r="JV42" s="102"/>
      <c r="JW42" s="102"/>
      <c r="JX42" s="102"/>
      <c r="JY42" s="102"/>
      <c r="JZ42" s="102"/>
      <c r="KA42" s="102"/>
      <c r="KB42" s="102"/>
      <c r="KC42" s="102"/>
      <c r="KD42" s="102"/>
      <c r="KE42" s="102"/>
      <c r="KF42" s="102"/>
      <c r="KG42" s="102"/>
      <c r="KH42" s="102"/>
      <c r="KI42" s="102"/>
    </row>
    <row r="43" spans="1:295" s="48" customFormat="1" ht="10.5" customHeight="1">
      <c r="A43" s="1898"/>
      <c r="B43" s="1898"/>
      <c r="C43" s="1898"/>
      <c r="D43" s="726" t="s">
        <v>856</v>
      </c>
      <c r="E43" s="727">
        <v>2</v>
      </c>
      <c r="F43" s="728">
        <f>'Part VI-Revenues &amp; Expenses'!$L$104</f>
        <v>0</v>
      </c>
      <c r="G43" s="729">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22" t="str">
        <f>CONCATENATE("x ", F43," units = ")</f>
        <v xml:space="preserve">x 0 units = </v>
      </c>
      <c r="I43" s="730">
        <f>F43*G43</f>
        <v>0</v>
      </c>
      <c r="J43" s="58"/>
      <c r="K43" s="728">
        <f>'Part VI-Revenues &amp; Expenses'!$L$105</f>
        <v>0</v>
      </c>
      <c r="L43" s="729">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22" t="str">
        <f>CONCATENATE("x ", K43," units = ")</f>
        <v xml:space="preserve">x 0 units = </v>
      </c>
      <c r="N43" s="730">
        <f>K43*L43</f>
        <v>0</v>
      </c>
      <c r="O43" s="1532"/>
      <c r="P43" s="1934"/>
      <c r="Q43" s="1935"/>
      <c r="S43" s="1923"/>
      <c r="T43" s="1923"/>
      <c r="U43" s="1923"/>
      <c r="V43" s="1923"/>
      <c r="W43" s="346"/>
      <c r="X43" s="349"/>
      <c r="Y43" s="346"/>
      <c r="Z43" s="358"/>
      <c r="AA43" s="359"/>
      <c r="AB43" s="359"/>
      <c r="AC43" s="359"/>
      <c r="AD43" s="359"/>
      <c r="AE43" s="359"/>
      <c r="AF43" s="359"/>
      <c r="AG43" s="523"/>
      <c r="AH43" s="344"/>
      <c r="AI43" s="344"/>
      <c r="AJ43" s="344"/>
      <c r="AK43" s="344"/>
      <c r="AL43" s="344"/>
      <c r="AM43" s="344"/>
      <c r="AN43" s="344"/>
      <c r="AO43" s="344"/>
      <c r="AP43" s="344"/>
      <c r="AQ43" s="344"/>
      <c r="AR43" s="344"/>
      <c r="AS43" s="344"/>
      <c r="AT43" s="344"/>
      <c r="AU43" s="344"/>
      <c r="AV43" s="344"/>
      <c r="AW43" s="344"/>
      <c r="AX43" s="344"/>
      <c r="AY43" s="344"/>
      <c r="AZ43" s="344"/>
      <c r="BA43" s="344"/>
      <c r="BB43" s="344"/>
      <c r="BC43" s="344"/>
      <c r="BD43" s="344"/>
      <c r="BE43" s="344"/>
      <c r="BF43" s="344"/>
      <c r="BG43" s="344"/>
      <c r="BH43" s="344"/>
      <c r="BI43" s="344"/>
      <c r="BJ43" s="344"/>
      <c r="BK43" s="344"/>
      <c r="BL43" s="344"/>
      <c r="BM43" s="344"/>
      <c r="BN43" s="344"/>
      <c r="BO43" s="344"/>
      <c r="BP43" s="344"/>
      <c r="BQ43" s="344"/>
      <c r="BR43" s="344"/>
      <c r="BS43" s="344"/>
      <c r="BT43" s="344"/>
      <c r="BU43" s="344"/>
      <c r="BV43" s="344"/>
      <c r="BW43" s="344"/>
      <c r="BX43" s="344"/>
      <c r="BY43" s="344"/>
      <c r="BZ43" s="344"/>
      <c r="CA43" s="344"/>
      <c r="CB43" s="344"/>
      <c r="CC43" s="344"/>
      <c r="CD43" s="344"/>
      <c r="CE43" s="344"/>
      <c r="CF43" s="344"/>
      <c r="CG43" s="344"/>
      <c r="CH43" s="344"/>
      <c r="CI43" s="344"/>
      <c r="CJ43" s="344"/>
      <c r="CK43" s="344"/>
      <c r="CL43" s="344"/>
      <c r="CM43" s="344"/>
      <c r="CN43" s="344"/>
      <c r="CO43" s="344"/>
      <c r="CP43" s="344"/>
      <c r="CQ43" s="344"/>
      <c r="CR43" s="344"/>
      <c r="CS43" s="344"/>
      <c r="CT43" s="344"/>
      <c r="CU43" s="344"/>
      <c r="CV43" s="344"/>
      <c r="CW43" s="344"/>
      <c r="CX43" s="344"/>
      <c r="CY43" s="344"/>
      <c r="CZ43" s="344"/>
      <c r="DA43" s="344"/>
      <c r="DB43" s="344"/>
      <c r="DC43" s="344"/>
      <c r="DD43" s="344"/>
      <c r="DE43" s="344"/>
      <c r="DF43" s="344"/>
      <c r="DG43" s="344"/>
      <c r="DH43" s="344"/>
      <c r="DI43" s="344"/>
      <c r="DJ43" s="344"/>
      <c r="DK43" s="344"/>
      <c r="DL43" s="344"/>
      <c r="DM43" s="344"/>
      <c r="DN43" s="344"/>
      <c r="DO43" s="344"/>
      <c r="DP43" s="344"/>
      <c r="DQ43" s="344"/>
      <c r="DR43" s="344"/>
      <c r="DS43" s="344"/>
      <c r="DT43" s="344"/>
      <c r="DU43" s="344"/>
      <c r="DV43" s="344"/>
      <c r="DW43" s="344"/>
      <c r="DX43" s="344"/>
      <c r="DY43" s="344"/>
      <c r="DZ43" s="344"/>
      <c r="EA43" s="344"/>
      <c r="EB43" s="344"/>
      <c r="EC43" s="344"/>
      <c r="ED43" s="344"/>
      <c r="EE43" s="344"/>
      <c r="EF43" s="344"/>
      <c r="EG43" s="344"/>
      <c r="EH43" s="344"/>
      <c r="EI43" s="344"/>
      <c r="EJ43" s="344"/>
      <c r="EK43" s="344"/>
      <c r="EL43" s="344"/>
      <c r="EM43" s="344"/>
      <c r="EN43" s="344"/>
      <c r="EO43" s="344"/>
      <c r="EP43" s="344"/>
      <c r="EQ43" s="344"/>
      <c r="ER43" s="344"/>
      <c r="ES43" s="344"/>
      <c r="ET43" s="344"/>
      <c r="EU43" s="344"/>
      <c r="EV43" s="344"/>
      <c r="EW43" s="344"/>
      <c r="EX43" s="344"/>
      <c r="EY43" s="344"/>
      <c r="EZ43" s="344"/>
      <c r="FA43" s="344"/>
      <c r="FB43" s="344"/>
      <c r="FC43" s="344"/>
      <c r="FD43" s="344"/>
      <c r="FE43" s="344"/>
      <c r="FF43" s="344"/>
      <c r="FG43" s="344"/>
      <c r="FH43" s="344"/>
      <c r="FI43" s="344"/>
      <c r="FJ43" s="344"/>
      <c r="FK43" s="344"/>
      <c r="FL43" s="344"/>
      <c r="FM43" s="344"/>
      <c r="FN43" s="344"/>
      <c r="FO43" s="344"/>
      <c r="FP43" s="344"/>
      <c r="FQ43" s="344"/>
      <c r="FR43" s="344"/>
      <c r="FS43" s="344"/>
      <c r="FT43" s="344"/>
      <c r="FU43" s="344"/>
      <c r="FV43" s="344"/>
      <c r="FW43" s="344"/>
      <c r="FX43" s="344"/>
      <c r="FY43" s="344"/>
      <c r="FZ43" s="344"/>
      <c r="GA43" s="344"/>
      <c r="GB43" s="344"/>
      <c r="GC43" s="344"/>
      <c r="GD43" s="344"/>
      <c r="GE43" s="344"/>
      <c r="GF43" s="344"/>
      <c r="GG43" s="344"/>
      <c r="GH43" s="344"/>
      <c r="GI43" s="344"/>
      <c r="GJ43" s="344"/>
      <c r="GK43" s="344"/>
      <c r="GL43" s="344"/>
      <c r="GM43" s="344"/>
      <c r="GN43" s="344"/>
      <c r="GO43" s="344"/>
      <c r="GP43" s="344"/>
      <c r="GQ43" s="344"/>
      <c r="GR43" s="344"/>
      <c r="GS43" s="344"/>
      <c r="GT43" s="344"/>
      <c r="GU43" s="344"/>
      <c r="GV43" s="344"/>
      <c r="GW43" s="344"/>
      <c r="GX43" s="344"/>
      <c r="GY43" s="344"/>
      <c r="GZ43" s="344"/>
      <c r="HA43" s="344"/>
      <c r="HB43" s="344"/>
      <c r="HC43" s="344"/>
      <c r="HD43" s="344"/>
      <c r="HE43" s="344"/>
      <c r="HF43" s="344"/>
      <c r="HG43" s="344"/>
      <c r="HH43" s="344"/>
      <c r="HI43" s="344"/>
      <c r="HJ43" s="344"/>
      <c r="HK43" s="344"/>
      <c r="HL43" s="344"/>
      <c r="HM43" s="344"/>
      <c r="HN43" s="344"/>
      <c r="HO43" s="344"/>
      <c r="HP43" s="344"/>
      <c r="HQ43" s="344"/>
      <c r="HR43" s="344"/>
      <c r="HS43" s="344"/>
      <c r="HT43" s="344"/>
      <c r="HU43" s="344"/>
      <c r="HV43" s="344"/>
      <c r="HW43" s="344"/>
      <c r="HX43" s="344"/>
      <c r="HY43" s="344"/>
      <c r="HZ43" s="344"/>
      <c r="IA43" s="344"/>
      <c r="IB43" s="344"/>
      <c r="IC43" s="344"/>
      <c r="ID43" s="344"/>
      <c r="IE43" s="344"/>
      <c r="IF43" s="344"/>
      <c r="IG43" s="344"/>
      <c r="IH43" s="344"/>
      <c r="II43" s="344"/>
      <c r="IJ43" s="357"/>
      <c r="IK43" s="357"/>
      <c r="IL43" s="344"/>
      <c r="IM43" s="344"/>
      <c r="IN43" s="344"/>
      <c r="IO43" s="344"/>
      <c r="IP43" s="344"/>
      <c r="IQ43" s="344"/>
      <c r="IR43" s="344"/>
      <c r="IS43" s="344"/>
      <c r="IT43" s="344"/>
      <c r="IU43" s="344"/>
      <c r="IV43" s="344"/>
      <c r="IW43" s="344"/>
      <c r="IX43" s="344"/>
      <c r="IY43" s="344"/>
      <c r="IZ43" s="344"/>
      <c r="JA43" s="357"/>
      <c r="JB43" s="344"/>
      <c r="JC43" s="344"/>
      <c r="JD43" s="102"/>
      <c r="JE43" s="102"/>
      <c r="JF43" s="102"/>
      <c r="JG43" s="102"/>
      <c r="JH43" s="102"/>
      <c r="JI43" s="102"/>
      <c r="JJ43" s="102"/>
      <c r="JK43" s="102"/>
      <c r="JL43" s="102"/>
      <c r="JM43" s="102"/>
      <c r="JN43" s="102"/>
      <c r="JO43" s="102"/>
      <c r="JP43" s="102"/>
      <c r="JQ43" s="102"/>
      <c r="JR43" s="102"/>
      <c r="JS43" s="102"/>
      <c r="JT43" s="102"/>
      <c r="JU43" s="102"/>
      <c r="JV43" s="102"/>
      <c r="JW43" s="102"/>
      <c r="JX43" s="102"/>
      <c r="JY43" s="102"/>
      <c r="JZ43" s="102"/>
      <c r="KA43" s="102"/>
      <c r="KB43" s="102"/>
      <c r="KC43" s="102"/>
      <c r="KD43" s="102"/>
      <c r="KE43" s="102"/>
      <c r="KF43" s="102"/>
      <c r="KG43" s="102"/>
      <c r="KH43" s="102"/>
      <c r="KI43" s="102"/>
    </row>
    <row r="44" spans="1:295" s="48" customFormat="1" ht="10.5" customHeight="1">
      <c r="A44" s="1898"/>
      <c r="B44" s="1898"/>
      <c r="C44" s="1898"/>
      <c r="D44" s="726" t="s">
        <v>857</v>
      </c>
      <c r="E44" s="727">
        <v>3</v>
      </c>
      <c r="F44" s="728">
        <f>'Part VI-Revenues &amp; Expenses'!$M$104</f>
        <v>0</v>
      </c>
      <c r="G44" s="729">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22" t="str">
        <f>CONCATENATE("x ", F44," units = ")</f>
        <v xml:space="preserve">x 0 units = </v>
      </c>
      <c r="I44" s="730">
        <f>F44*G44</f>
        <v>0</v>
      </c>
      <c r="J44" s="58"/>
      <c r="K44" s="728">
        <f>'Part VI-Revenues &amp; Expenses'!$M$105</f>
        <v>0</v>
      </c>
      <c r="L44" s="729">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22" t="str">
        <f>CONCATENATE("x ", K44," units = ")</f>
        <v xml:space="preserve">x 0 units = </v>
      </c>
      <c r="N44" s="730">
        <f>K44*L44</f>
        <v>0</v>
      </c>
      <c r="O44" s="1532"/>
      <c r="P44" s="1858" t="s">
        <v>1288</v>
      </c>
      <c r="Q44" s="1858"/>
      <c r="S44" s="1923"/>
      <c r="T44" s="1923"/>
      <c r="U44" s="1923"/>
      <c r="V44" s="1923"/>
      <c r="W44" s="346"/>
      <c r="X44" s="349"/>
      <c r="Y44" s="346"/>
      <c r="Z44" s="358"/>
      <c r="AA44" s="359"/>
      <c r="AB44" s="359"/>
      <c r="AC44" s="359"/>
      <c r="AD44" s="359"/>
      <c r="AE44" s="359"/>
      <c r="AF44" s="359"/>
      <c r="AG44" s="523"/>
      <c r="AH44" s="344"/>
      <c r="AI44" s="344"/>
      <c r="AJ44" s="344"/>
      <c r="AK44" s="344"/>
      <c r="AL44" s="344"/>
      <c r="AM44" s="344"/>
      <c r="AN44" s="344"/>
      <c r="AO44" s="344"/>
      <c r="AP44" s="344"/>
      <c r="AQ44" s="344"/>
      <c r="AR44" s="344"/>
      <c r="AS44" s="344"/>
      <c r="AT44" s="344"/>
      <c r="AU44" s="344"/>
      <c r="AV44" s="344"/>
      <c r="AW44" s="344"/>
      <c r="AX44" s="344"/>
      <c r="AY44" s="344"/>
      <c r="AZ44" s="344"/>
      <c r="BA44" s="344"/>
      <c r="BB44" s="344"/>
      <c r="BC44" s="344"/>
      <c r="BD44" s="344"/>
      <c r="BE44" s="344"/>
      <c r="BF44" s="344"/>
      <c r="BG44" s="344"/>
      <c r="BH44" s="344"/>
      <c r="BI44" s="344"/>
      <c r="BJ44" s="344"/>
      <c r="BK44" s="344"/>
      <c r="BL44" s="344"/>
      <c r="BM44" s="344"/>
      <c r="BN44" s="344"/>
      <c r="BO44" s="344"/>
      <c r="BP44" s="344"/>
      <c r="BQ44" s="344"/>
      <c r="BR44" s="344"/>
      <c r="BS44" s="344"/>
      <c r="BT44" s="344"/>
      <c r="BU44" s="344"/>
      <c r="BV44" s="344"/>
      <c r="BW44" s="344"/>
      <c r="BX44" s="344"/>
      <c r="BY44" s="344"/>
      <c r="BZ44" s="344"/>
      <c r="CA44" s="344"/>
      <c r="CB44" s="344"/>
      <c r="CC44" s="344"/>
      <c r="CD44" s="344"/>
      <c r="CE44" s="344"/>
      <c r="CF44" s="344"/>
      <c r="CG44" s="344"/>
      <c r="CH44" s="344"/>
      <c r="CI44" s="344"/>
      <c r="CJ44" s="344"/>
      <c r="CK44" s="344"/>
      <c r="CL44" s="344"/>
      <c r="CM44" s="344"/>
      <c r="CN44" s="344"/>
      <c r="CO44" s="344"/>
      <c r="CP44" s="344"/>
      <c r="CQ44" s="344"/>
      <c r="CR44" s="344"/>
      <c r="CS44" s="344"/>
      <c r="CT44" s="344"/>
      <c r="CU44" s="344"/>
      <c r="CV44" s="344"/>
      <c r="CW44" s="344"/>
      <c r="CX44" s="344"/>
      <c r="CY44" s="344"/>
      <c r="CZ44" s="344"/>
      <c r="DA44" s="344"/>
      <c r="DB44" s="344"/>
      <c r="DC44" s="344"/>
      <c r="DD44" s="344"/>
      <c r="DE44" s="344"/>
      <c r="DF44" s="344"/>
      <c r="DG44" s="344"/>
      <c r="DH44" s="344"/>
      <c r="DI44" s="344"/>
      <c r="DJ44" s="344"/>
      <c r="DK44" s="344"/>
      <c r="DL44" s="344"/>
      <c r="DM44" s="344"/>
      <c r="DN44" s="344"/>
      <c r="DO44" s="344"/>
      <c r="DP44" s="344"/>
      <c r="DQ44" s="344"/>
      <c r="DR44" s="344"/>
      <c r="DS44" s="344"/>
      <c r="DT44" s="344"/>
      <c r="DU44" s="344"/>
      <c r="DV44" s="344"/>
      <c r="DW44" s="344"/>
      <c r="DX44" s="344"/>
      <c r="DY44" s="344"/>
      <c r="DZ44" s="344"/>
      <c r="EA44" s="344"/>
      <c r="EB44" s="344"/>
      <c r="EC44" s="344"/>
      <c r="ED44" s="344"/>
      <c r="EE44" s="344"/>
      <c r="EF44" s="344"/>
      <c r="EG44" s="344"/>
      <c r="EH44" s="344"/>
      <c r="EI44" s="344"/>
      <c r="EJ44" s="344"/>
      <c r="EK44" s="344"/>
      <c r="EL44" s="344"/>
      <c r="EM44" s="344"/>
      <c r="EN44" s="344"/>
      <c r="EO44" s="344"/>
      <c r="EP44" s="344"/>
      <c r="EQ44" s="344"/>
      <c r="ER44" s="344"/>
      <c r="ES44" s="344"/>
      <c r="ET44" s="344"/>
      <c r="EU44" s="344"/>
      <c r="EV44" s="344"/>
      <c r="EW44" s="344"/>
      <c r="EX44" s="344"/>
      <c r="EY44" s="344"/>
      <c r="EZ44" s="344"/>
      <c r="FA44" s="344"/>
      <c r="FB44" s="344"/>
      <c r="FC44" s="344"/>
      <c r="FD44" s="344"/>
      <c r="FE44" s="344"/>
      <c r="FF44" s="344"/>
      <c r="FG44" s="344"/>
      <c r="FH44" s="344"/>
      <c r="FI44" s="344"/>
      <c r="FJ44" s="344"/>
      <c r="FK44" s="344"/>
      <c r="FL44" s="344"/>
      <c r="FM44" s="344"/>
      <c r="FN44" s="344"/>
      <c r="FO44" s="344"/>
      <c r="FP44" s="344"/>
      <c r="FQ44" s="344"/>
      <c r="FR44" s="344"/>
      <c r="FS44" s="344"/>
      <c r="FT44" s="344"/>
      <c r="FU44" s="344"/>
      <c r="FV44" s="344"/>
      <c r="FW44" s="344"/>
      <c r="FX44" s="344"/>
      <c r="FY44" s="344"/>
      <c r="FZ44" s="344"/>
      <c r="GA44" s="344"/>
      <c r="GB44" s="344"/>
      <c r="GC44" s="344"/>
      <c r="GD44" s="344"/>
      <c r="GE44" s="344"/>
      <c r="GF44" s="344"/>
      <c r="GG44" s="344"/>
      <c r="GH44" s="344"/>
      <c r="GI44" s="344"/>
      <c r="GJ44" s="344"/>
      <c r="GK44" s="344"/>
      <c r="GL44" s="344"/>
      <c r="GM44" s="344"/>
      <c r="GN44" s="344"/>
      <c r="GO44" s="344"/>
      <c r="GP44" s="344"/>
      <c r="GQ44" s="344"/>
      <c r="GR44" s="344"/>
      <c r="GS44" s="344"/>
      <c r="GT44" s="344"/>
      <c r="GU44" s="344"/>
      <c r="GV44" s="344"/>
      <c r="GW44" s="344"/>
      <c r="GX44" s="344"/>
      <c r="GY44" s="344"/>
      <c r="GZ44" s="344"/>
      <c r="HA44" s="344"/>
      <c r="HB44" s="344"/>
      <c r="HC44" s="344"/>
      <c r="HD44" s="344"/>
      <c r="HE44" s="344"/>
      <c r="HF44" s="344"/>
      <c r="HG44" s="344"/>
      <c r="HH44" s="344"/>
      <c r="HI44" s="344"/>
      <c r="HJ44" s="344"/>
      <c r="HK44" s="344"/>
      <c r="HL44" s="344"/>
      <c r="HM44" s="344"/>
      <c r="HN44" s="344"/>
      <c r="HO44" s="344"/>
      <c r="HP44" s="344"/>
      <c r="HQ44" s="344"/>
      <c r="HR44" s="344"/>
      <c r="HS44" s="344"/>
      <c r="HT44" s="344"/>
      <c r="HU44" s="344"/>
      <c r="HV44" s="344"/>
      <c r="HW44" s="344"/>
      <c r="HX44" s="344"/>
      <c r="HY44" s="344"/>
      <c r="HZ44" s="344"/>
      <c r="IA44" s="344"/>
      <c r="IB44" s="344"/>
      <c r="IC44" s="344"/>
      <c r="ID44" s="344"/>
      <c r="IE44" s="344"/>
      <c r="IF44" s="344"/>
      <c r="IG44" s="344"/>
      <c r="IH44" s="344"/>
      <c r="II44" s="344"/>
      <c r="IJ44" s="357"/>
      <c r="IK44" s="357"/>
      <c r="IL44" s="344"/>
      <c r="IM44" s="344"/>
      <c r="IN44" s="344"/>
      <c r="IO44" s="344"/>
      <c r="IP44" s="344"/>
      <c r="IQ44" s="344"/>
      <c r="IR44" s="344"/>
      <c r="IS44" s="344"/>
      <c r="IT44" s="344"/>
      <c r="IU44" s="344"/>
      <c r="IV44" s="344"/>
      <c r="IW44" s="344"/>
      <c r="IX44" s="344"/>
      <c r="IY44" s="344"/>
      <c r="IZ44" s="344"/>
      <c r="JA44" s="357"/>
      <c r="JB44" s="344"/>
      <c r="JC44" s="344"/>
      <c r="JD44" s="102"/>
      <c r="JE44" s="102"/>
      <c r="JF44" s="102"/>
      <c r="JG44" s="102"/>
      <c r="JH44" s="102"/>
      <c r="JI44" s="102"/>
      <c r="JJ44" s="102"/>
      <c r="JK44" s="102"/>
      <c r="JL44" s="102"/>
      <c r="JM44" s="102"/>
      <c r="JN44" s="102"/>
      <c r="JO44" s="102"/>
      <c r="JP44" s="102"/>
      <c r="JQ44" s="102"/>
      <c r="JR44" s="102"/>
      <c r="JS44" s="102"/>
      <c r="JT44" s="102"/>
      <c r="JU44" s="102"/>
      <c r="JV44" s="102"/>
      <c r="JW44" s="102"/>
      <c r="JX44" s="102"/>
      <c r="JY44" s="102"/>
      <c r="JZ44" s="102"/>
      <c r="KA44" s="102"/>
      <c r="KB44" s="102"/>
      <c r="KC44" s="102"/>
      <c r="KD44" s="102"/>
      <c r="KE44" s="102"/>
      <c r="KF44" s="102"/>
      <c r="KG44" s="102"/>
      <c r="KH44" s="102"/>
      <c r="KI44" s="102"/>
    </row>
    <row r="45" spans="1:295" s="48" customFormat="1" ht="10.5" customHeight="1">
      <c r="A45" s="102"/>
      <c r="B45" s="102"/>
      <c r="C45" s="58"/>
      <c r="D45" s="731" t="s">
        <v>858</v>
      </c>
      <c r="E45" s="727">
        <v>4</v>
      </c>
      <c r="F45" s="728">
        <f>'Part VI-Revenues &amp; Expenses'!$N$104</f>
        <v>0</v>
      </c>
      <c r="G45" s="729">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22" t="str">
        <f>CONCATENATE("x ", F45," units = ")</f>
        <v xml:space="preserve">x 0 units = </v>
      </c>
      <c r="I45" s="730">
        <f>F45*G45</f>
        <v>0</v>
      </c>
      <c r="J45" s="58"/>
      <c r="K45" s="728">
        <f>'Part VI-Revenues &amp; Expenses'!$N$105</f>
        <v>0</v>
      </c>
      <c r="L45" s="729">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22" t="str">
        <f>CONCATENATE("x ", K45," units = ")</f>
        <v xml:space="preserve">x 0 units = </v>
      </c>
      <c r="N45" s="730">
        <f>K45*L45</f>
        <v>0</v>
      </c>
      <c r="O45" s="1532"/>
      <c r="P45" s="1899">
        <f>'Part IV-A-Uses of Funds'!$G$132</f>
        <v>13885091</v>
      </c>
      <c r="Q45" s="1900"/>
      <c r="S45" s="1923"/>
      <c r="T45" s="1923"/>
      <c r="U45" s="1923"/>
      <c r="V45" s="1923"/>
      <c r="AA45" s="359"/>
      <c r="AB45" s="359"/>
      <c r="AC45" s="359"/>
      <c r="AD45" s="359"/>
      <c r="AE45" s="359"/>
      <c r="AF45" s="359"/>
      <c r="AG45" s="523"/>
      <c r="AH45" s="344"/>
      <c r="AI45" s="344"/>
      <c r="AJ45" s="344"/>
      <c r="AK45" s="344"/>
      <c r="AL45" s="344"/>
      <c r="AM45" s="344"/>
      <c r="AN45" s="344"/>
      <c r="AO45" s="344"/>
      <c r="AP45" s="344"/>
      <c r="AQ45" s="344"/>
      <c r="AR45" s="344"/>
      <c r="AS45" s="344"/>
      <c r="AT45" s="344"/>
      <c r="AU45" s="344"/>
      <c r="AV45" s="344"/>
      <c r="AW45" s="344"/>
      <c r="AX45" s="344"/>
      <c r="AY45" s="344"/>
      <c r="AZ45" s="344"/>
      <c r="BA45" s="344"/>
      <c r="BB45" s="344"/>
      <c r="BC45" s="344"/>
      <c r="BD45" s="344"/>
      <c r="BE45" s="344"/>
      <c r="BF45" s="344"/>
      <c r="BG45" s="344"/>
      <c r="BH45" s="344"/>
      <c r="BI45" s="344"/>
      <c r="BJ45" s="344"/>
      <c r="BK45" s="344"/>
      <c r="BL45" s="344"/>
      <c r="BM45" s="344"/>
      <c r="BN45" s="344"/>
      <c r="BO45" s="344"/>
      <c r="BP45" s="344"/>
      <c r="BQ45" s="344"/>
      <c r="BR45" s="344"/>
      <c r="BS45" s="344"/>
      <c r="BT45" s="344"/>
      <c r="BU45" s="344"/>
      <c r="BV45" s="344"/>
      <c r="BW45" s="344"/>
      <c r="BX45" s="344"/>
      <c r="BY45" s="344"/>
      <c r="BZ45" s="344"/>
      <c r="CA45" s="344"/>
      <c r="CB45" s="344"/>
      <c r="CC45" s="344"/>
      <c r="CD45" s="344"/>
      <c r="CE45" s="344"/>
      <c r="CF45" s="344"/>
      <c r="CG45" s="344"/>
      <c r="CH45" s="344"/>
      <c r="CI45" s="344"/>
      <c r="CJ45" s="344"/>
      <c r="CK45" s="344"/>
      <c r="CL45" s="344"/>
      <c r="CM45" s="344"/>
      <c r="CN45" s="344"/>
      <c r="CO45" s="344"/>
      <c r="CP45" s="344"/>
      <c r="CQ45" s="344"/>
      <c r="CR45" s="344"/>
      <c r="CS45" s="344"/>
      <c r="CT45" s="344"/>
      <c r="CU45" s="344"/>
      <c r="CV45" s="344"/>
      <c r="CW45" s="344"/>
      <c r="CX45" s="344"/>
      <c r="CY45" s="344"/>
      <c r="CZ45" s="344"/>
      <c r="DA45" s="344"/>
      <c r="DB45" s="344"/>
      <c r="DC45" s="344"/>
      <c r="DD45" s="344"/>
      <c r="DE45" s="344"/>
      <c r="DF45" s="344"/>
      <c r="DG45" s="344"/>
      <c r="DH45" s="344"/>
      <c r="DI45" s="344"/>
      <c r="DJ45" s="344"/>
      <c r="DK45" s="344"/>
      <c r="DL45" s="344"/>
      <c r="DM45" s="344"/>
      <c r="DN45" s="344"/>
      <c r="DO45" s="344"/>
      <c r="DP45" s="344"/>
      <c r="DQ45" s="344"/>
      <c r="DR45" s="344"/>
      <c r="DS45" s="344"/>
      <c r="DT45" s="344"/>
      <c r="DU45" s="344"/>
      <c r="DV45" s="344"/>
      <c r="DW45" s="344"/>
      <c r="DX45" s="344"/>
      <c r="DY45" s="344"/>
      <c r="DZ45" s="344"/>
      <c r="EA45" s="344"/>
      <c r="EB45" s="344"/>
      <c r="EC45" s="344"/>
      <c r="ED45" s="344"/>
      <c r="EE45" s="344"/>
      <c r="EF45" s="344"/>
      <c r="EG45" s="344"/>
      <c r="EH45" s="344"/>
      <c r="EI45" s="344"/>
      <c r="EJ45" s="344"/>
      <c r="EK45" s="344"/>
      <c r="EL45" s="344"/>
      <c r="EM45" s="344"/>
      <c r="EN45" s="344"/>
      <c r="EO45" s="344"/>
      <c r="EP45" s="344"/>
      <c r="EQ45" s="344"/>
      <c r="ER45" s="344"/>
      <c r="ES45" s="344"/>
      <c r="ET45" s="344"/>
      <c r="EU45" s="344"/>
      <c r="EV45" s="344"/>
      <c r="EW45" s="344"/>
      <c r="EX45" s="344"/>
      <c r="EY45" s="344"/>
      <c r="EZ45" s="344"/>
      <c r="FA45" s="344"/>
      <c r="FB45" s="344"/>
      <c r="FC45" s="344"/>
      <c r="FD45" s="344"/>
      <c r="FE45" s="344"/>
      <c r="FF45" s="344"/>
      <c r="FG45" s="344"/>
      <c r="FH45" s="344"/>
      <c r="FI45" s="344"/>
      <c r="FJ45" s="344"/>
      <c r="FK45" s="344"/>
      <c r="FL45" s="344"/>
      <c r="FM45" s="344"/>
      <c r="FN45" s="344"/>
      <c r="FO45" s="344"/>
      <c r="FP45" s="344"/>
      <c r="FQ45" s="344"/>
      <c r="FR45" s="344"/>
      <c r="FS45" s="344"/>
      <c r="FT45" s="344"/>
      <c r="FU45" s="344"/>
      <c r="FV45" s="344"/>
      <c r="FW45" s="344"/>
      <c r="FX45" s="344"/>
      <c r="FY45" s="344"/>
      <c r="FZ45" s="344"/>
      <c r="GA45" s="344"/>
      <c r="GB45" s="344"/>
      <c r="GC45" s="344"/>
      <c r="GD45" s="344"/>
      <c r="GE45" s="344"/>
      <c r="GF45" s="344"/>
      <c r="GG45" s="344"/>
      <c r="GH45" s="344"/>
      <c r="GI45" s="344"/>
      <c r="GJ45" s="344"/>
      <c r="GK45" s="344"/>
      <c r="GL45" s="344"/>
      <c r="GM45" s="344"/>
      <c r="GN45" s="344"/>
      <c r="GO45" s="344"/>
      <c r="GP45" s="344"/>
      <c r="GQ45" s="344"/>
      <c r="GR45" s="344"/>
      <c r="GS45" s="344"/>
      <c r="GT45" s="344"/>
      <c r="GU45" s="344"/>
      <c r="GV45" s="344"/>
      <c r="GW45" s="344"/>
      <c r="GX45" s="344"/>
      <c r="GY45" s="344"/>
      <c r="GZ45" s="344"/>
      <c r="HA45" s="344"/>
      <c r="HB45" s="344"/>
      <c r="HC45" s="344"/>
      <c r="HD45" s="344"/>
      <c r="HE45" s="344"/>
      <c r="HF45" s="344"/>
      <c r="HG45" s="344"/>
      <c r="HH45" s="344"/>
      <c r="HI45" s="344"/>
      <c r="HJ45" s="344"/>
      <c r="HK45" s="344"/>
      <c r="HL45" s="344"/>
      <c r="HM45" s="344"/>
      <c r="HN45" s="344"/>
      <c r="HO45" s="344"/>
      <c r="HP45" s="344"/>
      <c r="HQ45" s="344"/>
      <c r="HR45" s="344"/>
      <c r="HS45" s="344"/>
      <c r="HT45" s="344"/>
      <c r="HU45" s="344"/>
      <c r="HV45" s="344"/>
      <c r="HW45" s="344"/>
      <c r="HX45" s="344"/>
      <c r="HY45" s="344"/>
      <c r="HZ45" s="344"/>
      <c r="IA45" s="344"/>
      <c r="IB45" s="344"/>
      <c r="IC45" s="344"/>
      <c r="ID45" s="344"/>
      <c r="IE45" s="344"/>
      <c r="IF45" s="344"/>
      <c r="IG45" s="344"/>
      <c r="IH45" s="344"/>
      <c r="II45" s="344"/>
      <c r="IJ45" s="357"/>
      <c r="IK45" s="357"/>
      <c r="IL45" s="344"/>
      <c r="IM45" s="344"/>
      <c r="IN45" s="344"/>
      <c r="IO45" s="344"/>
      <c r="IP45" s="344"/>
      <c r="IQ45" s="344"/>
      <c r="IR45" s="344"/>
      <c r="IS45" s="344"/>
      <c r="IT45" s="344"/>
      <c r="IU45" s="344"/>
      <c r="IV45" s="344"/>
      <c r="IW45" s="344"/>
      <c r="IX45" s="344"/>
      <c r="IY45" s="344"/>
      <c r="IZ45" s="344"/>
      <c r="JA45" s="357"/>
      <c r="JB45" s="344"/>
      <c r="JC45" s="344"/>
      <c r="JD45" s="102"/>
      <c r="JE45" s="102"/>
      <c r="JF45" s="102"/>
      <c r="JG45" s="102"/>
      <c r="JH45" s="102"/>
      <c r="JI45" s="102"/>
      <c r="JJ45" s="102"/>
      <c r="JK45" s="102"/>
      <c r="JL45" s="102"/>
      <c r="JM45" s="102"/>
      <c r="JN45" s="102"/>
      <c r="JO45" s="102"/>
      <c r="JP45" s="102"/>
      <c r="JQ45" s="102"/>
      <c r="JR45" s="102"/>
      <c r="JS45" s="102"/>
      <c r="JT45" s="102"/>
      <c r="JU45" s="102"/>
      <c r="JV45" s="102"/>
      <c r="JW45" s="102"/>
      <c r="JX45" s="102"/>
      <c r="JY45" s="102"/>
      <c r="JZ45" s="102"/>
      <c r="KA45" s="102"/>
      <c r="KB45" s="102"/>
      <c r="KC45" s="102"/>
      <c r="KD45" s="102"/>
      <c r="KE45" s="102"/>
      <c r="KF45" s="102"/>
      <c r="KG45" s="102"/>
      <c r="KH45" s="102"/>
      <c r="KI45" s="102"/>
    </row>
    <row r="46" spans="1:295" s="48" customFormat="1" ht="10.5" customHeight="1">
      <c r="A46" s="102"/>
      <c r="B46" s="102"/>
      <c r="C46" s="58"/>
      <c r="D46" s="468" t="s">
        <v>1289</v>
      </c>
      <c r="E46" s="310"/>
      <c r="F46" s="982">
        <f>SUM(F41:F45)</f>
        <v>0</v>
      </c>
      <c r="G46" s="504"/>
      <c r="H46" s="983"/>
      <c r="I46" s="984">
        <f>SUM(I41:I45)</f>
        <v>0</v>
      </c>
      <c r="J46" s="985"/>
      <c r="K46" s="982">
        <f>SUM(K41:K45)</f>
        <v>0</v>
      </c>
      <c r="L46" s="985"/>
      <c r="M46" s="983"/>
      <c r="N46" s="984">
        <f>SUM(N41:N45)</f>
        <v>0</v>
      </c>
      <c r="O46" s="1532"/>
      <c r="P46" s="1901"/>
      <c r="Q46" s="1902"/>
      <c r="S46" s="1923"/>
      <c r="T46" s="1923"/>
      <c r="U46" s="1923"/>
      <c r="V46" s="1923"/>
      <c r="AA46" s="359"/>
      <c r="AB46" s="359"/>
      <c r="AC46" s="359"/>
      <c r="AD46" s="359"/>
      <c r="AE46" s="359"/>
      <c r="AF46" s="359"/>
      <c r="AG46" s="523"/>
      <c r="AH46" s="344"/>
      <c r="AI46" s="344"/>
      <c r="AJ46" s="344"/>
      <c r="AK46" s="344"/>
      <c r="AL46" s="344"/>
      <c r="AM46" s="344"/>
      <c r="AN46" s="344"/>
      <c r="AO46" s="344"/>
      <c r="AP46" s="344"/>
      <c r="AQ46" s="344"/>
      <c r="AR46" s="344"/>
      <c r="AS46" s="344"/>
      <c r="AT46" s="344"/>
      <c r="AU46" s="344"/>
      <c r="AV46" s="344"/>
      <c r="AW46" s="344"/>
      <c r="AX46" s="344"/>
      <c r="AY46" s="344"/>
      <c r="AZ46" s="344"/>
      <c r="BA46" s="344"/>
      <c r="BB46" s="344"/>
      <c r="BC46" s="344"/>
      <c r="BD46" s="344"/>
      <c r="BE46" s="344"/>
      <c r="BF46" s="344"/>
      <c r="BG46" s="344"/>
      <c r="BH46" s="344"/>
      <c r="BI46" s="344"/>
      <c r="BJ46" s="344"/>
      <c r="BK46" s="344"/>
      <c r="BL46" s="344"/>
      <c r="BM46" s="344"/>
      <c r="BN46" s="344"/>
      <c r="BO46" s="344"/>
      <c r="BP46" s="344"/>
      <c r="BQ46" s="344"/>
      <c r="BR46" s="344"/>
      <c r="BS46" s="344"/>
      <c r="BT46" s="344"/>
      <c r="BU46" s="344"/>
      <c r="BV46" s="344"/>
      <c r="BW46" s="344"/>
      <c r="BX46" s="344"/>
      <c r="BY46" s="344"/>
      <c r="BZ46" s="344"/>
      <c r="CA46" s="344"/>
      <c r="CB46" s="344"/>
      <c r="CC46" s="344"/>
      <c r="CD46" s="344"/>
      <c r="CE46" s="344"/>
      <c r="CF46" s="344"/>
      <c r="CG46" s="344"/>
      <c r="CH46" s="344"/>
      <c r="CI46" s="344"/>
      <c r="CJ46" s="344"/>
      <c r="CK46" s="344"/>
      <c r="CL46" s="344"/>
      <c r="CM46" s="344"/>
      <c r="CN46" s="344"/>
      <c r="CO46" s="344"/>
      <c r="CP46" s="344"/>
      <c r="CQ46" s="344"/>
      <c r="CR46" s="344"/>
      <c r="CS46" s="344"/>
      <c r="CT46" s="344"/>
      <c r="CU46" s="344"/>
      <c r="CV46" s="344"/>
      <c r="CW46" s="344"/>
      <c r="CX46" s="344"/>
      <c r="CY46" s="344"/>
      <c r="CZ46" s="344"/>
      <c r="DA46" s="344"/>
      <c r="DB46" s="344"/>
      <c r="DC46" s="344"/>
      <c r="DD46" s="344"/>
      <c r="DE46" s="344"/>
      <c r="DF46" s="344"/>
      <c r="DG46" s="344"/>
      <c r="DH46" s="344"/>
      <c r="DI46" s="344"/>
      <c r="DJ46" s="344"/>
      <c r="DK46" s="344"/>
      <c r="DL46" s="344"/>
      <c r="DM46" s="344"/>
      <c r="DN46" s="344"/>
      <c r="DO46" s="344"/>
      <c r="DP46" s="344"/>
      <c r="DQ46" s="344"/>
      <c r="DR46" s="344"/>
      <c r="DS46" s="344"/>
      <c r="DT46" s="344"/>
      <c r="DU46" s="344"/>
      <c r="DV46" s="344"/>
      <c r="DW46" s="344"/>
      <c r="DX46" s="344"/>
      <c r="DY46" s="344"/>
      <c r="DZ46" s="344"/>
      <c r="EA46" s="344"/>
      <c r="EB46" s="344"/>
      <c r="EC46" s="344"/>
      <c r="ED46" s="344"/>
      <c r="EE46" s="344"/>
      <c r="EF46" s="344"/>
      <c r="EG46" s="344"/>
      <c r="EH46" s="344"/>
      <c r="EI46" s="344"/>
      <c r="EJ46" s="344"/>
      <c r="EK46" s="344"/>
      <c r="EL46" s="344"/>
      <c r="EM46" s="344"/>
      <c r="EN46" s="344"/>
      <c r="EO46" s="344"/>
      <c r="EP46" s="344"/>
      <c r="EQ46" s="344"/>
      <c r="ER46" s="344"/>
      <c r="ES46" s="344"/>
      <c r="ET46" s="344"/>
      <c r="EU46" s="344"/>
      <c r="EV46" s="344"/>
      <c r="EW46" s="344"/>
      <c r="EX46" s="344"/>
      <c r="EY46" s="344"/>
      <c r="EZ46" s="344"/>
      <c r="FA46" s="344"/>
      <c r="FB46" s="344"/>
      <c r="FC46" s="344"/>
      <c r="FD46" s="344"/>
      <c r="FE46" s="344"/>
      <c r="FF46" s="344"/>
      <c r="FG46" s="344"/>
      <c r="FH46" s="344"/>
      <c r="FI46" s="344"/>
      <c r="FJ46" s="344"/>
      <c r="FK46" s="344"/>
      <c r="FL46" s="344"/>
      <c r="FM46" s="344"/>
      <c r="FN46" s="344"/>
      <c r="FO46" s="344"/>
      <c r="FP46" s="344"/>
      <c r="FQ46" s="344"/>
      <c r="FR46" s="344"/>
      <c r="FS46" s="344"/>
      <c r="FT46" s="344"/>
      <c r="FU46" s="344"/>
      <c r="FV46" s="344"/>
      <c r="FW46" s="344"/>
      <c r="FX46" s="344"/>
      <c r="FY46" s="344"/>
      <c r="FZ46" s="344"/>
      <c r="GA46" s="344"/>
      <c r="GB46" s="344"/>
      <c r="GC46" s="344"/>
      <c r="GD46" s="344"/>
      <c r="GE46" s="344"/>
      <c r="GF46" s="344"/>
      <c r="GG46" s="344"/>
      <c r="GH46" s="344"/>
      <c r="GI46" s="344"/>
      <c r="GJ46" s="344"/>
      <c r="GK46" s="344"/>
      <c r="GL46" s="344"/>
      <c r="GM46" s="344"/>
      <c r="GN46" s="344"/>
      <c r="GO46" s="344"/>
      <c r="GP46" s="344"/>
      <c r="GQ46" s="344"/>
      <c r="GR46" s="344"/>
      <c r="GS46" s="344"/>
      <c r="GT46" s="344"/>
      <c r="GU46" s="344"/>
      <c r="GV46" s="344"/>
      <c r="GW46" s="344"/>
      <c r="GX46" s="344"/>
      <c r="GY46" s="344"/>
      <c r="GZ46" s="344"/>
      <c r="HA46" s="344"/>
      <c r="HB46" s="344"/>
      <c r="HC46" s="344"/>
      <c r="HD46" s="344"/>
      <c r="HE46" s="344"/>
      <c r="HF46" s="344"/>
      <c r="HG46" s="344"/>
      <c r="HH46" s="344"/>
      <c r="HI46" s="344"/>
      <c r="HJ46" s="344"/>
      <c r="HK46" s="344"/>
      <c r="HL46" s="344"/>
      <c r="HM46" s="344"/>
      <c r="HN46" s="344"/>
      <c r="HO46" s="344"/>
      <c r="HP46" s="344"/>
      <c r="HQ46" s="344"/>
      <c r="HR46" s="344"/>
      <c r="HS46" s="344"/>
      <c r="HT46" s="344"/>
      <c r="HU46" s="344"/>
      <c r="HV46" s="344"/>
      <c r="HW46" s="344"/>
      <c r="HX46" s="344"/>
      <c r="HY46" s="344"/>
      <c r="HZ46" s="344"/>
      <c r="IA46" s="344"/>
      <c r="IB46" s="344"/>
      <c r="IC46" s="344"/>
      <c r="ID46" s="344"/>
      <c r="IE46" s="344"/>
      <c r="IF46" s="344"/>
      <c r="IG46" s="344"/>
      <c r="IH46" s="344"/>
      <c r="II46" s="344"/>
      <c r="IJ46" s="357"/>
      <c r="IK46" s="357"/>
      <c r="IL46" s="344"/>
      <c r="IM46" s="344"/>
      <c r="IN46" s="344"/>
      <c r="IO46" s="344"/>
      <c r="IP46" s="344"/>
      <c r="IQ46" s="344"/>
      <c r="IR46" s="344"/>
      <c r="IS46" s="344"/>
      <c r="IT46" s="344"/>
      <c r="IU46" s="344"/>
      <c r="IV46" s="344"/>
      <c r="IW46" s="344"/>
      <c r="IX46" s="344"/>
      <c r="IY46" s="344"/>
      <c r="IZ46" s="344"/>
      <c r="JA46" s="357"/>
      <c r="JB46" s="344"/>
      <c r="JC46" s="344"/>
      <c r="JD46" s="102"/>
      <c r="JE46" s="102"/>
      <c r="JF46" s="102"/>
      <c r="JG46" s="102"/>
      <c r="JH46" s="102"/>
      <c r="JI46" s="102"/>
      <c r="JJ46" s="102"/>
      <c r="JK46" s="102"/>
      <c r="JL46" s="102"/>
      <c r="JM46" s="102"/>
      <c r="JN46" s="102"/>
      <c r="JO46" s="102"/>
      <c r="JP46" s="102"/>
      <c r="JQ46" s="102"/>
      <c r="JR46" s="102"/>
      <c r="JS46" s="102"/>
      <c r="JT46" s="102"/>
      <c r="JU46" s="102"/>
      <c r="JV46" s="102"/>
      <c r="JW46" s="102"/>
      <c r="JX46" s="102"/>
      <c r="JY46" s="102"/>
      <c r="JZ46" s="102"/>
      <c r="KA46" s="102"/>
      <c r="KB46" s="102"/>
      <c r="KC46" s="102"/>
      <c r="KD46" s="102"/>
      <c r="KE46" s="102"/>
      <c r="KF46" s="102"/>
      <c r="KG46" s="102"/>
      <c r="KH46" s="102"/>
      <c r="KI46" s="102"/>
    </row>
    <row r="47" spans="1:295" s="48" customFormat="1" ht="1.5" customHeight="1">
      <c r="A47" s="102"/>
      <c r="C47" s="58"/>
      <c r="D47" s="437"/>
      <c r="E47" s="437"/>
      <c r="F47" s="505"/>
      <c r="G47" s="98"/>
      <c r="H47" s="366"/>
      <c r="I47" s="1538"/>
      <c r="J47" s="366"/>
      <c r="K47" s="505"/>
      <c r="L47" s="366"/>
      <c r="M47" s="1532"/>
      <c r="N47" s="1538"/>
      <c r="O47" s="1532"/>
      <c r="R47" s="304"/>
      <c r="S47" s="1923"/>
      <c r="T47" s="1923"/>
      <c r="U47" s="1923"/>
      <c r="V47" s="1923"/>
      <c r="AA47" s="359"/>
      <c r="AB47" s="359"/>
      <c r="AC47" s="359"/>
      <c r="AD47" s="359"/>
      <c r="AE47" s="359"/>
      <c r="AF47" s="359"/>
      <c r="AG47" s="523"/>
      <c r="AH47" s="344"/>
      <c r="AI47" s="344"/>
      <c r="AJ47" s="344"/>
      <c r="AK47" s="344"/>
      <c r="AL47" s="344"/>
      <c r="AM47" s="344"/>
      <c r="AN47" s="344"/>
      <c r="AO47" s="344"/>
      <c r="AP47" s="344"/>
      <c r="AQ47" s="344"/>
      <c r="AR47" s="344"/>
      <c r="AS47" s="344"/>
      <c r="AT47" s="344"/>
      <c r="AU47" s="344"/>
      <c r="AV47" s="344"/>
      <c r="AW47" s="344"/>
      <c r="AX47" s="344"/>
      <c r="AY47" s="344"/>
      <c r="AZ47" s="344"/>
      <c r="BA47" s="344"/>
      <c r="BB47" s="344"/>
      <c r="BC47" s="344"/>
      <c r="BD47" s="344"/>
      <c r="BE47" s="344"/>
      <c r="BF47" s="344"/>
      <c r="BG47" s="344"/>
      <c r="BH47" s="344"/>
      <c r="BI47" s="344"/>
      <c r="BJ47" s="344"/>
      <c r="BK47" s="344"/>
      <c r="BL47" s="344"/>
      <c r="BM47" s="344"/>
      <c r="BN47" s="344"/>
      <c r="BO47" s="344"/>
      <c r="BP47" s="344"/>
      <c r="BQ47" s="344"/>
      <c r="BR47" s="344"/>
      <c r="BS47" s="344"/>
      <c r="BT47" s="344"/>
      <c r="BU47" s="344"/>
      <c r="BV47" s="344"/>
      <c r="BW47" s="344"/>
      <c r="BX47" s="344"/>
      <c r="BY47" s="344"/>
      <c r="BZ47" s="344"/>
      <c r="CA47" s="344"/>
      <c r="CB47" s="344"/>
      <c r="CC47" s="344"/>
      <c r="CD47" s="344"/>
      <c r="CE47" s="344"/>
      <c r="CF47" s="344"/>
      <c r="CG47" s="344"/>
      <c r="CH47" s="344"/>
      <c r="CI47" s="344"/>
      <c r="CJ47" s="344"/>
      <c r="CK47" s="344"/>
      <c r="CL47" s="344"/>
      <c r="CM47" s="344"/>
      <c r="CN47" s="344"/>
      <c r="CO47" s="344"/>
      <c r="CP47" s="344"/>
      <c r="CQ47" s="344"/>
      <c r="CR47" s="344"/>
      <c r="CS47" s="344"/>
      <c r="CT47" s="344"/>
      <c r="CU47" s="344"/>
      <c r="CV47" s="344"/>
      <c r="CW47" s="344"/>
      <c r="CX47" s="344"/>
      <c r="CY47" s="344"/>
      <c r="CZ47" s="344"/>
      <c r="DA47" s="344"/>
      <c r="DB47" s="344"/>
      <c r="DC47" s="344"/>
      <c r="DD47" s="344"/>
      <c r="DE47" s="344"/>
      <c r="DF47" s="344"/>
      <c r="DG47" s="344"/>
      <c r="DH47" s="344"/>
      <c r="DI47" s="344"/>
      <c r="DJ47" s="344"/>
      <c r="DK47" s="344"/>
      <c r="DL47" s="344"/>
      <c r="DM47" s="344"/>
      <c r="DN47" s="344"/>
      <c r="DO47" s="344"/>
      <c r="DP47" s="344"/>
      <c r="DQ47" s="344"/>
      <c r="DR47" s="344"/>
      <c r="DS47" s="344"/>
      <c r="DT47" s="344"/>
      <c r="DU47" s="344"/>
      <c r="DV47" s="344"/>
      <c r="DW47" s="344"/>
      <c r="DX47" s="344"/>
      <c r="DY47" s="344"/>
      <c r="DZ47" s="344"/>
      <c r="EA47" s="344"/>
      <c r="EB47" s="344"/>
      <c r="EC47" s="344"/>
      <c r="ED47" s="344"/>
      <c r="EE47" s="344"/>
      <c r="EF47" s="344"/>
      <c r="EG47" s="344"/>
      <c r="EH47" s="344"/>
      <c r="EI47" s="344"/>
      <c r="EJ47" s="344"/>
      <c r="EK47" s="344"/>
      <c r="EL47" s="344"/>
      <c r="EM47" s="344"/>
      <c r="EN47" s="344"/>
      <c r="EO47" s="344"/>
      <c r="EP47" s="344"/>
      <c r="EQ47" s="344"/>
      <c r="ER47" s="344"/>
      <c r="ES47" s="344"/>
      <c r="ET47" s="344"/>
      <c r="EU47" s="344"/>
      <c r="EV47" s="344"/>
      <c r="EW47" s="344"/>
      <c r="EX47" s="344"/>
      <c r="EY47" s="344"/>
      <c r="EZ47" s="344"/>
      <c r="FA47" s="344"/>
      <c r="FB47" s="344"/>
      <c r="FC47" s="344"/>
      <c r="FD47" s="344"/>
      <c r="FE47" s="344"/>
      <c r="FF47" s="344"/>
      <c r="FG47" s="344"/>
      <c r="FH47" s="344"/>
      <c r="FI47" s="344"/>
      <c r="FJ47" s="344"/>
      <c r="FK47" s="344"/>
      <c r="FL47" s="344"/>
      <c r="FM47" s="344"/>
      <c r="FN47" s="344"/>
      <c r="FO47" s="344"/>
      <c r="FP47" s="344"/>
      <c r="FQ47" s="344"/>
      <c r="FR47" s="344"/>
      <c r="FS47" s="344"/>
      <c r="FT47" s="344"/>
      <c r="FU47" s="344"/>
      <c r="FV47" s="344"/>
      <c r="FW47" s="344"/>
      <c r="FX47" s="344"/>
      <c r="FY47" s="344"/>
      <c r="FZ47" s="344"/>
      <c r="GA47" s="344"/>
      <c r="GB47" s="344"/>
      <c r="GC47" s="344"/>
      <c r="GD47" s="344"/>
      <c r="GE47" s="344"/>
      <c r="GF47" s="344"/>
      <c r="GG47" s="344"/>
      <c r="GH47" s="344"/>
      <c r="GI47" s="344"/>
      <c r="GJ47" s="344"/>
      <c r="GK47" s="344"/>
      <c r="GL47" s="344"/>
      <c r="GM47" s="344"/>
      <c r="GN47" s="344"/>
      <c r="GO47" s="344"/>
      <c r="GP47" s="344"/>
      <c r="GQ47" s="344"/>
      <c r="GR47" s="344"/>
      <c r="GS47" s="344"/>
      <c r="GT47" s="344"/>
      <c r="GU47" s="344"/>
      <c r="GV47" s="344"/>
      <c r="GW47" s="344"/>
      <c r="GX47" s="344"/>
      <c r="GY47" s="344"/>
      <c r="GZ47" s="344"/>
      <c r="HA47" s="344"/>
      <c r="HB47" s="344"/>
      <c r="HC47" s="344"/>
      <c r="HD47" s="344"/>
      <c r="HE47" s="344"/>
      <c r="HF47" s="344"/>
      <c r="HG47" s="344"/>
      <c r="HH47" s="344"/>
      <c r="HI47" s="344"/>
      <c r="HJ47" s="344"/>
      <c r="HK47" s="344"/>
      <c r="HL47" s="344"/>
      <c r="HM47" s="344"/>
      <c r="HN47" s="344"/>
      <c r="HO47" s="344"/>
      <c r="HP47" s="344"/>
      <c r="HQ47" s="344"/>
      <c r="HR47" s="344"/>
      <c r="HS47" s="344"/>
      <c r="HT47" s="344"/>
      <c r="HU47" s="344"/>
      <c r="HV47" s="344"/>
      <c r="HW47" s="344"/>
      <c r="HX47" s="344"/>
      <c r="HY47" s="344"/>
      <c r="HZ47" s="344"/>
      <c r="IA47" s="344"/>
      <c r="IB47" s="344"/>
      <c r="IC47" s="344"/>
      <c r="ID47" s="344"/>
      <c r="IE47" s="344"/>
      <c r="IF47" s="344"/>
      <c r="IG47" s="344"/>
      <c r="IH47" s="344"/>
      <c r="II47" s="344"/>
      <c r="IJ47" s="357"/>
      <c r="IK47" s="357"/>
      <c r="IL47" s="344"/>
      <c r="IM47" s="344"/>
      <c r="IN47" s="344"/>
      <c r="IO47" s="344"/>
      <c r="IP47" s="344"/>
      <c r="IQ47" s="344"/>
      <c r="IR47" s="344"/>
      <c r="IS47" s="344"/>
      <c r="IT47" s="344"/>
      <c r="IU47" s="344"/>
      <c r="IV47" s="344"/>
      <c r="IW47" s="344"/>
      <c r="IX47" s="344"/>
      <c r="IY47" s="344"/>
      <c r="IZ47" s="344"/>
      <c r="JA47" s="357"/>
      <c r="JB47" s="344"/>
      <c r="JC47" s="344"/>
      <c r="JD47" s="102"/>
      <c r="JE47" s="102"/>
      <c r="JF47" s="102"/>
      <c r="JG47" s="102"/>
      <c r="JH47" s="102"/>
      <c r="JI47" s="102"/>
      <c r="JJ47" s="102"/>
      <c r="JK47" s="102"/>
      <c r="JL47" s="102"/>
      <c r="JM47" s="102"/>
      <c r="JN47" s="102"/>
      <c r="JO47" s="102"/>
      <c r="JP47" s="102"/>
      <c r="JQ47" s="102"/>
      <c r="JR47" s="102"/>
      <c r="JS47" s="102"/>
      <c r="JT47" s="102"/>
      <c r="JU47" s="102"/>
      <c r="JV47" s="102"/>
      <c r="JW47" s="102"/>
      <c r="JX47" s="102"/>
      <c r="JY47" s="102"/>
      <c r="JZ47" s="102"/>
      <c r="KA47" s="102"/>
      <c r="KB47" s="102"/>
      <c r="KC47" s="102"/>
      <c r="KD47" s="102"/>
      <c r="KE47" s="102"/>
      <c r="KF47" s="102"/>
      <c r="KG47" s="102"/>
      <c r="KH47" s="102"/>
      <c r="KI47" s="102"/>
    </row>
    <row r="48" spans="1:295" s="48" customFormat="1" ht="10.5" customHeight="1">
      <c r="A48" s="1898" t="s">
        <v>1129</v>
      </c>
      <c r="B48" s="1898"/>
      <c r="C48" s="1898"/>
      <c r="D48" s="726" t="s">
        <v>831</v>
      </c>
      <c r="E48" s="732">
        <v>0</v>
      </c>
      <c r="F48" s="728">
        <f>'Part VI-Revenues &amp; Expenses'!$J$106</f>
        <v>0</v>
      </c>
      <c r="G48" s="729">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22" t="str">
        <f>CONCATENATE("x ", F48," units = ")</f>
        <v xml:space="preserve">x 0 units = </v>
      </c>
      <c r="I48" s="730">
        <f>F48*G48</f>
        <v>0</v>
      </c>
      <c r="J48" s="58"/>
      <c r="K48" s="728">
        <f>'Part VI-Revenues &amp; Expenses'!$J$107</f>
        <v>0</v>
      </c>
      <c r="L48" s="729">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22" t="str">
        <f>CONCATENATE("x ", K48," units = ")</f>
        <v xml:space="preserve">x 0 units = </v>
      </c>
      <c r="N48" s="730">
        <f>K48*L48</f>
        <v>0</v>
      </c>
      <c r="P48" s="1903" t="s">
        <v>1290</v>
      </c>
      <c r="Q48" s="1903"/>
      <c r="S48" s="1923"/>
      <c r="T48" s="1923"/>
      <c r="U48" s="1923"/>
      <c r="V48" s="1923"/>
      <c r="AA48" s="359"/>
      <c r="AB48" s="359"/>
      <c r="AC48" s="359"/>
      <c r="AD48" s="359"/>
      <c r="AE48" s="359"/>
      <c r="AF48" s="359"/>
      <c r="AG48" s="523"/>
      <c r="AH48" s="344"/>
      <c r="AI48" s="344"/>
      <c r="AJ48" s="344"/>
      <c r="AK48" s="344"/>
      <c r="AL48" s="344"/>
      <c r="AM48" s="344"/>
      <c r="AN48" s="344"/>
      <c r="AO48" s="344"/>
      <c r="AP48" s="344"/>
      <c r="AQ48" s="344"/>
      <c r="AR48" s="344"/>
      <c r="AS48" s="344"/>
      <c r="AT48" s="344"/>
      <c r="AU48" s="344"/>
      <c r="AV48" s="344"/>
      <c r="AW48" s="344"/>
      <c r="AX48" s="344"/>
      <c r="AY48" s="344"/>
      <c r="AZ48" s="344"/>
      <c r="BA48" s="344"/>
      <c r="BB48" s="344"/>
      <c r="BC48" s="344"/>
      <c r="BD48" s="344"/>
      <c r="BE48" s="344"/>
      <c r="BF48" s="344"/>
      <c r="BG48" s="344"/>
      <c r="BH48" s="344"/>
      <c r="BI48" s="344"/>
      <c r="BJ48" s="344"/>
      <c r="BK48" s="344"/>
      <c r="BL48" s="344"/>
      <c r="BM48" s="344"/>
      <c r="BN48" s="344"/>
      <c r="BO48" s="344"/>
      <c r="BP48" s="344"/>
      <c r="BQ48" s="344"/>
      <c r="BR48" s="344"/>
      <c r="BS48" s="344"/>
      <c r="BT48" s="344"/>
      <c r="BU48" s="344"/>
      <c r="BV48" s="344"/>
      <c r="BW48" s="344"/>
      <c r="BX48" s="344"/>
      <c r="BY48" s="344"/>
      <c r="BZ48" s="344"/>
      <c r="CA48" s="344"/>
      <c r="CB48" s="344"/>
      <c r="CC48" s="344"/>
      <c r="CD48" s="344"/>
      <c r="CE48" s="344"/>
      <c r="CF48" s="344"/>
      <c r="CG48" s="344"/>
      <c r="CH48" s="344"/>
      <c r="CI48" s="344"/>
      <c r="CJ48" s="344"/>
      <c r="CK48" s="344"/>
      <c r="CL48" s="344"/>
      <c r="CM48" s="344"/>
      <c r="CN48" s="344"/>
      <c r="CO48" s="344"/>
      <c r="CP48" s="344"/>
      <c r="CQ48" s="344"/>
      <c r="CR48" s="344"/>
      <c r="CS48" s="344"/>
      <c r="CT48" s="344"/>
      <c r="CU48" s="344"/>
      <c r="CV48" s="344"/>
      <c r="CW48" s="344"/>
      <c r="CX48" s="344"/>
      <c r="CY48" s="344"/>
      <c r="CZ48" s="344"/>
      <c r="DA48" s="344"/>
      <c r="DB48" s="344"/>
      <c r="DC48" s="344"/>
      <c r="DD48" s="344"/>
      <c r="DE48" s="344"/>
      <c r="DF48" s="344"/>
      <c r="DG48" s="344"/>
      <c r="DH48" s="344"/>
      <c r="DI48" s="344"/>
      <c r="DJ48" s="344"/>
      <c r="DK48" s="344"/>
      <c r="DL48" s="344"/>
      <c r="DM48" s="344"/>
      <c r="DN48" s="344"/>
      <c r="DO48" s="344"/>
      <c r="DP48" s="344"/>
      <c r="DQ48" s="344"/>
      <c r="DR48" s="344"/>
      <c r="DS48" s="344"/>
      <c r="DT48" s="344"/>
      <c r="DU48" s="344"/>
      <c r="DV48" s="344"/>
      <c r="DW48" s="344"/>
      <c r="DX48" s="344"/>
      <c r="DY48" s="344"/>
      <c r="DZ48" s="344"/>
      <c r="EA48" s="344"/>
      <c r="EB48" s="344"/>
      <c r="EC48" s="344"/>
      <c r="ED48" s="344"/>
      <c r="EE48" s="344"/>
      <c r="EF48" s="344"/>
      <c r="EG48" s="344"/>
      <c r="EH48" s="344"/>
      <c r="EI48" s="344"/>
      <c r="EJ48" s="344"/>
      <c r="EK48" s="344"/>
      <c r="EL48" s="344"/>
      <c r="EM48" s="344"/>
      <c r="EN48" s="344"/>
      <c r="EO48" s="344"/>
      <c r="EP48" s="344"/>
      <c r="EQ48" s="344"/>
      <c r="ER48" s="344"/>
      <c r="ES48" s="344"/>
      <c r="ET48" s="344"/>
      <c r="EU48" s="344"/>
      <c r="EV48" s="344"/>
      <c r="EW48" s="344"/>
      <c r="EX48" s="344"/>
      <c r="EY48" s="344"/>
      <c r="EZ48" s="344"/>
      <c r="FA48" s="344"/>
      <c r="FB48" s="344"/>
      <c r="FC48" s="344"/>
      <c r="FD48" s="344"/>
      <c r="FE48" s="344"/>
      <c r="FF48" s="344"/>
      <c r="FG48" s="344"/>
      <c r="FH48" s="344"/>
      <c r="FI48" s="344"/>
      <c r="FJ48" s="344"/>
      <c r="FK48" s="344"/>
      <c r="FL48" s="344"/>
      <c r="FM48" s="344"/>
      <c r="FN48" s="344"/>
      <c r="FO48" s="344"/>
      <c r="FP48" s="344"/>
      <c r="FQ48" s="344"/>
      <c r="FR48" s="344"/>
      <c r="FS48" s="344"/>
      <c r="FT48" s="344"/>
      <c r="FU48" s="344"/>
      <c r="FV48" s="344"/>
      <c r="FW48" s="344"/>
      <c r="FX48" s="344"/>
      <c r="FY48" s="344"/>
      <c r="FZ48" s="344"/>
      <c r="GA48" s="344"/>
      <c r="GB48" s="344"/>
      <c r="GC48" s="344"/>
      <c r="GD48" s="344"/>
      <c r="GE48" s="344"/>
      <c r="GF48" s="344"/>
      <c r="GG48" s="344"/>
      <c r="GH48" s="344"/>
      <c r="GI48" s="344"/>
      <c r="GJ48" s="344"/>
      <c r="GK48" s="344"/>
      <c r="GL48" s="344"/>
      <c r="GM48" s="344"/>
      <c r="GN48" s="344"/>
      <c r="GO48" s="344"/>
      <c r="GP48" s="344"/>
      <c r="GQ48" s="344"/>
      <c r="GR48" s="344"/>
      <c r="GS48" s="344"/>
      <c r="GT48" s="344"/>
      <c r="GU48" s="344"/>
      <c r="GV48" s="344"/>
      <c r="GW48" s="344"/>
      <c r="GX48" s="344"/>
      <c r="GY48" s="344"/>
      <c r="GZ48" s="344"/>
      <c r="HA48" s="344"/>
      <c r="HB48" s="344"/>
      <c r="HC48" s="344"/>
      <c r="HD48" s="344"/>
      <c r="HE48" s="344"/>
      <c r="HF48" s="344"/>
      <c r="HG48" s="344"/>
      <c r="HH48" s="344"/>
      <c r="HI48" s="344"/>
      <c r="HJ48" s="344"/>
      <c r="HK48" s="344"/>
      <c r="HL48" s="344"/>
      <c r="HM48" s="344"/>
      <c r="HN48" s="344"/>
      <c r="HO48" s="344"/>
      <c r="HP48" s="344"/>
      <c r="HQ48" s="344"/>
      <c r="HR48" s="344"/>
      <c r="HS48" s="344"/>
      <c r="HT48" s="344"/>
      <c r="HU48" s="344"/>
      <c r="HV48" s="344"/>
      <c r="HW48" s="344"/>
      <c r="HX48" s="344"/>
      <c r="HY48" s="344"/>
      <c r="HZ48" s="344"/>
      <c r="IA48" s="344"/>
      <c r="IB48" s="344"/>
      <c r="IC48" s="344"/>
      <c r="ID48" s="344"/>
      <c r="IE48" s="344"/>
      <c r="IF48" s="344"/>
      <c r="IG48" s="344"/>
      <c r="IH48" s="344"/>
      <c r="II48" s="344"/>
      <c r="IJ48" s="357"/>
      <c r="IK48" s="357"/>
      <c r="IL48" s="344"/>
      <c r="IM48" s="344"/>
      <c r="IN48" s="344"/>
      <c r="IO48" s="344"/>
      <c r="IP48" s="344"/>
      <c r="IQ48" s="344"/>
      <c r="IR48" s="344"/>
      <c r="IS48" s="344"/>
      <c r="IT48" s="344"/>
      <c r="IU48" s="344"/>
      <c r="IV48" s="344"/>
      <c r="IW48" s="344"/>
      <c r="IX48" s="344"/>
      <c r="IY48" s="344"/>
      <c r="IZ48" s="344"/>
      <c r="JA48" s="357"/>
      <c r="JB48" s="344"/>
      <c r="JC48" s="344"/>
      <c r="JD48" s="102"/>
      <c r="JE48" s="102"/>
      <c r="JF48" s="102"/>
      <c r="JG48" s="102"/>
      <c r="JH48" s="102"/>
      <c r="JI48" s="102"/>
      <c r="JJ48" s="102"/>
      <c r="JK48" s="102"/>
      <c r="JL48" s="102"/>
      <c r="JM48" s="102"/>
      <c r="JN48" s="102"/>
      <c r="JO48" s="102"/>
      <c r="JP48" s="102"/>
      <c r="JQ48" s="102"/>
      <c r="JR48" s="102"/>
      <c r="JS48" s="102"/>
      <c r="JT48" s="102"/>
      <c r="JU48" s="102"/>
      <c r="JV48" s="102"/>
      <c r="JW48" s="102"/>
      <c r="JX48" s="102"/>
      <c r="JY48" s="102"/>
      <c r="JZ48" s="102"/>
      <c r="KA48" s="102"/>
      <c r="KB48" s="102"/>
      <c r="KC48" s="102"/>
      <c r="KD48" s="102"/>
      <c r="KE48" s="102"/>
      <c r="KF48" s="102"/>
      <c r="KG48" s="102"/>
      <c r="KH48" s="102"/>
      <c r="KI48" s="102"/>
    </row>
    <row r="49" spans="1:295" s="48" customFormat="1" ht="10.5" customHeight="1">
      <c r="A49" s="1898"/>
      <c r="B49" s="1898"/>
      <c r="C49" s="1898"/>
      <c r="D49" s="726" t="s">
        <v>855</v>
      </c>
      <c r="E49" s="727">
        <v>1</v>
      </c>
      <c r="F49" s="728">
        <f>'Part VI-Revenues &amp; Expenses'!$K$106</f>
        <v>0</v>
      </c>
      <c r="G49" s="729">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22" t="str">
        <f>CONCATENATE("x ", F49," units = ")</f>
        <v xml:space="preserve">x 0 units = </v>
      </c>
      <c r="I49" s="730">
        <f>F49*G49</f>
        <v>0</v>
      </c>
      <c r="J49" s="58"/>
      <c r="K49" s="728">
        <f>'Part VI-Revenues &amp; Expenses'!$K$107</f>
        <v>0</v>
      </c>
      <c r="L49" s="729">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22" t="str">
        <f>CONCATENATE("x ", K49," units = ")</f>
        <v xml:space="preserve">x 0 units = </v>
      </c>
      <c r="N49" s="730">
        <f>K49*L49</f>
        <v>0</v>
      </c>
      <c r="P49" s="1904"/>
      <c r="Q49" s="1905"/>
      <c r="S49" s="1923"/>
      <c r="T49" s="1923"/>
      <c r="U49" s="1923"/>
      <c r="V49" s="1923"/>
      <c r="AA49" s="359"/>
      <c r="AB49" s="359"/>
      <c r="AC49" s="359"/>
      <c r="AD49" s="359"/>
      <c r="AE49" s="359"/>
      <c r="AF49" s="359"/>
      <c r="AG49" s="523"/>
      <c r="AH49" s="344"/>
      <c r="AI49" s="344"/>
      <c r="AJ49" s="344"/>
      <c r="AK49" s="344"/>
      <c r="AL49" s="344"/>
      <c r="AM49" s="344"/>
      <c r="AN49" s="344"/>
      <c r="AO49" s="344"/>
      <c r="AP49" s="344"/>
      <c r="AQ49" s="344"/>
      <c r="AR49" s="344"/>
      <c r="AS49" s="344"/>
      <c r="AT49" s="344"/>
      <c r="AU49" s="344"/>
      <c r="AV49" s="344"/>
      <c r="AW49" s="344"/>
      <c r="AX49" s="344"/>
      <c r="AY49" s="344"/>
      <c r="AZ49" s="344"/>
      <c r="BA49" s="344"/>
      <c r="BB49" s="344"/>
      <c r="BC49" s="344"/>
      <c r="BD49" s="344"/>
      <c r="BE49" s="344"/>
      <c r="BF49" s="344"/>
      <c r="BG49" s="344"/>
      <c r="BH49" s="344"/>
      <c r="BI49" s="344"/>
      <c r="BJ49" s="344"/>
      <c r="BK49" s="344"/>
      <c r="BL49" s="344"/>
      <c r="BM49" s="344"/>
      <c r="BN49" s="344"/>
      <c r="BO49" s="344"/>
      <c r="BP49" s="344"/>
      <c r="BQ49" s="344"/>
      <c r="BR49" s="344"/>
      <c r="BS49" s="344"/>
      <c r="BT49" s="344"/>
      <c r="BU49" s="344"/>
      <c r="BV49" s="344"/>
      <c r="BW49" s="344"/>
      <c r="BX49" s="344"/>
      <c r="BY49" s="344"/>
      <c r="BZ49" s="344"/>
      <c r="CA49" s="344"/>
      <c r="CB49" s="344"/>
      <c r="CC49" s="344"/>
      <c r="CD49" s="344"/>
      <c r="CE49" s="344"/>
      <c r="CF49" s="344"/>
      <c r="CG49" s="344"/>
      <c r="CH49" s="344"/>
      <c r="CI49" s="344"/>
      <c r="CJ49" s="344"/>
      <c r="CK49" s="344"/>
      <c r="CL49" s="344"/>
      <c r="CM49" s="344"/>
      <c r="CN49" s="344"/>
      <c r="CO49" s="344"/>
      <c r="CP49" s="344"/>
      <c r="CQ49" s="344"/>
      <c r="CR49" s="344"/>
      <c r="CS49" s="344"/>
      <c r="CT49" s="344"/>
      <c r="CU49" s="344"/>
      <c r="CV49" s="344"/>
      <c r="CW49" s="344"/>
      <c r="CX49" s="344"/>
      <c r="CY49" s="344"/>
      <c r="CZ49" s="344"/>
      <c r="DA49" s="344"/>
      <c r="DB49" s="344"/>
      <c r="DC49" s="344"/>
      <c r="DD49" s="344"/>
      <c r="DE49" s="344"/>
      <c r="DF49" s="344"/>
      <c r="DG49" s="344"/>
      <c r="DH49" s="344"/>
      <c r="DI49" s="344"/>
      <c r="DJ49" s="344"/>
      <c r="DK49" s="344"/>
      <c r="DL49" s="344"/>
      <c r="DM49" s="344"/>
      <c r="DN49" s="344"/>
      <c r="DO49" s="344"/>
      <c r="DP49" s="344"/>
      <c r="DQ49" s="344"/>
      <c r="DR49" s="344"/>
      <c r="DS49" s="344"/>
      <c r="DT49" s="344"/>
      <c r="DU49" s="344"/>
      <c r="DV49" s="344"/>
      <c r="DW49" s="344"/>
      <c r="DX49" s="344"/>
      <c r="DY49" s="344"/>
      <c r="DZ49" s="344"/>
      <c r="EA49" s="344"/>
      <c r="EB49" s="344"/>
      <c r="EC49" s="344"/>
      <c r="ED49" s="344"/>
      <c r="EE49" s="344"/>
      <c r="EF49" s="344"/>
      <c r="EG49" s="344"/>
      <c r="EH49" s="344"/>
      <c r="EI49" s="344"/>
      <c r="EJ49" s="344"/>
      <c r="EK49" s="344"/>
      <c r="EL49" s="344"/>
      <c r="EM49" s="344"/>
      <c r="EN49" s="344"/>
      <c r="EO49" s="344"/>
      <c r="EP49" s="344"/>
      <c r="EQ49" s="344"/>
      <c r="ER49" s="344"/>
      <c r="ES49" s="344"/>
      <c r="ET49" s="344"/>
      <c r="EU49" s="344"/>
      <c r="EV49" s="344"/>
      <c r="EW49" s="344"/>
      <c r="EX49" s="344"/>
      <c r="EY49" s="344"/>
      <c r="EZ49" s="344"/>
      <c r="FA49" s="344"/>
      <c r="FB49" s="344"/>
      <c r="FC49" s="344"/>
      <c r="FD49" s="344"/>
      <c r="FE49" s="344"/>
      <c r="FF49" s="344"/>
      <c r="FG49" s="344"/>
      <c r="FH49" s="344"/>
      <c r="FI49" s="344"/>
      <c r="FJ49" s="344"/>
      <c r="FK49" s="344"/>
      <c r="FL49" s="344"/>
      <c r="FM49" s="344"/>
      <c r="FN49" s="344"/>
      <c r="FO49" s="344"/>
      <c r="FP49" s="344"/>
      <c r="FQ49" s="344"/>
      <c r="FR49" s="344"/>
      <c r="FS49" s="344"/>
      <c r="FT49" s="344"/>
      <c r="FU49" s="344"/>
      <c r="FV49" s="344"/>
      <c r="FW49" s="344"/>
      <c r="FX49" s="344"/>
      <c r="FY49" s="344"/>
      <c r="FZ49" s="344"/>
      <c r="GA49" s="344"/>
      <c r="GB49" s="344"/>
      <c r="GC49" s="344"/>
      <c r="GD49" s="344"/>
      <c r="GE49" s="344"/>
      <c r="GF49" s="344"/>
      <c r="GG49" s="344"/>
      <c r="GH49" s="344"/>
      <c r="GI49" s="344"/>
      <c r="GJ49" s="344"/>
      <c r="GK49" s="344"/>
      <c r="GL49" s="344"/>
      <c r="GM49" s="344"/>
      <c r="GN49" s="344"/>
      <c r="GO49" s="344"/>
      <c r="GP49" s="344"/>
      <c r="GQ49" s="344"/>
      <c r="GR49" s="344"/>
      <c r="GS49" s="344"/>
      <c r="GT49" s="344"/>
      <c r="GU49" s="344"/>
      <c r="GV49" s="344"/>
      <c r="GW49" s="344"/>
      <c r="GX49" s="344"/>
      <c r="GY49" s="344"/>
      <c r="GZ49" s="344"/>
      <c r="HA49" s="344"/>
      <c r="HB49" s="344"/>
      <c r="HC49" s="344"/>
      <c r="HD49" s="344"/>
      <c r="HE49" s="344"/>
      <c r="HF49" s="344"/>
      <c r="HG49" s="344"/>
      <c r="HH49" s="344"/>
      <c r="HI49" s="344"/>
      <c r="HJ49" s="344"/>
      <c r="HK49" s="344"/>
      <c r="HL49" s="344"/>
      <c r="HM49" s="344"/>
      <c r="HN49" s="344"/>
      <c r="HO49" s="344"/>
      <c r="HP49" s="344"/>
      <c r="HQ49" s="344"/>
      <c r="HR49" s="344"/>
      <c r="HS49" s="344"/>
      <c r="HT49" s="344"/>
      <c r="HU49" s="344"/>
      <c r="HV49" s="344"/>
      <c r="HW49" s="344"/>
      <c r="HX49" s="344"/>
      <c r="HY49" s="344"/>
      <c r="HZ49" s="344"/>
      <c r="IA49" s="344"/>
      <c r="IB49" s="344"/>
      <c r="IC49" s="344"/>
      <c r="ID49" s="344"/>
      <c r="IE49" s="344"/>
      <c r="IF49" s="344"/>
      <c r="IG49" s="344"/>
      <c r="IH49" s="344"/>
      <c r="II49" s="344"/>
      <c r="IJ49" s="357"/>
      <c r="IK49" s="357"/>
      <c r="IL49" s="344"/>
      <c r="IM49" s="344"/>
      <c r="IN49" s="344"/>
      <c r="IO49" s="344"/>
      <c r="IP49" s="344"/>
      <c r="IQ49" s="344"/>
      <c r="IR49" s="344"/>
      <c r="IS49" s="344"/>
      <c r="IT49" s="344"/>
      <c r="IU49" s="344"/>
      <c r="IV49" s="344"/>
      <c r="IW49" s="344"/>
      <c r="IX49" s="344"/>
      <c r="IY49" s="344"/>
      <c r="IZ49" s="344"/>
      <c r="JA49" s="357"/>
      <c r="JB49" s="344"/>
      <c r="JC49" s="344"/>
      <c r="JD49" s="102"/>
      <c r="JE49" s="102"/>
      <c r="JF49" s="102"/>
      <c r="JG49" s="102"/>
      <c r="JH49" s="102"/>
      <c r="JI49" s="102"/>
      <c r="JJ49" s="102"/>
      <c r="JK49" s="102"/>
      <c r="JL49" s="102"/>
      <c r="JM49" s="102"/>
      <c r="JN49" s="102"/>
      <c r="JO49" s="102"/>
      <c r="JP49" s="102"/>
      <c r="JQ49" s="102"/>
      <c r="JR49" s="102"/>
      <c r="JS49" s="102"/>
      <c r="JT49" s="102"/>
      <c r="JU49" s="102"/>
      <c r="JV49" s="102"/>
      <c r="JW49" s="102"/>
      <c r="JX49" s="102"/>
      <c r="JY49" s="102"/>
      <c r="JZ49" s="102"/>
      <c r="KA49" s="102"/>
      <c r="KB49" s="102"/>
      <c r="KC49" s="102"/>
      <c r="KD49" s="102"/>
      <c r="KE49" s="102"/>
      <c r="KF49" s="102"/>
      <c r="KG49" s="102"/>
      <c r="KH49" s="102"/>
      <c r="KI49" s="102"/>
    </row>
    <row r="50" spans="1:295" s="48" customFormat="1" ht="10.5" customHeight="1">
      <c r="A50" s="1898"/>
      <c r="B50" s="1898"/>
      <c r="C50" s="1898"/>
      <c r="D50" s="726" t="s">
        <v>856</v>
      </c>
      <c r="E50" s="727">
        <v>2</v>
      </c>
      <c r="F50" s="728">
        <f>'Part VI-Revenues &amp; Expenses'!$L$106</f>
        <v>0</v>
      </c>
      <c r="G50" s="729">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22" t="str">
        <f>CONCATENATE("x ", F50," units = ")</f>
        <v xml:space="preserve">x 0 units = </v>
      </c>
      <c r="I50" s="730">
        <f>F50*G50</f>
        <v>0</v>
      </c>
      <c r="J50" s="58"/>
      <c r="K50" s="728">
        <f>'Part VI-Revenues &amp; Expenses'!$L$107</f>
        <v>0</v>
      </c>
      <c r="L50" s="729">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22" t="str">
        <f>CONCATENATE("x ", K50," units = ")</f>
        <v xml:space="preserve">x 0 units = </v>
      </c>
      <c r="N50" s="730">
        <f>K50*L50</f>
        <v>0</v>
      </c>
      <c r="O50" s="455"/>
      <c r="P50" s="1906"/>
      <c r="Q50" s="1907"/>
      <c r="R50" s="304"/>
      <c r="S50" s="1923"/>
      <c r="T50" s="1923"/>
      <c r="U50" s="1923"/>
      <c r="V50" s="1923"/>
      <c r="AA50" s="359"/>
      <c r="AB50" s="359"/>
      <c r="AC50" s="359"/>
      <c r="AD50" s="359"/>
      <c r="AE50" s="359"/>
      <c r="AF50" s="359"/>
      <c r="AG50" s="523"/>
      <c r="AH50" s="344"/>
      <c r="AI50" s="344"/>
      <c r="AJ50" s="344"/>
      <c r="AK50" s="344"/>
      <c r="AL50" s="344"/>
      <c r="AM50" s="344"/>
      <c r="AN50" s="344"/>
      <c r="AO50" s="344"/>
      <c r="AP50" s="344"/>
      <c r="AQ50" s="344"/>
      <c r="AR50" s="344"/>
      <c r="AS50" s="344"/>
      <c r="AT50" s="344"/>
      <c r="AU50" s="344"/>
      <c r="AV50" s="344"/>
      <c r="AW50" s="344"/>
      <c r="AX50" s="344"/>
      <c r="AY50" s="344"/>
      <c r="AZ50" s="344"/>
      <c r="BA50" s="344"/>
      <c r="BB50" s="344"/>
      <c r="BC50" s="344"/>
      <c r="BD50" s="344"/>
      <c r="BE50" s="344"/>
      <c r="BF50" s="344"/>
      <c r="BG50" s="344"/>
      <c r="BH50" s="344"/>
      <c r="BI50" s="344"/>
      <c r="BJ50" s="344"/>
      <c r="BK50" s="344"/>
      <c r="BL50" s="344"/>
      <c r="BM50" s="344"/>
      <c r="BN50" s="344"/>
      <c r="BO50" s="344"/>
      <c r="BP50" s="344"/>
      <c r="BQ50" s="344"/>
      <c r="BR50" s="344"/>
      <c r="BS50" s="344"/>
      <c r="BT50" s="344"/>
      <c r="BU50" s="344"/>
      <c r="BV50" s="344"/>
      <c r="BW50" s="344"/>
      <c r="BX50" s="344"/>
      <c r="BY50" s="344"/>
      <c r="BZ50" s="344"/>
      <c r="CA50" s="344"/>
      <c r="CB50" s="344"/>
      <c r="CC50" s="344"/>
      <c r="CD50" s="344"/>
      <c r="CE50" s="344"/>
      <c r="CF50" s="344"/>
      <c r="CG50" s="344"/>
      <c r="CH50" s="344"/>
      <c r="CI50" s="344"/>
      <c r="CJ50" s="344"/>
      <c r="CK50" s="344"/>
      <c r="CL50" s="344"/>
      <c r="CM50" s="344"/>
      <c r="CN50" s="344"/>
      <c r="CO50" s="344"/>
      <c r="CP50" s="344"/>
      <c r="CQ50" s="344"/>
      <c r="CR50" s="344"/>
      <c r="CS50" s="344"/>
      <c r="CT50" s="344"/>
      <c r="CU50" s="344"/>
      <c r="CV50" s="344"/>
      <c r="CW50" s="344"/>
      <c r="CX50" s="344"/>
      <c r="CY50" s="344"/>
      <c r="CZ50" s="344"/>
      <c r="DA50" s="344"/>
      <c r="DB50" s="344"/>
      <c r="DC50" s="344"/>
      <c r="DD50" s="344"/>
      <c r="DE50" s="344"/>
      <c r="DF50" s="344"/>
      <c r="DG50" s="344"/>
      <c r="DH50" s="344"/>
      <c r="DI50" s="344"/>
      <c r="DJ50" s="344"/>
      <c r="DK50" s="344"/>
      <c r="DL50" s="344"/>
      <c r="DM50" s="344"/>
      <c r="DN50" s="344"/>
      <c r="DO50" s="344"/>
      <c r="DP50" s="344"/>
      <c r="DQ50" s="344"/>
      <c r="DR50" s="344"/>
      <c r="DS50" s="344"/>
      <c r="DT50" s="344"/>
      <c r="DU50" s="344"/>
      <c r="DV50" s="344"/>
      <c r="DW50" s="344"/>
      <c r="DX50" s="344"/>
      <c r="DY50" s="344"/>
      <c r="DZ50" s="344"/>
      <c r="EA50" s="344"/>
      <c r="EB50" s="344"/>
      <c r="EC50" s="344"/>
      <c r="ED50" s="344"/>
      <c r="EE50" s="344"/>
      <c r="EF50" s="344"/>
      <c r="EG50" s="344"/>
      <c r="EH50" s="344"/>
      <c r="EI50" s="344"/>
      <c r="EJ50" s="344"/>
      <c r="EK50" s="344"/>
      <c r="EL50" s="344"/>
      <c r="EM50" s="344"/>
      <c r="EN50" s="344"/>
      <c r="EO50" s="344"/>
      <c r="EP50" s="344"/>
      <c r="EQ50" s="344"/>
      <c r="ER50" s="344"/>
      <c r="ES50" s="344"/>
      <c r="ET50" s="344"/>
      <c r="EU50" s="344"/>
      <c r="EV50" s="344"/>
      <c r="EW50" s="344"/>
      <c r="EX50" s="344"/>
      <c r="EY50" s="344"/>
      <c r="EZ50" s="344"/>
      <c r="FA50" s="344"/>
      <c r="FB50" s="344"/>
      <c r="FC50" s="344"/>
      <c r="FD50" s="344"/>
      <c r="FE50" s="344"/>
      <c r="FF50" s="344"/>
      <c r="FG50" s="344"/>
      <c r="FH50" s="344"/>
      <c r="FI50" s="344"/>
      <c r="FJ50" s="344"/>
      <c r="FK50" s="344"/>
      <c r="FL50" s="344"/>
      <c r="FM50" s="344"/>
      <c r="FN50" s="344"/>
      <c r="FO50" s="344"/>
      <c r="FP50" s="344"/>
      <c r="FQ50" s="344"/>
      <c r="FR50" s="344"/>
      <c r="FS50" s="344"/>
      <c r="FT50" s="344"/>
      <c r="FU50" s="344"/>
      <c r="FV50" s="344"/>
      <c r="FW50" s="344"/>
      <c r="FX50" s="344"/>
      <c r="FY50" s="344"/>
      <c r="FZ50" s="344"/>
      <c r="GA50" s="344"/>
      <c r="GB50" s="344"/>
      <c r="GC50" s="344"/>
      <c r="GD50" s="344"/>
      <c r="GE50" s="344"/>
      <c r="GF50" s="344"/>
      <c r="GG50" s="344"/>
      <c r="GH50" s="344"/>
      <c r="GI50" s="344"/>
      <c r="GJ50" s="344"/>
      <c r="GK50" s="344"/>
      <c r="GL50" s="344"/>
      <c r="GM50" s="344"/>
      <c r="GN50" s="344"/>
      <c r="GO50" s="344"/>
      <c r="GP50" s="344"/>
      <c r="GQ50" s="344"/>
      <c r="GR50" s="344"/>
      <c r="GS50" s="344"/>
      <c r="GT50" s="344"/>
      <c r="GU50" s="344"/>
      <c r="GV50" s="344"/>
      <c r="GW50" s="344"/>
      <c r="GX50" s="344"/>
      <c r="GY50" s="344"/>
      <c r="GZ50" s="344"/>
      <c r="HA50" s="344"/>
      <c r="HB50" s="344"/>
      <c r="HC50" s="344"/>
      <c r="HD50" s="344"/>
      <c r="HE50" s="344"/>
      <c r="HF50" s="344"/>
      <c r="HG50" s="344"/>
      <c r="HH50" s="344"/>
      <c r="HI50" s="344"/>
      <c r="HJ50" s="344"/>
      <c r="HK50" s="344"/>
      <c r="HL50" s="344"/>
      <c r="HM50" s="344"/>
      <c r="HN50" s="344"/>
      <c r="HO50" s="344"/>
      <c r="HP50" s="344"/>
      <c r="HQ50" s="344"/>
      <c r="HR50" s="344"/>
      <c r="HS50" s="344"/>
      <c r="HT50" s="344"/>
      <c r="HU50" s="344"/>
      <c r="HV50" s="344"/>
      <c r="HW50" s="344"/>
      <c r="HX50" s="344"/>
      <c r="HY50" s="344"/>
      <c r="HZ50" s="344"/>
      <c r="IA50" s="344"/>
      <c r="IB50" s="344"/>
      <c r="IC50" s="344"/>
      <c r="ID50" s="344"/>
      <c r="IE50" s="344"/>
      <c r="IF50" s="344"/>
      <c r="IG50" s="344"/>
      <c r="IH50" s="344"/>
      <c r="II50" s="344"/>
      <c r="IJ50" s="357"/>
      <c r="IK50" s="357"/>
      <c r="IL50" s="344"/>
      <c r="IM50" s="344"/>
      <c r="IN50" s="344"/>
      <c r="IO50" s="344"/>
      <c r="IP50" s="344"/>
      <c r="IQ50" s="344"/>
      <c r="IR50" s="344"/>
      <c r="IS50" s="344"/>
      <c r="IT50" s="344"/>
      <c r="IU50" s="344"/>
      <c r="IV50" s="344"/>
      <c r="IW50" s="344"/>
      <c r="IX50" s="344"/>
      <c r="IY50" s="344"/>
      <c r="IZ50" s="344"/>
      <c r="JA50" s="357"/>
      <c r="JB50" s="344"/>
      <c r="JC50" s="344"/>
      <c r="JD50" s="102"/>
      <c r="JE50" s="102"/>
      <c r="JF50" s="102"/>
      <c r="JG50" s="102"/>
      <c r="JH50" s="102"/>
      <c r="JI50" s="102"/>
      <c r="JJ50" s="102"/>
      <c r="JK50" s="102"/>
      <c r="JL50" s="102"/>
      <c r="JM50" s="102"/>
      <c r="JN50" s="102"/>
      <c r="JO50" s="102"/>
      <c r="JP50" s="102"/>
      <c r="JQ50" s="102"/>
      <c r="JR50" s="102"/>
      <c r="JS50" s="102"/>
      <c r="JT50" s="102"/>
      <c r="JU50" s="102"/>
      <c r="JV50" s="102"/>
      <c r="JW50" s="102"/>
      <c r="JX50" s="102"/>
      <c r="JY50" s="102"/>
      <c r="JZ50" s="102"/>
      <c r="KA50" s="102"/>
      <c r="KB50" s="102"/>
      <c r="KC50" s="102"/>
      <c r="KD50" s="102"/>
      <c r="KE50" s="102"/>
      <c r="KF50" s="102"/>
      <c r="KG50" s="102"/>
      <c r="KH50" s="102"/>
      <c r="KI50" s="102"/>
    </row>
    <row r="51" spans="1:295" s="48" customFormat="1" ht="10.5" customHeight="1">
      <c r="A51" s="102"/>
      <c r="B51" s="102"/>
      <c r="C51" s="58"/>
      <c r="D51" s="726" t="s">
        <v>857</v>
      </c>
      <c r="E51" s="727">
        <v>3</v>
      </c>
      <c r="F51" s="728">
        <f>'Part VI-Revenues &amp; Expenses'!$M$106</f>
        <v>0</v>
      </c>
      <c r="G51" s="729">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22" t="str">
        <f>CONCATENATE("x ", F51," units = ")</f>
        <v xml:space="preserve">x 0 units = </v>
      </c>
      <c r="I51" s="730">
        <f>F51*G51</f>
        <v>0</v>
      </c>
      <c r="J51" s="58"/>
      <c r="K51" s="728">
        <f>'Part VI-Revenues &amp; Expenses'!$M$107</f>
        <v>0</v>
      </c>
      <c r="L51" s="729">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22" t="str">
        <f>CONCATENATE("x ", K51," units = ")</f>
        <v xml:space="preserve">x 0 units = </v>
      </c>
      <c r="N51" s="730">
        <f>K51*L51</f>
        <v>0</v>
      </c>
      <c r="O51" s="455"/>
      <c r="AA51" s="359"/>
      <c r="AB51" s="359"/>
      <c r="AC51" s="359"/>
      <c r="AD51" s="359"/>
      <c r="AE51" s="359"/>
      <c r="AF51" s="359"/>
      <c r="AG51" s="523"/>
      <c r="AH51" s="344"/>
      <c r="AI51" s="344"/>
      <c r="AJ51" s="344"/>
      <c r="AK51" s="344"/>
      <c r="AL51" s="344"/>
      <c r="AM51" s="344"/>
      <c r="AN51" s="344"/>
      <c r="AO51" s="344"/>
      <c r="AP51" s="344"/>
      <c r="AQ51" s="344"/>
      <c r="AR51" s="344"/>
      <c r="AS51" s="344"/>
      <c r="AT51" s="344"/>
      <c r="AU51" s="344"/>
      <c r="AV51" s="344"/>
      <c r="AW51" s="344"/>
      <c r="AX51" s="344"/>
      <c r="AY51" s="344"/>
      <c r="AZ51" s="344"/>
      <c r="BA51" s="344"/>
      <c r="BB51" s="344"/>
      <c r="BC51" s="344"/>
      <c r="BD51" s="344"/>
      <c r="BE51" s="344"/>
      <c r="BF51" s="344"/>
      <c r="BG51" s="344"/>
      <c r="BH51" s="344"/>
      <c r="BI51" s="344"/>
      <c r="BJ51" s="344"/>
      <c r="BK51" s="344"/>
      <c r="BL51" s="344"/>
      <c r="BM51" s="344"/>
      <c r="BN51" s="344"/>
      <c r="BO51" s="344"/>
      <c r="BP51" s="344"/>
      <c r="BQ51" s="344"/>
      <c r="BR51" s="344"/>
      <c r="BS51" s="344"/>
      <c r="BT51" s="344"/>
      <c r="BU51" s="344"/>
      <c r="BV51" s="344"/>
      <c r="BW51" s="344"/>
      <c r="BX51" s="344"/>
      <c r="BY51" s="344"/>
      <c r="BZ51" s="344"/>
      <c r="CA51" s="344"/>
      <c r="CB51" s="344"/>
      <c r="CC51" s="344"/>
      <c r="CD51" s="344"/>
      <c r="CE51" s="344"/>
      <c r="CF51" s="344"/>
      <c r="CG51" s="344"/>
      <c r="CH51" s="344"/>
      <c r="CI51" s="344"/>
      <c r="CJ51" s="344"/>
      <c r="CK51" s="344"/>
      <c r="CL51" s="344"/>
      <c r="CM51" s="344"/>
      <c r="CN51" s="344"/>
      <c r="CO51" s="344"/>
      <c r="CP51" s="344"/>
      <c r="CQ51" s="344"/>
      <c r="CR51" s="344"/>
      <c r="CS51" s="344"/>
      <c r="CT51" s="344"/>
      <c r="CU51" s="344"/>
      <c r="CV51" s="344"/>
      <c r="CW51" s="344"/>
      <c r="CX51" s="344"/>
      <c r="CY51" s="344"/>
      <c r="CZ51" s="344"/>
      <c r="DA51" s="344"/>
      <c r="DB51" s="344"/>
      <c r="DC51" s="344"/>
      <c r="DD51" s="344"/>
      <c r="DE51" s="344"/>
      <c r="DF51" s="344"/>
      <c r="DG51" s="344"/>
      <c r="DH51" s="344"/>
      <c r="DI51" s="344"/>
      <c r="DJ51" s="344"/>
      <c r="DK51" s="344"/>
      <c r="DL51" s="344"/>
      <c r="DM51" s="344"/>
      <c r="DN51" s="344"/>
      <c r="DO51" s="344"/>
      <c r="DP51" s="344"/>
      <c r="DQ51" s="344"/>
      <c r="DR51" s="344"/>
      <c r="DS51" s="344"/>
      <c r="DT51" s="344"/>
      <c r="DU51" s="344"/>
      <c r="DV51" s="344"/>
      <c r="DW51" s="344"/>
      <c r="DX51" s="344"/>
      <c r="DY51" s="344"/>
      <c r="DZ51" s="344"/>
      <c r="EA51" s="344"/>
      <c r="EB51" s="344"/>
      <c r="EC51" s="344"/>
      <c r="ED51" s="344"/>
      <c r="EE51" s="344"/>
      <c r="EF51" s="344"/>
      <c r="EG51" s="344"/>
      <c r="EH51" s="344"/>
      <c r="EI51" s="344"/>
      <c r="EJ51" s="344"/>
      <c r="EK51" s="344"/>
      <c r="EL51" s="344"/>
      <c r="EM51" s="344"/>
      <c r="EN51" s="344"/>
      <c r="EO51" s="344"/>
      <c r="EP51" s="344"/>
      <c r="EQ51" s="344"/>
      <c r="ER51" s="344"/>
      <c r="ES51" s="344"/>
      <c r="ET51" s="344"/>
      <c r="EU51" s="344"/>
      <c r="EV51" s="344"/>
      <c r="EW51" s="344"/>
      <c r="EX51" s="344"/>
      <c r="EY51" s="344"/>
      <c r="EZ51" s="344"/>
      <c r="FA51" s="344"/>
      <c r="FB51" s="344"/>
      <c r="FC51" s="344"/>
      <c r="FD51" s="344"/>
      <c r="FE51" s="344"/>
      <c r="FF51" s="344"/>
      <c r="FG51" s="344"/>
      <c r="FH51" s="344"/>
      <c r="FI51" s="344"/>
      <c r="FJ51" s="344"/>
      <c r="FK51" s="344"/>
      <c r="FL51" s="344"/>
      <c r="FM51" s="344"/>
      <c r="FN51" s="344"/>
      <c r="FO51" s="344"/>
      <c r="FP51" s="344"/>
      <c r="FQ51" s="344"/>
      <c r="FR51" s="344"/>
      <c r="FS51" s="344"/>
      <c r="FT51" s="344"/>
      <c r="FU51" s="344"/>
      <c r="FV51" s="344"/>
      <c r="FW51" s="344"/>
      <c r="FX51" s="344"/>
      <c r="FY51" s="344"/>
      <c r="FZ51" s="344"/>
      <c r="GA51" s="344"/>
      <c r="GB51" s="344"/>
      <c r="GC51" s="344"/>
      <c r="GD51" s="344"/>
      <c r="GE51" s="344"/>
      <c r="GF51" s="344"/>
      <c r="GG51" s="344"/>
      <c r="GH51" s="344"/>
      <c r="GI51" s="344"/>
      <c r="GJ51" s="344"/>
      <c r="GK51" s="344"/>
      <c r="GL51" s="344"/>
      <c r="GM51" s="344"/>
      <c r="GN51" s="344"/>
      <c r="GO51" s="344"/>
      <c r="GP51" s="344"/>
      <c r="GQ51" s="344"/>
      <c r="GR51" s="344"/>
      <c r="GS51" s="344"/>
      <c r="GT51" s="344"/>
      <c r="GU51" s="344"/>
      <c r="GV51" s="344"/>
      <c r="GW51" s="344"/>
      <c r="GX51" s="344"/>
      <c r="GY51" s="344"/>
      <c r="GZ51" s="344"/>
      <c r="HA51" s="344"/>
      <c r="HB51" s="344"/>
      <c r="HC51" s="344"/>
      <c r="HD51" s="344"/>
      <c r="HE51" s="344"/>
      <c r="HF51" s="344"/>
      <c r="HG51" s="344"/>
      <c r="HH51" s="344"/>
      <c r="HI51" s="344"/>
      <c r="HJ51" s="344"/>
      <c r="HK51" s="344"/>
      <c r="HL51" s="344"/>
      <c r="HM51" s="344"/>
      <c r="HN51" s="344"/>
      <c r="HO51" s="344"/>
      <c r="HP51" s="344"/>
      <c r="HQ51" s="344"/>
      <c r="HR51" s="344"/>
      <c r="HS51" s="344"/>
      <c r="HT51" s="344"/>
      <c r="HU51" s="344"/>
      <c r="HV51" s="344"/>
      <c r="HW51" s="344"/>
      <c r="HX51" s="344"/>
      <c r="HY51" s="344"/>
      <c r="HZ51" s="344"/>
      <c r="IA51" s="344"/>
      <c r="IB51" s="344"/>
      <c r="IC51" s="344"/>
      <c r="ID51" s="344"/>
      <c r="IE51" s="344"/>
      <c r="IF51" s="344"/>
      <c r="IG51" s="344"/>
      <c r="IH51" s="344"/>
      <c r="II51" s="344"/>
      <c r="IJ51" s="357"/>
      <c r="IK51" s="357"/>
      <c r="IL51" s="344"/>
      <c r="IM51" s="344"/>
      <c r="IN51" s="344"/>
      <c r="IO51" s="344"/>
      <c r="IP51" s="344"/>
      <c r="IQ51" s="344"/>
      <c r="IR51" s="344"/>
      <c r="IS51" s="344"/>
      <c r="IT51" s="344"/>
      <c r="IU51" s="344"/>
      <c r="IV51" s="344"/>
      <c r="IW51" s="344"/>
      <c r="IX51" s="344"/>
      <c r="IY51" s="344"/>
      <c r="IZ51" s="344"/>
      <c r="JA51" s="357"/>
      <c r="JB51" s="344"/>
      <c r="JC51" s="344"/>
      <c r="JD51" s="102"/>
      <c r="JE51" s="102"/>
      <c r="JF51" s="102"/>
      <c r="JG51" s="102"/>
      <c r="JH51" s="102"/>
      <c r="JI51" s="102"/>
      <c r="JJ51" s="102"/>
      <c r="JK51" s="102"/>
      <c r="JL51" s="102"/>
      <c r="JM51" s="102"/>
      <c r="JN51" s="102"/>
      <c r="JO51" s="102"/>
      <c r="JP51" s="102"/>
      <c r="JQ51" s="102"/>
      <c r="JR51" s="102"/>
      <c r="JS51" s="102"/>
      <c r="JT51" s="102"/>
      <c r="JU51" s="102"/>
      <c r="JV51" s="102"/>
      <c r="JW51" s="102"/>
      <c r="JX51" s="102"/>
      <c r="JY51" s="102"/>
      <c r="JZ51" s="102"/>
      <c r="KA51" s="102"/>
      <c r="KB51" s="102"/>
      <c r="KC51" s="102"/>
      <c r="KD51" s="102"/>
      <c r="KE51" s="102"/>
      <c r="KF51" s="102"/>
      <c r="KG51" s="102"/>
      <c r="KH51" s="102"/>
      <c r="KI51" s="102"/>
    </row>
    <row r="52" spans="1:295" s="48" customFormat="1" ht="10.5" customHeight="1">
      <c r="A52" s="102"/>
      <c r="B52" s="102"/>
      <c r="C52" s="58"/>
      <c r="D52" s="731" t="s">
        <v>858</v>
      </c>
      <c r="E52" s="727">
        <v>4</v>
      </c>
      <c r="F52" s="728">
        <f>'Part VI-Revenues &amp; Expenses'!$N$106</f>
        <v>0</v>
      </c>
      <c r="G52" s="729">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22" t="str">
        <f>CONCATENATE("x ", F52," units = ")</f>
        <v xml:space="preserve">x 0 units = </v>
      </c>
      <c r="I52" s="730">
        <f>F52*G52</f>
        <v>0</v>
      </c>
      <c r="J52" s="58"/>
      <c r="K52" s="728">
        <f>'Part VI-Revenues &amp; Expenses'!$N$107</f>
        <v>0</v>
      </c>
      <c r="L52" s="729">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22" t="str">
        <f>CONCATENATE("x ", K52," units = ")</f>
        <v xml:space="preserve">x 0 units = </v>
      </c>
      <c r="N52" s="730">
        <f>K52*L52</f>
        <v>0</v>
      </c>
      <c r="O52" s="455"/>
      <c r="P52" s="1891" t="s">
        <v>1291</v>
      </c>
      <c r="Q52" s="1891"/>
      <c r="AA52" s="359"/>
      <c r="AB52" s="359"/>
      <c r="AC52" s="359"/>
      <c r="AD52" s="359"/>
      <c r="AE52" s="359"/>
      <c r="AF52" s="359"/>
      <c r="AG52" s="523"/>
      <c r="AH52" s="344"/>
      <c r="AI52" s="344"/>
      <c r="AJ52" s="344"/>
      <c r="AK52" s="344"/>
      <c r="AL52" s="344"/>
      <c r="AM52" s="344"/>
      <c r="AN52" s="344"/>
      <c r="AO52" s="344"/>
      <c r="AP52" s="344"/>
      <c r="AQ52" s="344"/>
      <c r="AR52" s="344"/>
      <c r="AS52" s="344"/>
      <c r="AT52" s="344"/>
      <c r="AU52" s="344"/>
      <c r="AV52" s="344"/>
      <c r="AW52" s="344"/>
      <c r="AX52" s="344"/>
      <c r="AY52" s="344"/>
      <c r="AZ52" s="344"/>
      <c r="BA52" s="344"/>
      <c r="BB52" s="344"/>
      <c r="BC52" s="344"/>
      <c r="BD52" s="344"/>
      <c r="BE52" s="344"/>
      <c r="BF52" s="344"/>
      <c r="BG52" s="344"/>
      <c r="BH52" s="344"/>
      <c r="BI52" s="344"/>
      <c r="BJ52" s="344"/>
      <c r="BK52" s="344"/>
      <c r="BL52" s="344"/>
      <c r="BM52" s="344"/>
      <c r="BN52" s="344"/>
      <c r="BO52" s="344"/>
      <c r="BP52" s="344"/>
      <c r="BQ52" s="344"/>
      <c r="BR52" s="344"/>
      <c r="BS52" s="344"/>
      <c r="BT52" s="344"/>
      <c r="BU52" s="344"/>
      <c r="BV52" s="344"/>
      <c r="BW52" s="344"/>
      <c r="BX52" s="344"/>
      <c r="BY52" s="344"/>
      <c r="BZ52" s="344"/>
      <c r="CA52" s="344"/>
      <c r="CB52" s="344"/>
      <c r="CC52" s="344"/>
      <c r="CD52" s="344"/>
      <c r="CE52" s="344"/>
      <c r="CF52" s="344"/>
      <c r="CG52" s="344"/>
      <c r="CH52" s="344"/>
      <c r="CI52" s="344"/>
      <c r="CJ52" s="344"/>
      <c r="CK52" s="344"/>
      <c r="CL52" s="344"/>
      <c r="CM52" s="344"/>
      <c r="CN52" s="344"/>
      <c r="CO52" s="344"/>
      <c r="CP52" s="344"/>
      <c r="CQ52" s="344"/>
      <c r="CR52" s="344"/>
      <c r="CS52" s="344"/>
      <c r="CT52" s="344"/>
      <c r="CU52" s="344"/>
      <c r="CV52" s="344"/>
      <c r="CW52" s="344"/>
      <c r="CX52" s="344"/>
      <c r="CY52" s="344"/>
      <c r="CZ52" s="344"/>
      <c r="DA52" s="344"/>
      <c r="DB52" s="344"/>
      <c r="DC52" s="344"/>
      <c r="DD52" s="344"/>
      <c r="DE52" s="344"/>
      <c r="DF52" s="344"/>
      <c r="DG52" s="344"/>
      <c r="DH52" s="344"/>
      <c r="DI52" s="344"/>
      <c r="DJ52" s="344"/>
      <c r="DK52" s="344"/>
      <c r="DL52" s="344"/>
      <c r="DM52" s="344"/>
      <c r="DN52" s="344"/>
      <c r="DO52" s="344"/>
      <c r="DP52" s="344"/>
      <c r="DQ52" s="344"/>
      <c r="DR52" s="344"/>
      <c r="DS52" s="344"/>
      <c r="DT52" s="344"/>
      <c r="DU52" s="344"/>
      <c r="DV52" s="344"/>
      <c r="DW52" s="344"/>
      <c r="DX52" s="344"/>
      <c r="DY52" s="344"/>
      <c r="DZ52" s="344"/>
      <c r="EA52" s="344"/>
      <c r="EB52" s="344"/>
      <c r="EC52" s="344"/>
      <c r="ED52" s="344"/>
      <c r="EE52" s="344"/>
      <c r="EF52" s="344"/>
      <c r="EG52" s="344"/>
      <c r="EH52" s="344"/>
      <c r="EI52" s="344"/>
      <c r="EJ52" s="344"/>
      <c r="EK52" s="344"/>
      <c r="EL52" s="344"/>
      <c r="EM52" s="344"/>
      <c r="EN52" s="344"/>
      <c r="EO52" s="344"/>
      <c r="EP52" s="344"/>
      <c r="EQ52" s="344"/>
      <c r="ER52" s="344"/>
      <c r="ES52" s="344"/>
      <c r="ET52" s="344"/>
      <c r="EU52" s="344"/>
      <c r="EV52" s="344"/>
      <c r="EW52" s="344"/>
      <c r="EX52" s="344"/>
      <c r="EY52" s="344"/>
      <c r="EZ52" s="344"/>
      <c r="FA52" s="344"/>
      <c r="FB52" s="344"/>
      <c r="FC52" s="344"/>
      <c r="FD52" s="344"/>
      <c r="FE52" s="344"/>
      <c r="FF52" s="344"/>
      <c r="FG52" s="344"/>
      <c r="FH52" s="344"/>
      <c r="FI52" s="344"/>
      <c r="FJ52" s="344"/>
      <c r="FK52" s="344"/>
      <c r="FL52" s="344"/>
      <c r="FM52" s="344"/>
      <c r="FN52" s="344"/>
      <c r="FO52" s="344"/>
      <c r="FP52" s="344"/>
      <c r="FQ52" s="344"/>
      <c r="FR52" s="344"/>
      <c r="FS52" s="344"/>
      <c r="FT52" s="344"/>
      <c r="FU52" s="344"/>
      <c r="FV52" s="344"/>
      <c r="FW52" s="344"/>
      <c r="FX52" s="344"/>
      <c r="FY52" s="344"/>
      <c r="FZ52" s="344"/>
      <c r="GA52" s="344"/>
      <c r="GB52" s="344"/>
      <c r="GC52" s="344"/>
      <c r="GD52" s="344"/>
      <c r="GE52" s="344"/>
      <c r="GF52" s="344"/>
      <c r="GG52" s="344"/>
      <c r="GH52" s="344"/>
      <c r="GI52" s="344"/>
      <c r="GJ52" s="344"/>
      <c r="GK52" s="344"/>
      <c r="GL52" s="344"/>
      <c r="GM52" s="344"/>
      <c r="GN52" s="344"/>
      <c r="GO52" s="344"/>
      <c r="GP52" s="344"/>
      <c r="GQ52" s="344"/>
      <c r="GR52" s="344"/>
      <c r="GS52" s="344"/>
      <c r="GT52" s="344"/>
      <c r="GU52" s="344"/>
      <c r="GV52" s="344"/>
      <c r="GW52" s="344"/>
      <c r="GX52" s="344"/>
      <c r="GY52" s="344"/>
      <c r="GZ52" s="344"/>
      <c r="HA52" s="344"/>
      <c r="HB52" s="344"/>
      <c r="HC52" s="344"/>
      <c r="HD52" s="344"/>
      <c r="HE52" s="344"/>
      <c r="HF52" s="344"/>
      <c r="HG52" s="344"/>
      <c r="HH52" s="344"/>
      <c r="HI52" s="344"/>
      <c r="HJ52" s="344"/>
      <c r="HK52" s="344"/>
      <c r="HL52" s="344"/>
      <c r="HM52" s="344"/>
      <c r="HN52" s="344"/>
      <c r="HO52" s="344"/>
      <c r="HP52" s="344"/>
      <c r="HQ52" s="344"/>
      <c r="HR52" s="344"/>
      <c r="HS52" s="344"/>
      <c r="HT52" s="344"/>
      <c r="HU52" s="344"/>
      <c r="HV52" s="344"/>
      <c r="HW52" s="344"/>
      <c r="HX52" s="344"/>
      <c r="HY52" s="344"/>
      <c r="HZ52" s="344"/>
      <c r="IA52" s="344"/>
      <c r="IB52" s="344"/>
      <c r="IC52" s="344"/>
      <c r="ID52" s="344"/>
      <c r="IE52" s="344"/>
      <c r="IF52" s="344"/>
      <c r="IG52" s="344"/>
      <c r="IH52" s="344"/>
      <c r="II52" s="344"/>
      <c r="IJ52" s="357"/>
      <c r="IK52" s="357"/>
      <c r="IL52" s="344"/>
      <c r="IM52" s="344"/>
      <c r="IN52" s="344"/>
      <c r="IO52" s="344"/>
      <c r="IP52" s="344"/>
      <c r="IQ52" s="344"/>
      <c r="IR52" s="344"/>
      <c r="IS52" s="344"/>
      <c r="IT52" s="344"/>
      <c r="IU52" s="344"/>
      <c r="IV52" s="344"/>
      <c r="IW52" s="344"/>
      <c r="IX52" s="344"/>
      <c r="IY52" s="344"/>
      <c r="IZ52" s="344"/>
      <c r="JA52" s="357"/>
      <c r="JB52" s="344"/>
      <c r="JC52" s="344"/>
      <c r="JD52" s="102"/>
      <c r="JE52" s="102"/>
      <c r="JF52" s="102"/>
      <c r="JG52" s="102"/>
      <c r="JH52" s="102"/>
      <c r="JI52" s="102"/>
      <c r="JJ52" s="102"/>
      <c r="JK52" s="102"/>
      <c r="JL52" s="102"/>
      <c r="JM52" s="102"/>
      <c r="JN52" s="102"/>
      <c r="JO52" s="102"/>
      <c r="JP52" s="102"/>
      <c r="JQ52" s="102"/>
      <c r="JR52" s="102"/>
      <c r="JS52" s="102"/>
      <c r="JT52" s="102"/>
      <c r="JU52" s="102"/>
      <c r="JV52" s="102"/>
      <c r="JW52" s="102"/>
      <c r="JX52" s="102"/>
      <c r="JY52" s="102"/>
      <c r="JZ52" s="102"/>
      <c r="KA52" s="102"/>
      <c r="KB52" s="102"/>
      <c r="KC52" s="102"/>
      <c r="KD52" s="102"/>
      <c r="KE52" s="102"/>
      <c r="KF52" s="102"/>
      <c r="KG52" s="102"/>
      <c r="KH52" s="102"/>
      <c r="KI52" s="102"/>
    </row>
    <row r="53" spans="1:295" s="48" customFormat="1" ht="10.5" customHeight="1">
      <c r="A53" s="102"/>
      <c r="B53" s="102"/>
      <c r="C53" s="58"/>
      <c r="D53" s="468" t="s">
        <v>1289</v>
      </c>
      <c r="E53" s="310"/>
      <c r="F53" s="982">
        <f>SUM(F48:F52)</f>
        <v>0</v>
      </c>
      <c r="G53" s="504"/>
      <c r="H53" s="983"/>
      <c r="I53" s="984">
        <f>SUM(I48:I52)</f>
        <v>0</v>
      </c>
      <c r="J53" s="985"/>
      <c r="K53" s="982">
        <f>SUM(K48:K52)</f>
        <v>0</v>
      </c>
      <c r="L53" s="985"/>
      <c r="M53" s="983"/>
      <c r="N53" s="984">
        <f>SUM(N48:N52)</f>
        <v>0</v>
      </c>
      <c r="O53" s="455"/>
      <c r="P53" s="988" t="s">
        <v>1292</v>
      </c>
      <c r="Q53" s="988" t="s">
        <v>1293</v>
      </c>
      <c r="R53" s="304"/>
      <c r="AA53" s="359"/>
      <c r="AB53" s="359"/>
      <c r="AC53" s="359"/>
      <c r="AD53" s="359"/>
      <c r="AE53" s="359"/>
      <c r="AF53" s="359"/>
      <c r="AG53" s="523"/>
      <c r="AH53" s="344"/>
      <c r="AI53" s="344"/>
      <c r="AJ53" s="344"/>
      <c r="AK53" s="344"/>
      <c r="AL53" s="344"/>
      <c r="AM53" s="344"/>
      <c r="AN53" s="344"/>
      <c r="AO53" s="344"/>
      <c r="AP53" s="344"/>
      <c r="AQ53" s="344"/>
      <c r="AR53" s="344"/>
      <c r="AS53" s="344"/>
      <c r="AT53" s="344"/>
      <c r="AU53" s="344"/>
      <c r="AV53" s="344"/>
      <c r="AW53" s="344"/>
      <c r="AX53" s="344"/>
      <c r="AY53" s="344"/>
      <c r="AZ53" s="344"/>
      <c r="BA53" s="344"/>
      <c r="BB53" s="344"/>
      <c r="BC53" s="344"/>
      <c r="BD53" s="344"/>
      <c r="BE53" s="344"/>
      <c r="BF53" s="344"/>
      <c r="BG53" s="344"/>
      <c r="BH53" s="344"/>
      <c r="BI53" s="344"/>
      <c r="BJ53" s="344"/>
      <c r="BK53" s="344"/>
      <c r="BL53" s="344"/>
      <c r="BM53" s="344"/>
      <c r="BN53" s="344"/>
      <c r="BO53" s="344"/>
      <c r="BP53" s="344"/>
      <c r="BQ53" s="344"/>
      <c r="BR53" s="344"/>
      <c r="BS53" s="344"/>
      <c r="BT53" s="344"/>
      <c r="BU53" s="344"/>
      <c r="BV53" s="344"/>
      <c r="BW53" s="344"/>
      <c r="BX53" s="344"/>
      <c r="BY53" s="344"/>
      <c r="BZ53" s="344"/>
      <c r="CA53" s="344"/>
      <c r="CB53" s="344"/>
      <c r="CC53" s="344"/>
      <c r="CD53" s="344"/>
      <c r="CE53" s="344"/>
      <c r="CF53" s="344"/>
      <c r="CG53" s="344"/>
      <c r="CH53" s="344"/>
      <c r="CI53" s="344"/>
      <c r="CJ53" s="344"/>
      <c r="CK53" s="344"/>
      <c r="CL53" s="344"/>
      <c r="CM53" s="344"/>
      <c r="CN53" s="344"/>
      <c r="CO53" s="344"/>
      <c r="CP53" s="344"/>
      <c r="CQ53" s="344"/>
      <c r="CR53" s="344"/>
      <c r="CS53" s="344"/>
      <c r="CT53" s="344"/>
      <c r="CU53" s="344"/>
      <c r="CV53" s="344"/>
      <c r="CW53" s="344"/>
      <c r="CX53" s="344"/>
      <c r="CY53" s="344"/>
      <c r="CZ53" s="344"/>
      <c r="DA53" s="344"/>
      <c r="DB53" s="344"/>
      <c r="DC53" s="344"/>
      <c r="DD53" s="344"/>
      <c r="DE53" s="344"/>
      <c r="DF53" s="344"/>
      <c r="DG53" s="344"/>
      <c r="DH53" s="344"/>
      <c r="DI53" s="344"/>
      <c r="DJ53" s="344"/>
      <c r="DK53" s="344"/>
      <c r="DL53" s="344"/>
      <c r="DM53" s="344"/>
      <c r="DN53" s="344"/>
      <c r="DO53" s="344"/>
      <c r="DP53" s="344"/>
      <c r="DQ53" s="344"/>
      <c r="DR53" s="344"/>
      <c r="DS53" s="344"/>
      <c r="DT53" s="344"/>
      <c r="DU53" s="344"/>
      <c r="DV53" s="344"/>
      <c r="DW53" s="344"/>
      <c r="DX53" s="344"/>
      <c r="DY53" s="344"/>
      <c r="DZ53" s="344"/>
      <c r="EA53" s="344"/>
      <c r="EB53" s="344"/>
      <c r="EC53" s="344"/>
      <c r="ED53" s="344"/>
      <c r="EE53" s="344"/>
      <c r="EF53" s="344"/>
      <c r="EG53" s="344"/>
      <c r="EH53" s="344"/>
      <c r="EI53" s="344"/>
      <c r="EJ53" s="344"/>
      <c r="EK53" s="344"/>
      <c r="EL53" s="344"/>
      <c r="EM53" s="344"/>
      <c r="EN53" s="344"/>
      <c r="EO53" s="344"/>
      <c r="EP53" s="344"/>
      <c r="EQ53" s="344"/>
      <c r="ER53" s="344"/>
      <c r="ES53" s="344"/>
      <c r="ET53" s="344"/>
      <c r="EU53" s="344"/>
      <c r="EV53" s="344"/>
      <c r="EW53" s="344"/>
      <c r="EX53" s="344"/>
      <c r="EY53" s="344"/>
      <c r="EZ53" s="344"/>
      <c r="FA53" s="344"/>
      <c r="FB53" s="344"/>
      <c r="FC53" s="344"/>
      <c r="FD53" s="344"/>
      <c r="FE53" s="344"/>
      <c r="FF53" s="344"/>
      <c r="FG53" s="344"/>
      <c r="FH53" s="344"/>
      <c r="FI53" s="344"/>
      <c r="FJ53" s="344"/>
      <c r="FK53" s="344"/>
      <c r="FL53" s="344"/>
      <c r="FM53" s="344"/>
      <c r="FN53" s="344"/>
      <c r="FO53" s="344"/>
      <c r="FP53" s="344"/>
      <c r="FQ53" s="344"/>
      <c r="FR53" s="344"/>
      <c r="FS53" s="344"/>
      <c r="FT53" s="344"/>
      <c r="FU53" s="344"/>
      <c r="FV53" s="344"/>
      <c r="FW53" s="344"/>
      <c r="FX53" s="344"/>
      <c r="FY53" s="344"/>
      <c r="FZ53" s="344"/>
      <c r="GA53" s="344"/>
      <c r="GB53" s="344"/>
      <c r="GC53" s="344"/>
      <c r="GD53" s="344"/>
      <c r="GE53" s="344"/>
      <c r="GF53" s="344"/>
      <c r="GG53" s="344"/>
      <c r="GH53" s="344"/>
      <c r="GI53" s="344"/>
      <c r="GJ53" s="344"/>
      <c r="GK53" s="344"/>
      <c r="GL53" s="344"/>
      <c r="GM53" s="344"/>
      <c r="GN53" s="344"/>
      <c r="GO53" s="344"/>
      <c r="GP53" s="344"/>
      <c r="GQ53" s="344"/>
      <c r="GR53" s="344"/>
      <c r="GS53" s="344"/>
      <c r="GT53" s="344"/>
      <c r="GU53" s="344"/>
      <c r="GV53" s="344"/>
      <c r="GW53" s="344"/>
      <c r="GX53" s="344"/>
      <c r="GY53" s="344"/>
      <c r="GZ53" s="344"/>
      <c r="HA53" s="344"/>
      <c r="HB53" s="344"/>
      <c r="HC53" s="344"/>
      <c r="HD53" s="344"/>
      <c r="HE53" s="344"/>
      <c r="HF53" s="344"/>
      <c r="HG53" s="344"/>
      <c r="HH53" s="344"/>
      <c r="HI53" s="344"/>
      <c r="HJ53" s="344"/>
      <c r="HK53" s="344"/>
      <c r="HL53" s="344"/>
      <c r="HM53" s="344"/>
      <c r="HN53" s="344"/>
      <c r="HO53" s="344"/>
      <c r="HP53" s="344"/>
      <c r="HQ53" s="344"/>
      <c r="HR53" s="344"/>
      <c r="HS53" s="344"/>
      <c r="HT53" s="344"/>
      <c r="HU53" s="344"/>
      <c r="HV53" s="344"/>
      <c r="HW53" s="344"/>
      <c r="HX53" s="344"/>
      <c r="HY53" s="344"/>
      <c r="HZ53" s="344"/>
      <c r="IA53" s="344"/>
      <c r="IB53" s="344"/>
      <c r="IC53" s="344"/>
      <c r="ID53" s="344"/>
      <c r="IE53" s="344"/>
      <c r="IF53" s="344"/>
      <c r="IG53" s="344"/>
      <c r="IH53" s="344"/>
      <c r="II53" s="344"/>
      <c r="IJ53" s="357"/>
      <c r="IK53" s="357"/>
      <c r="IL53" s="344"/>
      <c r="IM53" s="344"/>
      <c r="IN53" s="344"/>
      <c r="IO53" s="344"/>
      <c r="IP53" s="344"/>
      <c r="IQ53" s="344"/>
      <c r="IR53" s="344"/>
      <c r="IS53" s="344"/>
      <c r="IT53" s="344"/>
      <c r="IU53" s="344"/>
      <c r="IV53" s="344"/>
      <c r="IW53" s="344"/>
      <c r="IX53" s="344"/>
      <c r="IY53" s="344"/>
      <c r="IZ53" s="344"/>
      <c r="JA53" s="357"/>
      <c r="JB53" s="344"/>
      <c r="JC53" s="344"/>
      <c r="JD53" s="102"/>
      <c r="JE53" s="102"/>
      <c r="JF53" s="102"/>
      <c r="JG53" s="102"/>
      <c r="JH53" s="102"/>
      <c r="JI53" s="102"/>
      <c r="JJ53" s="102"/>
      <c r="JK53" s="102"/>
      <c r="JL53" s="102"/>
      <c r="JM53" s="102"/>
      <c r="JN53" s="102"/>
      <c r="JO53" s="102"/>
      <c r="JP53" s="102"/>
      <c r="JQ53" s="102"/>
      <c r="JR53" s="102"/>
      <c r="JS53" s="102"/>
      <c r="JT53" s="102"/>
      <c r="JU53" s="102"/>
      <c r="JV53" s="102"/>
      <c r="JW53" s="102"/>
      <c r="JX53" s="102"/>
      <c r="JY53" s="102"/>
      <c r="JZ53" s="102"/>
      <c r="KA53" s="102"/>
      <c r="KB53" s="102"/>
      <c r="KC53" s="102"/>
      <c r="KD53" s="102"/>
      <c r="KE53" s="102"/>
      <c r="KF53" s="102"/>
      <c r="KG53" s="102"/>
      <c r="KH53" s="102"/>
      <c r="KI53" s="102"/>
    </row>
    <row r="54" spans="1:295" s="48" customFormat="1" ht="1.5" customHeight="1">
      <c r="A54" s="102"/>
      <c r="C54" s="58"/>
      <c r="D54" s="437"/>
      <c r="E54" s="437"/>
      <c r="F54" s="505"/>
      <c r="G54" s="98"/>
      <c r="H54" s="102"/>
      <c r="I54" s="1538"/>
      <c r="J54" s="102"/>
      <c r="K54" s="505"/>
      <c r="L54" s="102"/>
      <c r="M54" s="1532"/>
      <c r="N54" s="1538"/>
      <c r="O54" s="455"/>
      <c r="R54" s="304"/>
      <c r="W54" s="346"/>
      <c r="X54" s="349"/>
      <c r="Y54" s="346"/>
      <c r="Z54" s="358"/>
      <c r="AA54" s="359"/>
      <c r="AB54" s="359"/>
      <c r="AC54" s="359"/>
      <c r="AD54" s="359"/>
      <c r="AE54" s="359"/>
      <c r="AF54" s="359"/>
      <c r="AG54" s="523"/>
      <c r="AH54" s="344"/>
      <c r="AI54" s="344"/>
      <c r="AJ54" s="344"/>
      <c r="AK54" s="344"/>
      <c r="AL54" s="344"/>
      <c r="AM54" s="344"/>
      <c r="AN54" s="344"/>
      <c r="AO54" s="344"/>
      <c r="AP54" s="344"/>
      <c r="AQ54" s="344"/>
      <c r="AR54" s="344"/>
      <c r="AS54" s="344"/>
      <c r="AT54" s="344"/>
      <c r="AU54" s="344"/>
      <c r="AV54" s="344"/>
      <c r="AW54" s="344"/>
      <c r="AX54" s="344"/>
      <c r="AY54" s="344"/>
      <c r="AZ54" s="344"/>
      <c r="BA54" s="344"/>
      <c r="BB54" s="344"/>
      <c r="BC54" s="344"/>
      <c r="BD54" s="344"/>
      <c r="BE54" s="344"/>
      <c r="BF54" s="344"/>
      <c r="BG54" s="344"/>
      <c r="BH54" s="344"/>
      <c r="BI54" s="344"/>
      <c r="BJ54" s="344"/>
      <c r="BK54" s="344"/>
      <c r="BL54" s="344"/>
      <c r="BM54" s="344"/>
      <c r="BN54" s="344"/>
      <c r="BO54" s="344"/>
      <c r="BP54" s="344"/>
      <c r="BQ54" s="344"/>
      <c r="BR54" s="344"/>
      <c r="BS54" s="344"/>
      <c r="BT54" s="344"/>
      <c r="BU54" s="344"/>
      <c r="BV54" s="344"/>
      <c r="BW54" s="344"/>
      <c r="BX54" s="344"/>
      <c r="BY54" s="344"/>
      <c r="BZ54" s="344"/>
      <c r="CA54" s="344"/>
      <c r="CB54" s="344"/>
      <c r="CC54" s="344"/>
      <c r="CD54" s="344"/>
      <c r="CE54" s="344"/>
      <c r="CF54" s="344"/>
      <c r="CG54" s="344"/>
      <c r="CH54" s="344"/>
      <c r="CI54" s="344"/>
      <c r="CJ54" s="344"/>
      <c r="CK54" s="344"/>
      <c r="CL54" s="344"/>
      <c r="CM54" s="344"/>
      <c r="CN54" s="344"/>
      <c r="CO54" s="344"/>
      <c r="CP54" s="344"/>
      <c r="CQ54" s="344"/>
      <c r="CR54" s="344"/>
      <c r="CS54" s="344"/>
      <c r="CT54" s="344"/>
      <c r="CU54" s="344"/>
      <c r="CV54" s="344"/>
      <c r="CW54" s="344"/>
      <c r="CX54" s="344"/>
      <c r="CY54" s="344"/>
      <c r="CZ54" s="344"/>
      <c r="DA54" s="344"/>
      <c r="DB54" s="344"/>
      <c r="DC54" s="344"/>
      <c r="DD54" s="344"/>
      <c r="DE54" s="344"/>
      <c r="DF54" s="344"/>
      <c r="DG54" s="344"/>
      <c r="DH54" s="344"/>
      <c r="DI54" s="344"/>
      <c r="DJ54" s="344"/>
      <c r="DK54" s="344"/>
      <c r="DL54" s="344"/>
      <c r="DM54" s="344"/>
      <c r="DN54" s="344"/>
      <c r="DO54" s="344"/>
      <c r="DP54" s="344"/>
      <c r="DQ54" s="344"/>
      <c r="DR54" s="344"/>
      <c r="DS54" s="344"/>
      <c r="DT54" s="344"/>
      <c r="DU54" s="344"/>
      <c r="DV54" s="344"/>
      <c r="DW54" s="344"/>
      <c r="DX54" s="344"/>
      <c r="DY54" s="344"/>
      <c r="DZ54" s="344"/>
      <c r="EA54" s="344"/>
      <c r="EB54" s="344"/>
      <c r="EC54" s="344"/>
      <c r="ED54" s="344"/>
      <c r="EE54" s="344"/>
      <c r="EF54" s="344"/>
      <c r="EG54" s="344"/>
      <c r="EH54" s="344"/>
      <c r="EI54" s="344"/>
      <c r="EJ54" s="344"/>
      <c r="EK54" s="344"/>
      <c r="EL54" s="344"/>
      <c r="EM54" s="344"/>
      <c r="EN54" s="344"/>
      <c r="EO54" s="344"/>
      <c r="EP54" s="344"/>
      <c r="EQ54" s="344"/>
      <c r="ER54" s="344"/>
      <c r="ES54" s="344"/>
      <c r="ET54" s="344"/>
      <c r="EU54" s="344"/>
      <c r="EV54" s="344"/>
      <c r="EW54" s="344"/>
      <c r="EX54" s="344"/>
      <c r="EY54" s="344"/>
      <c r="EZ54" s="344"/>
      <c r="FA54" s="344"/>
      <c r="FB54" s="344"/>
      <c r="FC54" s="344"/>
      <c r="FD54" s="344"/>
      <c r="FE54" s="344"/>
      <c r="FF54" s="344"/>
      <c r="FG54" s="344"/>
      <c r="FH54" s="344"/>
      <c r="FI54" s="344"/>
      <c r="FJ54" s="344"/>
      <c r="FK54" s="344"/>
      <c r="FL54" s="344"/>
      <c r="FM54" s="344"/>
      <c r="FN54" s="344"/>
      <c r="FO54" s="344"/>
      <c r="FP54" s="344"/>
      <c r="FQ54" s="344"/>
      <c r="FR54" s="344"/>
      <c r="FS54" s="344"/>
      <c r="FT54" s="344"/>
      <c r="FU54" s="344"/>
      <c r="FV54" s="344"/>
      <c r="FW54" s="344"/>
      <c r="FX54" s="344"/>
      <c r="FY54" s="344"/>
      <c r="FZ54" s="344"/>
      <c r="GA54" s="344"/>
      <c r="GB54" s="344"/>
      <c r="GC54" s="344"/>
      <c r="GD54" s="344"/>
      <c r="GE54" s="344"/>
      <c r="GF54" s="344"/>
      <c r="GG54" s="344"/>
      <c r="GH54" s="344"/>
      <c r="GI54" s="344"/>
      <c r="GJ54" s="344"/>
      <c r="GK54" s="344"/>
      <c r="GL54" s="344"/>
      <c r="GM54" s="344"/>
      <c r="GN54" s="344"/>
      <c r="GO54" s="344"/>
      <c r="GP54" s="344"/>
      <c r="GQ54" s="344"/>
      <c r="GR54" s="344"/>
      <c r="GS54" s="344"/>
      <c r="GT54" s="344"/>
      <c r="GU54" s="344"/>
      <c r="GV54" s="344"/>
      <c r="GW54" s="344"/>
      <c r="GX54" s="344"/>
      <c r="GY54" s="344"/>
      <c r="GZ54" s="344"/>
      <c r="HA54" s="344"/>
      <c r="HB54" s="344"/>
      <c r="HC54" s="344"/>
      <c r="HD54" s="344"/>
      <c r="HE54" s="344"/>
      <c r="HF54" s="344"/>
      <c r="HG54" s="344"/>
      <c r="HH54" s="344"/>
      <c r="HI54" s="344"/>
      <c r="HJ54" s="344"/>
      <c r="HK54" s="344"/>
      <c r="HL54" s="344"/>
      <c r="HM54" s="344"/>
      <c r="HN54" s="344"/>
      <c r="HO54" s="344"/>
      <c r="HP54" s="344"/>
      <c r="HQ54" s="344"/>
      <c r="HR54" s="344"/>
      <c r="HS54" s="344"/>
      <c r="HT54" s="344"/>
      <c r="HU54" s="344"/>
      <c r="HV54" s="344"/>
      <c r="HW54" s="344"/>
      <c r="HX54" s="344"/>
      <c r="HY54" s="344"/>
      <c r="HZ54" s="344"/>
      <c r="IA54" s="344"/>
      <c r="IB54" s="344"/>
      <c r="IC54" s="344"/>
      <c r="ID54" s="344"/>
      <c r="IE54" s="344"/>
      <c r="IF54" s="344"/>
      <c r="IG54" s="344"/>
      <c r="IH54" s="344"/>
      <c r="II54" s="344"/>
      <c r="IJ54" s="357"/>
      <c r="IK54" s="357"/>
      <c r="IL54" s="344"/>
      <c r="IM54" s="344"/>
      <c r="IN54" s="344"/>
      <c r="IO54" s="344"/>
      <c r="IP54" s="344"/>
      <c r="IQ54" s="344"/>
      <c r="IR54" s="344"/>
      <c r="IS54" s="344"/>
      <c r="IT54" s="344"/>
      <c r="IU54" s="344"/>
      <c r="IV54" s="344"/>
      <c r="IW54" s="344"/>
      <c r="IX54" s="344"/>
      <c r="IY54" s="344"/>
      <c r="IZ54" s="344"/>
      <c r="JA54" s="357"/>
      <c r="JB54" s="344"/>
      <c r="JC54" s="344"/>
      <c r="JD54" s="102"/>
      <c r="JE54" s="102"/>
      <c r="JF54" s="102"/>
      <c r="JG54" s="102"/>
      <c r="JH54" s="102"/>
      <c r="JI54" s="102"/>
      <c r="JJ54" s="102"/>
      <c r="JK54" s="102"/>
      <c r="JL54" s="102"/>
      <c r="JM54" s="102"/>
      <c r="JN54" s="102"/>
      <c r="JO54" s="102"/>
      <c r="JP54" s="102"/>
      <c r="JQ54" s="102"/>
      <c r="JR54" s="102"/>
      <c r="JS54" s="102"/>
      <c r="JT54" s="102"/>
      <c r="JU54" s="102"/>
      <c r="JV54" s="102"/>
      <c r="JW54" s="102"/>
      <c r="JX54" s="102"/>
      <c r="JY54" s="102"/>
      <c r="JZ54" s="102"/>
      <c r="KA54" s="102"/>
      <c r="KB54" s="102"/>
      <c r="KC54" s="102"/>
      <c r="KD54" s="102"/>
      <c r="KE54" s="102"/>
      <c r="KF54" s="102"/>
      <c r="KG54" s="102"/>
      <c r="KH54" s="102"/>
      <c r="KI54" s="102"/>
    </row>
    <row r="55" spans="1:295" s="48" customFormat="1" ht="10.5" customHeight="1">
      <c r="A55" s="467" t="s">
        <v>1130</v>
      </c>
      <c r="B55" s="466"/>
      <c r="C55" s="58"/>
      <c r="D55" s="726" t="s">
        <v>831</v>
      </c>
      <c r="E55" s="727">
        <v>0</v>
      </c>
      <c r="F55" s="728">
        <f>'Part VI-Revenues &amp; Expenses'!$J$108</f>
        <v>0</v>
      </c>
      <c r="G55" s="729">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22" t="str">
        <f>CONCATENATE("x ", F55," units = ")</f>
        <v xml:space="preserve">x 0 units = </v>
      </c>
      <c r="I55" s="730">
        <f>F55*G55</f>
        <v>0</v>
      </c>
      <c r="J55" s="58"/>
      <c r="K55" s="728">
        <f>'Part VI-Revenues &amp; Expenses'!$J$109</f>
        <v>0</v>
      </c>
      <c r="L55" s="729">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22" t="str">
        <f>CONCATENATE("x ", K55," units = ")</f>
        <v xml:space="preserve">x 0 units = </v>
      </c>
      <c r="N55" s="730">
        <f>K55*L55</f>
        <v>0</v>
      </c>
      <c r="O55" s="455"/>
      <c r="P55" s="987">
        <f>'Part IX A-Scoring Criteria'!O414</f>
        <v>0</v>
      </c>
      <c r="Q55" s="987">
        <f>'Part IX A-Scoring Criteria'!P414</f>
        <v>0</v>
      </c>
      <c r="R55" s="304"/>
      <c r="U55" s="102"/>
      <c r="V55" s="346"/>
      <c r="W55" s="346"/>
      <c r="X55" s="349"/>
      <c r="Y55" s="346"/>
      <c r="Z55" s="358"/>
      <c r="AA55" s="359"/>
      <c r="AB55" s="359"/>
      <c r="AC55" s="359"/>
      <c r="AD55" s="359"/>
      <c r="AE55" s="359"/>
      <c r="AF55" s="359"/>
      <c r="AG55" s="523"/>
      <c r="AH55" s="344"/>
      <c r="AI55" s="344"/>
      <c r="AJ55" s="344"/>
      <c r="AK55" s="344"/>
      <c r="AL55" s="344"/>
      <c r="AM55" s="344"/>
      <c r="AN55" s="344"/>
      <c r="AO55" s="344"/>
      <c r="AP55" s="344"/>
      <c r="AQ55" s="344"/>
      <c r="AR55" s="344"/>
      <c r="AS55" s="344"/>
      <c r="AT55" s="344"/>
      <c r="AU55" s="344"/>
      <c r="AV55" s="344"/>
      <c r="AW55" s="344"/>
      <c r="AX55" s="344"/>
      <c r="AY55" s="344"/>
      <c r="AZ55" s="344"/>
      <c r="BA55" s="344"/>
      <c r="BB55" s="344"/>
      <c r="BC55" s="344"/>
      <c r="BD55" s="344"/>
      <c r="BE55" s="344"/>
      <c r="BF55" s="344"/>
      <c r="BG55" s="344"/>
      <c r="BH55" s="344"/>
      <c r="BI55" s="344"/>
      <c r="BJ55" s="344"/>
      <c r="BK55" s="344"/>
      <c r="BL55" s="344"/>
      <c r="BM55" s="344"/>
      <c r="BN55" s="344"/>
      <c r="BO55" s="344"/>
      <c r="BP55" s="344"/>
      <c r="BQ55" s="344"/>
      <c r="BR55" s="344"/>
      <c r="BS55" s="344"/>
      <c r="BT55" s="344"/>
      <c r="BU55" s="344"/>
      <c r="BV55" s="344"/>
      <c r="BW55" s="344"/>
      <c r="BX55" s="344"/>
      <c r="BY55" s="344"/>
      <c r="BZ55" s="344"/>
      <c r="CA55" s="344"/>
      <c r="CB55" s="344"/>
      <c r="CC55" s="344"/>
      <c r="CD55" s="344"/>
      <c r="CE55" s="344"/>
      <c r="CF55" s="344"/>
      <c r="CG55" s="344"/>
      <c r="CH55" s="344"/>
      <c r="CI55" s="344"/>
      <c r="CJ55" s="344"/>
      <c r="CK55" s="344"/>
      <c r="CL55" s="344"/>
      <c r="CM55" s="344"/>
      <c r="CN55" s="344"/>
      <c r="CO55" s="344"/>
      <c r="CP55" s="344"/>
      <c r="CQ55" s="344"/>
      <c r="CR55" s="344"/>
      <c r="CS55" s="344"/>
      <c r="CT55" s="344"/>
      <c r="CU55" s="344"/>
      <c r="CV55" s="344"/>
      <c r="CW55" s="344"/>
      <c r="CX55" s="344"/>
      <c r="CY55" s="344"/>
      <c r="CZ55" s="344"/>
      <c r="DA55" s="344"/>
      <c r="DB55" s="344"/>
      <c r="DC55" s="344"/>
      <c r="DD55" s="344"/>
      <c r="DE55" s="344"/>
      <c r="DF55" s="344"/>
      <c r="DG55" s="344"/>
      <c r="DH55" s="344"/>
      <c r="DI55" s="344"/>
      <c r="DJ55" s="344"/>
      <c r="DK55" s="344"/>
      <c r="DL55" s="344"/>
      <c r="DM55" s="344"/>
      <c r="DN55" s="344"/>
      <c r="DO55" s="344"/>
      <c r="DP55" s="344"/>
      <c r="DQ55" s="344"/>
      <c r="DR55" s="344"/>
      <c r="DS55" s="344"/>
      <c r="DT55" s="344"/>
      <c r="DU55" s="344"/>
      <c r="DV55" s="344"/>
      <c r="DW55" s="344"/>
      <c r="DX55" s="344"/>
      <c r="DY55" s="344"/>
      <c r="DZ55" s="344"/>
      <c r="EA55" s="344"/>
      <c r="EB55" s="344"/>
      <c r="EC55" s="344"/>
      <c r="ED55" s="344"/>
      <c r="EE55" s="344"/>
      <c r="EF55" s="344"/>
      <c r="EG55" s="344"/>
      <c r="EH55" s="344"/>
      <c r="EI55" s="344"/>
      <c r="EJ55" s="344"/>
      <c r="EK55" s="344"/>
      <c r="EL55" s="344"/>
      <c r="EM55" s="344"/>
      <c r="EN55" s="344"/>
      <c r="EO55" s="344"/>
      <c r="EP55" s="344"/>
      <c r="EQ55" s="344"/>
      <c r="ER55" s="344"/>
      <c r="ES55" s="344"/>
      <c r="ET55" s="344"/>
      <c r="EU55" s="344"/>
      <c r="EV55" s="344"/>
      <c r="EW55" s="344"/>
      <c r="EX55" s="344"/>
      <c r="EY55" s="344"/>
      <c r="EZ55" s="344"/>
      <c r="FA55" s="344"/>
      <c r="FB55" s="344"/>
      <c r="FC55" s="344"/>
      <c r="FD55" s="344"/>
      <c r="FE55" s="344"/>
      <c r="FF55" s="344"/>
      <c r="FG55" s="344"/>
      <c r="FH55" s="344"/>
      <c r="FI55" s="344"/>
      <c r="FJ55" s="344"/>
      <c r="FK55" s="344"/>
      <c r="FL55" s="344"/>
      <c r="FM55" s="344"/>
      <c r="FN55" s="344"/>
      <c r="FO55" s="344"/>
      <c r="FP55" s="344"/>
      <c r="FQ55" s="344"/>
      <c r="FR55" s="344"/>
      <c r="FS55" s="344"/>
      <c r="FT55" s="344"/>
      <c r="FU55" s="344"/>
      <c r="FV55" s="344"/>
      <c r="FW55" s="344"/>
      <c r="FX55" s="344"/>
      <c r="FY55" s="344"/>
      <c r="FZ55" s="344"/>
      <c r="GA55" s="344"/>
      <c r="GB55" s="344"/>
      <c r="GC55" s="344"/>
      <c r="GD55" s="344"/>
      <c r="GE55" s="344"/>
      <c r="GF55" s="344"/>
      <c r="GG55" s="344"/>
      <c r="GH55" s="344"/>
      <c r="GI55" s="344"/>
      <c r="GJ55" s="344"/>
      <c r="GK55" s="344"/>
      <c r="GL55" s="344"/>
      <c r="GM55" s="344"/>
      <c r="GN55" s="344"/>
      <c r="GO55" s="344"/>
      <c r="GP55" s="344"/>
      <c r="GQ55" s="344"/>
      <c r="GR55" s="344"/>
      <c r="GS55" s="344"/>
      <c r="GT55" s="344"/>
      <c r="GU55" s="344"/>
      <c r="GV55" s="344"/>
      <c r="GW55" s="344"/>
      <c r="GX55" s="344"/>
      <c r="GY55" s="344"/>
      <c r="GZ55" s="344"/>
      <c r="HA55" s="344"/>
      <c r="HB55" s="344"/>
      <c r="HC55" s="344"/>
      <c r="HD55" s="344"/>
      <c r="HE55" s="344"/>
      <c r="HF55" s="344"/>
      <c r="HG55" s="344"/>
      <c r="HH55" s="344"/>
      <c r="HI55" s="344"/>
      <c r="HJ55" s="344"/>
      <c r="HK55" s="344"/>
      <c r="HL55" s="344"/>
      <c r="HM55" s="344"/>
      <c r="HN55" s="344"/>
      <c r="HO55" s="344"/>
      <c r="HP55" s="344"/>
      <c r="HQ55" s="344"/>
      <c r="HR55" s="344"/>
      <c r="HS55" s="344"/>
      <c r="HT55" s="344"/>
      <c r="HU55" s="344"/>
      <c r="HV55" s="344"/>
      <c r="HW55" s="344"/>
      <c r="HX55" s="344"/>
      <c r="HY55" s="344"/>
      <c r="HZ55" s="344"/>
      <c r="IA55" s="344"/>
      <c r="IB55" s="344"/>
      <c r="IC55" s="344"/>
      <c r="ID55" s="344"/>
      <c r="IE55" s="344"/>
      <c r="IF55" s="344"/>
      <c r="IG55" s="344"/>
      <c r="IH55" s="344"/>
      <c r="II55" s="344"/>
      <c r="IJ55" s="357"/>
      <c r="IK55" s="357"/>
      <c r="IL55" s="344"/>
      <c r="IM55" s="344"/>
      <c r="IN55" s="344"/>
      <c r="IO55" s="344"/>
      <c r="IP55" s="344"/>
      <c r="IQ55" s="344"/>
      <c r="IR55" s="344"/>
      <c r="IS55" s="344"/>
      <c r="IT55" s="344"/>
      <c r="IU55" s="344"/>
      <c r="IV55" s="344"/>
      <c r="IW55" s="344"/>
      <c r="IX55" s="344"/>
      <c r="IY55" s="344"/>
      <c r="IZ55" s="344"/>
      <c r="JA55" s="357"/>
      <c r="JB55" s="344"/>
      <c r="JC55" s="344"/>
      <c r="JD55" s="102"/>
      <c r="JE55" s="102"/>
      <c r="JF55" s="102"/>
      <c r="JG55" s="102"/>
      <c r="JH55" s="102"/>
      <c r="JI55" s="102"/>
      <c r="JJ55" s="102"/>
      <c r="JK55" s="102"/>
      <c r="JL55" s="102"/>
      <c r="JM55" s="102"/>
      <c r="JN55" s="102"/>
      <c r="JO55" s="102"/>
      <c r="JP55" s="102"/>
      <c r="JQ55" s="102"/>
      <c r="JR55" s="102"/>
      <c r="JS55" s="102"/>
      <c r="JT55" s="102"/>
      <c r="JU55" s="102"/>
      <c r="JV55" s="102"/>
      <c r="JW55" s="102"/>
      <c r="JX55" s="102"/>
      <c r="JY55" s="102"/>
      <c r="JZ55" s="102"/>
      <c r="KA55" s="102"/>
      <c r="KB55" s="102"/>
      <c r="KC55" s="102"/>
      <c r="KD55" s="102"/>
      <c r="KE55" s="102"/>
      <c r="KF55" s="102"/>
      <c r="KG55" s="102"/>
      <c r="KH55" s="102"/>
      <c r="KI55" s="102"/>
    </row>
    <row r="56" spans="1:295" s="48" customFormat="1" ht="10.5" customHeight="1">
      <c r="A56" s="102"/>
      <c r="B56" s="102"/>
      <c r="C56" s="58"/>
      <c r="D56" s="726" t="s">
        <v>855</v>
      </c>
      <c r="E56" s="727">
        <v>1</v>
      </c>
      <c r="F56" s="728">
        <f>'Part VI-Revenues &amp; Expenses'!$K$108</f>
        <v>12</v>
      </c>
      <c r="G56" s="729">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22" t="str">
        <f>CONCATENATE("x ", F56," units = ")</f>
        <v xml:space="preserve">x 12 units = </v>
      </c>
      <c r="I56" s="730">
        <f>F56*G56</f>
        <v>1859520</v>
      </c>
      <c r="J56" s="58"/>
      <c r="K56" s="728">
        <f>'Part VI-Revenues &amp; Expenses'!$K$109</f>
        <v>0</v>
      </c>
      <c r="L56" s="729">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22" t="str">
        <f>CONCATENATE("x ", K56," units = ")</f>
        <v xml:space="preserve">x 0 units = </v>
      </c>
      <c r="N56" s="730">
        <f>K56*L56</f>
        <v>0</v>
      </c>
      <c r="P56" s="1891" t="s">
        <v>1294</v>
      </c>
      <c r="Q56" s="1891"/>
      <c r="U56" s="102"/>
      <c r="V56" s="346"/>
      <c r="W56" s="346"/>
      <c r="X56" s="349"/>
      <c r="Y56" s="346"/>
      <c r="Z56" s="358"/>
      <c r="AA56" s="359"/>
      <c r="AB56" s="359"/>
      <c r="AC56" s="359"/>
      <c r="AD56" s="359"/>
      <c r="AE56" s="359"/>
      <c r="AF56" s="359"/>
      <c r="AG56" s="523"/>
      <c r="AH56" s="344"/>
      <c r="AI56" s="344"/>
      <c r="AJ56" s="344"/>
      <c r="AK56" s="344"/>
      <c r="AL56" s="344"/>
      <c r="AM56" s="344"/>
      <c r="AN56" s="344"/>
      <c r="AO56" s="344"/>
      <c r="AP56" s="344"/>
      <c r="AQ56" s="344"/>
      <c r="AR56" s="344"/>
      <c r="AS56" s="344"/>
      <c r="AT56" s="344"/>
      <c r="AU56" s="344"/>
      <c r="AV56" s="344"/>
      <c r="AW56" s="344"/>
      <c r="AX56" s="344"/>
      <c r="AY56" s="344"/>
      <c r="AZ56" s="344"/>
      <c r="BA56" s="344"/>
      <c r="BB56" s="344"/>
      <c r="BC56" s="344"/>
      <c r="BD56" s="344"/>
      <c r="BE56" s="344"/>
      <c r="BF56" s="344"/>
      <c r="BG56" s="344"/>
      <c r="BH56" s="344"/>
      <c r="BI56" s="344"/>
      <c r="BJ56" s="344"/>
      <c r="BK56" s="344"/>
      <c r="BL56" s="344"/>
      <c r="BM56" s="344"/>
      <c r="BN56" s="344"/>
      <c r="BO56" s="344"/>
      <c r="BP56" s="344"/>
      <c r="BQ56" s="344"/>
      <c r="BR56" s="344"/>
      <c r="BS56" s="344"/>
      <c r="BT56" s="344"/>
      <c r="BU56" s="344"/>
      <c r="BV56" s="344"/>
      <c r="BW56" s="344"/>
      <c r="BX56" s="344"/>
      <c r="BY56" s="344"/>
      <c r="BZ56" s="344"/>
      <c r="CA56" s="344"/>
      <c r="CB56" s="344"/>
      <c r="CC56" s="344"/>
      <c r="CD56" s="344"/>
      <c r="CE56" s="344"/>
      <c r="CF56" s="344"/>
      <c r="CG56" s="344"/>
      <c r="CH56" s="344"/>
      <c r="CI56" s="344"/>
      <c r="CJ56" s="344"/>
      <c r="CK56" s="344"/>
      <c r="CL56" s="344"/>
      <c r="CM56" s="344"/>
      <c r="CN56" s="344"/>
      <c r="CO56" s="344"/>
      <c r="CP56" s="344"/>
      <c r="CQ56" s="344"/>
      <c r="CR56" s="344"/>
      <c r="CS56" s="344"/>
      <c r="CT56" s="344"/>
      <c r="CU56" s="344"/>
      <c r="CV56" s="344"/>
      <c r="CW56" s="344"/>
      <c r="CX56" s="344"/>
      <c r="CY56" s="344"/>
      <c r="CZ56" s="344"/>
      <c r="DA56" s="344"/>
      <c r="DB56" s="344"/>
      <c r="DC56" s="344"/>
      <c r="DD56" s="344"/>
      <c r="DE56" s="344"/>
      <c r="DF56" s="344"/>
      <c r="DG56" s="344"/>
      <c r="DH56" s="344"/>
      <c r="DI56" s="344"/>
      <c r="DJ56" s="344"/>
      <c r="DK56" s="344"/>
      <c r="DL56" s="344"/>
      <c r="DM56" s="344"/>
      <c r="DN56" s="344"/>
      <c r="DO56" s="344"/>
      <c r="DP56" s="344"/>
      <c r="DQ56" s="344"/>
      <c r="DR56" s="344"/>
      <c r="DS56" s="344"/>
      <c r="DT56" s="344"/>
      <c r="DU56" s="344"/>
      <c r="DV56" s="344"/>
      <c r="DW56" s="344"/>
      <c r="DX56" s="344"/>
      <c r="DY56" s="344"/>
      <c r="DZ56" s="344"/>
      <c r="EA56" s="344"/>
      <c r="EB56" s="344"/>
      <c r="EC56" s="344"/>
      <c r="ED56" s="344"/>
      <c r="EE56" s="344"/>
      <c r="EF56" s="344"/>
      <c r="EG56" s="344"/>
      <c r="EH56" s="344"/>
      <c r="EI56" s="344"/>
      <c r="EJ56" s="344"/>
      <c r="EK56" s="344"/>
      <c r="EL56" s="344"/>
      <c r="EM56" s="344"/>
      <c r="EN56" s="344"/>
      <c r="EO56" s="344"/>
      <c r="EP56" s="344"/>
      <c r="EQ56" s="344"/>
      <c r="ER56" s="344"/>
      <c r="ES56" s="344"/>
      <c r="ET56" s="344"/>
      <c r="EU56" s="344"/>
      <c r="EV56" s="344"/>
      <c r="EW56" s="344"/>
      <c r="EX56" s="344"/>
      <c r="EY56" s="344"/>
      <c r="EZ56" s="344"/>
      <c r="FA56" s="344"/>
      <c r="FB56" s="344"/>
      <c r="FC56" s="344"/>
      <c r="FD56" s="344"/>
      <c r="FE56" s="344"/>
      <c r="FF56" s="344"/>
      <c r="FG56" s="344"/>
      <c r="FH56" s="344"/>
      <c r="FI56" s="344"/>
      <c r="FJ56" s="344"/>
      <c r="FK56" s="344"/>
      <c r="FL56" s="344"/>
      <c r="FM56" s="344"/>
      <c r="FN56" s="344"/>
      <c r="FO56" s="344"/>
      <c r="FP56" s="344"/>
      <c r="FQ56" s="344"/>
      <c r="FR56" s="344"/>
      <c r="FS56" s="344"/>
      <c r="FT56" s="344"/>
      <c r="FU56" s="344"/>
      <c r="FV56" s="344"/>
      <c r="FW56" s="344"/>
      <c r="FX56" s="344"/>
      <c r="FY56" s="344"/>
      <c r="FZ56" s="344"/>
      <c r="GA56" s="344"/>
      <c r="GB56" s="344"/>
      <c r="GC56" s="344"/>
      <c r="GD56" s="344"/>
      <c r="GE56" s="344"/>
      <c r="GF56" s="344"/>
      <c r="GG56" s="344"/>
      <c r="GH56" s="344"/>
      <c r="GI56" s="344"/>
      <c r="GJ56" s="344"/>
      <c r="GK56" s="344"/>
      <c r="GL56" s="344"/>
      <c r="GM56" s="344"/>
      <c r="GN56" s="344"/>
      <c r="GO56" s="344"/>
      <c r="GP56" s="344"/>
      <c r="GQ56" s="344"/>
      <c r="GR56" s="344"/>
      <c r="GS56" s="344"/>
      <c r="GT56" s="344"/>
      <c r="GU56" s="344"/>
      <c r="GV56" s="344"/>
      <c r="GW56" s="344"/>
      <c r="GX56" s="344"/>
      <c r="GY56" s="344"/>
      <c r="GZ56" s="344"/>
      <c r="HA56" s="344"/>
      <c r="HB56" s="344"/>
      <c r="HC56" s="344"/>
      <c r="HD56" s="344"/>
      <c r="HE56" s="344"/>
      <c r="HF56" s="344"/>
      <c r="HG56" s="344"/>
      <c r="HH56" s="344"/>
      <c r="HI56" s="344"/>
      <c r="HJ56" s="344"/>
      <c r="HK56" s="344"/>
      <c r="HL56" s="344"/>
      <c r="HM56" s="344"/>
      <c r="HN56" s="344"/>
      <c r="HO56" s="344"/>
      <c r="HP56" s="344"/>
      <c r="HQ56" s="344"/>
      <c r="HR56" s="344"/>
      <c r="HS56" s="344"/>
      <c r="HT56" s="344"/>
      <c r="HU56" s="344"/>
      <c r="HV56" s="344"/>
      <c r="HW56" s="344"/>
      <c r="HX56" s="344"/>
      <c r="HY56" s="344"/>
      <c r="HZ56" s="344"/>
      <c r="IA56" s="344"/>
      <c r="IB56" s="344"/>
      <c r="IC56" s="344"/>
      <c r="ID56" s="344"/>
      <c r="IE56" s="344"/>
      <c r="IF56" s="344"/>
      <c r="IG56" s="344"/>
      <c r="IH56" s="344"/>
      <c r="II56" s="344"/>
      <c r="IJ56" s="357"/>
      <c r="IK56" s="357"/>
      <c r="IL56" s="344"/>
      <c r="IM56" s="344"/>
      <c r="IN56" s="344"/>
      <c r="IO56" s="344"/>
      <c r="IP56" s="344"/>
      <c r="IQ56" s="344"/>
      <c r="IR56" s="344"/>
      <c r="IS56" s="344"/>
      <c r="IT56" s="344"/>
      <c r="IU56" s="344"/>
      <c r="IV56" s="344"/>
      <c r="IW56" s="344"/>
      <c r="IX56" s="344"/>
      <c r="IY56" s="344"/>
      <c r="IZ56" s="344"/>
      <c r="JA56" s="357"/>
      <c r="JB56" s="344"/>
      <c r="JC56" s="344"/>
      <c r="JD56" s="102"/>
      <c r="JE56" s="102"/>
      <c r="JF56" s="102"/>
      <c r="JG56" s="102"/>
      <c r="JH56" s="102"/>
      <c r="JI56" s="102"/>
      <c r="JJ56" s="102"/>
      <c r="JK56" s="102"/>
      <c r="JL56" s="102"/>
      <c r="JM56" s="102"/>
      <c r="JN56" s="102"/>
      <c r="JO56" s="102"/>
      <c r="JP56" s="102"/>
      <c r="JQ56" s="102"/>
      <c r="JR56" s="102"/>
      <c r="JS56" s="102"/>
      <c r="JT56" s="102"/>
      <c r="JU56" s="102"/>
      <c r="JV56" s="102"/>
      <c r="JW56" s="102"/>
      <c r="JX56" s="102"/>
      <c r="JY56" s="102"/>
      <c r="JZ56" s="102"/>
      <c r="KA56" s="102"/>
      <c r="KB56" s="102"/>
      <c r="KC56" s="102"/>
      <c r="KD56" s="102"/>
      <c r="KE56" s="102"/>
      <c r="KF56" s="102"/>
      <c r="KG56" s="102"/>
      <c r="KH56" s="102"/>
      <c r="KI56" s="102"/>
    </row>
    <row r="57" spans="1:295" s="48" customFormat="1" ht="10.5" customHeight="1">
      <c r="A57" s="102"/>
      <c r="B57" s="102"/>
      <c r="C57" s="58"/>
      <c r="D57" s="726" t="s">
        <v>856</v>
      </c>
      <c r="E57" s="727">
        <v>2</v>
      </c>
      <c r="F57" s="728">
        <f>'Part VI-Revenues &amp; Expenses'!$L$108</f>
        <v>32</v>
      </c>
      <c r="G57" s="729">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22" t="str">
        <f>CONCATENATE("x ", F57," units = ")</f>
        <v xml:space="preserve">x 32 units = </v>
      </c>
      <c r="I57" s="730">
        <f>F57*G57</f>
        <v>6293472</v>
      </c>
      <c r="J57" s="58"/>
      <c r="K57" s="728">
        <f>'Part VI-Revenues &amp; Expenses'!$L$109</f>
        <v>0</v>
      </c>
      <c r="L57" s="729">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22" t="str">
        <f>CONCATENATE("x ", K57," units = ")</f>
        <v xml:space="preserve">x 0 units = </v>
      </c>
      <c r="N57" s="730">
        <f>K57*L57</f>
        <v>0</v>
      </c>
      <c r="P57" s="988" t="s">
        <v>1292</v>
      </c>
      <c r="Q57" s="988" t="s">
        <v>1293</v>
      </c>
      <c r="U57" s="102"/>
      <c r="V57" s="346"/>
      <c r="W57" s="346"/>
      <c r="X57" s="349"/>
      <c r="Y57" s="346"/>
      <c r="Z57" s="358"/>
      <c r="AA57" s="359"/>
      <c r="AB57" s="359"/>
      <c r="AC57" s="359"/>
      <c r="AD57" s="359"/>
      <c r="AE57" s="359"/>
      <c r="AF57" s="359"/>
      <c r="AG57" s="523"/>
      <c r="AH57" s="344"/>
      <c r="AI57" s="344"/>
      <c r="AJ57" s="344"/>
      <c r="AK57" s="344"/>
      <c r="AL57" s="344"/>
      <c r="AM57" s="344"/>
      <c r="AN57" s="344"/>
      <c r="AO57" s="344"/>
      <c r="AP57" s="344"/>
      <c r="AQ57" s="344"/>
      <c r="AR57" s="344"/>
      <c r="AS57" s="344"/>
      <c r="AT57" s="344"/>
      <c r="AU57" s="344"/>
      <c r="AV57" s="344"/>
      <c r="AW57" s="344"/>
      <c r="AX57" s="344"/>
      <c r="AY57" s="344"/>
      <c r="AZ57" s="344"/>
      <c r="BA57" s="344"/>
      <c r="BB57" s="344"/>
      <c r="BC57" s="344"/>
      <c r="BD57" s="344"/>
      <c r="BE57" s="344"/>
      <c r="BF57" s="344"/>
      <c r="BG57" s="344"/>
      <c r="BH57" s="344"/>
      <c r="BI57" s="344"/>
      <c r="BJ57" s="344"/>
      <c r="BK57" s="344"/>
      <c r="BL57" s="344"/>
      <c r="BM57" s="344"/>
      <c r="BN57" s="344"/>
      <c r="BO57" s="344"/>
      <c r="BP57" s="344"/>
      <c r="BQ57" s="344"/>
      <c r="BR57" s="344"/>
      <c r="BS57" s="344"/>
      <c r="BT57" s="344"/>
      <c r="BU57" s="344"/>
      <c r="BV57" s="344"/>
      <c r="BW57" s="344"/>
      <c r="BX57" s="344"/>
      <c r="BY57" s="344"/>
      <c r="BZ57" s="344"/>
      <c r="CA57" s="344"/>
      <c r="CB57" s="344"/>
      <c r="CC57" s="344"/>
      <c r="CD57" s="344"/>
      <c r="CE57" s="344"/>
      <c r="CF57" s="344"/>
      <c r="CG57" s="344"/>
      <c r="CH57" s="344"/>
      <c r="CI57" s="344"/>
      <c r="CJ57" s="344"/>
      <c r="CK57" s="344"/>
      <c r="CL57" s="344"/>
      <c r="CM57" s="344"/>
      <c r="CN57" s="344"/>
      <c r="CO57" s="344"/>
      <c r="CP57" s="344"/>
      <c r="CQ57" s="344"/>
      <c r="CR57" s="344"/>
      <c r="CS57" s="344"/>
      <c r="CT57" s="344"/>
      <c r="CU57" s="344"/>
      <c r="CV57" s="344"/>
      <c r="CW57" s="344"/>
      <c r="CX57" s="344"/>
      <c r="CY57" s="344"/>
      <c r="CZ57" s="344"/>
      <c r="DA57" s="344"/>
      <c r="DB57" s="344"/>
      <c r="DC57" s="344"/>
      <c r="DD57" s="344"/>
      <c r="DE57" s="344"/>
      <c r="DF57" s="344"/>
      <c r="DG57" s="344"/>
      <c r="DH57" s="344"/>
      <c r="DI57" s="344"/>
      <c r="DJ57" s="344"/>
      <c r="DK57" s="344"/>
      <c r="DL57" s="344"/>
      <c r="DM57" s="344"/>
      <c r="DN57" s="344"/>
      <c r="DO57" s="344"/>
      <c r="DP57" s="344"/>
      <c r="DQ57" s="344"/>
      <c r="DR57" s="344"/>
      <c r="DS57" s="344"/>
      <c r="DT57" s="344"/>
      <c r="DU57" s="344"/>
      <c r="DV57" s="344"/>
      <c r="DW57" s="344"/>
      <c r="DX57" s="344"/>
      <c r="DY57" s="344"/>
      <c r="DZ57" s="344"/>
      <c r="EA57" s="344"/>
      <c r="EB57" s="344"/>
      <c r="EC57" s="344"/>
      <c r="ED57" s="344"/>
      <c r="EE57" s="344"/>
      <c r="EF57" s="344"/>
      <c r="EG57" s="344"/>
      <c r="EH57" s="344"/>
      <c r="EI57" s="344"/>
      <c r="EJ57" s="344"/>
      <c r="EK57" s="344"/>
      <c r="EL57" s="344"/>
      <c r="EM57" s="344"/>
      <c r="EN57" s="344"/>
      <c r="EO57" s="344"/>
      <c r="EP57" s="344"/>
      <c r="EQ57" s="344"/>
      <c r="ER57" s="344"/>
      <c r="ES57" s="344"/>
      <c r="ET57" s="344"/>
      <c r="EU57" s="344"/>
      <c r="EV57" s="344"/>
      <c r="EW57" s="344"/>
      <c r="EX57" s="344"/>
      <c r="EY57" s="344"/>
      <c r="EZ57" s="344"/>
      <c r="FA57" s="344"/>
      <c r="FB57" s="344"/>
      <c r="FC57" s="344"/>
      <c r="FD57" s="344"/>
      <c r="FE57" s="344"/>
      <c r="FF57" s="344"/>
      <c r="FG57" s="344"/>
      <c r="FH57" s="344"/>
      <c r="FI57" s="344"/>
      <c r="FJ57" s="344"/>
      <c r="FK57" s="344"/>
      <c r="FL57" s="344"/>
      <c r="FM57" s="344"/>
      <c r="FN57" s="344"/>
      <c r="FO57" s="344"/>
      <c r="FP57" s="344"/>
      <c r="FQ57" s="344"/>
      <c r="FR57" s="344"/>
      <c r="FS57" s="344"/>
      <c r="FT57" s="344"/>
      <c r="FU57" s="344"/>
      <c r="FV57" s="344"/>
      <c r="FW57" s="344"/>
      <c r="FX57" s="344"/>
      <c r="FY57" s="344"/>
      <c r="FZ57" s="344"/>
      <c r="GA57" s="344"/>
      <c r="GB57" s="344"/>
      <c r="GC57" s="344"/>
      <c r="GD57" s="344"/>
      <c r="GE57" s="344"/>
      <c r="GF57" s="344"/>
      <c r="GG57" s="344"/>
      <c r="GH57" s="344"/>
      <c r="GI57" s="344"/>
      <c r="GJ57" s="344"/>
      <c r="GK57" s="344"/>
      <c r="GL57" s="344"/>
      <c r="GM57" s="344"/>
      <c r="GN57" s="344"/>
      <c r="GO57" s="344"/>
      <c r="GP57" s="344"/>
      <c r="GQ57" s="344"/>
      <c r="GR57" s="344"/>
      <c r="GS57" s="344"/>
      <c r="GT57" s="344"/>
      <c r="GU57" s="344"/>
      <c r="GV57" s="344"/>
      <c r="GW57" s="344"/>
      <c r="GX57" s="344"/>
      <c r="GY57" s="344"/>
      <c r="GZ57" s="344"/>
      <c r="HA57" s="344"/>
      <c r="HB57" s="344"/>
      <c r="HC57" s="344"/>
      <c r="HD57" s="344"/>
      <c r="HE57" s="344"/>
      <c r="HF57" s="344"/>
      <c r="HG57" s="344"/>
      <c r="HH57" s="344"/>
      <c r="HI57" s="344"/>
      <c r="HJ57" s="344"/>
      <c r="HK57" s="344"/>
      <c r="HL57" s="344"/>
      <c r="HM57" s="344"/>
      <c r="HN57" s="344"/>
      <c r="HO57" s="344"/>
      <c r="HP57" s="344"/>
      <c r="HQ57" s="344"/>
      <c r="HR57" s="344"/>
      <c r="HS57" s="344"/>
      <c r="HT57" s="344"/>
      <c r="HU57" s="344"/>
      <c r="HV57" s="344"/>
      <c r="HW57" s="344"/>
      <c r="HX57" s="344"/>
      <c r="HY57" s="344"/>
      <c r="HZ57" s="344"/>
      <c r="IA57" s="344"/>
      <c r="IB57" s="344"/>
      <c r="IC57" s="344"/>
      <c r="ID57" s="344"/>
      <c r="IE57" s="344"/>
      <c r="IF57" s="344"/>
      <c r="IG57" s="344"/>
      <c r="IH57" s="344"/>
      <c r="II57" s="344"/>
      <c r="IJ57" s="357"/>
      <c r="IK57" s="357"/>
      <c r="IL57" s="344"/>
      <c r="IM57" s="344"/>
      <c r="IN57" s="344"/>
      <c r="IO57" s="344"/>
      <c r="IP57" s="344"/>
      <c r="IQ57" s="344"/>
      <c r="IR57" s="344"/>
      <c r="IS57" s="344"/>
      <c r="IT57" s="344"/>
      <c r="IU57" s="344"/>
      <c r="IV57" s="344"/>
      <c r="IW57" s="344"/>
      <c r="IX57" s="344"/>
      <c r="IY57" s="344"/>
      <c r="IZ57" s="344"/>
      <c r="JA57" s="357"/>
      <c r="JB57" s="344"/>
      <c r="JC57" s="344"/>
      <c r="JD57" s="102"/>
      <c r="JE57" s="102"/>
      <c r="JF57" s="102"/>
      <c r="JG57" s="102"/>
      <c r="JH57" s="102"/>
      <c r="JI57" s="102"/>
      <c r="JJ57" s="102"/>
      <c r="JK57" s="102"/>
      <c r="JL57" s="102"/>
      <c r="JM57" s="102"/>
      <c r="JN57" s="102"/>
      <c r="JO57" s="102"/>
      <c r="JP57" s="102"/>
      <c r="JQ57" s="102"/>
      <c r="JR57" s="102"/>
      <c r="JS57" s="102"/>
      <c r="JT57" s="102"/>
      <c r="JU57" s="102"/>
      <c r="JV57" s="102"/>
      <c r="JW57" s="102"/>
      <c r="JX57" s="102"/>
      <c r="JY57" s="102"/>
      <c r="JZ57" s="102"/>
      <c r="KA57" s="102"/>
      <c r="KB57" s="102"/>
      <c r="KC57" s="102"/>
      <c r="KD57" s="102"/>
      <c r="KE57" s="102"/>
      <c r="KF57" s="102"/>
      <c r="KG57" s="102"/>
      <c r="KH57" s="102"/>
      <c r="KI57" s="102"/>
    </row>
    <row r="58" spans="1:295" s="48" customFormat="1" ht="10.5" customHeight="1">
      <c r="A58" s="102"/>
      <c r="B58" s="102"/>
      <c r="C58" s="58"/>
      <c r="D58" s="726" t="s">
        <v>857</v>
      </c>
      <c r="E58" s="727">
        <v>3</v>
      </c>
      <c r="F58" s="728">
        <f>'Part VI-Revenues &amp; Expenses'!$M$108</f>
        <v>30</v>
      </c>
      <c r="G58" s="729">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22" t="str">
        <f>CONCATENATE("x ", F58," units = ")</f>
        <v xml:space="preserve">x 30 units = </v>
      </c>
      <c r="I58" s="730">
        <f>F58*G58</f>
        <v>7712940</v>
      </c>
      <c r="J58" s="58"/>
      <c r="K58" s="728">
        <f>'Part VI-Revenues &amp; Expenses'!$M$109</f>
        <v>0</v>
      </c>
      <c r="L58" s="729">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22" t="str">
        <f>CONCATENATE("x ", K58," units = ")</f>
        <v xml:space="preserve">x 0 units = </v>
      </c>
      <c r="N58" s="730">
        <f>K58*L58</f>
        <v>0</v>
      </c>
      <c r="O58" s="455"/>
      <c r="P58" s="987">
        <f>'Part IX A-Scoring Criteria'!O67</f>
        <v>2</v>
      </c>
      <c r="Q58" s="987">
        <f>'Part IX A-Scoring Criteria'!P67</f>
        <v>0</v>
      </c>
      <c r="U58" s="102"/>
      <c r="V58" s="346"/>
      <c r="W58" s="346"/>
      <c r="X58" s="349"/>
      <c r="Y58" s="346"/>
      <c r="Z58" s="358"/>
      <c r="AA58" s="359"/>
      <c r="AB58" s="359"/>
      <c r="AC58" s="359"/>
      <c r="AD58" s="359"/>
      <c r="AE58" s="359"/>
      <c r="AF58" s="359"/>
      <c r="AG58" s="523"/>
      <c r="AH58" s="344"/>
      <c r="AI58" s="344"/>
      <c r="AJ58" s="344"/>
      <c r="AK58" s="344"/>
      <c r="AL58" s="344"/>
      <c r="AM58" s="344"/>
      <c r="AN58" s="344"/>
      <c r="AO58" s="344"/>
      <c r="AP58" s="344"/>
      <c r="AQ58" s="344"/>
      <c r="AR58" s="344"/>
      <c r="AS58" s="344"/>
      <c r="AT58" s="344"/>
      <c r="AU58" s="344"/>
      <c r="AV58" s="344"/>
      <c r="AW58" s="344"/>
      <c r="AX58" s="344"/>
      <c r="AY58" s="344"/>
      <c r="AZ58" s="344"/>
      <c r="BA58" s="344"/>
      <c r="BB58" s="344"/>
      <c r="BC58" s="344"/>
      <c r="BD58" s="344"/>
      <c r="BE58" s="344"/>
      <c r="BF58" s="344"/>
      <c r="BG58" s="344"/>
      <c r="BH58" s="344"/>
      <c r="BI58" s="344"/>
      <c r="BJ58" s="344"/>
      <c r="BK58" s="344"/>
      <c r="BL58" s="344"/>
      <c r="BM58" s="344"/>
      <c r="BN58" s="344"/>
      <c r="BO58" s="344"/>
      <c r="BP58" s="344"/>
      <c r="BQ58" s="344"/>
      <c r="BR58" s="344"/>
      <c r="BS58" s="344"/>
      <c r="BT58" s="344"/>
      <c r="BU58" s="344"/>
      <c r="BV58" s="344"/>
      <c r="BW58" s="344"/>
      <c r="BX58" s="344"/>
      <c r="BY58" s="344"/>
      <c r="BZ58" s="344"/>
      <c r="CA58" s="344"/>
      <c r="CB58" s="344"/>
      <c r="CC58" s="344"/>
      <c r="CD58" s="344"/>
      <c r="CE58" s="344"/>
      <c r="CF58" s="344"/>
      <c r="CG58" s="344"/>
      <c r="CH58" s="344"/>
      <c r="CI58" s="344"/>
      <c r="CJ58" s="344"/>
      <c r="CK58" s="344"/>
      <c r="CL58" s="344"/>
      <c r="CM58" s="344"/>
      <c r="CN58" s="344"/>
      <c r="CO58" s="344"/>
      <c r="CP58" s="344"/>
      <c r="CQ58" s="344"/>
      <c r="CR58" s="344"/>
      <c r="CS58" s="344"/>
      <c r="CT58" s="344"/>
      <c r="CU58" s="344"/>
      <c r="CV58" s="344"/>
      <c r="CW58" s="344"/>
      <c r="CX58" s="344"/>
      <c r="CY58" s="344"/>
      <c r="CZ58" s="344"/>
      <c r="DA58" s="344"/>
      <c r="DB58" s="344"/>
      <c r="DC58" s="344"/>
      <c r="DD58" s="344"/>
      <c r="DE58" s="344"/>
      <c r="DF58" s="344"/>
      <c r="DG58" s="344"/>
      <c r="DH58" s="344"/>
      <c r="DI58" s="344"/>
      <c r="DJ58" s="344"/>
      <c r="DK58" s="344"/>
      <c r="DL58" s="344"/>
      <c r="DM58" s="344"/>
      <c r="DN58" s="344"/>
      <c r="DO58" s="344"/>
      <c r="DP58" s="344"/>
      <c r="DQ58" s="344"/>
      <c r="DR58" s="344"/>
      <c r="DS58" s="344"/>
      <c r="DT58" s="344"/>
      <c r="DU58" s="344"/>
      <c r="DV58" s="344"/>
      <c r="DW58" s="344"/>
      <c r="DX58" s="344"/>
      <c r="DY58" s="344"/>
      <c r="DZ58" s="344"/>
      <c r="EA58" s="344"/>
      <c r="EB58" s="344"/>
      <c r="EC58" s="344"/>
      <c r="ED58" s="344"/>
      <c r="EE58" s="344"/>
      <c r="EF58" s="344"/>
      <c r="EG58" s="344"/>
      <c r="EH58" s="344"/>
      <c r="EI58" s="344"/>
      <c r="EJ58" s="344"/>
      <c r="EK58" s="344"/>
      <c r="EL58" s="344"/>
      <c r="EM58" s="344"/>
      <c r="EN58" s="344"/>
      <c r="EO58" s="344"/>
      <c r="EP58" s="344"/>
      <c r="EQ58" s="344"/>
      <c r="ER58" s="344"/>
      <c r="ES58" s="344"/>
      <c r="ET58" s="344"/>
      <c r="EU58" s="344"/>
      <c r="EV58" s="344"/>
      <c r="EW58" s="344"/>
      <c r="EX58" s="344"/>
      <c r="EY58" s="344"/>
      <c r="EZ58" s="344"/>
      <c r="FA58" s="344"/>
      <c r="FB58" s="344"/>
      <c r="FC58" s="344"/>
      <c r="FD58" s="344"/>
      <c r="FE58" s="344"/>
      <c r="FF58" s="344"/>
      <c r="FG58" s="344"/>
      <c r="FH58" s="344"/>
      <c r="FI58" s="344"/>
      <c r="FJ58" s="344"/>
      <c r="FK58" s="344"/>
      <c r="FL58" s="344"/>
      <c r="FM58" s="344"/>
      <c r="FN58" s="344"/>
      <c r="FO58" s="344"/>
      <c r="FP58" s="344"/>
      <c r="FQ58" s="344"/>
      <c r="FR58" s="344"/>
      <c r="FS58" s="344"/>
      <c r="FT58" s="344"/>
      <c r="FU58" s="344"/>
      <c r="FV58" s="344"/>
      <c r="FW58" s="344"/>
      <c r="FX58" s="344"/>
      <c r="FY58" s="344"/>
      <c r="FZ58" s="344"/>
      <c r="GA58" s="344"/>
      <c r="GB58" s="344"/>
      <c r="GC58" s="344"/>
      <c r="GD58" s="344"/>
      <c r="GE58" s="344"/>
      <c r="GF58" s="344"/>
      <c r="GG58" s="344"/>
      <c r="GH58" s="344"/>
      <c r="GI58" s="344"/>
      <c r="GJ58" s="344"/>
      <c r="GK58" s="344"/>
      <c r="GL58" s="344"/>
      <c r="GM58" s="344"/>
      <c r="GN58" s="344"/>
      <c r="GO58" s="344"/>
      <c r="GP58" s="344"/>
      <c r="GQ58" s="344"/>
      <c r="GR58" s="344"/>
      <c r="GS58" s="344"/>
      <c r="GT58" s="344"/>
      <c r="GU58" s="344"/>
      <c r="GV58" s="344"/>
      <c r="GW58" s="344"/>
      <c r="GX58" s="344"/>
      <c r="GY58" s="344"/>
      <c r="GZ58" s="344"/>
      <c r="HA58" s="344"/>
      <c r="HB58" s="344"/>
      <c r="HC58" s="344"/>
      <c r="HD58" s="344"/>
      <c r="HE58" s="344"/>
      <c r="HF58" s="344"/>
      <c r="HG58" s="344"/>
      <c r="HH58" s="344"/>
      <c r="HI58" s="344"/>
      <c r="HJ58" s="344"/>
      <c r="HK58" s="344"/>
      <c r="HL58" s="344"/>
      <c r="HM58" s="344"/>
      <c r="HN58" s="344"/>
      <c r="HO58" s="344"/>
      <c r="HP58" s="344"/>
      <c r="HQ58" s="344"/>
      <c r="HR58" s="344"/>
      <c r="HS58" s="344"/>
      <c r="HT58" s="344"/>
      <c r="HU58" s="344"/>
      <c r="HV58" s="344"/>
      <c r="HW58" s="344"/>
      <c r="HX58" s="344"/>
      <c r="HY58" s="344"/>
      <c r="HZ58" s="344"/>
      <c r="IA58" s="344"/>
      <c r="IB58" s="344"/>
      <c r="IC58" s="344"/>
      <c r="ID58" s="344"/>
      <c r="IE58" s="344"/>
      <c r="IF58" s="344"/>
      <c r="IG58" s="344"/>
      <c r="IH58" s="344"/>
      <c r="II58" s="344"/>
      <c r="IJ58" s="357"/>
      <c r="IK58" s="357"/>
      <c r="IL58" s="344"/>
      <c r="IM58" s="344"/>
      <c r="IN58" s="344"/>
      <c r="IO58" s="344"/>
      <c r="IP58" s="344"/>
      <c r="IQ58" s="344"/>
      <c r="IR58" s="344"/>
      <c r="IS58" s="344"/>
      <c r="IT58" s="344"/>
      <c r="IU58" s="344"/>
      <c r="IV58" s="344"/>
      <c r="IW58" s="344"/>
      <c r="IX58" s="344"/>
      <c r="IY58" s="344"/>
      <c r="IZ58" s="344"/>
      <c r="JA58" s="357"/>
      <c r="JB58" s="344"/>
      <c r="JC58" s="344"/>
      <c r="JD58" s="102"/>
      <c r="JE58" s="102"/>
      <c r="JF58" s="102"/>
      <c r="JG58" s="102"/>
      <c r="JH58" s="102"/>
      <c r="JI58" s="102"/>
      <c r="JJ58" s="102"/>
      <c r="JK58" s="102"/>
      <c r="JL58" s="102"/>
      <c r="JM58" s="102"/>
      <c r="JN58" s="102"/>
      <c r="JO58" s="102"/>
      <c r="JP58" s="102"/>
      <c r="JQ58" s="102"/>
      <c r="JR58" s="102"/>
      <c r="JS58" s="102"/>
      <c r="JT58" s="102"/>
      <c r="JU58" s="102"/>
      <c r="JV58" s="102"/>
      <c r="JW58" s="102"/>
      <c r="JX58" s="102"/>
      <c r="JY58" s="102"/>
      <c r="JZ58" s="102"/>
      <c r="KA58" s="102"/>
      <c r="KB58" s="102"/>
      <c r="KC58" s="102"/>
      <c r="KD58" s="102"/>
      <c r="KE58" s="102"/>
      <c r="KF58" s="102"/>
      <c r="KG58" s="102"/>
      <c r="KH58" s="102"/>
      <c r="KI58" s="102"/>
    </row>
    <row r="59" spans="1:295" s="48" customFormat="1" ht="10.5" customHeight="1">
      <c r="A59" s="102"/>
      <c r="B59" s="102"/>
      <c r="C59" s="58"/>
      <c r="D59" s="731" t="s">
        <v>858</v>
      </c>
      <c r="E59" s="727">
        <v>4</v>
      </c>
      <c r="F59" s="728">
        <f>'Part VI-Revenues &amp; Expenses'!$N$108</f>
        <v>0</v>
      </c>
      <c r="G59" s="729">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22" t="str">
        <f>CONCATENATE("x ", F59," units = ")</f>
        <v xml:space="preserve">x 0 units = </v>
      </c>
      <c r="I59" s="730">
        <f>F59*G59</f>
        <v>0</v>
      </c>
      <c r="J59" s="58"/>
      <c r="K59" s="728">
        <f>'Part VI-Revenues &amp; Expenses'!$N$109</f>
        <v>0</v>
      </c>
      <c r="L59" s="729">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22" t="str">
        <f>CONCATENATE("x ", K59," units = ")</f>
        <v xml:space="preserve">x 0 units = </v>
      </c>
      <c r="N59" s="730">
        <f>K59*L59</f>
        <v>0</v>
      </c>
      <c r="O59" s="455"/>
      <c r="P59" s="1892" t="s">
        <v>1295</v>
      </c>
      <c r="Q59" s="1892"/>
      <c r="U59" s="102"/>
      <c r="V59" s="346"/>
      <c r="W59" s="346"/>
      <c r="X59" s="349"/>
      <c r="Y59" s="346"/>
      <c r="Z59" s="358"/>
      <c r="AA59" s="359"/>
      <c r="AB59" s="359"/>
      <c r="AC59" s="359"/>
      <c r="AD59" s="359"/>
      <c r="AE59" s="359"/>
      <c r="AF59" s="359"/>
      <c r="AG59" s="523"/>
      <c r="AH59" s="344"/>
      <c r="AI59" s="344"/>
      <c r="AJ59" s="344"/>
      <c r="AK59" s="344"/>
      <c r="AL59" s="344"/>
      <c r="AM59" s="344"/>
      <c r="AN59" s="344"/>
      <c r="AO59" s="344"/>
      <c r="AP59" s="344"/>
      <c r="AQ59" s="344"/>
      <c r="AR59" s="344"/>
      <c r="AS59" s="344"/>
      <c r="AT59" s="344"/>
      <c r="AU59" s="344"/>
      <c r="AV59" s="344"/>
      <c r="AW59" s="344"/>
      <c r="AX59" s="344"/>
      <c r="AY59" s="344"/>
      <c r="AZ59" s="344"/>
      <c r="BA59" s="344"/>
      <c r="BB59" s="344"/>
      <c r="BC59" s="344"/>
      <c r="BD59" s="344"/>
      <c r="BE59" s="344"/>
      <c r="BF59" s="344"/>
      <c r="BG59" s="344"/>
      <c r="BH59" s="344"/>
      <c r="BI59" s="344"/>
      <c r="BJ59" s="344"/>
      <c r="BK59" s="344"/>
      <c r="BL59" s="344"/>
      <c r="BM59" s="344"/>
      <c r="BN59" s="344"/>
      <c r="BO59" s="344"/>
      <c r="BP59" s="344"/>
      <c r="BQ59" s="344"/>
      <c r="BR59" s="344"/>
      <c r="BS59" s="344"/>
      <c r="BT59" s="344"/>
      <c r="BU59" s="344"/>
      <c r="BV59" s="344"/>
      <c r="BW59" s="344"/>
      <c r="BX59" s="344"/>
      <c r="BY59" s="344"/>
      <c r="BZ59" s="344"/>
      <c r="CA59" s="344"/>
      <c r="CB59" s="344"/>
      <c r="CC59" s="344"/>
      <c r="CD59" s="344"/>
      <c r="CE59" s="344"/>
      <c r="CF59" s="344"/>
      <c r="CG59" s="344"/>
      <c r="CH59" s="344"/>
      <c r="CI59" s="344"/>
      <c r="CJ59" s="344"/>
      <c r="CK59" s="344"/>
      <c r="CL59" s="344"/>
      <c r="CM59" s="344"/>
      <c r="CN59" s="344"/>
      <c r="CO59" s="344"/>
      <c r="CP59" s="344"/>
      <c r="CQ59" s="344"/>
      <c r="CR59" s="344"/>
      <c r="CS59" s="344"/>
      <c r="CT59" s="344"/>
      <c r="CU59" s="344"/>
      <c r="CV59" s="344"/>
      <c r="CW59" s="344"/>
      <c r="CX59" s="344"/>
      <c r="CY59" s="344"/>
      <c r="CZ59" s="344"/>
      <c r="DA59" s="344"/>
      <c r="DB59" s="344"/>
      <c r="DC59" s="344"/>
      <c r="DD59" s="344"/>
      <c r="DE59" s="344"/>
      <c r="DF59" s="344"/>
      <c r="DG59" s="344"/>
      <c r="DH59" s="344"/>
      <c r="DI59" s="344"/>
      <c r="DJ59" s="344"/>
      <c r="DK59" s="344"/>
      <c r="DL59" s="344"/>
      <c r="DM59" s="344"/>
      <c r="DN59" s="344"/>
      <c r="DO59" s="344"/>
      <c r="DP59" s="344"/>
      <c r="DQ59" s="344"/>
      <c r="DR59" s="344"/>
      <c r="DS59" s="344"/>
      <c r="DT59" s="344"/>
      <c r="DU59" s="344"/>
      <c r="DV59" s="344"/>
      <c r="DW59" s="344"/>
      <c r="DX59" s="344"/>
      <c r="DY59" s="344"/>
      <c r="DZ59" s="344"/>
      <c r="EA59" s="344"/>
      <c r="EB59" s="344"/>
      <c r="EC59" s="344"/>
      <c r="ED59" s="344"/>
      <c r="EE59" s="344"/>
      <c r="EF59" s="344"/>
      <c r="EG59" s="344"/>
      <c r="EH59" s="344"/>
      <c r="EI59" s="344"/>
      <c r="EJ59" s="344"/>
      <c r="EK59" s="344"/>
      <c r="EL59" s="344"/>
      <c r="EM59" s="344"/>
      <c r="EN59" s="344"/>
      <c r="EO59" s="344"/>
      <c r="EP59" s="344"/>
      <c r="EQ59" s="344"/>
      <c r="ER59" s="344"/>
      <c r="ES59" s="344"/>
      <c r="ET59" s="344"/>
      <c r="EU59" s="344"/>
      <c r="EV59" s="344"/>
      <c r="EW59" s="344"/>
      <c r="EX59" s="344"/>
      <c r="EY59" s="344"/>
      <c r="EZ59" s="344"/>
      <c r="FA59" s="344"/>
      <c r="FB59" s="344"/>
      <c r="FC59" s="344"/>
      <c r="FD59" s="344"/>
      <c r="FE59" s="344"/>
      <c r="FF59" s="344"/>
      <c r="FG59" s="344"/>
      <c r="FH59" s="344"/>
      <c r="FI59" s="344"/>
      <c r="FJ59" s="344"/>
      <c r="FK59" s="344"/>
      <c r="FL59" s="344"/>
      <c r="FM59" s="344"/>
      <c r="FN59" s="344"/>
      <c r="FO59" s="344"/>
      <c r="FP59" s="344"/>
      <c r="FQ59" s="344"/>
      <c r="FR59" s="344"/>
      <c r="FS59" s="344"/>
      <c r="FT59" s="344"/>
      <c r="FU59" s="344"/>
      <c r="FV59" s="344"/>
      <c r="FW59" s="344"/>
      <c r="FX59" s="344"/>
      <c r="FY59" s="344"/>
      <c r="FZ59" s="344"/>
      <c r="GA59" s="344"/>
      <c r="GB59" s="344"/>
      <c r="GC59" s="344"/>
      <c r="GD59" s="344"/>
      <c r="GE59" s="344"/>
      <c r="GF59" s="344"/>
      <c r="GG59" s="344"/>
      <c r="GH59" s="344"/>
      <c r="GI59" s="344"/>
      <c r="GJ59" s="344"/>
      <c r="GK59" s="344"/>
      <c r="GL59" s="344"/>
      <c r="GM59" s="344"/>
      <c r="GN59" s="344"/>
      <c r="GO59" s="344"/>
      <c r="GP59" s="344"/>
      <c r="GQ59" s="344"/>
      <c r="GR59" s="344"/>
      <c r="GS59" s="344"/>
      <c r="GT59" s="344"/>
      <c r="GU59" s="344"/>
      <c r="GV59" s="344"/>
      <c r="GW59" s="344"/>
      <c r="GX59" s="344"/>
      <c r="GY59" s="344"/>
      <c r="GZ59" s="344"/>
      <c r="HA59" s="344"/>
      <c r="HB59" s="344"/>
      <c r="HC59" s="344"/>
      <c r="HD59" s="344"/>
      <c r="HE59" s="344"/>
      <c r="HF59" s="344"/>
      <c r="HG59" s="344"/>
      <c r="HH59" s="344"/>
      <c r="HI59" s="344"/>
      <c r="HJ59" s="344"/>
      <c r="HK59" s="344"/>
      <c r="HL59" s="344"/>
      <c r="HM59" s="344"/>
      <c r="HN59" s="344"/>
      <c r="HO59" s="344"/>
      <c r="HP59" s="344"/>
      <c r="HQ59" s="344"/>
      <c r="HR59" s="344"/>
      <c r="HS59" s="344"/>
      <c r="HT59" s="344"/>
      <c r="HU59" s="344"/>
      <c r="HV59" s="344"/>
      <c r="HW59" s="344"/>
      <c r="HX59" s="344"/>
      <c r="HY59" s="344"/>
      <c r="HZ59" s="344"/>
      <c r="IA59" s="344"/>
      <c r="IB59" s="344"/>
      <c r="IC59" s="344"/>
      <c r="ID59" s="344"/>
      <c r="IE59" s="344"/>
      <c r="IF59" s="344"/>
      <c r="IG59" s="344"/>
      <c r="IH59" s="344"/>
      <c r="II59" s="344"/>
      <c r="IJ59" s="357"/>
      <c r="IK59" s="357"/>
      <c r="IL59" s="344"/>
      <c r="IM59" s="344"/>
      <c r="IN59" s="344"/>
      <c r="IO59" s="344"/>
      <c r="IP59" s="344"/>
      <c r="IQ59" s="344"/>
      <c r="IR59" s="344"/>
      <c r="IS59" s="344"/>
      <c r="IT59" s="344"/>
      <c r="IU59" s="344"/>
      <c r="IV59" s="344"/>
      <c r="IW59" s="344"/>
      <c r="IX59" s="344"/>
      <c r="IY59" s="344"/>
      <c r="IZ59" s="344"/>
      <c r="JA59" s="357"/>
      <c r="JB59" s="344"/>
      <c r="JC59" s="344"/>
      <c r="JD59" s="102"/>
      <c r="JE59" s="102"/>
      <c r="JF59" s="102"/>
      <c r="JG59" s="102"/>
      <c r="JH59" s="102"/>
      <c r="JI59" s="102"/>
      <c r="JJ59" s="102"/>
      <c r="JK59" s="102"/>
      <c r="JL59" s="102"/>
      <c r="JM59" s="102"/>
      <c r="JN59" s="102"/>
      <c r="JO59" s="102"/>
      <c r="JP59" s="102"/>
      <c r="JQ59" s="102"/>
      <c r="JR59" s="102"/>
      <c r="JS59" s="102"/>
      <c r="JT59" s="102"/>
      <c r="JU59" s="102"/>
      <c r="JV59" s="102"/>
      <c r="JW59" s="102"/>
      <c r="JX59" s="102"/>
      <c r="JY59" s="102"/>
      <c r="JZ59" s="102"/>
      <c r="KA59" s="102"/>
      <c r="KB59" s="102"/>
      <c r="KC59" s="102"/>
      <c r="KD59" s="102"/>
      <c r="KE59" s="102"/>
      <c r="KF59" s="102"/>
      <c r="KG59" s="102"/>
      <c r="KH59" s="102"/>
      <c r="KI59" s="102"/>
    </row>
    <row r="60" spans="1:295" s="48" customFormat="1" ht="10.5" customHeight="1">
      <c r="A60" s="102"/>
      <c r="B60" s="102"/>
      <c r="C60" s="58"/>
      <c r="D60" s="468" t="s">
        <v>1289</v>
      </c>
      <c r="E60" s="310"/>
      <c r="F60" s="982">
        <f>SUM(F55:F59)</f>
        <v>74</v>
      </c>
      <c r="G60" s="504"/>
      <c r="H60" s="983"/>
      <c r="I60" s="984">
        <f>SUM(I55:I59)</f>
        <v>15865932</v>
      </c>
      <c r="J60" s="985"/>
      <c r="K60" s="982">
        <f>SUM(K55:K59)</f>
        <v>0</v>
      </c>
      <c r="L60" s="985"/>
      <c r="M60" s="983"/>
      <c r="N60" s="984">
        <f>SUM(N55:N59)</f>
        <v>0</v>
      </c>
      <c r="O60" s="455"/>
      <c r="P60" s="1892"/>
      <c r="Q60" s="1892"/>
      <c r="U60" s="102"/>
      <c r="V60" s="346"/>
      <c r="W60" s="346"/>
      <c r="X60" s="349"/>
      <c r="Y60" s="346"/>
      <c r="Z60" s="358"/>
      <c r="AA60" s="359"/>
      <c r="AB60" s="359"/>
      <c r="AC60" s="359"/>
      <c r="AD60" s="359"/>
      <c r="AE60" s="359"/>
      <c r="AF60" s="359"/>
      <c r="AG60" s="523"/>
      <c r="AH60" s="344"/>
      <c r="AI60" s="344"/>
      <c r="AJ60" s="344"/>
      <c r="AK60" s="344"/>
      <c r="AL60" s="344"/>
      <c r="AM60" s="344"/>
      <c r="AN60" s="344"/>
      <c r="AO60" s="344"/>
      <c r="AP60" s="344"/>
      <c r="AQ60" s="344"/>
      <c r="AR60" s="344"/>
      <c r="AS60" s="344"/>
      <c r="AT60" s="344"/>
      <c r="AU60" s="344"/>
      <c r="AV60" s="344"/>
      <c r="AW60" s="344"/>
      <c r="AX60" s="344"/>
      <c r="AY60" s="344"/>
      <c r="AZ60" s="344"/>
      <c r="BA60" s="344"/>
      <c r="BB60" s="344"/>
      <c r="BC60" s="344"/>
      <c r="BD60" s="344"/>
      <c r="BE60" s="344"/>
      <c r="BF60" s="344"/>
      <c r="BG60" s="344"/>
      <c r="BH60" s="344"/>
      <c r="BI60" s="344"/>
      <c r="BJ60" s="344"/>
      <c r="BK60" s="344"/>
      <c r="BL60" s="344"/>
      <c r="BM60" s="344"/>
      <c r="BN60" s="344"/>
      <c r="BO60" s="344"/>
      <c r="BP60" s="344"/>
      <c r="BQ60" s="344"/>
      <c r="BR60" s="344"/>
      <c r="BS60" s="344"/>
      <c r="BT60" s="344"/>
      <c r="BU60" s="344"/>
      <c r="BV60" s="344"/>
      <c r="BW60" s="344"/>
      <c r="BX60" s="344"/>
      <c r="BY60" s="344"/>
      <c r="BZ60" s="344"/>
      <c r="CA60" s="344"/>
      <c r="CB60" s="344"/>
      <c r="CC60" s="344"/>
      <c r="CD60" s="344"/>
      <c r="CE60" s="344"/>
      <c r="CF60" s="344"/>
      <c r="CG60" s="344"/>
      <c r="CH60" s="344"/>
      <c r="CI60" s="344"/>
      <c r="CJ60" s="344"/>
      <c r="CK60" s="344"/>
      <c r="CL60" s="344"/>
      <c r="CM60" s="344"/>
      <c r="CN60" s="344"/>
      <c r="CO60" s="344"/>
      <c r="CP60" s="344"/>
      <c r="CQ60" s="344"/>
      <c r="CR60" s="344"/>
      <c r="CS60" s="344"/>
      <c r="CT60" s="344"/>
      <c r="CU60" s="344"/>
      <c r="CV60" s="344"/>
      <c r="CW60" s="344"/>
      <c r="CX60" s="344"/>
      <c r="CY60" s="344"/>
      <c r="CZ60" s="344"/>
      <c r="DA60" s="344"/>
      <c r="DB60" s="344"/>
      <c r="DC60" s="344"/>
      <c r="DD60" s="344"/>
      <c r="DE60" s="344"/>
      <c r="DF60" s="344"/>
      <c r="DG60" s="344"/>
      <c r="DH60" s="344"/>
      <c r="DI60" s="344"/>
      <c r="DJ60" s="344"/>
      <c r="DK60" s="344"/>
      <c r="DL60" s="344"/>
      <c r="DM60" s="344"/>
      <c r="DN60" s="344"/>
      <c r="DO60" s="344"/>
      <c r="DP60" s="344"/>
      <c r="DQ60" s="344"/>
      <c r="DR60" s="344"/>
      <c r="DS60" s="344"/>
      <c r="DT60" s="344"/>
      <c r="DU60" s="344"/>
      <c r="DV60" s="344"/>
      <c r="DW60" s="344"/>
      <c r="DX60" s="344"/>
      <c r="DY60" s="344"/>
      <c r="DZ60" s="344"/>
      <c r="EA60" s="344"/>
      <c r="EB60" s="344"/>
      <c r="EC60" s="344"/>
      <c r="ED60" s="344"/>
      <c r="EE60" s="344"/>
      <c r="EF60" s="344"/>
      <c r="EG60" s="344"/>
      <c r="EH60" s="344"/>
      <c r="EI60" s="344"/>
      <c r="EJ60" s="344"/>
      <c r="EK60" s="344"/>
      <c r="EL60" s="344"/>
      <c r="EM60" s="344"/>
      <c r="EN60" s="344"/>
      <c r="EO60" s="344"/>
      <c r="EP60" s="344"/>
      <c r="EQ60" s="344"/>
      <c r="ER60" s="344"/>
      <c r="ES60" s="344"/>
      <c r="ET60" s="344"/>
      <c r="EU60" s="344"/>
      <c r="EV60" s="344"/>
      <c r="EW60" s="344"/>
      <c r="EX60" s="344"/>
      <c r="EY60" s="344"/>
      <c r="EZ60" s="344"/>
      <c r="FA60" s="344"/>
      <c r="FB60" s="344"/>
      <c r="FC60" s="344"/>
      <c r="FD60" s="344"/>
      <c r="FE60" s="344"/>
      <c r="FF60" s="344"/>
      <c r="FG60" s="344"/>
      <c r="FH60" s="344"/>
      <c r="FI60" s="344"/>
      <c r="FJ60" s="344"/>
      <c r="FK60" s="344"/>
      <c r="FL60" s="344"/>
      <c r="FM60" s="344"/>
      <c r="FN60" s="344"/>
      <c r="FO60" s="344"/>
      <c r="FP60" s="344"/>
      <c r="FQ60" s="344"/>
      <c r="FR60" s="344"/>
      <c r="FS60" s="344"/>
      <c r="FT60" s="344"/>
      <c r="FU60" s="344"/>
      <c r="FV60" s="344"/>
      <c r="FW60" s="344"/>
      <c r="FX60" s="344"/>
      <c r="FY60" s="344"/>
      <c r="FZ60" s="344"/>
      <c r="GA60" s="344"/>
      <c r="GB60" s="344"/>
      <c r="GC60" s="344"/>
      <c r="GD60" s="344"/>
      <c r="GE60" s="344"/>
      <c r="GF60" s="344"/>
      <c r="GG60" s="344"/>
      <c r="GH60" s="344"/>
      <c r="GI60" s="344"/>
      <c r="GJ60" s="344"/>
      <c r="GK60" s="344"/>
      <c r="GL60" s="344"/>
      <c r="GM60" s="344"/>
      <c r="GN60" s="344"/>
      <c r="GO60" s="344"/>
      <c r="GP60" s="344"/>
      <c r="GQ60" s="344"/>
      <c r="GR60" s="344"/>
      <c r="GS60" s="344"/>
      <c r="GT60" s="344"/>
      <c r="GU60" s="344"/>
      <c r="GV60" s="344"/>
      <c r="GW60" s="344"/>
      <c r="GX60" s="344"/>
      <c r="GY60" s="344"/>
      <c r="GZ60" s="344"/>
      <c r="HA60" s="344"/>
      <c r="HB60" s="344"/>
      <c r="HC60" s="344"/>
      <c r="HD60" s="344"/>
      <c r="HE60" s="344"/>
      <c r="HF60" s="344"/>
      <c r="HG60" s="344"/>
      <c r="HH60" s="344"/>
      <c r="HI60" s="344"/>
      <c r="HJ60" s="344"/>
      <c r="HK60" s="344"/>
      <c r="HL60" s="344"/>
      <c r="HM60" s="344"/>
      <c r="HN60" s="344"/>
      <c r="HO60" s="344"/>
      <c r="HP60" s="344"/>
      <c r="HQ60" s="344"/>
      <c r="HR60" s="344"/>
      <c r="HS60" s="344"/>
      <c r="HT60" s="344"/>
      <c r="HU60" s="344"/>
      <c r="HV60" s="344"/>
      <c r="HW60" s="344"/>
      <c r="HX60" s="344"/>
      <c r="HY60" s="344"/>
      <c r="HZ60" s="344"/>
      <c r="IA60" s="344"/>
      <c r="IB60" s="344"/>
      <c r="IC60" s="344"/>
      <c r="ID60" s="344"/>
      <c r="IE60" s="344"/>
      <c r="IF60" s="344"/>
      <c r="IG60" s="344"/>
      <c r="IH60" s="344"/>
      <c r="II60" s="344"/>
      <c r="IJ60" s="357"/>
      <c r="IK60" s="357"/>
      <c r="IL60" s="344"/>
      <c r="IM60" s="344"/>
      <c r="IN60" s="344"/>
      <c r="IO60" s="344"/>
      <c r="IP60" s="344"/>
      <c r="IQ60" s="344"/>
      <c r="IR60" s="344"/>
      <c r="IS60" s="344"/>
      <c r="IT60" s="344"/>
      <c r="IU60" s="344"/>
      <c r="IV60" s="344"/>
      <c r="IW60" s="344"/>
      <c r="IX60" s="344"/>
      <c r="IY60" s="344"/>
      <c r="IZ60" s="344"/>
      <c r="JA60" s="357"/>
      <c r="JB60" s="344"/>
      <c r="JC60" s="344"/>
      <c r="JD60" s="102"/>
      <c r="JE60" s="102"/>
      <c r="JF60" s="102"/>
      <c r="JG60" s="102"/>
      <c r="JH60" s="102"/>
      <c r="JI60" s="102"/>
      <c r="JJ60" s="102"/>
      <c r="JK60" s="102"/>
      <c r="JL60" s="102"/>
      <c r="JM60" s="102"/>
      <c r="JN60" s="102"/>
      <c r="JO60" s="102"/>
      <c r="JP60" s="102"/>
      <c r="JQ60" s="102"/>
      <c r="JR60" s="102"/>
      <c r="JS60" s="102"/>
      <c r="JT60" s="102"/>
      <c r="JU60" s="102"/>
      <c r="JV60" s="102"/>
      <c r="JW60" s="102"/>
      <c r="JX60" s="102"/>
      <c r="JY60" s="102"/>
      <c r="JZ60" s="102"/>
      <c r="KA60" s="102"/>
      <c r="KB60" s="102"/>
      <c r="KC60" s="102"/>
      <c r="KD60" s="102"/>
      <c r="KE60" s="102"/>
      <c r="KF60" s="102"/>
      <c r="KG60" s="102"/>
      <c r="KH60" s="102"/>
      <c r="KI60" s="102"/>
    </row>
    <row r="61" spans="1:295" s="48" customFormat="1" ht="1.5" customHeight="1">
      <c r="A61" s="102"/>
      <c r="C61" s="58"/>
      <c r="D61" s="437"/>
      <c r="E61" s="437"/>
      <c r="F61" s="505"/>
      <c r="G61" s="98"/>
      <c r="H61" s="102"/>
      <c r="I61" s="1538"/>
      <c r="J61" s="102"/>
      <c r="K61" s="505"/>
      <c r="L61" s="102"/>
      <c r="M61" s="1532"/>
      <c r="N61" s="1538"/>
      <c r="O61" s="455"/>
      <c r="P61" s="1892"/>
      <c r="Q61" s="1892"/>
      <c r="R61" s="304"/>
      <c r="U61" s="102"/>
      <c r="V61" s="346"/>
      <c r="W61" s="346"/>
      <c r="X61" s="349"/>
      <c r="Y61" s="346"/>
      <c r="Z61" s="358"/>
      <c r="AA61" s="359"/>
      <c r="AB61" s="359"/>
      <c r="AC61" s="359"/>
      <c r="AD61" s="359"/>
      <c r="AE61" s="359"/>
      <c r="AF61" s="359"/>
      <c r="AG61" s="523"/>
      <c r="AH61" s="344"/>
      <c r="AI61" s="344"/>
      <c r="AJ61" s="344"/>
      <c r="AK61" s="344"/>
      <c r="AL61" s="344"/>
      <c r="AM61" s="344"/>
      <c r="AN61" s="344"/>
      <c r="AO61" s="344"/>
      <c r="AP61" s="344"/>
      <c r="AQ61" s="344"/>
      <c r="AR61" s="344"/>
      <c r="AS61" s="344"/>
      <c r="AT61" s="344"/>
      <c r="AU61" s="344"/>
      <c r="AV61" s="344"/>
      <c r="AW61" s="344"/>
      <c r="AX61" s="344"/>
      <c r="AY61" s="344"/>
      <c r="AZ61" s="344"/>
      <c r="BA61" s="344"/>
      <c r="BB61" s="344"/>
      <c r="BC61" s="344"/>
      <c r="BD61" s="344"/>
      <c r="BE61" s="344"/>
      <c r="BF61" s="344"/>
      <c r="BG61" s="344"/>
      <c r="BH61" s="344"/>
      <c r="BI61" s="344"/>
      <c r="BJ61" s="344"/>
      <c r="BK61" s="344"/>
      <c r="BL61" s="344"/>
      <c r="BM61" s="344"/>
      <c r="BN61" s="344"/>
      <c r="BO61" s="344"/>
      <c r="BP61" s="344"/>
      <c r="BQ61" s="344"/>
      <c r="BR61" s="344"/>
      <c r="BS61" s="344"/>
      <c r="BT61" s="344"/>
      <c r="BU61" s="344"/>
      <c r="BV61" s="344"/>
      <c r="BW61" s="344"/>
      <c r="BX61" s="344"/>
      <c r="BY61" s="344"/>
      <c r="BZ61" s="344"/>
      <c r="CA61" s="344"/>
      <c r="CB61" s="344"/>
      <c r="CC61" s="344"/>
      <c r="CD61" s="344"/>
      <c r="CE61" s="344"/>
      <c r="CF61" s="344"/>
      <c r="CG61" s="344"/>
      <c r="CH61" s="344"/>
      <c r="CI61" s="344"/>
      <c r="CJ61" s="344"/>
      <c r="CK61" s="344"/>
      <c r="CL61" s="344"/>
      <c r="CM61" s="344"/>
      <c r="CN61" s="344"/>
      <c r="CO61" s="344"/>
      <c r="CP61" s="344"/>
      <c r="CQ61" s="344"/>
      <c r="CR61" s="344"/>
      <c r="CS61" s="344"/>
      <c r="CT61" s="344"/>
      <c r="CU61" s="344"/>
      <c r="CV61" s="344"/>
      <c r="CW61" s="344"/>
      <c r="CX61" s="344"/>
      <c r="CY61" s="344"/>
      <c r="CZ61" s="344"/>
      <c r="DA61" s="344"/>
      <c r="DB61" s="344"/>
      <c r="DC61" s="344"/>
      <c r="DD61" s="344"/>
      <c r="DE61" s="344"/>
      <c r="DF61" s="344"/>
      <c r="DG61" s="344"/>
      <c r="DH61" s="344"/>
      <c r="DI61" s="344"/>
      <c r="DJ61" s="344"/>
      <c r="DK61" s="344"/>
      <c r="DL61" s="344"/>
      <c r="DM61" s="344"/>
      <c r="DN61" s="344"/>
      <c r="DO61" s="344"/>
      <c r="DP61" s="344"/>
      <c r="DQ61" s="344"/>
      <c r="DR61" s="344"/>
      <c r="DS61" s="344"/>
      <c r="DT61" s="344"/>
      <c r="DU61" s="344"/>
      <c r="DV61" s="344"/>
      <c r="DW61" s="344"/>
      <c r="DX61" s="344"/>
      <c r="DY61" s="344"/>
      <c r="DZ61" s="344"/>
      <c r="EA61" s="344"/>
      <c r="EB61" s="344"/>
      <c r="EC61" s="344"/>
      <c r="ED61" s="344"/>
      <c r="EE61" s="344"/>
      <c r="EF61" s="344"/>
      <c r="EG61" s="344"/>
      <c r="EH61" s="344"/>
      <c r="EI61" s="344"/>
      <c r="EJ61" s="344"/>
      <c r="EK61" s="344"/>
      <c r="EL61" s="344"/>
      <c r="EM61" s="344"/>
      <c r="EN61" s="344"/>
      <c r="EO61" s="344"/>
      <c r="EP61" s="344"/>
      <c r="EQ61" s="344"/>
      <c r="ER61" s="344"/>
      <c r="ES61" s="344"/>
      <c r="ET61" s="344"/>
      <c r="EU61" s="344"/>
      <c r="EV61" s="344"/>
      <c r="EW61" s="344"/>
      <c r="EX61" s="344"/>
      <c r="EY61" s="344"/>
      <c r="EZ61" s="344"/>
      <c r="FA61" s="344"/>
      <c r="FB61" s="344"/>
      <c r="FC61" s="344"/>
      <c r="FD61" s="344"/>
      <c r="FE61" s="344"/>
      <c r="FF61" s="344"/>
      <c r="FG61" s="344"/>
      <c r="FH61" s="344"/>
      <c r="FI61" s="344"/>
      <c r="FJ61" s="344"/>
      <c r="FK61" s="344"/>
      <c r="FL61" s="344"/>
      <c r="FM61" s="344"/>
      <c r="FN61" s="344"/>
      <c r="FO61" s="344"/>
      <c r="FP61" s="344"/>
      <c r="FQ61" s="344"/>
      <c r="FR61" s="344"/>
      <c r="FS61" s="344"/>
      <c r="FT61" s="344"/>
      <c r="FU61" s="344"/>
      <c r="FV61" s="344"/>
      <c r="FW61" s="344"/>
      <c r="FX61" s="344"/>
      <c r="FY61" s="344"/>
      <c r="FZ61" s="344"/>
      <c r="GA61" s="344"/>
      <c r="GB61" s="344"/>
      <c r="GC61" s="344"/>
      <c r="GD61" s="344"/>
      <c r="GE61" s="344"/>
      <c r="GF61" s="344"/>
      <c r="GG61" s="344"/>
      <c r="GH61" s="344"/>
      <c r="GI61" s="344"/>
      <c r="GJ61" s="344"/>
      <c r="GK61" s="344"/>
      <c r="GL61" s="344"/>
      <c r="GM61" s="344"/>
      <c r="GN61" s="344"/>
      <c r="GO61" s="344"/>
      <c r="GP61" s="344"/>
      <c r="GQ61" s="344"/>
      <c r="GR61" s="344"/>
      <c r="GS61" s="344"/>
      <c r="GT61" s="344"/>
      <c r="GU61" s="344"/>
      <c r="GV61" s="344"/>
      <c r="GW61" s="344"/>
      <c r="GX61" s="344"/>
      <c r="GY61" s="344"/>
      <c r="GZ61" s="344"/>
      <c r="HA61" s="344"/>
      <c r="HB61" s="344"/>
      <c r="HC61" s="344"/>
      <c r="HD61" s="344"/>
      <c r="HE61" s="344"/>
      <c r="HF61" s="344"/>
      <c r="HG61" s="344"/>
      <c r="HH61" s="344"/>
      <c r="HI61" s="344"/>
      <c r="HJ61" s="344"/>
      <c r="HK61" s="344"/>
      <c r="HL61" s="344"/>
      <c r="HM61" s="344"/>
      <c r="HN61" s="344"/>
      <c r="HO61" s="344"/>
      <c r="HP61" s="344"/>
      <c r="HQ61" s="344"/>
      <c r="HR61" s="344"/>
      <c r="HS61" s="344"/>
      <c r="HT61" s="344"/>
      <c r="HU61" s="344"/>
      <c r="HV61" s="344"/>
      <c r="HW61" s="344"/>
      <c r="HX61" s="344"/>
      <c r="HY61" s="344"/>
      <c r="HZ61" s="344"/>
      <c r="IA61" s="344"/>
      <c r="IB61" s="344"/>
      <c r="IC61" s="344"/>
      <c r="ID61" s="344"/>
      <c r="IE61" s="344"/>
      <c r="IF61" s="344"/>
      <c r="IG61" s="344"/>
      <c r="IH61" s="344"/>
      <c r="II61" s="344"/>
      <c r="IJ61" s="357"/>
      <c r="IK61" s="357"/>
      <c r="IL61" s="344"/>
      <c r="IM61" s="344"/>
      <c r="IN61" s="344"/>
      <c r="IO61" s="344"/>
      <c r="IP61" s="344"/>
      <c r="IQ61" s="344"/>
      <c r="IR61" s="344"/>
      <c r="IS61" s="344"/>
      <c r="IT61" s="344"/>
      <c r="IU61" s="344"/>
      <c r="IV61" s="344"/>
      <c r="IW61" s="344"/>
      <c r="IX61" s="344"/>
      <c r="IY61" s="344"/>
      <c r="IZ61" s="344"/>
      <c r="JA61" s="357"/>
      <c r="JB61" s="344"/>
      <c r="JC61" s="344"/>
      <c r="JD61" s="102"/>
      <c r="JE61" s="102"/>
      <c r="JF61" s="102"/>
      <c r="JG61" s="102"/>
      <c r="JH61" s="102"/>
      <c r="JI61" s="102"/>
      <c r="JJ61" s="102"/>
      <c r="JK61" s="102"/>
      <c r="JL61" s="102"/>
      <c r="JM61" s="102"/>
      <c r="JN61" s="102"/>
      <c r="JO61" s="102"/>
      <c r="JP61" s="102"/>
      <c r="JQ61" s="102"/>
      <c r="JR61" s="102"/>
      <c r="JS61" s="102"/>
      <c r="JT61" s="102"/>
      <c r="JU61" s="102"/>
      <c r="JV61" s="102"/>
      <c r="JW61" s="102"/>
      <c r="JX61" s="102"/>
      <c r="JY61" s="102"/>
      <c r="JZ61" s="102"/>
      <c r="KA61" s="102"/>
      <c r="KB61" s="102"/>
      <c r="KC61" s="102"/>
      <c r="KD61" s="102"/>
      <c r="KE61" s="102"/>
      <c r="KF61" s="102"/>
      <c r="KG61" s="102"/>
      <c r="KH61" s="102"/>
      <c r="KI61" s="102"/>
    </row>
    <row r="62" spans="1:295" s="48" customFormat="1" ht="10.5" customHeight="1">
      <c r="A62" s="467" t="s">
        <v>1131</v>
      </c>
      <c r="B62" s="102"/>
      <c r="C62" s="58"/>
      <c r="D62" s="726" t="s">
        <v>831</v>
      </c>
      <c r="E62" s="727">
        <v>0</v>
      </c>
      <c r="F62" s="728">
        <f>'Part VI-Revenues &amp; Expenses'!$J$110</f>
        <v>0</v>
      </c>
      <c r="G62" s="729">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22" t="str">
        <f>CONCATENATE("x ", F62," units = ")</f>
        <v xml:space="preserve">x 0 units = </v>
      </c>
      <c r="I62" s="730">
        <f>F62*G62</f>
        <v>0</v>
      </c>
      <c r="J62" s="58"/>
      <c r="K62" s="728">
        <f>'Part VI-Revenues &amp; Expenses'!$J$111</f>
        <v>0</v>
      </c>
      <c r="L62" s="729">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22" t="str">
        <f>CONCATENATE("x ", K62," units = ")</f>
        <v xml:space="preserve">x 0 units = </v>
      </c>
      <c r="N62" s="730">
        <f>K62*L62</f>
        <v>0</v>
      </c>
      <c r="O62" s="455"/>
      <c r="P62" s="1893"/>
      <c r="Q62" s="1893"/>
      <c r="R62" s="304"/>
      <c r="U62" s="102"/>
      <c r="V62" s="346"/>
      <c r="W62" s="346"/>
      <c r="X62" s="349"/>
      <c r="Y62" s="346"/>
      <c r="Z62" s="358"/>
      <c r="AA62" s="359"/>
      <c r="AB62" s="359"/>
      <c r="AC62" s="359"/>
      <c r="AD62" s="359"/>
      <c r="AE62" s="359"/>
      <c r="AF62" s="359"/>
      <c r="AG62" s="523"/>
      <c r="AH62" s="344"/>
      <c r="AI62" s="344"/>
      <c r="AJ62" s="344"/>
      <c r="AK62" s="344"/>
      <c r="AL62" s="344"/>
      <c r="AM62" s="344"/>
      <c r="AN62" s="344"/>
      <c r="AO62" s="344"/>
      <c r="AP62" s="344"/>
      <c r="AQ62" s="344"/>
      <c r="AR62" s="344"/>
      <c r="AS62" s="344"/>
      <c r="AT62" s="344"/>
      <c r="AU62" s="344"/>
      <c r="AV62" s="344"/>
      <c r="AW62" s="344"/>
      <c r="AX62" s="344"/>
      <c r="AY62" s="344"/>
      <c r="AZ62" s="344"/>
      <c r="BA62" s="344"/>
      <c r="BB62" s="344"/>
      <c r="BC62" s="344"/>
      <c r="BD62" s="344"/>
      <c r="BE62" s="344"/>
      <c r="BF62" s="344"/>
      <c r="BG62" s="344"/>
      <c r="BH62" s="344"/>
      <c r="BI62" s="344"/>
      <c r="BJ62" s="344"/>
      <c r="BK62" s="344"/>
      <c r="BL62" s="344"/>
      <c r="BM62" s="344"/>
      <c r="BN62" s="344"/>
      <c r="BO62" s="344"/>
      <c r="BP62" s="344"/>
      <c r="BQ62" s="344"/>
      <c r="BR62" s="344"/>
      <c r="BS62" s="344"/>
      <c r="BT62" s="344"/>
      <c r="BU62" s="344"/>
      <c r="BV62" s="344"/>
      <c r="BW62" s="344"/>
      <c r="BX62" s="344"/>
      <c r="BY62" s="344"/>
      <c r="BZ62" s="344"/>
      <c r="CA62" s="344"/>
      <c r="CB62" s="344"/>
      <c r="CC62" s="344"/>
      <c r="CD62" s="344"/>
      <c r="CE62" s="344"/>
      <c r="CF62" s="344"/>
      <c r="CG62" s="344"/>
      <c r="CH62" s="344"/>
      <c r="CI62" s="344"/>
      <c r="CJ62" s="344"/>
      <c r="CK62" s="344"/>
      <c r="CL62" s="344"/>
      <c r="CM62" s="344"/>
      <c r="CN62" s="344"/>
      <c r="CO62" s="344"/>
      <c r="CP62" s="344"/>
      <c r="CQ62" s="344"/>
      <c r="CR62" s="344"/>
      <c r="CS62" s="344"/>
      <c r="CT62" s="344"/>
      <c r="CU62" s="344"/>
      <c r="CV62" s="344"/>
      <c r="CW62" s="344"/>
      <c r="CX62" s="344"/>
      <c r="CY62" s="344"/>
      <c r="CZ62" s="344"/>
      <c r="DA62" s="344"/>
      <c r="DB62" s="344"/>
      <c r="DC62" s="344"/>
      <c r="DD62" s="344"/>
      <c r="DE62" s="344"/>
      <c r="DF62" s="344"/>
      <c r="DG62" s="344"/>
      <c r="DH62" s="344"/>
      <c r="DI62" s="344"/>
      <c r="DJ62" s="344"/>
      <c r="DK62" s="344"/>
      <c r="DL62" s="344"/>
      <c r="DM62" s="344"/>
      <c r="DN62" s="344"/>
      <c r="DO62" s="344"/>
      <c r="DP62" s="344"/>
      <c r="DQ62" s="344"/>
      <c r="DR62" s="344"/>
      <c r="DS62" s="344"/>
      <c r="DT62" s="344"/>
      <c r="DU62" s="344"/>
      <c r="DV62" s="344"/>
      <c r="DW62" s="344"/>
      <c r="DX62" s="344"/>
      <c r="DY62" s="344"/>
      <c r="DZ62" s="344"/>
      <c r="EA62" s="344"/>
      <c r="EB62" s="344"/>
      <c r="EC62" s="344"/>
      <c r="ED62" s="344"/>
      <c r="EE62" s="344"/>
      <c r="EF62" s="344"/>
      <c r="EG62" s="344"/>
      <c r="EH62" s="344"/>
      <c r="EI62" s="344"/>
      <c r="EJ62" s="344"/>
      <c r="EK62" s="344"/>
      <c r="EL62" s="344"/>
      <c r="EM62" s="344"/>
      <c r="EN62" s="344"/>
      <c r="EO62" s="344"/>
      <c r="EP62" s="344"/>
      <c r="EQ62" s="344"/>
      <c r="ER62" s="344"/>
      <c r="ES62" s="344"/>
      <c r="ET62" s="344"/>
      <c r="EU62" s="344"/>
      <c r="EV62" s="344"/>
      <c r="EW62" s="344"/>
      <c r="EX62" s="344"/>
      <c r="EY62" s="344"/>
      <c r="EZ62" s="344"/>
      <c r="FA62" s="344"/>
      <c r="FB62" s="344"/>
      <c r="FC62" s="344"/>
      <c r="FD62" s="344"/>
      <c r="FE62" s="344"/>
      <c r="FF62" s="344"/>
      <c r="FG62" s="344"/>
      <c r="FH62" s="344"/>
      <c r="FI62" s="344"/>
      <c r="FJ62" s="344"/>
      <c r="FK62" s="344"/>
      <c r="FL62" s="344"/>
      <c r="FM62" s="344"/>
      <c r="FN62" s="344"/>
      <c r="FO62" s="344"/>
      <c r="FP62" s="344"/>
      <c r="FQ62" s="344"/>
      <c r="FR62" s="344"/>
      <c r="FS62" s="344"/>
      <c r="FT62" s="344"/>
      <c r="FU62" s="344"/>
      <c r="FV62" s="344"/>
      <c r="FW62" s="344"/>
      <c r="FX62" s="344"/>
      <c r="FY62" s="344"/>
      <c r="FZ62" s="344"/>
      <c r="GA62" s="344"/>
      <c r="GB62" s="344"/>
      <c r="GC62" s="344"/>
      <c r="GD62" s="344"/>
      <c r="GE62" s="344"/>
      <c r="GF62" s="344"/>
      <c r="GG62" s="344"/>
      <c r="GH62" s="344"/>
      <c r="GI62" s="344"/>
      <c r="GJ62" s="344"/>
      <c r="GK62" s="344"/>
      <c r="GL62" s="344"/>
      <c r="GM62" s="344"/>
      <c r="GN62" s="344"/>
      <c r="GO62" s="344"/>
      <c r="GP62" s="344"/>
      <c r="GQ62" s="344"/>
      <c r="GR62" s="344"/>
      <c r="GS62" s="344"/>
      <c r="GT62" s="344"/>
      <c r="GU62" s="344"/>
      <c r="GV62" s="344"/>
      <c r="GW62" s="344"/>
      <c r="GX62" s="344"/>
      <c r="GY62" s="344"/>
      <c r="GZ62" s="344"/>
      <c r="HA62" s="344"/>
      <c r="HB62" s="344"/>
      <c r="HC62" s="344"/>
      <c r="HD62" s="344"/>
      <c r="HE62" s="344"/>
      <c r="HF62" s="344"/>
      <c r="HG62" s="344"/>
      <c r="HH62" s="344"/>
      <c r="HI62" s="344"/>
      <c r="HJ62" s="344"/>
      <c r="HK62" s="344"/>
      <c r="HL62" s="344"/>
      <c r="HM62" s="344"/>
      <c r="HN62" s="344"/>
      <c r="HO62" s="344"/>
      <c r="HP62" s="344"/>
      <c r="HQ62" s="344"/>
      <c r="HR62" s="344"/>
      <c r="HS62" s="344"/>
      <c r="HT62" s="344"/>
      <c r="HU62" s="344"/>
      <c r="HV62" s="344"/>
      <c r="HW62" s="344"/>
      <c r="HX62" s="344"/>
      <c r="HY62" s="344"/>
      <c r="HZ62" s="344"/>
      <c r="IA62" s="344"/>
      <c r="IB62" s="344"/>
      <c r="IC62" s="344"/>
      <c r="ID62" s="344"/>
      <c r="IE62" s="344"/>
      <c r="IF62" s="344"/>
      <c r="IG62" s="344"/>
      <c r="IH62" s="344"/>
      <c r="II62" s="344"/>
      <c r="IJ62" s="357"/>
      <c r="IK62" s="357"/>
      <c r="IL62" s="344"/>
      <c r="IM62" s="344"/>
      <c r="IN62" s="344"/>
      <c r="IO62" s="344"/>
      <c r="IP62" s="344"/>
      <c r="IQ62" s="344"/>
      <c r="IR62" s="344"/>
      <c r="IS62" s="344"/>
      <c r="IT62" s="344"/>
      <c r="IU62" s="344"/>
      <c r="IV62" s="344"/>
      <c r="IW62" s="344"/>
      <c r="IX62" s="344"/>
      <c r="IY62" s="344"/>
      <c r="IZ62" s="344"/>
      <c r="JA62" s="357"/>
      <c r="JB62" s="344"/>
      <c r="JC62" s="344"/>
      <c r="JD62" s="102"/>
      <c r="JE62" s="102"/>
      <c r="JF62" s="102"/>
      <c r="JG62" s="102"/>
      <c r="JH62" s="102"/>
      <c r="JI62" s="102"/>
      <c r="JJ62" s="102"/>
      <c r="JK62" s="102"/>
      <c r="JL62" s="102"/>
      <c r="JM62" s="102"/>
      <c r="JN62" s="102"/>
      <c r="JO62" s="102"/>
      <c r="JP62" s="102"/>
      <c r="JQ62" s="102"/>
      <c r="JR62" s="102"/>
      <c r="JS62" s="102"/>
      <c r="JT62" s="102"/>
      <c r="JU62" s="102"/>
      <c r="JV62" s="102"/>
      <c r="JW62" s="102"/>
      <c r="JX62" s="102"/>
      <c r="JY62" s="102"/>
      <c r="JZ62" s="102"/>
      <c r="KA62" s="102"/>
      <c r="KB62" s="102"/>
      <c r="KC62" s="102"/>
      <c r="KD62" s="102"/>
      <c r="KE62" s="102"/>
      <c r="KF62" s="102"/>
      <c r="KG62" s="102"/>
      <c r="KH62" s="102"/>
      <c r="KI62" s="102"/>
    </row>
    <row r="63" spans="1:295" s="48" customFormat="1" ht="10.5" customHeight="1">
      <c r="A63" s="102"/>
      <c r="B63" s="102"/>
      <c r="C63" s="58"/>
      <c r="D63" s="726" t="s">
        <v>855</v>
      </c>
      <c r="E63" s="727">
        <v>1</v>
      </c>
      <c r="F63" s="728">
        <f>'Part VI-Revenues &amp; Expenses'!$K$110</f>
        <v>0</v>
      </c>
      <c r="G63" s="729">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22" t="str">
        <f>CONCATENATE("x ", F63," units = ")</f>
        <v xml:space="preserve">x 0 units = </v>
      </c>
      <c r="I63" s="730">
        <f>F63*G63</f>
        <v>0</v>
      </c>
      <c r="J63" s="58"/>
      <c r="K63" s="728">
        <f>'Part VI-Revenues &amp; Expenses'!$K$111</f>
        <v>0</v>
      </c>
      <c r="L63" s="729">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22" t="str">
        <f>CONCATENATE("x ", K63," units = ")</f>
        <v xml:space="preserve">x 0 units = </v>
      </c>
      <c r="N63" s="730">
        <f>K63*L63</f>
        <v>0</v>
      </c>
      <c r="O63" s="455"/>
      <c r="P63" s="1894">
        <f>IF(P49&gt;1,P49, IF(OR('Part IX A-Scoring Criteria'!$O$67='Part IX A-Scoring Criteria'!$M$67,AND('Part IV-A-Uses of Funds'!$T$165="Yes",'Part IX A-Scoring Criteria'!$O$414&gt;0)),H69+M69,H69))</f>
        <v>15865932</v>
      </c>
      <c r="Q63" s="1895"/>
      <c r="R63" s="1886"/>
      <c r="S63" s="1887"/>
      <c r="U63" s="102"/>
      <c r="V63" s="346"/>
      <c r="W63" s="346"/>
      <c r="X63" s="349"/>
      <c r="Y63" s="346"/>
      <c r="Z63" s="358"/>
      <c r="AA63" s="359"/>
      <c r="AB63" s="359"/>
      <c r="AC63" s="359"/>
      <c r="AD63" s="359"/>
      <c r="AE63" s="359"/>
      <c r="AF63" s="359"/>
      <c r="AG63" s="523"/>
      <c r="AH63" s="344"/>
      <c r="AI63" s="344"/>
      <c r="AJ63" s="344"/>
      <c r="AK63" s="344"/>
      <c r="AL63" s="344"/>
      <c r="AM63" s="344"/>
      <c r="AN63" s="344"/>
      <c r="AO63" s="344"/>
      <c r="AP63" s="344"/>
      <c r="AQ63" s="344"/>
      <c r="AR63" s="344"/>
      <c r="AS63" s="344"/>
      <c r="AT63" s="344"/>
      <c r="AU63" s="344"/>
      <c r="AV63" s="344"/>
      <c r="AW63" s="344"/>
      <c r="AX63" s="344"/>
      <c r="AY63" s="344"/>
      <c r="AZ63" s="344"/>
      <c r="BA63" s="344"/>
      <c r="BB63" s="344"/>
      <c r="BC63" s="344"/>
      <c r="BD63" s="344"/>
      <c r="BE63" s="344"/>
      <c r="BF63" s="344"/>
      <c r="BG63" s="344"/>
      <c r="BH63" s="344"/>
      <c r="BI63" s="344"/>
      <c r="BJ63" s="344"/>
      <c r="BK63" s="344"/>
      <c r="BL63" s="344"/>
      <c r="BM63" s="344"/>
      <c r="BN63" s="344"/>
      <c r="BO63" s="344"/>
      <c r="BP63" s="344"/>
      <c r="BQ63" s="344"/>
      <c r="BR63" s="344"/>
      <c r="BS63" s="344"/>
      <c r="BT63" s="344"/>
      <c r="BU63" s="344"/>
      <c r="BV63" s="344"/>
      <c r="BW63" s="344"/>
      <c r="BX63" s="344"/>
      <c r="BY63" s="344"/>
      <c r="BZ63" s="344"/>
      <c r="CA63" s="344"/>
      <c r="CB63" s="344"/>
      <c r="CC63" s="344"/>
      <c r="CD63" s="344"/>
      <c r="CE63" s="344"/>
      <c r="CF63" s="344"/>
      <c r="CG63" s="344"/>
      <c r="CH63" s="344"/>
      <c r="CI63" s="344"/>
      <c r="CJ63" s="344"/>
      <c r="CK63" s="344"/>
      <c r="CL63" s="344"/>
      <c r="CM63" s="344"/>
      <c r="CN63" s="344"/>
      <c r="CO63" s="344"/>
      <c r="CP63" s="344"/>
      <c r="CQ63" s="344"/>
      <c r="CR63" s="344"/>
      <c r="CS63" s="344"/>
      <c r="CT63" s="344"/>
      <c r="CU63" s="344"/>
      <c r="CV63" s="344"/>
      <c r="CW63" s="344"/>
      <c r="CX63" s="344"/>
      <c r="CY63" s="344"/>
      <c r="CZ63" s="344"/>
      <c r="DA63" s="344"/>
      <c r="DB63" s="344"/>
      <c r="DC63" s="344"/>
      <c r="DD63" s="344"/>
      <c r="DE63" s="344"/>
      <c r="DF63" s="344"/>
      <c r="DG63" s="344"/>
      <c r="DH63" s="344"/>
      <c r="DI63" s="344"/>
      <c r="DJ63" s="344"/>
      <c r="DK63" s="344"/>
      <c r="DL63" s="344"/>
      <c r="DM63" s="344"/>
      <c r="DN63" s="344"/>
      <c r="DO63" s="344"/>
      <c r="DP63" s="344"/>
      <c r="DQ63" s="344"/>
      <c r="DR63" s="344"/>
      <c r="DS63" s="344"/>
      <c r="DT63" s="344"/>
      <c r="DU63" s="344"/>
      <c r="DV63" s="344"/>
      <c r="DW63" s="344"/>
      <c r="DX63" s="344"/>
      <c r="DY63" s="344"/>
      <c r="DZ63" s="344"/>
      <c r="EA63" s="344"/>
      <c r="EB63" s="344"/>
      <c r="EC63" s="344"/>
      <c r="ED63" s="344"/>
      <c r="EE63" s="344"/>
      <c r="EF63" s="344"/>
      <c r="EG63" s="344"/>
      <c r="EH63" s="344"/>
      <c r="EI63" s="344"/>
      <c r="EJ63" s="344"/>
      <c r="EK63" s="344"/>
      <c r="EL63" s="344"/>
      <c r="EM63" s="344"/>
      <c r="EN63" s="344"/>
      <c r="EO63" s="344"/>
      <c r="EP63" s="344"/>
      <c r="EQ63" s="344"/>
      <c r="ER63" s="344"/>
      <c r="ES63" s="344"/>
      <c r="ET63" s="344"/>
      <c r="EU63" s="344"/>
      <c r="EV63" s="344"/>
      <c r="EW63" s="344"/>
      <c r="EX63" s="344"/>
      <c r="EY63" s="344"/>
      <c r="EZ63" s="344"/>
      <c r="FA63" s="344"/>
      <c r="FB63" s="344"/>
      <c r="FC63" s="344"/>
      <c r="FD63" s="344"/>
      <c r="FE63" s="344"/>
      <c r="FF63" s="344"/>
      <c r="FG63" s="344"/>
      <c r="FH63" s="344"/>
      <c r="FI63" s="344"/>
      <c r="FJ63" s="344"/>
      <c r="FK63" s="344"/>
      <c r="FL63" s="344"/>
      <c r="FM63" s="344"/>
      <c r="FN63" s="344"/>
      <c r="FO63" s="344"/>
      <c r="FP63" s="344"/>
      <c r="FQ63" s="344"/>
      <c r="FR63" s="344"/>
      <c r="FS63" s="344"/>
      <c r="FT63" s="344"/>
      <c r="FU63" s="344"/>
      <c r="FV63" s="344"/>
      <c r="FW63" s="344"/>
      <c r="FX63" s="344"/>
      <c r="FY63" s="344"/>
      <c r="FZ63" s="344"/>
      <c r="GA63" s="344"/>
      <c r="GB63" s="344"/>
      <c r="GC63" s="344"/>
      <c r="GD63" s="344"/>
      <c r="GE63" s="344"/>
      <c r="GF63" s="344"/>
      <c r="GG63" s="344"/>
      <c r="GH63" s="344"/>
      <c r="GI63" s="344"/>
      <c r="GJ63" s="344"/>
      <c r="GK63" s="344"/>
      <c r="GL63" s="344"/>
      <c r="GM63" s="344"/>
      <c r="GN63" s="344"/>
      <c r="GO63" s="344"/>
      <c r="GP63" s="344"/>
      <c r="GQ63" s="344"/>
      <c r="GR63" s="344"/>
      <c r="GS63" s="344"/>
      <c r="GT63" s="344"/>
      <c r="GU63" s="344"/>
      <c r="GV63" s="344"/>
      <c r="GW63" s="344"/>
      <c r="GX63" s="344"/>
      <c r="GY63" s="344"/>
      <c r="GZ63" s="344"/>
      <c r="HA63" s="344"/>
      <c r="HB63" s="344"/>
      <c r="HC63" s="344"/>
      <c r="HD63" s="344"/>
      <c r="HE63" s="344"/>
      <c r="HF63" s="344"/>
      <c r="HG63" s="344"/>
      <c r="HH63" s="344"/>
      <c r="HI63" s="344"/>
      <c r="HJ63" s="344"/>
      <c r="HK63" s="344"/>
      <c r="HL63" s="344"/>
      <c r="HM63" s="344"/>
      <c r="HN63" s="344"/>
      <c r="HO63" s="344"/>
      <c r="HP63" s="344"/>
      <c r="HQ63" s="344"/>
      <c r="HR63" s="344"/>
      <c r="HS63" s="344"/>
      <c r="HT63" s="344"/>
      <c r="HU63" s="344"/>
      <c r="HV63" s="344"/>
      <c r="HW63" s="344"/>
      <c r="HX63" s="344"/>
      <c r="HY63" s="344"/>
      <c r="HZ63" s="344"/>
      <c r="IA63" s="344"/>
      <c r="IB63" s="344"/>
      <c r="IC63" s="344"/>
      <c r="ID63" s="344"/>
      <c r="IE63" s="344"/>
      <c r="IF63" s="344"/>
      <c r="IG63" s="344"/>
      <c r="IH63" s="344"/>
      <c r="II63" s="344"/>
      <c r="IJ63" s="357"/>
      <c r="IK63" s="357"/>
      <c r="IL63" s="344"/>
      <c r="IM63" s="344"/>
      <c r="IN63" s="344"/>
      <c r="IO63" s="344"/>
      <c r="IP63" s="344"/>
      <c r="IQ63" s="344"/>
      <c r="IR63" s="344"/>
      <c r="IS63" s="344"/>
      <c r="IT63" s="344"/>
      <c r="IU63" s="344"/>
      <c r="IV63" s="344"/>
      <c r="IW63" s="344"/>
      <c r="IX63" s="344"/>
      <c r="IY63" s="344"/>
      <c r="IZ63" s="344"/>
      <c r="JA63" s="357"/>
      <c r="JB63" s="344"/>
      <c r="JC63" s="344"/>
      <c r="JD63" s="102"/>
      <c r="JE63" s="102"/>
      <c r="JF63" s="102"/>
      <c r="JG63" s="102"/>
      <c r="JH63" s="102"/>
      <c r="JI63" s="102"/>
      <c r="JJ63" s="102"/>
      <c r="JK63" s="102"/>
      <c r="JL63" s="102"/>
      <c r="JM63" s="102"/>
      <c r="JN63" s="102"/>
      <c r="JO63" s="102"/>
      <c r="JP63" s="102"/>
      <c r="JQ63" s="102"/>
      <c r="JR63" s="102"/>
      <c r="JS63" s="102"/>
      <c r="JT63" s="102"/>
      <c r="JU63" s="102"/>
      <c r="JV63" s="102"/>
      <c r="JW63" s="102"/>
      <c r="JX63" s="102"/>
      <c r="JY63" s="102"/>
      <c r="JZ63" s="102"/>
      <c r="KA63" s="102"/>
      <c r="KB63" s="102"/>
      <c r="KC63" s="102"/>
      <c r="KD63" s="102"/>
      <c r="KE63" s="102"/>
      <c r="KF63" s="102"/>
      <c r="KG63" s="102"/>
      <c r="KH63" s="102"/>
      <c r="KI63" s="102"/>
    </row>
    <row r="64" spans="1:295" s="48" customFormat="1" ht="10.5" customHeight="1">
      <c r="A64" s="102"/>
      <c r="B64" s="102"/>
      <c r="C64" s="58"/>
      <c r="D64" s="726" t="s">
        <v>856</v>
      </c>
      <c r="E64" s="727">
        <v>2</v>
      </c>
      <c r="F64" s="728">
        <f>'Part VI-Revenues &amp; Expenses'!$L$110</f>
        <v>0</v>
      </c>
      <c r="G64" s="729">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22" t="str">
        <f>CONCATENATE("x ", F64," units = ")</f>
        <v xml:space="preserve">x 0 units = </v>
      </c>
      <c r="I64" s="730">
        <f>F64*G64</f>
        <v>0</v>
      </c>
      <c r="J64" s="58"/>
      <c r="K64" s="728">
        <f>'Part VI-Revenues &amp; Expenses'!$L$111</f>
        <v>0</v>
      </c>
      <c r="L64" s="729">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22" t="str">
        <f>CONCATENATE("x ", K64," units = ")</f>
        <v xml:space="preserve">x 0 units = </v>
      </c>
      <c r="N64" s="730">
        <f>K64*L64</f>
        <v>0</v>
      </c>
      <c r="P64" s="1896"/>
      <c r="Q64" s="1897"/>
      <c r="R64" s="1886"/>
      <c r="S64" s="1887"/>
      <c r="U64" s="102"/>
      <c r="V64" s="346"/>
      <c r="W64" s="346"/>
      <c r="X64" s="349"/>
      <c r="Y64" s="346"/>
      <c r="Z64" s="358"/>
      <c r="AA64" s="359"/>
      <c r="AB64" s="359"/>
      <c r="AC64" s="359"/>
      <c r="AD64" s="359"/>
      <c r="AE64" s="359"/>
      <c r="AF64" s="359"/>
      <c r="AG64" s="523"/>
      <c r="AH64" s="344"/>
      <c r="AI64" s="344"/>
      <c r="AJ64" s="344"/>
      <c r="AK64" s="344"/>
      <c r="AL64" s="344"/>
      <c r="AM64" s="344"/>
      <c r="AN64" s="344"/>
      <c r="AO64" s="344"/>
      <c r="AP64" s="344"/>
      <c r="AQ64" s="344"/>
      <c r="AR64" s="344"/>
      <c r="AS64" s="344"/>
      <c r="AT64" s="344"/>
      <c r="AU64" s="344"/>
      <c r="AV64" s="344"/>
      <c r="AW64" s="344"/>
      <c r="AX64" s="344"/>
      <c r="AY64" s="344"/>
      <c r="AZ64" s="344"/>
      <c r="BA64" s="344"/>
      <c r="BB64" s="344"/>
      <c r="BC64" s="344"/>
      <c r="BD64" s="344"/>
      <c r="BE64" s="344"/>
      <c r="BF64" s="344"/>
      <c r="BG64" s="344"/>
      <c r="BH64" s="344"/>
      <c r="BI64" s="344"/>
      <c r="BJ64" s="344"/>
      <c r="BK64" s="344"/>
      <c r="BL64" s="344"/>
      <c r="BM64" s="344"/>
      <c r="BN64" s="344"/>
      <c r="BO64" s="344"/>
      <c r="BP64" s="344"/>
      <c r="BQ64" s="344"/>
      <c r="BR64" s="344"/>
      <c r="BS64" s="344"/>
      <c r="BT64" s="344"/>
      <c r="BU64" s="344"/>
      <c r="BV64" s="344"/>
      <c r="BW64" s="344"/>
      <c r="BX64" s="344"/>
      <c r="BY64" s="344"/>
      <c r="BZ64" s="344"/>
      <c r="CA64" s="344"/>
      <c r="CB64" s="344"/>
      <c r="CC64" s="344"/>
      <c r="CD64" s="344"/>
      <c r="CE64" s="344"/>
      <c r="CF64" s="344"/>
      <c r="CG64" s="344"/>
      <c r="CH64" s="344"/>
      <c r="CI64" s="344"/>
      <c r="CJ64" s="344"/>
      <c r="CK64" s="344"/>
      <c r="CL64" s="344"/>
      <c r="CM64" s="344"/>
      <c r="CN64" s="344"/>
      <c r="CO64" s="344"/>
      <c r="CP64" s="344"/>
      <c r="CQ64" s="344"/>
      <c r="CR64" s="344"/>
      <c r="CS64" s="344"/>
      <c r="CT64" s="344"/>
      <c r="CU64" s="344"/>
      <c r="CV64" s="344"/>
      <c r="CW64" s="344"/>
      <c r="CX64" s="344"/>
      <c r="CY64" s="344"/>
      <c r="CZ64" s="344"/>
      <c r="DA64" s="344"/>
      <c r="DB64" s="344"/>
      <c r="DC64" s="344"/>
      <c r="DD64" s="344"/>
      <c r="DE64" s="344"/>
      <c r="DF64" s="344"/>
      <c r="DG64" s="344"/>
      <c r="DH64" s="344"/>
      <c r="DI64" s="344"/>
      <c r="DJ64" s="344"/>
      <c r="DK64" s="344"/>
      <c r="DL64" s="344"/>
      <c r="DM64" s="344"/>
      <c r="DN64" s="344"/>
      <c r="DO64" s="344"/>
      <c r="DP64" s="344"/>
      <c r="DQ64" s="344"/>
      <c r="DR64" s="344"/>
      <c r="DS64" s="344"/>
      <c r="DT64" s="344"/>
      <c r="DU64" s="344"/>
      <c r="DV64" s="344"/>
      <c r="DW64" s="344"/>
      <c r="DX64" s="344"/>
      <c r="DY64" s="344"/>
      <c r="DZ64" s="344"/>
      <c r="EA64" s="344"/>
      <c r="EB64" s="344"/>
      <c r="EC64" s="344"/>
      <c r="ED64" s="344"/>
      <c r="EE64" s="344"/>
      <c r="EF64" s="344"/>
      <c r="EG64" s="344"/>
      <c r="EH64" s="344"/>
      <c r="EI64" s="344"/>
      <c r="EJ64" s="344"/>
      <c r="EK64" s="344"/>
      <c r="EL64" s="344"/>
      <c r="EM64" s="344"/>
      <c r="EN64" s="344"/>
      <c r="EO64" s="344"/>
      <c r="EP64" s="344"/>
      <c r="EQ64" s="344"/>
      <c r="ER64" s="344"/>
      <c r="ES64" s="344"/>
      <c r="ET64" s="344"/>
      <c r="EU64" s="344"/>
      <c r="EV64" s="344"/>
      <c r="EW64" s="344"/>
      <c r="EX64" s="344"/>
      <c r="EY64" s="344"/>
      <c r="EZ64" s="344"/>
      <c r="FA64" s="344"/>
      <c r="FB64" s="344"/>
      <c r="FC64" s="344"/>
      <c r="FD64" s="344"/>
      <c r="FE64" s="344"/>
      <c r="FF64" s="344"/>
      <c r="FG64" s="344"/>
      <c r="FH64" s="344"/>
      <c r="FI64" s="344"/>
      <c r="FJ64" s="344"/>
      <c r="FK64" s="344"/>
      <c r="FL64" s="344"/>
      <c r="FM64" s="344"/>
      <c r="FN64" s="344"/>
      <c r="FO64" s="344"/>
      <c r="FP64" s="344"/>
      <c r="FQ64" s="344"/>
      <c r="FR64" s="344"/>
      <c r="FS64" s="344"/>
      <c r="FT64" s="344"/>
      <c r="FU64" s="344"/>
      <c r="FV64" s="344"/>
      <c r="FW64" s="344"/>
      <c r="FX64" s="344"/>
      <c r="FY64" s="344"/>
      <c r="FZ64" s="344"/>
      <c r="GA64" s="344"/>
      <c r="GB64" s="344"/>
      <c r="GC64" s="344"/>
      <c r="GD64" s="344"/>
      <c r="GE64" s="344"/>
      <c r="GF64" s="344"/>
      <c r="GG64" s="344"/>
      <c r="GH64" s="344"/>
      <c r="GI64" s="344"/>
      <c r="GJ64" s="344"/>
      <c r="GK64" s="344"/>
      <c r="GL64" s="344"/>
      <c r="GM64" s="344"/>
      <c r="GN64" s="344"/>
      <c r="GO64" s="344"/>
      <c r="GP64" s="344"/>
      <c r="GQ64" s="344"/>
      <c r="GR64" s="344"/>
      <c r="GS64" s="344"/>
      <c r="GT64" s="344"/>
      <c r="GU64" s="344"/>
      <c r="GV64" s="344"/>
      <c r="GW64" s="344"/>
      <c r="GX64" s="344"/>
      <c r="GY64" s="344"/>
      <c r="GZ64" s="344"/>
      <c r="HA64" s="344"/>
      <c r="HB64" s="344"/>
      <c r="HC64" s="344"/>
      <c r="HD64" s="344"/>
      <c r="HE64" s="344"/>
      <c r="HF64" s="344"/>
      <c r="HG64" s="344"/>
      <c r="HH64" s="344"/>
      <c r="HI64" s="344"/>
      <c r="HJ64" s="344"/>
      <c r="HK64" s="344"/>
      <c r="HL64" s="344"/>
      <c r="HM64" s="344"/>
      <c r="HN64" s="344"/>
      <c r="HO64" s="344"/>
      <c r="HP64" s="344"/>
      <c r="HQ64" s="344"/>
      <c r="HR64" s="344"/>
      <c r="HS64" s="344"/>
      <c r="HT64" s="344"/>
      <c r="HU64" s="344"/>
      <c r="HV64" s="344"/>
      <c r="HW64" s="344"/>
      <c r="HX64" s="344"/>
      <c r="HY64" s="344"/>
      <c r="HZ64" s="344"/>
      <c r="IA64" s="344"/>
      <c r="IB64" s="344"/>
      <c r="IC64" s="344"/>
      <c r="ID64" s="344"/>
      <c r="IE64" s="344"/>
      <c r="IF64" s="344"/>
      <c r="IG64" s="344"/>
      <c r="IH64" s="344"/>
      <c r="II64" s="344"/>
      <c r="IJ64" s="357"/>
      <c r="IK64" s="357"/>
      <c r="IL64" s="344"/>
      <c r="IM64" s="344"/>
      <c r="IN64" s="344"/>
      <c r="IO64" s="344"/>
      <c r="IP64" s="344"/>
      <c r="IQ64" s="344"/>
      <c r="IR64" s="344"/>
      <c r="IS64" s="344"/>
      <c r="IT64" s="344"/>
      <c r="IU64" s="344"/>
      <c r="IV64" s="344"/>
      <c r="IW64" s="344"/>
      <c r="IX64" s="344"/>
      <c r="IY64" s="344"/>
      <c r="IZ64" s="344"/>
      <c r="JA64" s="357"/>
      <c r="JB64" s="344"/>
      <c r="JC64" s="344"/>
      <c r="JD64" s="102"/>
      <c r="JE64" s="102"/>
      <c r="JF64" s="102"/>
      <c r="JG64" s="102"/>
      <c r="JH64" s="102"/>
      <c r="JI64" s="102"/>
      <c r="JJ64" s="102"/>
      <c r="JK64" s="102"/>
      <c r="JL64" s="102"/>
      <c r="JM64" s="102"/>
      <c r="JN64" s="102"/>
      <c r="JO64" s="102"/>
      <c r="JP64" s="102"/>
      <c r="JQ64" s="102"/>
      <c r="JR64" s="102"/>
      <c r="JS64" s="102"/>
      <c r="JT64" s="102"/>
      <c r="JU64" s="102"/>
      <c r="JV64" s="102"/>
      <c r="JW64" s="102"/>
      <c r="JX64" s="102"/>
      <c r="JY64" s="102"/>
      <c r="JZ64" s="102"/>
      <c r="KA64" s="102"/>
      <c r="KB64" s="102"/>
      <c r="KC64" s="102"/>
      <c r="KD64" s="102"/>
      <c r="KE64" s="102"/>
      <c r="KF64" s="102"/>
      <c r="KG64" s="102"/>
      <c r="KH64" s="102"/>
      <c r="KI64" s="102"/>
    </row>
    <row r="65" spans="1:295" s="48" customFormat="1" ht="10.5" customHeight="1">
      <c r="A65" s="102"/>
      <c r="B65" s="102"/>
      <c r="C65" s="58"/>
      <c r="D65" s="726" t="s">
        <v>857</v>
      </c>
      <c r="E65" s="727">
        <v>3</v>
      </c>
      <c r="F65" s="728">
        <f>'Part VI-Revenues &amp; Expenses'!$M$110</f>
        <v>0</v>
      </c>
      <c r="G65" s="729">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22" t="str">
        <f>CONCATENATE("x ", F65," units = ")</f>
        <v xml:space="preserve">x 0 units = </v>
      </c>
      <c r="I65" s="730">
        <f>F65*G65</f>
        <v>0</v>
      </c>
      <c r="J65" s="58"/>
      <c r="K65" s="728">
        <f>'Part VI-Revenues &amp; Expenses'!$M$111</f>
        <v>0</v>
      </c>
      <c r="L65" s="729">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22" t="str">
        <f>CONCATENATE("x ", K65," units = ")</f>
        <v xml:space="preserve">x 0 units = </v>
      </c>
      <c r="N65" s="730">
        <f>K65*L65</f>
        <v>0</v>
      </c>
      <c r="P65" s="1888" t="s">
        <v>1296</v>
      </c>
      <c r="Q65" s="1888"/>
      <c r="R65" s="304"/>
      <c r="U65" s="102"/>
      <c r="V65" s="346"/>
      <c r="W65" s="346"/>
      <c r="X65" s="349"/>
      <c r="Y65" s="346"/>
      <c r="Z65" s="358"/>
      <c r="AA65" s="359"/>
      <c r="AB65" s="359"/>
      <c r="AC65" s="359"/>
      <c r="AD65" s="359"/>
      <c r="AE65" s="359"/>
      <c r="AF65" s="359"/>
      <c r="AG65" s="523"/>
      <c r="AH65" s="344"/>
      <c r="AI65" s="344"/>
      <c r="AJ65" s="344"/>
      <c r="AK65" s="344"/>
      <c r="AL65" s="344"/>
      <c r="AM65" s="344"/>
      <c r="AN65" s="344"/>
      <c r="AO65" s="344"/>
      <c r="AP65" s="344"/>
      <c r="AQ65" s="344"/>
      <c r="AR65" s="344"/>
      <c r="AS65" s="344"/>
      <c r="AT65" s="344"/>
      <c r="AU65" s="344"/>
      <c r="AV65" s="344"/>
      <c r="AW65" s="344"/>
      <c r="AX65" s="344"/>
      <c r="AY65" s="344"/>
      <c r="AZ65" s="344"/>
      <c r="BA65" s="344"/>
      <c r="BB65" s="344"/>
      <c r="BC65" s="344"/>
      <c r="BD65" s="344"/>
      <c r="BE65" s="344"/>
      <c r="BF65" s="344"/>
      <c r="BG65" s="344"/>
      <c r="BH65" s="344"/>
      <c r="BI65" s="344"/>
      <c r="BJ65" s="344"/>
      <c r="BK65" s="344"/>
      <c r="BL65" s="344"/>
      <c r="BM65" s="344"/>
      <c r="BN65" s="344"/>
      <c r="BO65" s="344"/>
      <c r="BP65" s="344"/>
      <c r="BQ65" s="344"/>
      <c r="BR65" s="344"/>
      <c r="BS65" s="344"/>
      <c r="BT65" s="344"/>
      <c r="BU65" s="344"/>
      <c r="BV65" s="344"/>
      <c r="BW65" s="344"/>
      <c r="BX65" s="344"/>
      <c r="BY65" s="344"/>
      <c r="BZ65" s="344"/>
      <c r="CA65" s="344"/>
      <c r="CB65" s="344"/>
      <c r="CC65" s="344"/>
      <c r="CD65" s="344"/>
      <c r="CE65" s="344"/>
      <c r="CF65" s="344"/>
      <c r="CG65" s="344"/>
      <c r="CH65" s="344"/>
      <c r="CI65" s="344"/>
      <c r="CJ65" s="344"/>
      <c r="CK65" s="344"/>
      <c r="CL65" s="344"/>
      <c r="CM65" s="344"/>
      <c r="CN65" s="344"/>
      <c r="CO65" s="344"/>
      <c r="CP65" s="344"/>
      <c r="CQ65" s="344"/>
      <c r="CR65" s="344"/>
      <c r="CS65" s="344"/>
      <c r="CT65" s="344"/>
      <c r="CU65" s="344"/>
      <c r="CV65" s="344"/>
      <c r="CW65" s="344"/>
      <c r="CX65" s="344"/>
      <c r="CY65" s="344"/>
      <c r="CZ65" s="344"/>
      <c r="DA65" s="344"/>
      <c r="DB65" s="344"/>
      <c r="DC65" s="344"/>
      <c r="DD65" s="344"/>
      <c r="DE65" s="344"/>
      <c r="DF65" s="344"/>
      <c r="DG65" s="344"/>
      <c r="DH65" s="344"/>
      <c r="DI65" s="344"/>
      <c r="DJ65" s="344"/>
      <c r="DK65" s="344"/>
      <c r="DL65" s="344"/>
      <c r="DM65" s="344"/>
      <c r="DN65" s="344"/>
      <c r="DO65" s="344"/>
      <c r="DP65" s="344"/>
      <c r="DQ65" s="344"/>
      <c r="DR65" s="344"/>
      <c r="DS65" s="344"/>
      <c r="DT65" s="344"/>
      <c r="DU65" s="344"/>
      <c r="DV65" s="344"/>
      <c r="DW65" s="344"/>
      <c r="DX65" s="344"/>
      <c r="DY65" s="344"/>
      <c r="DZ65" s="344"/>
      <c r="EA65" s="344"/>
      <c r="EB65" s="344"/>
      <c r="EC65" s="344"/>
      <c r="ED65" s="344"/>
      <c r="EE65" s="344"/>
      <c r="EF65" s="344"/>
      <c r="EG65" s="344"/>
      <c r="EH65" s="344"/>
      <c r="EI65" s="344"/>
      <c r="EJ65" s="344"/>
      <c r="EK65" s="344"/>
      <c r="EL65" s="344"/>
      <c r="EM65" s="344"/>
      <c r="EN65" s="344"/>
      <c r="EO65" s="344"/>
      <c r="EP65" s="344"/>
      <c r="EQ65" s="344"/>
      <c r="ER65" s="344"/>
      <c r="ES65" s="344"/>
      <c r="ET65" s="344"/>
      <c r="EU65" s="344"/>
      <c r="EV65" s="344"/>
      <c r="EW65" s="344"/>
      <c r="EX65" s="344"/>
      <c r="EY65" s="344"/>
      <c r="EZ65" s="344"/>
      <c r="FA65" s="344"/>
      <c r="FB65" s="344"/>
      <c r="FC65" s="344"/>
      <c r="FD65" s="344"/>
      <c r="FE65" s="344"/>
      <c r="FF65" s="344"/>
      <c r="FG65" s="344"/>
      <c r="FH65" s="344"/>
      <c r="FI65" s="344"/>
      <c r="FJ65" s="344"/>
      <c r="FK65" s="344"/>
      <c r="FL65" s="344"/>
      <c r="FM65" s="344"/>
      <c r="FN65" s="344"/>
      <c r="FO65" s="344"/>
      <c r="FP65" s="344"/>
      <c r="FQ65" s="344"/>
      <c r="FR65" s="344"/>
      <c r="FS65" s="344"/>
      <c r="FT65" s="344"/>
      <c r="FU65" s="344"/>
      <c r="FV65" s="344"/>
      <c r="FW65" s="344"/>
      <c r="FX65" s="344"/>
      <c r="FY65" s="344"/>
      <c r="FZ65" s="344"/>
      <c r="GA65" s="344"/>
      <c r="GB65" s="344"/>
      <c r="GC65" s="344"/>
      <c r="GD65" s="344"/>
      <c r="GE65" s="344"/>
      <c r="GF65" s="344"/>
      <c r="GG65" s="344"/>
      <c r="GH65" s="344"/>
      <c r="GI65" s="344"/>
      <c r="GJ65" s="344"/>
      <c r="GK65" s="344"/>
      <c r="GL65" s="344"/>
      <c r="GM65" s="344"/>
      <c r="GN65" s="344"/>
      <c r="GO65" s="344"/>
      <c r="GP65" s="344"/>
      <c r="GQ65" s="344"/>
      <c r="GR65" s="344"/>
      <c r="GS65" s="344"/>
      <c r="GT65" s="344"/>
      <c r="GU65" s="344"/>
      <c r="GV65" s="344"/>
      <c r="GW65" s="344"/>
      <c r="GX65" s="344"/>
      <c r="GY65" s="344"/>
      <c r="GZ65" s="344"/>
      <c r="HA65" s="344"/>
      <c r="HB65" s="344"/>
      <c r="HC65" s="344"/>
      <c r="HD65" s="344"/>
      <c r="HE65" s="344"/>
      <c r="HF65" s="344"/>
      <c r="HG65" s="344"/>
      <c r="HH65" s="344"/>
      <c r="HI65" s="344"/>
      <c r="HJ65" s="344"/>
      <c r="HK65" s="344"/>
      <c r="HL65" s="344"/>
      <c r="HM65" s="344"/>
      <c r="HN65" s="344"/>
      <c r="HO65" s="344"/>
      <c r="HP65" s="344"/>
      <c r="HQ65" s="344"/>
      <c r="HR65" s="344"/>
      <c r="HS65" s="344"/>
      <c r="HT65" s="344"/>
      <c r="HU65" s="344"/>
      <c r="HV65" s="344"/>
      <c r="HW65" s="344"/>
      <c r="HX65" s="344"/>
      <c r="HY65" s="344"/>
      <c r="HZ65" s="344"/>
      <c r="IA65" s="344"/>
      <c r="IB65" s="344"/>
      <c r="IC65" s="344"/>
      <c r="ID65" s="344"/>
      <c r="IE65" s="344"/>
      <c r="IF65" s="344"/>
      <c r="IG65" s="344"/>
      <c r="IH65" s="344"/>
      <c r="II65" s="344"/>
      <c r="IJ65" s="357"/>
      <c r="IK65" s="357"/>
      <c r="IL65" s="344"/>
      <c r="IM65" s="344"/>
      <c r="IN65" s="344"/>
      <c r="IO65" s="344"/>
      <c r="IP65" s="344"/>
      <c r="IQ65" s="344"/>
      <c r="IR65" s="344"/>
      <c r="IS65" s="344"/>
      <c r="IT65" s="344"/>
      <c r="IU65" s="344"/>
      <c r="IV65" s="344"/>
      <c r="IW65" s="344"/>
      <c r="IX65" s="344"/>
      <c r="IY65" s="344"/>
      <c r="IZ65" s="344"/>
      <c r="JA65" s="357"/>
      <c r="JB65" s="344"/>
      <c r="JC65" s="344"/>
      <c r="JD65" s="102"/>
      <c r="JE65" s="102"/>
      <c r="JF65" s="102"/>
      <c r="JG65" s="102"/>
      <c r="JH65" s="102"/>
      <c r="JI65" s="102"/>
      <c r="JJ65" s="102"/>
      <c r="JK65" s="102"/>
      <c r="JL65" s="102"/>
      <c r="JM65" s="102"/>
      <c r="JN65" s="102"/>
      <c r="JO65" s="102"/>
      <c r="JP65" s="102"/>
      <c r="JQ65" s="102"/>
      <c r="JR65" s="102"/>
      <c r="JS65" s="102"/>
      <c r="JT65" s="102"/>
      <c r="JU65" s="102"/>
      <c r="JV65" s="102"/>
      <c r="JW65" s="102"/>
      <c r="JX65" s="102"/>
      <c r="JY65" s="102"/>
      <c r="JZ65" s="102"/>
      <c r="KA65" s="102"/>
      <c r="KB65" s="102"/>
      <c r="KC65" s="102"/>
      <c r="KD65" s="102"/>
      <c r="KE65" s="102"/>
      <c r="KF65" s="102"/>
      <c r="KG65" s="102"/>
      <c r="KH65" s="102"/>
      <c r="KI65" s="102"/>
    </row>
    <row r="66" spans="1:295" s="48" customFormat="1" ht="10.5" customHeight="1">
      <c r="A66" s="102"/>
      <c r="B66" s="102"/>
      <c r="C66" s="58"/>
      <c r="D66" s="731" t="s">
        <v>858</v>
      </c>
      <c r="E66" s="727">
        <v>4</v>
      </c>
      <c r="F66" s="728">
        <f>'Part VI-Revenues &amp; Expenses'!$N$110</f>
        <v>0</v>
      </c>
      <c r="G66" s="729">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22" t="str">
        <f>CONCATENATE("x ", F66," units = ")</f>
        <v xml:space="preserve">x 0 units = </v>
      </c>
      <c r="I66" s="730">
        <f>F66*G66</f>
        <v>0</v>
      </c>
      <c r="J66" s="58"/>
      <c r="K66" s="728">
        <f>'Part VI-Revenues &amp; Expenses'!$N$111</f>
        <v>0</v>
      </c>
      <c r="L66" s="729">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22" t="str">
        <f>CONCATENATE("x ", K66," units = ")</f>
        <v xml:space="preserve">x 0 units = </v>
      </c>
      <c r="N66" s="730">
        <f>K66*L66</f>
        <v>0</v>
      </c>
      <c r="O66" s="455"/>
      <c r="P66" s="1888"/>
      <c r="Q66" s="1888"/>
      <c r="R66" s="304"/>
      <c r="U66" s="102"/>
      <c r="V66" s="346"/>
      <c r="W66" s="346"/>
      <c r="X66" s="349"/>
      <c r="Y66" s="346"/>
      <c r="Z66" s="358"/>
      <c r="AA66" s="359"/>
      <c r="AB66" s="359"/>
      <c r="AC66" s="359"/>
      <c r="AD66" s="359"/>
      <c r="AE66" s="359"/>
      <c r="AF66" s="359"/>
      <c r="AG66" s="523"/>
      <c r="AH66" s="344"/>
      <c r="AI66" s="344"/>
      <c r="AJ66" s="344"/>
      <c r="AK66" s="344"/>
      <c r="AL66" s="344"/>
      <c r="AM66" s="344"/>
      <c r="AN66" s="344"/>
      <c r="AO66" s="344"/>
      <c r="AP66" s="344"/>
      <c r="AQ66" s="344"/>
      <c r="AR66" s="344"/>
      <c r="AS66" s="344"/>
      <c r="AT66" s="344"/>
      <c r="AU66" s="344"/>
      <c r="AV66" s="344"/>
      <c r="AW66" s="344"/>
      <c r="AX66" s="344"/>
      <c r="AY66" s="344"/>
      <c r="AZ66" s="344"/>
      <c r="BA66" s="344"/>
      <c r="BB66" s="344"/>
      <c r="BC66" s="344"/>
      <c r="BD66" s="344"/>
      <c r="BE66" s="344"/>
      <c r="BF66" s="344"/>
      <c r="BG66" s="344"/>
      <c r="BH66" s="344"/>
      <c r="BI66" s="344"/>
      <c r="BJ66" s="344"/>
      <c r="BK66" s="344"/>
      <c r="BL66" s="344"/>
      <c r="BM66" s="344"/>
      <c r="BN66" s="344"/>
      <c r="BO66" s="344"/>
      <c r="BP66" s="344"/>
      <c r="BQ66" s="344"/>
      <c r="BR66" s="344"/>
      <c r="BS66" s="344"/>
      <c r="BT66" s="344"/>
      <c r="BU66" s="344"/>
      <c r="BV66" s="344"/>
      <c r="BW66" s="344"/>
      <c r="BX66" s="344"/>
      <c r="BY66" s="344"/>
      <c r="BZ66" s="344"/>
      <c r="CA66" s="344"/>
      <c r="CB66" s="344"/>
      <c r="CC66" s="344"/>
      <c r="CD66" s="344"/>
      <c r="CE66" s="344"/>
      <c r="CF66" s="344"/>
      <c r="CG66" s="344"/>
      <c r="CH66" s="344"/>
      <c r="CI66" s="344"/>
      <c r="CJ66" s="344"/>
      <c r="CK66" s="344"/>
      <c r="CL66" s="344"/>
      <c r="CM66" s="344"/>
      <c r="CN66" s="344"/>
      <c r="CO66" s="344"/>
      <c r="CP66" s="344"/>
      <c r="CQ66" s="344"/>
      <c r="CR66" s="344"/>
      <c r="CS66" s="344"/>
      <c r="CT66" s="344"/>
      <c r="CU66" s="344"/>
      <c r="CV66" s="344"/>
      <c r="CW66" s="344"/>
      <c r="CX66" s="344"/>
      <c r="CY66" s="344"/>
      <c r="CZ66" s="344"/>
      <c r="DA66" s="344"/>
      <c r="DB66" s="344"/>
      <c r="DC66" s="344"/>
      <c r="DD66" s="344"/>
      <c r="DE66" s="344"/>
      <c r="DF66" s="344"/>
      <c r="DG66" s="344"/>
      <c r="DH66" s="344"/>
      <c r="DI66" s="344"/>
      <c r="DJ66" s="344"/>
      <c r="DK66" s="344"/>
      <c r="DL66" s="344"/>
      <c r="DM66" s="344"/>
      <c r="DN66" s="344"/>
      <c r="DO66" s="344"/>
      <c r="DP66" s="344"/>
      <c r="DQ66" s="344"/>
      <c r="DR66" s="344"/>
      <c r="DS66" s="344"/>
      <c r="DT66" s="344"/>
      <c r="DU66" s="344"/>
      <c r="DV66" s="344"/>
      <c r="DW66" s="344"/>
      <c r="DX66" s="344"/>
      <c r="DY66" s="344"/>
      <c r="DZ66" s="344"/>
      <c r="EA66" s="344"/>
      <c r="EB66" s="344"/>
      <c r="EC66" s="344"/>
      <c r="ED66" s="344"/>
      <c r="EE66" s="344"/>
      <c r="EF66" s="344"/>
      <c r="EG66" s="344"/>
      <c r="EH66" s="344"/>
      <c r="EI66" s="344"/>
      <c r="EJ66" s="344"/>
      <c r="EK66" s="344"/>
      <c r="EL66" s="344"/>
      <c r="EM66" s="344"/>
      <c r="EN66" s="344"/>
      <c r="EO66" s="344"/>
      <c r="EP66" s="344"/>
      <c r="EQ66" s="344"/>
      <c r="ER66" s="344"/>
      <c r="ES66" s="344"/>
      <c r="ET66" s="344"/>
      <c r="EU66" s="344"/>
      <c r="EV66" s="344"/>
      <c r="EW66" s="344"/>
      <c r="EX66" s="344"/>
      <c r="EY66" s="344"/>
      <c r="EZ66" s="344"/>
      <c r="FA66" s="344"/>
      <c r="FB66" s="344"/>
      <c r="FC66" s="344"/>
      <c r="FD66" s="344"/>
      <c r="FE66" s="344"/>
      <c r="FF66" s="344"/>
      <c r="FG66" s="344"/>
      <c r="FH66" s="344"/>
      <c r="FI66" s="344"/>
      <c r="FJ66" s="344"/>
      <c r="FK66" s="344"/>
      <c r="FL66" s="344"/>
      <c r="FM66" s="344"/>
      <c r="FN66" s="344"/>
      <c r="FO66" s="344"/>
      <c r="FP66" s="344"/>
      <c r="FQ66" s="344"/>
      <c r="FR66" s="344"/>
      <c r="FS66" s="344"/>
      <c r="FT66" s="344"/>
      <c r="FU66" s="344"/>
      <c r="FV66" s="344"/>
      <c r="FW66" s="344"/>
      <c r="FX66" s="344"/>
      <c r="FY66" s="344"/>
      <c r="FZ66" s="344"/>
      <c r="GA66" s="344"/>
      <c r="GB66" s="344"/>
      <c r="GC66" s="344"/>
      <c r="GD66" s="344"/>
      <c r="GE66" s="344"/>
      <c r="GF66" s="344"/>
      <c r="GG66" s="344"/>
      <c r="GH66" s="344"/>
      <c r="GI66" s="344"/>
      <c r="GJ66" s="344"/>
      <c r="GK66" s="344"/>
      <c r="GL66" s="344"/>
      <c r="GM66" s="344"/>
      <c r="GN66" s="344"/>
      <c r="GO66" s="344"/>
      <c r="GP66" s="344"/>
      <c r="GQ66" s="344"/>
      <c r="GR66" s="344"/>
      <c r="GS66" s="344"/>
      <c r="GT66" s="344"/>
      <c r="GU66" s="344"/>
      <c r="GV66" s="344"/>
      <c r="GW66" s="344"/>
      <c r="GX66" s="344"/>
      <c r="GY66" s="344"/>
      <c r="GZ66" s="344"/>
      <c r="HA66" s="344"/>
      <c r="HB66" s="344"/>
      <c r="HC66" s="344"/>
      <c r="HD66" s="344"/>
      <c r="HE66" s="344"/>
      <c r="HF66" s="344"/>
      <c r="HG66" s="344"/>
      <c r="HH66" s="344"/>
      <c r="HI66" s="344"/>
      <c r="HJ66" s="344"/>
      <c r="HK66" s="344"/>
      <c r="HL66" s="344"/>
      <c r="HM66" s="344"/>
      <c r="HN66" s="344"/>
      <c r="HO66" s="344"/>
      <c r="HP66" s="344"/>
      <c r="HQ66" s="344"/>
      <c r="HR66" s="344"/>
      <c r="HS66" s="344"/>
      <c r="HT66" s="344"/>
      <c r="HU66" s="344"/>
      <c r="HV66" s="344"/>
      <c r="HW66" s="344"/>
      <c r="HX66" s="344"/>
      <c r="HY66" s="344"/>
      <c r="HZ66" s="344"/>
      <c r="IA66" s="344"/>
      <c r="IB66" s="344"/>
      <c r="IC66" s="344"/>
      <c r="ID66" s="344"/>
      <c r="IE66" s="344"/>
      <c r="IF66" s="344"/>
      <c r="IG66" s="344"/>
      <c r="IH66" s="344"/>
      <c r="II66" s="344"/>
      <c r="IJ66" s="357"/>
      <c r="IK66" s="357"/>
      <c r="IL66" s="344"/>
      <c r="IM66" s="344"/>
      <c r="IN66" s="344"/>
      <c r="IO66" s="344"/>
      <c r="IP66" s="344"/>
      <c r="IQ66" s="344"/>
      <c r="IR66" s="344"/>
      <c r="IS66" s="344"/>
      <c r="IT66" s="344"/>
      <c r="IU66" s="344"/>
      <c r="IV66" s="344"/>
      <c r="IW66" s="344"/>
      <c r="IX66" s="344"/>
      <c r="IY66" s="344"/>
      <c r="IZ66" s="344"/>
      <c r="JA66" s="357"/>
      <c r="JB66" s="344"/>
      <c r="JC66" s="344"/>
      <c r="JD66" s="102"/>
      <c r="JE66" s="102"/>
      <c r="JF66" s="102"/>
      <c r="JG66" s="102"/>
      <c r="JH66" s="102"/>
      <c r="JI66" s="102"/>
      <c r="JJ66" s="102"/>
      <c r="JK66" s="102"/>
      <c r="JL66" s="102"/>
      <c r="JM66" s="102"/>
      <c r="JN66" s="102"/>
      <c r="JO66" s="102"/>
      <c r="JP66" s="102"/>
      <c r="JQ66" s="102"/>
      <c r="JR66" s="102"/>
      <c r="JS66" s="102"/>
      <c r="JT66" s="102"/>
      <c r="JU66" s="102"/>
      <c r="JV66" s="102"/>
      <c r="JW66" s="102"/>
      <c r="JX66" s="102"/>
      <c r="JY66" s="102"/>
      <c r="JZ66" s="102"/>
      <c r="KA66" s="102"/>
      <c r="KB66" s="102"/>
      <c r="KC66" s="102"/>
      <c r="KD66" s="102"/>
      <c r="KE66" s="102"/>
      <c r="KF66" s="102"/>
      <c r="KG66" s="102"/>
      <c r="KH66" s="102"/>
      <c r="KI66" s="102"/>
    </row>
    <row r="67" spans="1:295" s="48" customFormat="1" ht="10.5" customHeight="1" thickBot="1">
      <c r="A67" s="102"/>
      <c r="B67" s="102"/>
      <c r="C67" s="58"/>
      <c r="D67" s="468" t="s">
        <v>1289</v>
      </c>
      <c r="E67" s="310"/>
      <c r="F67" s="982">
        <f>SUM(F62:F66)</f>
        <v>0</v>
      </c>
      <c r="G67" s="504"/>
      <c r="H67" s="983"/>
      <c r="I67" s="986">
        <f>SUM(I62:I66)</f>
        <v>0</v>
      </c>
      <c r="J67" s="985"/>
      <c r="K67" s="982">
        <f>SUM(K62:K66)</f>
        <v>0</v>
      </c>
      <c r="L67" s="985"/>
      <c r="M67" s="983"/>
      <c r="N67" s="986">
        <f>SUM(N62:N66)</f>
        <v>0</v>
      </c>
      <c r="O67" s="455"/>
      <c r="P67" s="1888"/>
      <c r="Q67" s="1888"/>
      <c r="R67" s="304"/>
      <c r="U67" s="102"/>
      <c r="V67" s="346"/>
      <c r="W67" s="346"/>
      <c r="X67" s="349"/>
      <c r="Y67" s="346"/>
      <c r="Z67" s="358"/>
      <c r="AA67" s="359"/>
      <c r="AB67" s="359"/>
      <c r="AC67" s="359"/>
      <c r="AD67" s="359"/>
      <c r="AE67" s="359"/>
      <c r="AF67" s="359"/>
      <c r="AG67" s="523"/>
      <c r="AH67" s="344"/>
      <c r="AI67" s="344"/>
      <c r="AJ67" s="344"/>
      <c r="AK67" s="344"/>
      <c r="AL67" s="344"/>
      <c r="AM67" s="344"/>
      <c r="AN67" s="344"/>
      <c r="AO67" s="344"/>
      <c r="AP67" s="344"/>
      <c r="AQ67" s="344"/>
      <c r="AR67" s="344"/>
      <c r="AS67" s="344"/>
      <c r="AT67" s="344"/>
      <c r="AU67" s="344"/>
      <c r="AV67" s="344"/>
      <c r="AW67" s="344"/>
      <c r="AX67" s="344"/>
      <c r="AY67" s="344"/>
      <c r="AZ67" s="344"/>
      <c r="BA67" s="344"/>
      <c r="BB67" s="344"/>
      <c r="BC67" s="344"/>
      <c r="BD67" s="344"/>
      <c r="BE67" s="344"/>
      <c r="BF67" s="344"/>
      <c r="BG67" s="344"/>
      <c r="BH67" s="344"/>
      <c r="BI67" s="344"/>
      <c r="BJ67" s="344"/>
      <c r="BK67" s="344"/>
      <c r="BL67" s="344"/>
      <c r="BM67" s="344"/>
      <c r="BN67" s="344"/>
      <c r="BO67" s="344"/>
      <c r="BP67" s="344"/>
      <c r="BQ67" s="344"/>
      <c r="BR67" s="344"/>
      <c r="BS67" s="344"/>
      <c r="BT67" s="344"/>
      <c r="BU67" s="344"/>
      <c r="BV67" s="344"/>
      <c r="BW67" s="344"/>
      <c r="BX67" s="344"/>
      <c r="BY67" s="344"/>
      <c r="BZ67" s="344"/>
      <c r="CA67" s="344"/>
      <c r="CB67" s="344"/>
      <c r="CC67" s="344"/>
      <c r="CD67" s="344"/>
      <c r="CE67" s="344"/>
      <c r="CF67" s="344"/>
      <c r="CG67" s="344"/>
      <c r="CH67" s="344"/>
      <c r="CI67" s="344"/>
      <c r="CJ67" s="344"/>
      <c r="CK67" s="344"/>
      <c r="CL67" s="344"/>
      <c r="CM67" s="344"/>
      <c r="CN67" s="344"/>
      <c r="CO67" s="344"/>
      <c r="CP67" s="344"/>
      <c r="CQ67" s="344"/>
      <c r="CR67" s="344"/>
      <c r="CS67" s="344"/>
      <c r="CT67" s="344"/>
      <c r="CU67" s="344"/>
      <c r="CV67" s="344"/>
      <c r="CW67" s="344"/>
      <c r="CX67" s="344"/>
      <c r="CY67" s="344"/>
      <c r="CZ67" s="344"/>
      <c r="DA67" s="344"/>
      <c r="DB67" s="344"/>
      <c r="DC67" s="344"/>
      <c r="DD67" s="344"/>
      <c r="DE67" s="344"/>
      <c r="DF67" s="344"/>
      <c r="DG67" s="344"/>
      <c r="DH67" s="344"/>
      <c r="DI67" s="344"/>
      <c r="DJ67" s="344"/>
      <c r="DK67" s="344"/>
      <c r="DL67" s="344"/>
      <c r="DM67" s="344"/>
      <c r="DN67" s="344"/>
      <c r="DO67" s="344"/>
      <c r="DP67" s="344"/>
      <c r="DQ67" s="344"/>
      <c r="DR67" s="344"/>
      <c r="DS67" s="344"/>
      <c r="DT67" s="344"/>
      <c r="DU67" s="344"/>
      <c r="DV67" s="344"/>
      <c r="DW67" s="344"/>
      <c r="DX67" s="344"/>
      <c r="DY67" s="344"/>
      <c r="DZ67" s="344"/>
      <c r="EA67" s="344"/>
      <c r="EB67" s="344"/>
      <c r="EC67" s="344"/>
      <c r="ED67" s="344"/>
      <c r="EE67" s="344"/>
      <c r="EF67" s="344"/>
      <c r="EG67" s="344"/>
      <c r="EH67" s="344"/>
      <c r="EI67" s="344"/>
      <c r="EJ67" s="344"/>
      <c r="EK67" s="344"/>
      <c r="EL67" s="344"/>
      <c r="EM67" s="344"/>
      <c r="EN67" s="344"/>
      <c r="EO67" s="344"/>
      <c r="EP67" s="344"/>
      <c r="EQ67" s="344"/>
      <c r="ER67" s="344"/>
      <c r="ES67" s="344"/>
      <c r="ET67" s="344"/>
      <c r="EU67" s="344"/>
      <c r="EV67" s="344"/>
      <c r="EW67" s="344"/>
      <c r="EX67" s="344"/>
      <c r="EY67" s="344"/>
      <c r="EZ67" s="344"/>
      <c r="FA67" s="344"/>
      <c r="FB67" s="344"/>
      <c r="FC67" s="344"/>
      <c r="FD67" s="344"/>
      <c r="FE67" s="344"/>
      <c r="FF67" s="344"/>
      <c r="FG67" s="344"/>
      <c r="FH67" s="344"/>
      <c r="FI67" s="344"/>
      <c r="FJ67" s="344"/>
      <c r="FK67" s="344"/>
      <c r="FL67" s="344"/>
      <c r="FM67" s="344"/>
      <c r="FN67" s="344"/>
      <c r="FO67" s="344"/>
      <c r="FP67" s="344"/>
      <c r="FQ67" s="344"/>
      <c r="FR67" s="344"/>
      <c r="FS67" s="344"/>
      <c r="FT67" s="344"/>
      <c r="FU67" s="344"/>
      <c r="FV67" s="344"/>
      <c r="FW67" s="344"/>
      <c r="FX67" s="344"/>
      <c r="FY67" s="344"/>
      <c r="FZ67" s="344"/>
      <c r="GA67" s="344"/>
      <c r="GB67" s="344"/>
      <c r="GC67" s="344"/>
      <c r="GD67" s="344"/>
      <c r="GE67" s="344"/>
      <c r="GF67" s="344"/>
      <c r="GG67" s="344"/>
      <c r="GH67" s="344"/>
      <c r="GI67" s="344"/>
      <c r="GJ67" s="344"/>
      <c r="GK67" s="344"/>
      <c r="GL67" s="344"/>
      <c r="GM67" s="344"/>
      <c r="GN67" s="344"/>
      <c r="GO67" s="344"/>
      <c r="GP67" s="344"/>
      <c r="GQ67" s="344"/>
      <c r="GR67" s="344"/>
      <c r="GS67" s="344"/>
      <c r="GT67" s="344"/>
      <c r="GU67" s="344"/>
      <c r="GV67" s="344"/>
      <c r="GW67" s="344"/>
      <c r="GX67" s="344"/>
      <c r="GY67" s="344"/>
      <c r="GZ67" s="344"/>
      <c r="HA67" s="344"/>
      <c r="HB67" s="344"/>
      <c r="HC67" s="344"/>
      <c r="HD67" s="344"/>
      <c r="HE67" s="344"/>
      <c r="HF67" s="344"/>
      <c r="HG67" s="344"/>
      <c r="HH67" s="344"/>
      <c r="HI67" s="344"/>
      <c r="HJ67" s="344"/>
      <c r="HK67" s="344"/>
      <c r="HL67" s="344"/>
      <c r="HM67" s="344"/>
      <c r="HN67" s="344"/>
      <c r="HO67" s="344"/>
      <c r="HP67" s="344"/>
      <c r="HQ67" s="344"/>
      <c r="HR67" s="344"/>
      <c r="HS67" s="344"/>
      <c r="HT67" s="344"/>
      <c r="HU67" s="344"/>
      <c r="HV67" s="344"/>
      <c r="HW67" s="344"/>
      <c r="HX67" s="344"/>
      <c r="HY67" s="344"/>
      <c r="HZ67" s="344"/>
      <c r="IA67" s="344"/>
      <c r="IB67" s="344"/>
      <c r="IC67" s="344"/>
      <c r="ID67" s="344"/>
      <c r="IE67" s="344"/>
      <c r="IF67" s="344"/>
      <c r="IG67" s="344"/>
      <c r="IH67" s="344"/>
      <c r="II67" s="344"/>
      <c r="IJ67" s="357"/>
      <c r="IK67" s="357"/>
      <c r="IL67" s="344"/>
      <c r="IM67" s="344"/>
      <c r="IN67" s="344"/>
      <c r="IO67" s="344"/>
      <c r="IP67" s="344"/>
      <c r="IQ67" s="344"/>
      <c r="IR67" s="344"/>
      <c r="IS67" s="344"/>
      <c r="IT67" s="344"/>
      <c r="IU67" s="344"/>
      <c r="IV67" s="344"/>
      <c r="IW67" s="344"/>
      <c r="IX67" s="344"/>
      <c r="IY67" s="344"/>
      <c r="IZ67" s="344"/>
      <c r="JA67" s="357"/>
      <c r="JB67" s="344"/>
      <c r="JC67" s="344"/>
      <c r="JD67" s="102"/>
      <c r="JE67" s="102"/>
      <c r="JF67" s="102"/>
      <c r="JG67" s="102"/>
      <c r="JH67" s="102"/>
      <c r="JI67" s="102"/>
      <c r="JJ67" s="102"/>
      <c r="JK67" s="102"/>
      <c r="JL67" s="102"/>
      <c r="JM67" s="102"/>
      <c r="JN67" s="102"/>
      <c r="JO67" s="102"/>
      <c r="JP67" s="102"/>
      <c r="JQ67" s="102"/>
      <c r="JR67" s="102"/>
      <c r="JS67" s="102"/>
      <c r="JT67" s="102"/>
      <c r="JU67" s="102"/>
      <c r="JV67" s="102"/>
      <c r="JW67" s="102"/>
      <c r="JX67" s="102"/>
      <c r="JY67" s="102"/>
      <c r="JZ67" s="102"/>
      <c r="KA67" s="102"/>
      <c r="KB67" s="102"/>
      <c r="KC67" s="102"/>
      <c r="KD67" s="102"/>
      <c r="KE67" s="102"/>
      <c r="KF67" s="102"/>
      <c r="KG67" s="102"/>
      <c r="KH67" s="102"/>
      <c r="KI67" s="102"/>
    </row>
    <row r="68" spans="1:295" s="48" customFormat="1" ht="1.5" customHeight="1" thickTop="1" thickBot="1">
      <c r="A68" s="102"/>
      <c r="B68" s="102"/>
      <c r="C68" s="58"/>
      <c r="D68" s="58"/>
      <c r="E68" s="54"/>
      <c r="F68" s="58"/>
      <c r="G68" s="31"/>
      <c r="H68" s="1341"/>
      <c r="I68" s="1341"/>
      <c r="J68" s="1341"/>
      <c r="K68" s="1341"/>
      <c r="L68" s="1341"/>
      <c r="M68" s="1341"/>
      <c r="N68" s="1530"/>
      <c r="O68" s="455"/>
      <c r="P68" s="1888"/>
      <c r="Q68" s="1888"/>
      <c r="R68" s="304"/>
      <c r="S68" s="304"/>
      <c r="T68" s="102"/>
      <c r="U68" s="102"/>
      <c r="V68" s="346"/>
      <c r="W68" s="346"/>
      <c r="X68" s="349"/>
      <c r="Y68" s="346"/>
      <c r="Z68" s="358"/>
      <c r="AA68" s="359"/>
      <c r="AB68" s="359"/>
      <c r="AC68" s="359"/>
      <c r="AD68" s="359"/>
      <c r="AE68" s="359"/>
      <c r="AF68" s="359"/>
      <c r="AG68" s="523"/>
      <c r="AH68" s="344"/>
      <c r="AI68" s="344"/>
      <c r="AJ68" s="344"/>
      <c r="AK68" s="344"/>
      <c r="AL68" s="344"/>
      <c r="AM68" s="344"/>
      <c r="AN68" s="344"/>
      <c r="AO68" s="344"/>
      <c r="AP68" s="344"/>
      <c r="AQ68" s="344"/>
      <c r="AR68" s="344"/>
      <c r="AS68" s="344"/>
      <c r="AT68" s="344"/>
      <c r="AU68" s="344"/>
      <c r="AV68" s="344"/>
      <c r="AW68" s="344"/>
      <c r="AX68" s="344"/>
      <c r="AY68" s="344"/>
      <c r="AZ68" s="344"/>
      <c r="BA68" s="344"/>
      <c r="BB68" s="344"/>
      <c r="BC68" s="344"/>
      <c r="BD68" s="344"/>
      <c r="BE68" s="344"/>
      <c r="BF68" s="344"/>
      <c r="BG68" s="344"/>
      <c r="BH68" s="344"/>
      <c r="BI68" s="344"/>
      <c r="BJ68" s="344"/>
      <c r="BK68" s="344"/>
      <c r="BL68" s="344"/>
      <c r="BM68" s="344"/>
      <c r="BN68" s="344"/>
      <c r="BO68" s="344"/>
      <c r="BP68" s="344"/>
      <c r="BQ68" s="344"/>
      <c r="BR68" s="344"/>
      <c r="BS68" s="344"/>
      <c r="BT68" s="344"/>
      <c r="BU68" s="344"/>
      <c r="BV68" s="344"/>
      <c r="BW68" s="344"/>
      <c r="BX68" s="344"/>
      <c r="BY68" s="344"/>
      <c r="BZ68" s="344"/>
      <c r="CA68" s="344"/>
      <c r="CB68" s="344"/>
      <c r="CC68" s="344"/>
      <c r="CD68" s="344"/>
      <c r="CE68" s="344"/>
      <c r="CF68" s="344"/>
      <c r="CG68" s="344"/>
      <c r="CH68" s="344"/>
      <c r="CI68" s="344"/>
      <c r="CJ68" s="344"/>
      <c r="CK68" s="344"/>
      <c r="CL68" s="344"/>
      <c r="CM68" s="344"/>
      <c r="CN68" s="344"/>
      <c r="CO68" s="344"/>
      <c r="CP68" s="344"/>
      <c r="CQ68" s="344"/>
      <c r="CR68" s="344"/>
      <c r="CS68" s="344"/>
      <c r="CT68" s="344"/>
      <c r="CU68" s="344"/>
      <c r="CV68" s="344"/>
      <c r="CW68" s="344"/>
      <c r="CX68" s="344"/>
      <c r="CY68" s="344"/>
      <c r="CZ68" s="344"/>
      <c r="DA68" s="344"/>
      <c r="DB68" s="344"/>
      <c r="DC68" s="344"/>
      <c r="DD68" s="344"/>
      <c r="DE68" s="344"/>
      <c r="DF68" s="344"/>
      <c r="DG68" s="344"/>
      <c r="DH68" s="344"/>
      <c r="DI68" s="344"/>
      <c r="DJ68" s="344"/>
      <c r="DK68" s="344"/>
      <c r="DL68" s="344"/>
      <c r="DM68" s="344"/>
      <c r="DN68" s="344"/>
      <c r="DO68" s="344"/>
      <c r="DP68" s="344"/>
      <c r="DQ68" s="344"/>
      <c r="DR68" s="344"/>
      <c r="DS68" s="344"/>
      <c r="DT68" s="344"/>
      <c r="DU68" s="344"/>
      <c r="DV68" s="344"/>
      <c r="DW68" s="344"/>
      <c r="DX68" s="344"/>
      <c r="DY68" s="344"/>
      <c r="DZ68" s="344"/>
      <c r="EA68" s="344"/>
      <c r="EB68" s="344"/>
      <c r="EC68" s="344"/>
      <c r="ED68" s="344"/>
      <c r="EE68" s="344"/>
      <c r="EF68" s="344"/>
      <c r="EG68" s="344"/>
      <c r="EH68" s="344"/>
      <c r="EI68" s="344"/>
      <c r="EJ68" s="344"/>
      <c r="EK68" s="344"/>
      <c r="EL68" s="344"/>
      <c r="EM68" s="344"/>
      <c r="EN68" s="344"/>
      <c r="EO68" s="344"/>
      <c r="EP68" s="344"/>
      <c r="EQ68" s="344"/>
      <c r="ER68" s="344"/>
      <c r="ES68" s="344"/>
      <c r="ET68" s="344"/>
      <c r="EU68" s="344"/>
      <c r="EV68" s="344"/>
      <c r="EW68" s="344"/>
      <c r="EX68" s="344"/>
      <c r="EY68" s="344"/>
      <c r="EZ68" s="344"/>
      <c r="FA68" s="344"/>
      <c r="FB68" s="344"/>
      <c r="FC68" s="344"/>
      <c r="FD68" s="344"/>
      <c r="FE68" s="344"/>
      <c r="FF68" s="344"/>
      <c r="FG68" s="344"/>
      <c r="FH68" s="344"/>
      <c r="FI68" s="344"/>
      <c r="FJ68" s="344"/>
      <c r="FK68" s="344"/>
      <c r="FL68" s="344"/>
      <c r="FM68" s="344"/>
      <c r="FN68" s="344"/>
      <c r="FO68" s="344"/>
      <c r="FP68" s="344"/>
      <c r="FQ68" s="344"/>
      <c r="FR68" s="344"/>
      <c r="FS68" s="344"/>
      <c r="FT68" s="344"/>
      <c r="FU68" s="344"/>
      <c r="FV68" s="344"/>
      <c r="FW68" s="344"/>
      <c r="FX68" s="344"/>
      <c r="FY68" s="344"/>
      <c r="FZ68" s="344"/>
      <c r="GA68" s="344"/>
      <c r="GB68" s="344"/>
      <c r="GC68" s="344"/>
      <c r="GD68" s="344"/>
      <c r="GE68" s="344"/>
      <c r="GF68" s="344"/>
      <c r="GG68" s="344"/>
      <c r="GH68" s="344"/>
      <c r="GI68" s="344"/>
      <c r="GJ68" s="344"/>
      <c r="GK68" s="344"/>
      <c r="GL68" s="344"/>
      <c r="GM68" s="344"/>
      <c r="GN68" s="344"/>
      <c r="GO68" s="344"/>
      <c r="GP68" s="344"/>
      <c r="GQ68" s="344"/>
      <c r="GR68" s="344"/>
      <c r="GS68" s="344"/>
      <c r="GT68" s="344"/>
      <c r="GU68" s="344"/>
      <c r="GV68" s="344"/>
      <c r="GW68" s="344"/>
      <c r="GX68" s="344"/>
      <c r="GY68" s="344"/>
      <c r="GZ68" s="344"/>
      <c r="HA68" s="344"/>
      <c r="HB68" s="344"/>
      <c r="HC68" s="344"/>
      <c r="HD68" s="344"/>
      <c r="HE68" s="344"/>
      <c r="HF68" s="344"/>
      <c r="HG68" s="344"/>
      <c r="HH68" s="344"/>
      <c r="HI68" s="344"/>
      <c r="HJ68" s="344"/>
      <c r="HK68" s="344"/>
      <c r="HL68" s="344"/>
      <c r="HM68" s="344"/>
      <c r="HN68" s="344"/>
      <c r="HO68" s="344"/>
      <c r="HP68" s="344"/>
      <c r="HQ68" s="344"/>
      <c r="HR68" s="344"/>
      <c r="HS68" s="344"/>
      <c r="HT68" s="344"/>
      <c r="HU68" s="344"/>
      <c r="HV68" s="344"/>
      <c r="HW68" s="344"/>
      <c r="HX68" s="344"/>
      <c r="HY68" s="344"/>
      <c r="HZ68" s="344"/>
      <c r="IA68" s="344"/>
      <c r="IB68" s="344"/>
      <c r="IC68" s="344"/>
      <c r="ID68" s="344"/>
      <c r="IE68" s="344"/>
      <c r="IF68" s="344"/>
      <c r="IG68" s="344"/>
      <c r="IH68" s="344"/>
      <c r="II68" s="344"/>
      <c r="IJ68" s="357"/>
      <c r="IK68" s="357"/>
      <c r="IL68" s="344"/>
      <c r="IM68" s="344"/>
      <c r="IN68" s="344"/>
      <c r="IO68" s="344"/>
      <c r="IP68" s="344"/>
      <c r="IQ68" s="344"/>
      <c r="IR68" s="344"/>
      <c r="IS68" s="344"/>
      <c r="IT68" s="344"/>
      <c r="IU68" s="344"/>
      <c r="IV68" s="344"/>
      <c r="IW68" s="344"/>
      <c r="IX68" s="344"/>
      <c r="IY68" s="344"/>
      <c r="IZ68" s="344"/>
      <c r="JA68" s="357"/>
      <c r="JB68" s="344"/>
      <c r="JC68" s="344"/>
      <c r="JD68" s="102"/>
      <c r="JE68" s="102"/>
      <c r="JF68" s="102"/>
      <c r="JG68" s="102"/>
      <c r="JH68" s="102"/>
      <c r="JI68" s="102"/>
      <c r="JJ68" s="102"/>
      <c r="JK68" s="102"/>
      <c r="JL68" s="102"/>
      <c r="JM68" s="102"/>
      <c r="JN68" s="102"/>
      <c r="JO68" s="102"/>
      <c r="JP68" s="102"/>
      <c r="JQ68" s="102"/>
      <c r="JR68" s="102"/>
      <c r="JS68" s="102"/>
      <c r="JT68" s="102"/>
      <c r="JU68" s="102"/>
      <c r="JV68" s="102"/>
      <c r="JW68" s="102"/>
      <c r="JX68" s="102"/>
      <c r="JY68" s="102"/>
      <c r="JZ68" s="102"/>
      <c r="KA68" s="102"/>
      <c r="KB68" s="102"/>
      <c r="KC68" s="102"/>
      <c r="KD68" s="102"/>
      <c r="KE68" s="102"/>
      <c r="KF68" s="102"/>
      <c r="KG68" s="102"/>
      <c r="KH68" s="102"/>
      <c r="KI68" s="102"/>
    </row>
    <row r="69" spans="1:295" s="48" customFormat="1" ht="12.75" customHeight="1" thickTop="1">
      <c r="A69" s="74" t="s">
        <v>1297</v>
      </c>
      <c r="B69" s="58"/>
      <c r="C69" s="58"/>
      <c r="D69" s="55"/>
      <c r="E69" s="71"/>
      <c r="F69" s="495">
        <f>F46+F53+F60+F67</f>
        <v>74</v>
      </c>
      <c r="G69" s="237"/>
      <c r="H69" s="1889">
        <f>I46+I53+I60+I67</f>
        <v>15865932</v>
      </c>
      <c r="I69" s="1889"/>
      <c r="J69" s="1889"/>
      <c r="K69" s="495">
        <f>K46+K53+K60+K67</f>
        <v>0</v>
      </c>
      <c r="L69" s="496"/>
      <c r="M69" s="1889">
        <f>N46+N53+N60+N67</f>
        <v>0</v>
      </c>
      <c r="N69" s="1889"/>
      <c r="O69" s="1889"/>
      <c r="P69" s="1888"/>
      <c r="Q69" s="1888"/>
      <c r="R69" s="304"/>
      <c r="S69" s="304"/>
      <c r="T69" s="102"/>
      <c r="U69" s="102"/>
      <c r="V69" s="346"/>
      <c r="W69" s="346"/>
      <c r="X69" s="349"/>
      <c r="Y69" s="346"/>
      <c r="Z69" s="358"/>
      <c r="AA69" s="359"/>
      <c r="AB69" s="359"/>
      <c r="AC69" s="359"/>
      <c r="AD69" s="359"/>
      <c r="AE69" s="359"/>
      <c r="AF69" s="359"/>
      <c r="AG69" s="523"/>
      <c r="AH69" s="344"/>
      <c r="AI69" s="344"/>
      <c r="AJ69" s="344"/>
      <c r="AK69" s="344"/>
      <c r="AL69" s="344"/>
      <c r="AM69" s="344"/>
      <c r="AN69" s="344"/>
      <c r="AO69" s="344"/>
      <c r="AP69" s="344"/>
      <c r="AQ69" s="344"/>
      <c r="AR69" s="344"/>
      <c r="AS69" s="344"/>
      <c r="AT69" s="344"/>
      <c r="AU69" s="344"/>
      <c r="AV69" s="344"/>
      <c r="AW69" s="344"/>
      <c r="AX69" s="344"/>
      <c r="AY69" s="344"/>
      <c r="AZ69" s="344"/>
      <c r="BA69" s="344"/>
      <c r="BB69" s="344"/>
      <c r="BC69" s="344"/>
      <c r="BD69" s="344"/>
      <c r="BE69" s="344"/>
      <c r="BF69" s="344"/>
      <c r="BG69" s="344"/>
      <c r="BH69" s="344"/>
      <c r="BI69" s="344"/>
      <c r="BJ69" s="344"/>
      <c r="BK69" s="344"/>
      <c r="BL69" s="344"/>
      <c r="BM69" s="344"/>
      <c r="BN69" s="344"/>
      <c r="BO69" s="344"/>
      <c r="BP69" s="344"/>
      <c r="BQ69" s="344"/>
      <c r="BR69" s="344"/>
      <c r="BS69" s="344"/>
      <c r="BT69" s="344"/>
      <c r="BU69" s="344"/>
      <c r="BV69" s="344"/>
      <c r="BW69" s="344"/>
      <c r="BX69" s="344"/>
      <c r="BY69" s="344"/>
      <c r="BZ69" s="344"/>
      <c r="CA69" s="344"/>
      <c r="CB69" s="344"/>
      <c r="CC69" s="344"/>
      <c r="CD69" s="344"/>
      <c r="CE69" s="344"/>
      <c r="CF69" s="344"/>
      <c r="CG69" s="344"/>
      <c r="CH69" s="344"/>
      <c r="CI69" s="344"/>
      <c r="CJ69" s="344"/>
      <c r="CK69" s="344"/>
      <c r="CL69" s="344"/>
      <c r="CM69" s="344"/>
      <c r="CN69" s="344"/>
      <c r="CO69" s="344"/>
      <c r="CP69" s="344"/>
      <c r="CQ69" s="344"/>
      <c r="CR69" s="344"/>
      <c r="CS69" s="344"/>
      <c r="CT69" s="344"/>
      <c r="CU69" s="344"/>
      <c r="CV69" s="344"/>
      <c r="CW69" s="344"/>
      <c r="CX69" s="344"/>
      <c r="CY69" s="344"/>
      <c r="CZ69" s="344"/>
      <c r="DA69" s="344"/>
      <c r="DB69" s="344"/>
      <c r="DC69" s="344"/>
      <c r="DD69" s="344"/>
      <c r="DE69" s="344"/>
      <c r="DF69" s="344"/>
      <c r="DG69" s="344"/>
      <c r="DH69" s="344"/>
      <c r="DI69" s="344"/>
      <c r="DJ69" s="344"/>
      <c r="DK69" s="344"/>
      <c r="DL69" s="344"/>
      <c r="DM69" s="344"/>
      <c r="DN69" s="344"/>
      <c r="DO69" s="344"/>
      <c r="DP69" s="344"/>
      <c r="DQ69" s="344"/>
      <c r="DR69" s="344"/>
      <c r="DS69" s="344"/>
      <c r="DT69" s="344"/>
      <c r="DU69" s="344"/>
      <c r="DV69" s="344"/>
      <c r="DW69" s="344"/>
      <c r="DX69" s="344"/>
      <c r="DY69" s="344"/>
      <c r="DZ69" s="344"/>
      <c r="EA69" s="344"/>
      <c r="EB69" s="344"/>
      <c r="EC69" s="344"/>
      <c r="ED69" s="344"/>
      <c r="EE69" s="344"/>
      <c r="EF69" s="344"/>
      <c r="EG69" s="344"/>
      <c r="EH69" s="344"/>
      <c r="EI69" s="344"/>
      <c r="EJ69" s="344"/>
      <c r="EK69" s="344"/>
      <c r="EL69" s="344"/>
      <c r="EM69" s="344"/>
      <c r="EN69" s="344"/>
      <c r="EO69" s="344"/>
      <c r="EP69" s="344"/>
      <c r="EQ69" s="344"/>
      <c r="ER69" s="344"/>
      <c r="ES69" s="344"/>
      <c r="ET69" s="344"/>
      <c r="EU69" s="344"/>
      <c r="EV69" s="344"/>
      <c r="EW69" s="344"/>
      <c r="EX69" s="344"/>
      <c r="EY69" s="344"/>
      <c r="EZ69" s="344"/>
      <c r="FA69" s="344"/>
      <c r="FB69" s="344"/>
      <c r="FC69" s="344"/>
      <c r="FD69" s="344"/>
      <c r="FE69" s="344"/>
      <c r="FF69" s="344"/>
      <c r="FG69" s="344"/>
      <c r="FH69" s="344"/>
      <c r="FI69" s="344"/>
      <c r="FJ69" s="344"/>
      <c r="FK69" s="344"/>
      <c r="FL69" s="344"/>
      <c r="FM69" s="344"/>
      <c r="FN69" s="344"/>
      <c r="FO69" s="344"/>
      <c r="FP69" s="344"/>
      <c r="FQ69" s="344"/>
      <c r="FR69" s="344"/>
      <c r="FS69" s="344"/>
      <c r="FT69" s="344"/>
      <c r="FU69" s="344"/>
      <c r="FV69" s="344"/>
      <c r="FW69" s="344"/>
      <c r="FX69" s="344"/>
      <c r="FY69" s="344"/>
      <c r="FZ69" s="344"/>
      <c r="GA69" s="344"/>
      <c r="GB69" s="344"/>
      <c r="GC69" s="344"/>
      <c r="GD69" s="344"/>
      <c r="GE69" s="344"/>
      <c r="GF69" s="344"/>
      <c r="GG69" s="344"/>
      <c r="GH69" s="344"/>
      <c r="GI69" s="344"/>
      <c r="GJ69" s="344"/>
      <c r="GK69" s="344"/>
      <c r="GL69" s="344"/>
      <c r="GM69" s="344"/>
      <c r="GN69" s="344"/>
      <c r="GO69" s="344"/>
      <c r="GP69" s="344"/>
      <c r="GQ69" s="344"/>
      <c r="GR69" s="344"/>
      <c r="GS69" s="344"/>
      <c r="GT69" s="344"/>
      <c r="GU69" s="344"/>
      <c r="GV69" s="344"/>
      <c r="GW69" s="344"/>
      <c r="GX69" s="344"/>
      <c r="GY69" s="344"/>
      <c r="GZ69" s="344"/>
      <c r="HA69" s="344"/>
      <c r="HB69" s="344"/>
      <c r="HC69" s="344"/>
      <c r="HD69" s="344"/>
      <c r="HE69" s="344"/>
      <c r="HF69" s="344"/>
      <c r="HG69" s="344"/>
      <c r="HH69" s="344"/>
      <c r="HI69" s="344"/>
      <c r="HJ69" s="344"/>
      <c r="HK69" s="344"/>
      <c r="HL69" s="344"/>
      <c r="HM69" s="344"/>
      <c r="HN69" s="344"/>
      <c r="HO69" s="344"/>
      <c r="HP69" s="344"/>
      <c r="HQ69" s="344"/>
      <c r="HR69" s="344"/>
      <c r="HS69" s="344"/>
      <c r="HT69" s="344"/>
      <c r="HU69" s="344"/>
      <c r="HV69" s="344"/>
      <c r="HW69" s="344"/>
      <c r="HX69" s="344"/>
      <c r="HY69" s="344"/>
      <c r="HZ69" s="344"/>
      <c r="IA69" s="344"/>
      <c r="IB69" s="344"/>
      <c r="IC69" s="344"/>
      <c r="ID69" s="344"/>
      <c r="IE69" s="344"/>
      <c r="IF69" s="344"/>
      <c r="IG69" s="344"/>
      <c r="IH69" s="344"/>
      <c r="II69" s="344"/>
      <c r="IJ69" s="357"/>
      <c r="IK69" s="357"/>
      <c r="IL69" s="344"/>
      <c r="IM69" s="344"/>
      <c r="IN69" s="344"/>
      <c r="IO69" s="344"/>
      <c r="IP69" s="344"/>
      <c r="IQ69" s="344"/>
      <c r="IR69" s="344"/>
      <c r="IS69" s="344"/>
      <c r="IT69" s="344"/>
      <c r="IU69" s="344"/>
      <c r="IV69" s="344"/>
      <c r="IW69" s="344"/>
      <c r="IX69" s="344"/>
      <c r="IY69" s="344"/>
      <c r="IZ69" s="344"/>
      <c r="JA69" s="357"/>
      <c r="JB69" s="344"/>
      <c r="JC69" s="344"/>
      <c r="JD69" s="102"/>
      <c r="JE69" s="102"/>
      <c r="JF69" s="102"/>
      <c r="JG69" s="102"/>
      <c r="JH69" s="102"/>
      <c r="JI69" s="102"/>
      <c r="JJ69" s="102"/>
      <c r="JK69" s="102"/>
      <c r="JL69" s="102"/>
      <c r="JM69" s="102"/>
      <c r="JN69" s="102"/>
      <c r="JO69" s="102"/>
      <c r="JP69" s="102"/>
      <c r="JQ69" s="102"/>
      <c r="JR69" s="102"/>
      <c r="JS69" s="102"/>
      <c r="JT69" s="102"/>
      <c r="JU69" s="102"/>
      <c r="JV69" s="102"/>
      <c r="JW69" s="102"/>
      <c r="JX69" s="102"/>
      <c r="JY69" s="102"/>
      <c r="JZ69" s="102"/>
      <c r="KA69" s="102"/>
      <c r="KB69" s="102"/>
      <c r="KC69" s="102"/>
      <c r="KD69" s="102"/>
      <c r="KE69" s="102"/>
      <c r="KF69" s="102"/>
      <c r="KG69" s="102"/>
      <c r="KH69" s="102"/>
      <c r="KI69" s="102"/>
    </row>
    <row r="70" spans="1:295" ht="10.5" customHeight="1">
      <c r="A70" s="102"/>
      <c r="B70" s="59" t="s">
        <v>1274</v>
      </c>
      <c r="C70" s="102"/>
      <c r="D70" s="59"/>
      <c r="E70" s="59"/>
      <c r="F70" s="59"/>
      <c r="G70" s="59"/>
      <c r="H70" s="22"/>
      <c r="I70" s="1529"/>
      <c r="J70" s="1529"/>
      <c r="K70" s="95" t="s">
        <v>1276</v>
      </c>
      <c r="L70" s="1524"/>
      <c r="M70" s="1524"/>
      <c r="N70" s="1524"/>
      <c r="O70" s="1524"/>
      <c r="P70" s="1524"/>
      <c r="Q70" s="771"/>
      <c r="R70" s="102"/>
      <c r="S70" s="102"/>
      <c r="T70" s="102"/>
      <c r="U70" s="102"/>
      <c r="V70" s="102"/>
      <c r="W70" s="102"/>
      <c r="X70" s="102"/>
      <c r="Y70" s="102"/>
      <c r="Z70" s="102"/>
      <c r="AA70" s="102"/>
      <c r="AB70" s="102"/>
      <c r="AC70" s="102"/>
      <c r="AD70" s="102"/>
      <c r="AE70" s="366"/>
      <c r="AF70" s="366"/>
      <c r="AG70" s="102"/>
      <c r="AH70" s="102"/>
      <c r="AI70" s="102"/>
      <c r="AJ70" s="102"/>
      <c r="AK70" s="102"/>
      <c r="AL70" s="102"/>
      <c r="AM70" s="102"/>
      <c r="AN70" s="102"/>
      <c r="AO70" s="102"/>
      <c r="AP70" s="102"/>
      <c r="AQ70" s="102"/>
      <c r="AR70" s="102"/>
      <c r="AS70" s="102"/>
      <c r="AT70" s="102"/>
      <c r="AU70" s="102"/>
      <c r="AV70" s="102"/>
      <c r="AW70" s="102"/>
      <c r="AX70" s="102"/>
      <c r="AY70" s="102"/>
      <c r="AZ70" s="102"/>
      <c r="BA70" s="102"/>
      <c r="BB70" s="102"/>
      <c r="BC70" s="102"/>
      <c r="BD70" s="102"/>
      <c r="BE70" s="102"/>
      <c r="BF70" s="102"/>
      <c r="BG70" s="102"/>
      <c r="BH70" s="102"/>
      <c r="BI70" s="102"/>
      <c r="BJ70" s="102"/>
      <c r="BK70" s="102"/>
      <c r="BL70" s="102"/>
      <c r="BM70" s="102"/>
      <c r="BN70" s="102"/>
      <c r="BO70" s="102"/>
      <c r="BP70" s="102"/>
      <c r="BQ70" s="102"/>
      <c r="BR70" s="102"/>
      <c r="BS70" s="102"/>
      <c r="BT70" s="102"/>
      <c r="BU70" s="102"/>
      <c r="BV70" s="102"/>
      <c r="BW70" s="102"/>
      <c r="BX70" s="102"/>
      <c r="BY70" s="102"/>
      <c r="BZ70" s="102"/>
      <c r="CA70" s="102"/>
      <c r="CB70" s="102"/>
      <c r="CC70" s="102"/>
      <c r="CD70" s="102"/>
      <c r="CE70" s="102"/>
      <c r="CF70" s="102"/>
      <c r="CG70" s="102"/>
      <c r="CH70" s="102"/>
      <c r="CI70" s="102"/>
      <c r="CJ70" s="102"/>
      <c r="CK70" s="102"/>
      <c r="CL70" s="102"/>
      <c r="CM70" s="102"/>
      <c r="CN70" s="102"/>
      <c r="CO70" s="102"/>
      <c r="CP70" s="102"/>
      <c r="CQ70" s="102"/>
      <c r="CR70" s="102"/>
      <c r="CS70" s="102"/>
      <c r="CT70" s="102"/>
      <c r="CU70" s="102"/>
      <c r="CV70" s="102"/>
      <c r="CW70" s="102"/>
      <c r="CX70" s="102"/>
      <c r="CY70" s="102"/>
      <c r="CZ70" s="102"/>
      <c r="DA70" s="102"/>
      <c r="DB70" s="102"/>
      <c r="DC70" s="102"/>
      <c r="DD70" s="102"/>
      <c r="DE70" s="102"/>
      <c r="DF70" s="102"/>
      <c r="DG70" s="102"/>
      <c r="DH70" s="102"/>
      <c r="DI70" s="102"/>
      <c r="DJ70" s="102"/>
      <c r="DK70" s="102"/>
      <c r="DL70" s="102"/>
      <c r="DM70" s="102"/>
      <c r="DN70" s="102"/>
      <c r="DO70" s="102"/>
      <c r="DP70" s="102"/>
      <c r="DQ70" s="102"/>
      <c r="DR70" s="102"/>
      <c r="DS70" s="102"/>
      <c r="DT70" s="102"/>
      <c r="DU70" s="102"/>
      <c r="DV70" s="102"/>
      <c r="DW70" s="102"/>
      <c r="DX70" s="102"/>
      <c r="DY70" s="102"/>
      <c r="DZ70" s="102"/>
      <c r="EA70" s="102"/>
      <c r="EB70" s="102"/>
      <c r="EC70" s="102"/>
      <c r="ED70" s="102"/>
      <c r="EE70" s="102"/>
      <c r="EF70" s="102"/>
      <c r="EG70" s="102"/>
      <c r="EH70" s="102"/>
      <c r="EI70" s="102"/>
      <c r="EJ70" s="102"/>
      <c r="EK70" s="102"/>
      <c r="EL70" s="102"/>
      <c r="EM70" s="102"/>
      <c r="EN70" s="102"/>
      <c r="EO70" s="102"/>
      <c r="EP70" s="102"/>
      <c r="EQ70" s="102"/>
      <c r="ER70" s="102"/>
      <c r="ES70" s="102"/>
      <c r="ET70" s="102"/>
      <c r="EU70" s="102"/>
      <c r="EV70" s="102"/>
      <c r="EW70" s="102"/>
      <c r="EX70" s="102"/>
      <c r="EY70" s="102"/>
      <c r="EZ70" s="102"/>
      <c r="FA70" s="102"/>
      <c r="FB70" s="102"/>
      <c r="FC70" s="102"/>
      <c r="FD70" s="102"/>
      <c r="FE70" s="102"/>
      <c r="FF70" s="102"/>
      <c r="FG70" s="102"/>
      <c r="FH70" s="102"/>
      <c r="FI70" s="102"/>
      <c r="FJ70" s="102"/>
      <c r="FK70" s="102"/>
      <c r="FL70" s="102"/>
      <c r="FM70" s="102"/>
      <c r="FN70" s="102"/>
      <c r="FO70" s="102"/>
      <c r="FP70" s="102"/>
      <c r="FQ70" s="102"/>
      <c r="FR70" s="102"/>
      <c r="FS70" s="102"/>
      <c r="FT70" s="102"/>
      <c r="FU70" s="102"/>
      <c r="FV70" s="102"/>
      <c r="FW70" s="102"/>
      <c r="FX70" s="102"/>
      <c r="FY70" s="102"/>
      <c r="FZ70" s="102"/>
      <c r="GA70" s="102"/>
      <c r="GB70" s="102"/>
      <c r="GC70" s="102"/>
      <c r="GD70" s="102"/>
      <c r="GE70" s="102"/>
      <c r="GF70" s="102"/>
      <c r="GG70" s="102"/>
      <c r="GH70" s="102"/>
      <c r="GI70" s="102"/>
      <c r="GJ70" s="102"/>
      <c r="GK70" s="102"/>
      <c r="GL70" s="102"/>
      <c r="GM70" s="102"/>
      <c r="GN70" s="102"/>
      <c r="GO70" s="102"/>
      <c r="GP70" s="102"/>
      <c r="GQ70" s="102"/>
      <c r="GR70" s="102"/>
      <c r="GS70" s="102"/>
      <c r="GT70" s="102"/>
      <c r="GU70" s="102"/>
      <c r="GV70" s="102"/>
      <c r="GW70" s="102"/>
      <c r="GX70" s="102"/>
      <c r="GY70" s="102"/>
      <c r="GZ70" s="102"/>
      <c r="HA70" s="102"/>
      <c r="HB70" s="102"/>
      <c r="HC70" s="102"/>
      <c r="HD70" s="102"/>
      <c r="HE70" s="102"/>
      <c r="HF70" s="102"/>
      <c r="HG70" s="102"/>
      <c r="HH70" s="102"/>
      <c r="HI70" s="102"/>
      <c r="HJ70" s="102"/>
      <c r="HK70" s="102"/>
      <c r="HL70" s="102"/>
      <c r="HM70" s="102"/>
      <c r="HN70" s="102"/>
      <c r="HO70" s="102"/>
      <c r="HP70" s="102"/>
      <c r="HQ70" s="102"/>
      <c r="HR70" s="102"/>
      <c r="HS70" s="102"/>
      <c r="HT70" s="102"/>
      <c r="HU70" s="102"/>
      <c r="HV70" s="102"/>
      <c r="HW70" s="102"/>
      <c r="HX70" s="102"/>
      <c r="HY70" s="102"/>
      <c r="HZ70" s="102"/>
      <c r="IA70" s="102"/>
      <c r="IB70" s="102"/>
      <c r="IC70" s="102"/>
      <c r="ID70" s="102"/>
      <c r="IE70" s="102"/>
      <c r="IF70" s="102"/>
      <c r="IG70" s="102"/>
      <c r="IH70" s="102"/>
      <c r="II70" s="102"/>
      <c r="IJ70" s="102"/>
      <c r="IK70" s="102"/>
      <c r="IL70" s="102"/>
      <c r="IM70" s="102"/>
      <c r="IN70" s="102"/>
      <c r="IO70" s="102"/>
      <c r="IP70" s="102"/>
      <c r="IQ70" s="102"/>
      <c r="IR70" s="102"/>
      <c r="IS70" s="102"/>
      <c r="IT70" s="102"/>
      <c r="IU70" s="102"/>
      <c r="IV70" s="102"/>
      <c r="IW70" s="102"/>
      <c r="IX70" s="102"/>
      <c r="IY70" s="102"/>
      <c r="IZ70" s="102"/>
      <c r="JA70" s="102"/>
      <c r="JB70" s="102"/>
      <c r="JC70" s="102"/>
      <c r="JD70" s="102"/>
      <c r="JE70" s="102"/>
      <c r="JF70" s="102"/>
      <c r="JG70" s="102"/>
      <c r="JH70" s="102"/>
      <c r="JI70" s="102"/>
      <c r="JJ70" s="102"/>
      <c r="JK70" s="102"/>
      <c r="JL70" s="102"/>
      <c r="JM70" s="102"/>
      <c r="JN70" s="102"/>
      <c r="JO70" s="102"/>
      <c r="JP70" s="102"/>
      <c r="JQ70" s="102"/>
      <c r="JR70" s="102"/>
      <c r="JS70" s="102"/>
      <c r="JT70" s="102"/>
      <c r="JU70" s="102"/>
      <c r="JV70" s="102"/>
      <c r="JW70" s="102"/>
      <c r="JX70" s="102"/>
      <c r="JY70" s="102"/>
      <c r="JZ70" s="102"/>
      <c r="KA70" s="102"/>
      <c r="KB70" s="102"/>
      <c r="KC70" s="102"/>
      <c r="KD70" s="102"/>
      <c r="KE70" s="102"/>
      <c r="KF70" s="102"/>
      <c r="KG70" s="102"/>
      <c r="KH70" s="102"/>
      <c r="KI70" s="102"/>
    </row>
    <row r="71" spans="1:295" ht="25.5" customHeight="1">
      <c r="A71" s="2496" t="s">
        <v>4619</v>
      </c>
      <c r="B71" s="2497"/>
      <c r="C71" s="2497"/>
      <c r="D71" s="2497"/>
      <c r="E71" s="2497"/>
      <c r="F71" s="2497"/>
      <c r="G71" s="2497"/>
      <c r="H71" s="2497"/>
      <c r="I71" s="2497"/>
      <c r="J71" s="2498"/>
      <c r="K71" s="1835"/>
      <c r="L71" s="1836"/>
      <c r="M71" s="1836"/>
      <c r="N71" s="1836"/>
      <c r="O71" s="1836"/>
      <c r="P71" s="1836"/>
      <c r="Q71" s="1837"/>
      <c r="R71" s="341" t="s">
        <v>1275</v>
      </c>
      <c r="S71" s="102"/>
      <c r="T71" s="102"/>
      <c r="U71" s="94"/>
      <c r="V71" s="94"/>
      <c r="W71" s="94"/>
      <c r="X71" s="94"/>
      <c r="Y71" s="94"/>
      <c r="Z71" s="94"/>
      <c r="AA71" s="94"/>
      <c r="AB71" s="94"/>
      <c r="AC71" s="94"/>
      <c r="AD71" s="94"/>
      <c r="AE71" s="365"/>
      <c r="AF71" s="366"/>
      <c r="AG71" s="102"/>
      <c r="AH71" s="102"/>
      <c r="AI71" s="102"/>
      <c r="AJ71" s="102"/>
      <c r="AK71" s="102"/>
      <c r="AL71" s="102"/>
      <c r="AM71" s="102"/>
      <c r="AN71" s="102"/>
      <c r="AO71" s="102"/>
      <c r="AP71" s="102"/>
      <c r="AQ71" s="102"/>
      <c r="AR71" s="102"/>
      <c r="AS71" s="102"/>
      <c r="AT71" s="102"/>
      <c r="AU71" s="102"/>
      <c r="AV71" s="102"/>
      <c r="AW71" s="102"/>
      <c r="AX71" s="102"/>
      <c r="AY71" s="102"/>
      <c r="AZ71" s="102"/>
      <c r="BA71" s="102"/>
      <c r="BB71" s="102"/>
      <c r="BC71" s="102"/>
      <c r="BD71" s="102"/>
      <c r="BE71" s="102"/>
      <c r="BF71" s="102"/>
      <c r="BG71" s="102"/>
      <c r="BH71" s="102"/>
      <c r="BI71" s="102"/>
      <c r="BJ71" s="102"/>
      <c r="BK71" s="102"/>
      <c r="BL71" s="102"/>
      <c r="BM71" s="102"/>
      <c r="BN71" s="102"/>
      <c r="BO71" s="102"/>
      <c r="BP71" s="102"/>
      <c r="BQ71" s="102"/>
      <c r="BR71" s="102"/>
      <c r="BS71" s="102"/>
      <c r="BT71" s="102"/>
      <c r="BU71" s="102"/>
      <c r="BV71" s="102"/>
      <c r="BW71" s="102"/>
      <c r="BX71" s="102"/>
      <c r="BY71" s="102"/>
      <c r="BZ71" s="102"/>
      <c r="CA71" s="102"/>
      <c r="CB71" s="102"/>
      <c r="CC71" s="102"/>
      <c r="CD71" s="102"/>
      <c r="CE71" s="102"/>
      <c r="CF71" s="102"/>
      <c r="CG71" s="102"/>
      <c r="CH71" s="102"/>
      <c r="CI71" s="102"/>
      <c r="CJ71" s="102"/>
      <c r="CK71" s="102"/>
      <c r="CL71" s="102"/>
      <c r="CM71" s="102"/>
      <c r="CN71" s="102"/>
      <c r="CO71" s="102"/>
      <c r="CP71" s="102"/>
      <c r="CQ71" s="102"/>
      <c r="CR71" s="102"/>
      <c r="CS71" s="102"/>
      <c r="CT71" s="102"/>
      <c r="CU71" s="102"/>
      <c r="CV71" s="102"/>
      <c r="CW71" s="102"/>
      <c r="CX71" s="102"/>
      <c r="CY71" s="102"/>
      <c r="CZ71" s="102"/>
      <c r="DA71" s="102"/>
      <c r="DB71" s="102"/>
      <c r="DC71" s="102"/>
      <c r="DD71" s="102"/>
      <c r="DE71" s="102"/>
      <c r="DF71" s="102"/>
      <c r="DG71" s="102"/>
      <c r="DH71" s="102"/>
      <c r="DI71" s="102"/>
      <c r="DJ71" s="102"/>
      <c r="DK71" s="102"/>
      <c r="DL71" s="102"/>
      <c r="DM71" s="102"/>
      <c r="DN71" s="102"/>
      <c r="DO71" s="102"/>
      <c r="DP71" s="102"/>
      <c r="DQ71" s="102"/>
      <c r="DR71" s="102"/>
      <c r="DS71" s="102"/>
      <c r="DT71" s="102"/>
      <c r="DU71" s="102"/>
      <c r="DV71" s="102"/>
      <c r="DW71" s="102"/>
      <c r="DX71" s="102"/>
      <c r="DY71" s="102"/>
      <c r="DZ71" s="102"/>
      <c r="EA71" s="102"/>
      <c r="EB71" s="102"/>
      <c r="EC71" s="102"/>
      <c r="ED71" s="102"/>
      <c r="EE71" s="102"/>
      <c r="EF71" s="102"/>
      <c r="EG71" s="102"/>
      <c r="EH71" s="102"/>
      <c r="EI71" s="102"/>
      <c r="EJ71" s="102"/>
      <c r="EK71" s="102"/>
      <c r="EL71" s="102"/>
      <c r="EM71" s="102"/>
      <c r="EN71" s="102"/>
      <c r="EO71" s="102"/>
      <c r="EP71" s="102"/>
      <c r="EQ71" s="102"/>
      <c r="ER71" s="102"/>
      <c r="ES71" s="102"/>
      <c r="ET71" s="102"/>
      <c r="EU71" s="102"/>
      <c r="EV71" s="102"/>
      <c r="EW71" s="102"/>
      <c r="EX71" s="102"/>
      <c r="EY71" s="102"/>
      <c r="EZ71" s="102"/>
      <c r="FA71" s="102"/>
      <c r="FB71" s="102"/>
      <c r="FC71" s="102"/>
      <c r="FD71" s="102"/>
      <c r="FE71" s="102"/>
      <c r="FF71" s="102"/>
      <c r="FG71" s="102"/>
      <c r="FH71" s="102"/>
      <c r="FI71" s="102"/>
      <c r="FJ71" s="102"/>
      <c r="FK71" s="102"/>
      <c r="FL71" s="102"/>
      <c r="FM71" s="102"/>
      <c r="FN71" s="102"/>
      <c r="FO71" s="102"/>
      <c r="FP71" s="102"/>
      <c r="FQ71" s="102"/>
      <c r="FR71" s="102"/>
      <c r="FS71" s="102"/>
      <c r="FT71" s="102"/>
      <c r="FU71" s="102"/>
      <c r="FV71" s="102"/>
      <c r="FW71" s="102"/>
      <c r="FX71" s="102"/>
      <c r="FY71" s="102"/>
      <c r="FZ71" s="102"/>
      <c r="GA71" s="102"/>
      <c r="GB71" s="102"/>
      <c r="GC71" s="102"/>
      <c r="GD71" s="102"/>
      <c r="GE71" s="102"/>
      <c r="GF71" s="102"/>
      <c r="GG71" s="102"/>
      <c r="GH71" s="102"/>
      <c r="GI71" s="102"/>
      <c r="GJ71" s="102"/>
      <c r="GK71" s="102"/>
      <c r="GL71" s="102"/>
      <c r="GM71" s="102"/>
      <c r="GN71" s="102"/>
      <c r="GO71" s="102"/>
      <c r="GP71" s="102"/>
      <c r="GQ71" s="102"/>
      <c r="GR71" s="102"/>
      <c r="GS71" s="102"/>
      <c r="GT71" s="102"/>
      <c r="GU71" s="102"/>
      <c r="GV71" s="102"/>
      <c r="GW71" s="102"/>
      <c r="GX71" s="102"/>
      <c r="GY71" s="102"/>
      <c r="GZ71" s="102"/>
      <c r="HA71" s="102"/>
      <c r="HB71" s="102"/>
      <c r="HC71" s="102"/>
      <c r="HD71" s="102"/>
      <c r="HE71" s="102"/>
      <c r="HF71" s="102"/>
      <c r="HG71" s="102"/>
      <c r="HH71" s="102"/>
      <c r="HI71" s="102"/>
      <c r="HJ71" s="102"/>
      <c r="HK71" s="102"/>
      <c r="HL71" s="102"/>
      <c r="HM71" s="102"/>
      <c r="HN71" s="102"/>
      <c r="HO71" s="102"/>
      <c r="HP71" s="102"/>
      <c r="HQ71" s="102"/>
      <c r="HR71" s="102"/>
      <c r="HS71" s="102"/>
      <c r="HT71" s="102"/>
      <c r="HU71" s="102"/>
      <c r="HV71" s="102"/>
      <c r="HW71" s="102"/>
      <c r="HX71" s="102"/>
      <c r="HY71" s="102"/>
      <c r="HZ71" s="102"/>
      <c r="IA71" s="102"/>
      <c r="IB71" s="102"/>
      <c r="IC71" s="102"/>
      <c r="ID71" s="102"/>
      <c r="IE71" s="102"/>
      <c r="IF71" s="102"/>
      <c r="IG71" s="102"/>
      <c r="IH71" s="102"/>
      <c r="II71" s="102"/>
      <c r="IJ71" s="102"/>
      <c r="IK71" s="102"/>
      <c r="IL71" s="102"/>
      <c r="IM71" s="102"/>
      <c r="IN71" s="102"/>
      <c r="IO71" s="102"/>
      <c r="IP71" s="102"/>
      <c r="IQ71" s="102"/>
      <c r="IR71" s="102"/>
      <c r="IS71" s="102"/>
      <c r="IT71" s="102"/>
      <c r="IU71" s="102"/>
      <c r="IV71" s="102"/>
      <c r="IW71" s="102"/>
      <c r="IX71" s="102"/>
      <c r="IY71" s="102"/>
      <c r="IZ71" s="102"/>
      <c r="JA71" s="102"/>
      <c r="JB71" s="102"/>
      <c r="JC71" s="102"/>
      <c r="JD71" s="102"/>
      <c r="JE71" s="102"/>
      <c r="JF71" s="102"/>
      <c r="JG71" s="102"/>
      <c r="JH71" s="102"/>
      <c r="JI71" s="102"/>
      <c r="JJ71" s="102"/>
      <c r="JK71" s="102"/>
      <c r="JL71" s="102"/>
      <c r="JM71" s="102"/>
      <c r="JN71" s="102"/>
      <c r="JO71" s="102"/>
      <c r="JP71" s="102"/>
      <c r="JQ71" s="102"/>
      <c r="JR71" s="102"/>
      <c r="JS71" s="102"/>
      <c r="JT71" s="102"/>
      <c r="JU71" s="102"/>
      <c r="JV71" s="102"/>
      <c r="JW71" s="102"/>
      <c r="JX71" s="102"/>
      <c r="JY71" s="102"/>
      <c r="JZ71" s="102"/>
      <c r="KA71" s="102"/>
      <c r="KB71" s="102"/>
      <c r="KC71" s="102"/>
      <c r="KD71" s="102"/>
      <c r="KE71" s="102"/>
      <c r="KF71" s="102"/>
      <c r="KG71" s="102"/>
      <c r="KH71" s="102"/>
      <c r="KI71" s="102"/>
    </row>
    <row r="72" spans="1:295" ht="3" customHeight="1">
      <c r="A72" s="102"/>
      <c r="B72" s="1529"/>
      <c r="C72" s="1532"/>
      <c r="D72" s="1532"/>
      <c r="E72" s="1532"/>
      <c r="F72" s="1532"/>
      <c r="G72" s="1532"/>
      <c r="H72" s="1532"/>
      <c r="I72" s="1532"/>
      <c r="J72" s="1532"/>
      <c r="K72" s="1532"/>
      <c r="L72" s="1532"/>
      <c r="M72" s="1532"/>
      <c r="N72" s="1532"/>
      <c r="O72" s="1532"/>
      <c r="P72" s="1532"/>
      <c r="Q72" s="1524"/>
      <c r="R72" s="102"/>
      <c r="S72" s="102"/>
      <c r="T72" s="102"/>
      <c r="U72" s="102"/>
      <c r="V72" s="102"/>
      <c r="W72" s="102"/>
      <c r="X72" s="102"/>
      <c r="Y72" s="102"/>
      <c r="Z72" s="102"/>
      <c r="AA72" s="102"/>
      <c r="AB72" s="102"/>
      <c r="AC72" s="102"/>
      <c r="AD72" s="102"/>
      <c r="AE72" s="366"/>
      <c r="AF72" s="366"/>
      <c r="AG72" s="102"/>
      <c r="AH72" s="102"/>
      <c r="AI72" s="102"/>
      <c r="AJ72" s="102"/>
      <c r="AK72" s="102"/>
      <c r="AL72" s="102"/>
      <c r="AM72" s="102"/>
      <c r="AN72" s="102"/>
      <c r="AO72" s="102"/>
      <c r="AP72" s="102"/>
      <c r="AQ72" s="102"/>
      <c r="AR72" s="102"/>
      <c r="AS72" s="102"/>
      <c r="AT72" s="102"/>
      <c r="AU72" s="102"/>
      <c r="AV72" s="102"/>
      <c r="AW72" s="102"/>
      <c r="AX72" s="102"/>
      <c r="AY72" s="102"/>
      <c r="AZ72" s="102"/>
      <c r="BA72" s="102"/>
      <c r="BB72" s="102"/>
      <c r="BC72" s="102"/>
      <c r="BD72" s="102"/>
      <c r="BE72" s="102"/>
      <c r="BF72" s="102"/>
      <c r="BG72" s="102"/>
      <c r="BH72" s="102"/>
      <c r="BI72" s="102"/>
      <c r="BJ72" s="102"/>
      <c r="BK72" s="102"/>
      <c r="BL72" s="102"/>
      <c r="BM72" s="102"/>
      <c r="BN72" s="102"/>
      <c r="BO72" s="102"/>
      <c r="BP72" s="102"/>
      <c r="BQ72" s="102"/>
      <c r="BR72" s="102"/>
      <c r="BS72" s="102"/>
      <c r="BT72" s="102"/>
      <c r="BU72" s="102"/>
      <c r="BV72" s="102"/>
      <c r="BW72" s="102"/>
      <c r="BX72" s="102"/>
      <c r="BY72" s="102"/>
      <c r="BZ72" s="102"/>
      <c r="CA72" s="102"/>
      <c r="CB72" s="102"/>
      <c r="CC72" s="102"/>
      <c r="CD72" s="102"/>
      <c r="CE72" s="102"/>
      <c r="CF72" s="102"/>
      <c r="CG72" s="102"/>
      <c r="CH72" s="102"/>
      <c r="CI72" s="102"/>
      <c r="CJ72" s="102"/>
      <c r="CK72" s="102"/>
      <c r="CL72" s="102"/>
      <c r="CM72" s="102"/>
      <c r="CN72" s="102"/>
      <c r="CO72" s="102"/>
      <c r="CP72" s="102"/>
      <c r="CQ72" s="102"/>
      <c r="CR72" s="102"/>
      <c r="CS72" s="102"/>
      <c r="CT72" s="102"/>
      <c r="CU72" s="102"/>
      <c r="CV72" s="102"/>
      <c r="CW72" s="102"/>
      <c r="CX72" s="102"/>
      <c r="CY72" s="102"/>
      <c r="CZ72" s="102"/>
      <c r="DA72" s="102"/>
      <c r="DB72" s="102"/>
      <c r="DC72" s="102"/>
      <c r="DD72" s="102"/>
      <c r="DE72" s="102"/>
      <c r="DF72" s="102"/>
      <c r="DG72" s="102"/>
      <c r="DH72" s="102"/>
      <c r="DI72" s="102"/>
      <c r="DJ72" s="102"/>
      <c r="DK72" s="102"/>
      <c r="DL72" s="102"/>
      <c r="DM72" s="102"/>
      <c r="DN72" s="102"/>
      <c r="DO72" s="102"/>
      <c r="DP72" s="102"/>
      <c r="DQ72" s="102"/>
      <c r="DR72" s="102"/>
      <c r="DS72" s="102"/>
      <c r="DT72" s="102"/>
      <c r="DU72" s="102"/>
      <c r="DV72" s="102"/>
      <c r="DW72" s="102"/>
      <c r="DX72" s="102"/>
      <c r="DY72" s="102"/>
      <c r="DZ72" s="102"/>
      <c r="EA72" s="102"/>
      <c r="EB72" s="102"/>
      <c r="EC72" s="102"/>
      <c r="ED72" s="102"/>
      <c r="EE72" s="102"/>
      <c r="EF72" s="102"/>
      <c r="EG72" s="102"/>
      <c r="EH72" s="102"/>
      <c r="EI72" s="102"/>
      <c r="EJ72" s="102"/>
      <c r="EK72" s="102"/>
      <c r="EL72" s="102"/>
      <c r="EM72" s="102"/>
      <c r="EN72" s="102"/>
      <c r="EO72" s="102"/>
      <c r="EP72" s="102"/>
      <c r="EQ72" s="102"/>
      <c r="ER72" s="102"/>
      <c r="ES72" s="102"/>
      <c r="ET72" s="102"/>
      <c r="EU72" s="102"/>
      <c r="EV72" s="102"/>
      <c r="EW72" s="102"/>
      <c r="EX72" s="102"/>
      <c r="EY72" s="102"/>
      <c r="EZ72" s="102"/>
      <c r="FA72" s="102"/>
      <c r="FB72" s="102"/>
      <c r="FC72" s="102"/>
      <c r="FD72" s="102"/>
      <c r="FE72" s="102"/>
      <c r="FF72" s="102"/>
      <c r="FG72" s="102"/>
      <c r="FH72" s="102"/>
      <c r="FI72" s="102"/>
      <c r="FJ72" s="102"/>
      <c r="FK72" s="102"/>
      <c r="FL72" s="102"/>
      <c r="FM72" s="102"/>
      <c r="FN72" s="102"/>
      <c r="FO72" s="102"/>
      <c r="FP72" s="102"/>
      <c r="FQ72" s="102"/>
      <c r="FR72" s="102"/>
      <c r="FS72" s="102"/>
      <c r="FT72" s="102"/>
      <c r="FU72" s="102"/>
      <c r="FV72" s="102"/>
      <c r="FW72" s="102"/>
      <c r="FX72" s="102"/>
      <c r="FY72" s="102"/>
      <c r="FZ72" s="102"/>
      <c r="GA72" s="102"/>
      <c r="GB72" s="102"/>
      <c r="GC72" s="102"/>
      <c r="GD72" s="102"/>
      <c r="GE72" s="102"/>
      <c r="GF72" s="102"/>
      <c r="GG72" s="102"/>
      <c r="GH72" s="102"/>
      <c r="GI72" s="102"/>
      <c r="GJ72" s="102"/>
      <c r="GK72" s="102"/>
      <c r="GL72" s="102"/>
      <c r="GM72" s="102"/>
      <c r="GN72" s="102"/>
      <c r="GO72" s="102"/>
      <c r="GP72" s="102"/>
      <c r="GQ72" s="102"/>
      <c r="GR72" s="102"/>
      <c r="GS72" s="102"/>
      <c r="GT72" s="102"/>
      <c r="GU72" s="102"/>
      <c r="GV72" s="102"/>
      <c r="GW72" s="102"/>
      <c r="GX72" s="102"/>
      <c r="GY72" s="102"/>
      <c r="GZ72" s="102"/>
      <c r="HA72" s="102"/>
      <c r="HB72" s="102"/>
      <c r="HC72" s="102"/>
      <c r="HD72" s="102"/>
      <c r="HE72" s="102"/>
      <c r="HF72" s="102"/>
      <c r="HG72" s="102"/>
      <c r="HH72" s="102"/>
      <c r="HI72" s="102"/>
      <c r="HJ72" s="102"/>
      <c r="HK72" s="102"/>
      <c r="HL72" s="102"/>
      <c r="HM72" s="102"/>
      <c r="HN72" s="102"/>
      <c r="HO72" s="102"/>
      <c r="HP72" s="102"/>
      <c r="HQ72" s="102"/>
      <c r="HR72" s="102"/>
      <c r="HS72" s="102"/>
      <c r="HT72" s="102"/>
      <c r="HU72" s="102"/>
      <c r="HV72" s="102"/>
      <c r="HW72" s="102"/>
      <c r="HX72" s="102"/>
      <c r="HY72" s="102"/>
      <c r="HZ72" s="102"/>
      <c r="IA72" s="102"/>
      <c r="IB72" s="102"/>
      <c r="IC72" s="102"/>
      <c r="ID72" s="102"/>
      <c r="IE72" s="102"/>
      <c r="IF72" s="102"/>
      <c r="IG72" s="102"/>
      <c r="IH72" s="102"/>
      <c r="II72" s="102"/>
      <c r="IJ72" s="102"/>
      <c r="IK72" s="102"/>
      <c r="IL72" s="102"/>
      <c r="IM72" s="102"/>
      <c r="IN72" s="102"/>
      <c r="IO72" s="102"/>
      <c r="IP72" s="102"/>
      <c r="IQ72" s="102"/>
      <c r="IR72" s="102"/>
      <c r="IS72" s="102"/>
      <c r="IT72" s="102"/>
      <c r="IU72" s="102"/>
      <c r="IV72" s="102"/>
      <c r="IW72" s="102"/>
      <c r="IX72" s="102"/>
      <c r="IY72" s="102"/>
      <c r="IZ72" s="102"/>
      <c r="JA72" s="102"/>
      <c r="JB72" s="102"/>
      <c r="JC72" s="102"/>
      <c r="JD72" s="102"/>
      <c r="JE72" s="102"/>
      <c r="JF72" s="102"/>
      <c r="JG72" s="102"/>
      <c r="JH72" s="102"/>
      <c r="JI72" s="102"/>
      <c r="JJ72" s="102"/>
      <c r="JK72" s="102"/>
      <c r="JL72" s="102"/>
      <c r="JM72" s="102"/>
      <c r="JN72" s="102"/>
      <c r="JO72" s="102"/>
      <c r="JP72" s="102"/>
      <c r="JQ72" s="102"/>
      <c r="JR72" s="102"/>
      <c r="JS72" s="102"/>
      <c r="JT72" s="102"/>
      <c r="JU72" s="102"/>
      <c r="JV72" s="102"/>
      <c r="JW72" s="102"/>
      <c r="JX72" s="102"/>
      <c r="JY72" s="102"/>
      <c r="JZ72" s="102"/>
      <c r="KA72" s="102"/>
      <c r="KB72" s="102"/>
      <c r="KC72" s="102"/>
      <c r="KD72" s="102"/>
      <c r="KE72" s="102"/>
      <c r="KF72" s="102"/>
      <c r="KG72" s="102"/>
      <c r="KH72" s="102"/>
      <c r="KI72" s="102"/>
    </row>
    <row r="73" spans="1:295" ht="12.75" customHeight="1">
      <c r="A73" s="1526" t="s">
        <v>31</v>
      </c>
      <c r="B73" s="4" t="s">
        <v>151</v>
      </c>
      <c r="C73" s="4"/>
      <c r="D73" s="4"/>
      <c r="E73" s="1532"/>
      <c r="F73" s="1532"/>
      <c r="G73" s="98" t="s">
        <v>1298</v>
      </c>
      <c r="H73" s="1532"/>
      <c r="I73" s="102"/>
      <c r="J73" s="2499" t="str">
        <f>'Part I-Project Information'!$H$78</f>
        <v>Family</v>
      </c>
      <c r="K73" s="2500"/>
      <c r="L73" s="2501"/>
      <c r="M73" s="102"/>
      <c r="N73" s="102"/>
      <c r="O73" s="90" t="s">
        <v>1273</v>
      </c>
      <c r="P73" s="1838"/>
      <c r="Q73" s="1845"/>
      <c r="R73" s="102"/>
      <c r="S73" s="102"/>
      <c r="T73" s="102"/>
      <c r="U73" s="102"/>
      <c r="V73" s="102"/>
      <c r="W73" s="102"/>
      <c r="X73" s="102"/>
      <c r="Y73" s="102"/>
      <c r="Z73" s="102"/>
      <c r="AA73" s="102"/>
      <c r="AB73" s="102"/>
      <c r="AC73" s="102"/>
      <c r="AD73" s="102"/>
      <c r="AE73" s="366"/>
      <c r="AF73" s="366"/>
      <c r="AG73" s="102"/>
      <c r="AH73" s="102"/>
      <c r="AI73" s="102"/>
      <c r="AJ73" s="102"/>
      <c r="AK73" s="102"/>
      <c r="AL73" s="102"/>
      <c r="AM73" s="102"/>
      <c r="AN73" s="102"/>
      <c r="AO73" s="102"/>
      <c r="AP73" s="102"/>
      <c r="AQ73" s="102"/>
      <c r="AR73" s="102"/>
      <c r="AS73" s="102"/>
      <c r="AT73" s="102"/>
      <c r="AU73" s="102"/>
      <c r="AV73" s="102"/>
      <c r="AW73" s="102"/>
      <c r="AX73" s="102"/>
      <c r="AY73" s="102"/>
      <c r="AZ73" s="102"/>
      <c r="BA73" s="102"/>
      <c r="BB73" s="102"/>
      <c r="BC73" s="102"/>
      <c r="BD73" s="102"/>
      <c r="BE73" s="102"/>
      <c r="BF73" s="102"/>
      <c r="BG73" s="102"/>
      <c r="BH73" s="102"/>
      <c r="BI73" s="102"/>
      <c r="BJ73" s="102"/>
      <c r="BK73" s="102"/>
      <c r="BL73" s="102"/>
      <c r="BM73" s="102"/>
      <c r="BN73" s="102"/>
      <c r="BO73" s="102"/>
      <c r="BP73" s="102"/>
      <c r="BQ73" s="102"/>
      <c r="BR73" s="102"/>
      <c r="BS73" s="102"/>
      <c r="BT73" s="102"/>
      <c r="BU73" s="102"/>
      <c r="BV73" s="102"/>
      <c r="BW73" s="102"/>
      <c r="BX73" s="102"/>
      <c r="BY73" s="102"/>
      <c r="BZ73" s="102"/>
      <c r="CA73" s="102"/>
      <c r="CB73" s="102"/>
      <c r="CC73" s="102"/>
      <c r="CD73" s="102"/>
      <c r="CE73" s="102"/>
      <c r="CF73" s="102"/>
      <c r="CG73" s="102"/>
      <c r="CH73" s="102"/>
      <c r="CI73" s="102"/>
      <c r="CJ73" s="102"/>
      <c r="CK73" s="102"/>
      <c r="CL73" s="102"/>
      <c r="CM73" s="102"/>
      <c r="CN73" s="102"/>
      <c r="CO73" s="102"/>
      <c r="CP73" s="102"/>
      <c r="CQ73" s="102"/>
      <c r="CR73" s="102"/>
      <c r="CS73" s="102"/>
      <c r="CT73" s="102"/>
      <c r="CU73" s="102"/>
      <c r="CV73" s="102"/>
      <c r="CW73" s="102"/>
      <c r="CX73" s="102"/>
      <c r="CY73" s="102"/>
      <c r="CZ73" s="102"/>
      <c r="DA73" s="102"/>
      <c r="DB73" s="102"/>
      <c r="DC73" s="102"/>
      <c r="DD73" s="102"/>
      <c r="DE73" s="102"/>
      <c r="DF73" s="102"/>
      <c r="DG73" s="102"/>
      <c r="DH73" s="102"/>
      <c r="DI73" s="102"/>
      <c r="DJ73" s="102"/>
      <c r="DK73" s="102"/>
      <c r="DL73" s="102"/>
      <c r="DM73" s="102"/>
      <c r="DN73" s="102"/>
      <c r="DO73" s="102"/>
      <c r="DP73" s="102"/>
      <c r="DQ73" s="102"/>
      <c r="DR73" s="102"/>
      <c r="DS73" s="102"/>
      <c r="DT73" s="102"/>
      <c r="DU73" s="102"/>
      <c r="DV73" s="102"/>
      <c r="DW73" s="102"/>
      <c r="DX73" s="102"/>
      <c r="DY73" s="102"/>
      <c r="DZ73" s="102"/>
      <c r="EA73" s="102"/>
      <c r="EB73" s="102"/>
      <c r="EC73" s="102"/>
      <c r="ED73" s="102"/>
      <c r="EE73" s="102"/>
      <c r="EF73" s="102"/>
      <c r="EG73" s="102"/>
      <c r="EH73" s="102"/>
      <c r="EI73" s="102"/>
      <c r="EJ73" s="102"/>
      <c r="EK73" s="102"/>
      <c r="EL73" s="102"/>
      <c r="EM73" s="102"/>
      <c r="EN73" s="102"/>
      <c r="EO73" s="102"/>
      <c r="EP73" s="102"/>
      <c r="EQ73" s="102"/>
      <c r="ER73" s="102"/>
      <c r="ES73" s="102"/>
      <c r="ET73" s="102"/>
      <c r="EU73" s="102"/>
      <c r="EV73" s="102"/>
      <c r="EW73" s="102"/>
      <c r="EX73" s="102"/>
      <c r="EY73" s="102"/>
      <c r="EZ73" s="102"/>
      <c r="FA73" s="102"/>
      <c r="FB73" s="102"/>
      <c r="FC73" s="102"/>
      <c r="FD73" s="102"/>
      <c r="FE73" s="102"/>
      <c r="FF73" s="102"/>
      <c r="FG73" s="102"/>
      <c r="FH73" s="102"/>
      <c r="FI73" s="102"/>
      <c r="FJ73" s="102"/>
      <c r="FK73" s="102"/>
      <c r="FL73" s="102"/>
      <c r="FM73" s="102"/>
      <c r="FN73" s="102"/>
      <c r="FO73" s="102"/>
      <c r="FP73" s="102"/>
      <c r="FQ73" s="102"/>
      <c r="FR73" s="102"/>
      <c r="FS73" s="102"/>
      <c r="FT73" s="102"/>
      <c r="FU73" s="102"/>
      <c r="FV73" s="102"/>
      <c r="FW73" s="102"/>
      <c r="FX73" s="102"/>
      <c r="FY73" s="102"/>
      <c r="FZ73" s="102"/>
      <c r="GA73" s="102"/>
      <c r="GB73" s="102"/>
      <c r="GC73" s="102"/>
      <c r="GD73" s="102"/>
      <c r="GE73" s="102"/>
      <c r="GF73" s="102"/>
      <c r="GG73" s="102"/>
      <c r="GH73" s="102"/>
      <c r="GI73" s="102"/>
      <c r="GJ73" s="102"/>
      <c r="GK73" s="102"/>
      <c r="GL73" s="102"/>
      <c r="GM73" s="102"/>
      <c r="GN73" s="102"/>
      <c r="GO73" s="102"/>
      <c r="GP73" s="102"/>
      <c r="GQ73" s="102"/>
      <c r="GR73" s="102"/>
      <c r="GS73" s="102"/>
      <c r="GT73" s="102"/>
      <c r="GU73" s="102"/>
      <c r="GV73" s="102"/>
      <c r="GW73" s="102"/>
      <c r="GX73" s="102"/>
      <c r="GY73" s="102"/>
      <c r="GZ73" s="102"/>
      <c r="HA73" s="102"/>
      <c r="HB73" s="102"/>
      <c r="HC73" s="102"/>
      <c r="HD73" s="102"/>
      <c r="HE73" s="102"/>
      <c r="HF73" s="102"/>
      <c r="HG73" s="102"/>
      <c r="HH73" s="102"/>
      <c r="HI73" s="102"/>
      <c r="HJ73" s="102"/>
      <c r="HK73" s="102"/>
      <c r="HL73" s="102"/>
      <c r="HM73" s="102"/>
      <c r="HN73" s="102"/>
      <c r="HO73" s="102"/>
      <c r="HP73" s="102"/>
      <c r="HQ73" s="102"/>
      <c r="HR73" s="102"/>
      <c r="HS73" s="102"/>
      <c r="HT73" s="102"/>
      <c r="HU73" s="102"/>
      <c r="HV73" s="102"/>
      <c r="HW73" s="102"/>
      <c r="HX73" s="102"/>
      <c r="HY73" s="102"/>
      <c r="HZ73" s="102"/>
      <c r="IA73" s="102"/>
      <c r="IB73" s="102"/>
      <c r="IC73" s="102"/>
      <c r="ID73" s="102"/>
      <c r="IE73" s="102"/>
      <c r="IF73" s="102"/>
      <c r="IG73" s="102"/>
      <c r="IH73" s="102"/>
      <c r="II73" s="102"/>
      <c r="IJ73" s="102"/>
      <c r="IK73" s="102"/>
      <c r="IL73" s="102"/>
      <c r="IM73" s="102"/>
      <c r="IN73" s="102"/>
      <c r="IO73" s="102"/>
      <c r="IP73" s="102"/>
      <c r="IQ73" s="102"/>
      <c r="IR73" s="102"/>
      <c r="IS73" s="102"/>
      <c r="IT73" s="102"/>
      <c r="IU73" s="102"/>
      <c r="IV73" s="102"/>
      <c r="IW73" s="102"/>
      <c r="IX73" s="102"/>
      <c r="IY73" s="102"/>
      <c r="IZ73" s="102"/>
      <c r="JA73" s="102"/>
      <c r="JB73" s="102"/>
      <c r="JC73" s="102"/>
      <c r="JD73" s="102"/>
      <c r="JE73" s="102"/>
      <c r="JF73" s="102"/>
      <c r="JG73" s="102"/>
      <c r="JH73" s="102"/>
      <c r="JI73" s="102"/>
      <c r="JJ73" s="102"/>
      <c r="JK73" s="102"/>
      <c r="JL73" s="102"/>
      <c r="JM73" s="102"/>
      <c r="JN73" s="102"/>
      <c r="JO73" s="102"/>
      <c r="JP73" s="102"/>
      <c r="JQ73" s="102"/>
      <c r="JR73" s="102"/>
      <c r="JS73" s="102"/>
      <c r="JT73" s="102"/>
      <c r="JU73" s="102"/>
      <c r="JV73" s="102"/>
      <c r="JW73" s="102"/>
      <c r="JX73" s="102"/>
      <c r="JY73" s="102"/>
      <c r="JZ73" s="102"/>
      <c r="KA73" s="102"/>
      <c r="KB73" s="102"/>
      <c r="KC73" s="102"/>
      <c r="KD73" s="102"/>
      <c r="KE73" s="102"/>
      <c r="KF73" s="102"/>
      <c r="KG73" s="102"/>
      <c r="KH73" s="102"/>
      <c r="KI73" s="102"/>
    </row>
    <row r="74" spans="1:295" ht="10.5" customHeight="1">
      <c r="A74" s="102"/>
      <c r="B74" s="59" t="s">
        <v>1274</v>
      </c>
      <c r="C74" s="102"/>
      <c r="D74" s="59"/>
      <c r="E74" s="59"/>
      <c r="F74" s="59"/>
      <c r="G74" s="59"/>
      <c r="H74" s="22"/>
      <c r="I74" s="1529"/>
      <c r="J74" s="1529"/>
      <c r="K74" s="95" t="s">
        <v>1276</v>
      </c>
      <c r="L74" s="1524"/>
      <c r="M74" s="1524"/>
      <c r="N74" s="1524"/>
      <c r="O74" s="1524"/>
      <c r="P74" s="1524"/>
      <c r="Q74" s="771"/>
      <c r="R74" s="102"/>
      <c r="S74" s="102"/>
      <c r="T74" s="102"/>
      <c r="U74" s="102"/>
      <c r="V74" s="102"/>
      <c r="W74" s="102"/>
      <c r="X74" s="102"/>
      <c r="Y74" s="102"/>
      <c r="Z74" s="102"/>
      <c r="AA74" s="102"/>
      <c r="AB74" s="102"/>
      <c r="AC74" s="102"/>
      <c r="AD74" s="102"/>
      <c r="AE74" s="366"/>
      <c r="AF74" s="366"/>
      <c r="AG74" s="102"/>
      <c r="AH74" s="102"/>
      <c r="AI74" s="102"/>
      <c r="AJ74" s="102"/>
      <c r="AK74" s="102"/>
      <c r="AL74" s="102"/>
      <c r="AM74" s="102"/>
      <c r="AN74" s="102"/>
      <c r="AO74" s="102"/>
      <c r="AP74" s="102"/>
      <c r="AQ74" s="102"/>
      <c r="AR74" s="102"/>
      <c r="AS74" s="102"/>
      <c r="AT74" s="102"/>
      <c r="AU74" s="102"/>
      <c r="AV74" s="102"/>
      <c r="AW74" s="102"/>
      <c r="AX74" s="102"/>
      <c r="AY74" s="102"/>
      <c r="AZ74" s="102"/>
      <c r="BA74" s="102"/>
      <c r="BB74" s="102"/>
      <c r="BC74" s="102"/>
      <c r="BD74" s="102"/>
      <c r="BE74" s="102"/>
      <c r="BF74" s="102"/>
      <c r="BG74" s="102"/>
      <c r="BH74" s="102"/>
      <c r="BI74" s="102"/>
      <c r="BJ74" s="102"/>
      <c r="BK74" s="102"/>
      <c r="BL74" s="102"/>
      <c r="BM74" s="102"/>
      <c r="BN74" s="102"/>
      <c r="BO74" s="102"/>
      <c r="BP74" s="102"/>
      <c r="BQ74" s="102"/>
      <c r="BR74" s="102"/>
      <c r="BS74" s="102"/>
      <c r="BT74" s="102"/>
      <c r="BU74" s="102"/>
      <c r="BV74" s="102"/>
      <c r="BW74" s="102"/>
      <c r="BX74" s="102"/>
      <c r="BY74" s="102"/>
      <c r="BZ74" s="102"/>
      <c r="CA74" s="102"/>
      <c r="CB74" s="102"/>
      <c r="CC74" s="102"/>
      <c r="CD74" s="102"/>
      <c r="CE74" s="102"/>
      <c r="CF74" s="102"/>
      <c r="CG74" s="102"/>
      <c r="CH74" s="102"/>
      <c r="CI74" s="102"/>
      <c r="CJ74" s="102"/>
      <c r="CK74" s="102"/>
      <c r="CL74" s="102"/>
      <c r="CM74" s="102"/>
      <c r="CN74" s="102"/>
      <c r="CO74" s="102"/>
      <c r="CP74" s="102"/>
      <c r="CQ74" s="102"/>
      <c r="CR74" s="102"/>
      <c r="CS74" s="102"/>
      <c r="CT74" s="102"/>
      <c r="CU74" s="102"/>
      <c r="CV74" s="102"/>
      <c r="CW74" s="102"/>
      <c r="CX74" s="102"/>
      <c r="CY74" s="102"/>
      <c r="CZ74" s="102"/>
      <c r="DA74" s="102"/>
      <c r="DB74" s="102"/>
      <c r="DC74" s="102"/>
      <c r="DD74" s="102"/>
      <c r="DE74" s="102"/>
      <c r="DF74" s="102"/>
      <c r="DG74" s="102"/>
      <c r="DH74" s="102"/>
      <c r="DI74" s="102"/>
      <c r="DJ74" s="102"/>
      <c r="DK74" s="102"/>
      <c r="DL74" s="102"/>
      <c r="DM74" s="102"/>
      <c r="DN74" s="102"/>
      <c r="DO74" s="102"/>
      <c r="DP74" s="102"/>
      <c r="DQ74" s="102"/>
      <c r="DR74" s="102"/>
      <c r="DS74" s="102"/>
      <c r="DT74" s="102"/>
      <c r="DU74" s="102"/>
      <c r="DV74" s="102"/>
      <c r="DW74" s="102"/>
      <c r="DX74" s="102"/>
      <c r="DY74" s="102"/>
      <c r="DZ74" s="102"/>
      <c r="EA74" s="102"/>
      <c r="EB74" s="102"/>
      <c r="EC74" s="102"/>
      <c r="ED74" s="102"/>
      <c r="EE74" s="102"/>
      <c r="EF74" s="102"/>
      <c r="EG74" s="102"/>
      <c r="EH74" s="102"/>
      <c r="EI74" s="102"/>
      <c r="EJ74" s="102"/>
      <c r="EK74" s="102"/>
      <c r="EL74" s="102"/>
      <c r="EM74" s="102"/>
      <c r="EN74" s="102"/>
      <c r="EO74" s="102"/>
      <c r="EP74" s="102"/>
      <c r="EQ74" s="102"/>
      <c r="ER74" s="102"/>
      <c r="ES74" s="102"/>
      <c r="ET74" s="102"/>
      <c r="EU74" s="102"/>
      <c r="EV74" s="102"/>
      <c r="EW74" s="102"/>
      <c r="EX74" s="102"/>
      <c r="EY74" s="102"/>
      <c r="EZ74" s="102"/>
      <c r="FA74" s="102"/>
      <c r="FB74" s="102"/>
      <c r="FC74" s="102"/>
      <c r="FD74" s="102"/>
      <c r="FE74" s="102"/>
      <c r="FF74" s="102"/>
      <c r="FG74" s="102"/>
      <c r="FH74" s="102"/>
      <c r="FI74" s="102"/>
      <c r="FJ74" s="102"/>
      <c r="FK74" s="102"/>
      <c r="FL74" s="102"/>
      <c r="FM74" s="102"/>
      <c r="FN74" s="102"/>
      <c r="FO74" s="102"/>
      <c r="FP74" s="102"/>
      <c r="FQ74" s="102"/>
      <c r="FR74" s="102"/>
      <c r="FS74" s="102"/>
      <c r="FT74" s="102"/>
      <c r="FU74" s="102"/>
      <c r="FV74" s="102"/>
      <c r="FW74" s="102"/>
      <c r="FX74" s="102"/>
      <c r="FY74" s="102"/>
      <c r="FZ74" s="102"/>
      <c r="GA74" s="102"/>
      <c r="GB74" s="102"/>
      <c r="GC74" s="102"/>
      <c r="GD74" s="102"/>
      <c r="GE74" s="102"/>
      <c r="GF74" s="102"/>
      <c r="GG74" s="102"/>
      <c r="GH74" s="102"/>
      <c r="GI74" s="102"/>
      <c r="GJ74" s="102"/>
      <c r="GK74" s="102"/>
      <c r="GL74" s="102"/>
      <c r="GM74" s="102"/>
      <c r="GN74" s="102"/>
      <c r="GO74" s="102"/>
      <c r="GP74" s="102"/>
      <c r="GQ74" s="102"/>
      <c r="GR74" s="102"/>
      <c r="GS74" s="102"/>
      <c r="GT74" s="102"/>
      <c r="GU74" s="102"/>
      <c r="GV74" s="102"/>
      <c r="GW74" s="102"/>
      <c r="GX74" s="102"/>
      <c r="GY74" s="102"/>
      <c r="GZ74" s="102"/>
      <c r="HA74" s="102"/>
      <c r="HB74" s="102"/>
      <c r="HC74" s="102"/>
      <c r="HD74" s="102"/>
      <c r="HE74" s="102"/>
      <c r="HF74" s="102"/>
      <c r="HG74" s="102"/>
      <c r="HH74" s="102"/>
      <c r="HI74" s="102"/>
      <c r="HJ74" s="102"/>
      <c r="HK74" s="102"/>
      <c r="HL74" s="102"/>
      <c r="HM74" s="102"/>
      <c r="HN74" s="102"/>
      <c r="HO74" s="102"/>
      <c r="HP74" s="102"/>
      <c r="HQ74" s="102"/>
      <c r="HR74" s="102"/>
      <c r="HS74" s="102"/>
      <c r="HT74" s="102"/>
      <c r="HU74" s="102"/>
      <c r="HV74" s="102"/>
      <c r="HW74" s="102"/>
      <c r="HX74" s="102"/>
      <c r="HY74" s="102"/>
      <c r="HZ74" s="102"/>
      <c r="IA74" s="102"/>
      <c r="IB74" s="102"/>
      <c r="IC74" s="102"/>
      <c r="ID74" s="102"/>
      <c r="IE74" s="102"/>
      <c r="IF74" s="102"/>
      <c r="IG74" s="102"/>
      <c r="IH74" s="102"/>
      <c r="II74" s="102"/>
      <c r="IJ74" s="102"/>
      <c r="IK74" s="102"/>
      <c r="IL74" s="102"/>
      <c r="IM74" s="102"/>
      <c r="IN74" s="102"/>
      <c r="IO74" s="102"/>
      <c r="IP74" s="102"/>
      <c r="IQ74" s="102"/>
      <c r="IR74" s="102"/>
      <c r="IS74" s="102"/>
      <c r="IT74" s="102"/>
      <c r="IU74" s="102"/>
      <c r="IV74" s="102"/>
      <c r="IW74" s="102"/>
      <c r="IX74" s="102"/>
      <c r="IY74" s="102"/>
      <c r="IZ74" s="102"/>
      <c r="JA74" s="102"/>
      <c r="JB74" s="102"/>
      <c r="JC74" s="102"/>
      <c r="JD74" s="102"/>
      <c r="JE74" s="102"/>
      <c r="JF74" s="102"/>
      <c r="JG74" s="102"/>
      <c r="JH74" s="102"/>
      <c r="JI74" s="102"/>
      <c r="JJ74" s="102"/>
      <c r="JK74" s="102"/>
      <c r="JL74" s="102"/>
      <c r="JM74" s="102"/>
      <c r="JN74" s="102"/>
      <c r="JO74" s="102"/>
      <c r="JP74" s="102"/>
      <c r="JQ74" s="102"/>
      <c r="JR74" s="102"/>
      <c r="JS74" s="102"/>
      <c r="JT74" s="102"/>
      <c r="JU74" s="102"/>
      <c r="JV74" s="102"/>
      <c r="JW74" s="102"/>
      <c r="JX74" s="102"/>
      <c r="JY74" s="102"/>
      <c r="JZ74" s="102"/>
      <c r="KA74" s="102"/>
      <c r="KB74" s="102"/>
      <c r="KC74" s="102"/>
      <c r="KD74" s="102"/>
      <c r="KE74" s="102"/>
      <c r="KF74" s="102"/>
      <c r="KG74" s="102"/>
      <c r="KH74" s="102"/>
      <c r="KI74" s="102"/>
    </row>
    <row r="75" spans="1:295" ht="30.75" customHeight="1">
      <c r="A75" s="2496" t="s">
        <v>4620</v>
      </c>
      <c r="B75" s="2497"/>
      <c r="C75" s="2497"/>
      <c r="D75" s="2497"/>
      <c r="E75" s="2497"/>
      <c r="F75" s="2497"/>
      <c r="G75" s="2497"/>
      <c r="H75" s="2497"/>
      <c r="I75" s="2497"/>
      <c r="J75" s="2498"/>
      <c r="K75" s="1835"/>
      <c r="L75" s="1836"/>
      <c r="M75" s="1836"/>
      <c r="N75" s="1836"/>
      <c r="O75" s="1836"/>
      <c r="P75" s="1836"/>
      <c r="Q75" s="1837"/>
      <c r="R75" s="341" t="s">
        <v>1275</v>
      </c>
      <c r="S75" s="102"/>
      <c r="T75" s="102"/>
      <c r="U75" s="94"/>
      <c r="V75" s="94"/>
      <c r="W75" s="94"/>
      <c r="X75" s="94"/>
      <c r="Y75" s="94"/>
      <c r="Z75" s="94"/>
      <c r="AA75" s="94"/>
      <c r="AB75" s="94"/>
      <c r="AC75" s="94"/>
      <c r="AD75" s="94"/>
      <c r="AE75" s="365"/>
      <c r="AF75" s="366"/>
      <c r="AG75" s="102"/>
      <c r="AH75" s="102"/>
      <c r="AI75" s="102"/>
      <c r="AJ75" s="102"/>
      <c r="AK75" s="102"/>
      <c r="AL75" s="102"/>
      <c r="AM75" s="102"/>
      <c r="AN75" s="102"/>
      <c r="AO75" s="102"/>
      <c r="AP75" s="102"/>
      <c r="AQ75" s="102"/>
      <c r="AR75" s="102"/>
      <c r="AS75" s="102"/>
      <c r="AT75" s="102"/>
      <c r="AU75" s="102"/>
      <c r="AV75" s="102"/>
      <c r="AW75" s="102"/>
      <c r="AX75" s="102"/>
      <c r="AY75" s="102"/>
      <c r="AZ75" s="102"/>
      <c r="BA75" s="102"/>
      <c r="BB75" s="102"/>
      <c r="BC75" s="102"/>
      <c r="BD75" s="102"/>
      <c r="BE75" s="102"/>
      <c r="BF75" s="102"/>
      <c r="BG75" s="102"/>
      <c r="BH75" s="102"/>
      <c r="BI75" s="102"/>
      <c r="BJ75" s="102"/>
      <c r="BK75" s="102"/>
      <c r="BL75" s="102"/>
      <c r="BM75" s="102"/>
      <c r="BN75" s="102"/>
      <c r="BO75" s="102"/>
      <c r="BP75" s="102"/>
      <c r="BQ75" s="102"/>
      <c r="BR75" s="102"/>
      <c r="BS75" s="102"/>
      <c r="BT75" s="102"/>
      <c r="BU75" s="102"/>
      <c r="BV75" s="102"/>
      <c r="BW75" s="102"/>
      <c r="BX75" s="102"/>
      <c r="BY75" s="102"/>
      <c r="BZ75" s="102"/>
      <c r="CA75" s="102"/>
      <c r="CB75" s="102"/>
      <c r="CC75" s="102"/>
      <c r="CD75" s="102"/>
      <c r="CE75" s="102"/>
      <c r="CF75" s="102"/>
      <c r="CG75" s="102"/>
      <c r="CH75" s="102"/>
      <c r="CI75" s="102"/>
      <c r="CJ75" s="102"/>
      <c r="CK75" s="102"/>
      <c r="CL75" s="102"/>
      <c r="CM75" s="102"/>
      <c r="CN75" s="102"/>
      <c r="CO75" s="102"/>
      <c r="CP75" s="102"/>
      <c r="CQ75" s="102"/>
      <c r="CR75" s="102"/>
      <c r="CS75" s="102"/>
      <c r="CT75" s="102"/>
      <c r="CU75" s="102"/>
      <c r="CV75" s="102"/>
      <c r="CW75" s="102"/>
      <c r="CX75" s="102"/>
      <c r="CY75" s="102"/>
      <c r="CZ75" s="102"/>
      <c r="DA75" s="102"/>
      <c r="DB75" s="102"/>
      <c r="DC75" s="102"/>
      <c r="DD75" s="102"/>
      <c r="DE75" s="102"/>
      <c r="DF75" s="102"/>
      <c r="DG75" s="102"/>
      <c r="DH75" s="102"/>
      <c r="DI75" s="102"/>
      <c r="DJ75" s="102"/>
      <c r="DK75" s="102"/>
      <c r="DL75" s="102"/>
      <c r="DM75" s="102"/>
      <c r="DN75" s="102"/>
      <c r="DO75" s="102"/>
      <c r="DP75" s="102"/>
      <c r="DQ75" s="102"/>
      <c r="DR75" s="102"/>
      <c r="DS75" s="102"/>
      <c r="DT75" s="102"/>
      <c r="DU75" s="102"/>
      <c r="DV75" s="102"/>
      <c r="DW75" s="102"/>
      <c r="DX75" s="102"/>
      <c r="DY75" s="102"/>
      <c r="DZ75" s="102"/>
      <c r="EA75" s="102"/>
      <c r="EB75" s="102"/>
      <c r="EC75" s="102"/>
      <c r="ED75" s="102"/>
      <c r="EE75" s="102"/>
      <c r="EF75" s="102"/>
      <c r="EG75" s="102"/>
      <c r="EH75" s="102"/>
      <c r="EI75" s="102"/>
      <c r="EJ75" s="102"/>
      <c r="EK75" s="102"/>
      <c r="EL75" s="102"/>
      <c r="EM75" s="102"/>
      <c r="EN75" s="102"/>
      <c r="EO75" s="102"/>
      <c r="EP75" s="102"/>
      <c r="EQ75" s="102"/>
      <c r="ER75" s="102"/>
      <c r="ES75" s="102"/>
      <c r="ET75" s="102"/>
      <c r="EU75" s="102"/>
      <c r="EV75" s="102"/>
      <c r="EW75" s="102"/>
      <c r="EX75" s="102"/>
      <c r="EY75" s="102"/>
      <c r="EZ75" s="102"/>
      <c r="FA75" s="102"/>
      <c r="FB75" s="102"/>
      <c r="FC75" s="102"/>
      <c r="FD75" s="102"/>
      <c r="FE75" s="102"/>
      <c r="FF75" s="102"/>
      <c r="FG75" s="102"/>
      <c r="FH75" s="102"/>
      <c r="FI75" s="102"/>
      <c r="FJ75" s="102"/>
      <c r="FK75" s="102"/>
      <c r="FL75" s="102"/>
      <c r="FM75" s="102"/>
      <c r="FN75" s="102"/>
      <c r="FO75" s="102"/>
      <c r="FP75" s="102"/>
      <c r="FQ75" s="102"/>
      <c r="FR75" s="102"/>
      <c r="FS75" s="102"/>
      <c r="FT75" s="102"/>
      <c r="FU75" s="102"/>
      <c r="FV75" s="102"/>
      <c r="FW75" s="102"/>
      <c r="FX75" s="102"/>
      <c r="FY75" s="102"/>
      <c r="FZ75" s="102"/>
      <c r="GA75" s="102"/>
      <c r="GB75" s="102"/>
      <c r="GC75" s="102"/>
      <c r="GD75" s="102"/>
      <c r="GE75" s="102"/>
      <c r="GF75" s="102"/>
      <c r="GG75" s="102"/>
      <c r="GH75" s="102"/>
      <c r="GI75" s="102"/>
      <c r="GJ75" s="102"/>
      <c r="GK75" s="102"/>
      <c r="GL75" s="102"/>
      <c r="GM75" s="102"/>
      <c r="GN75" s="102"/>
      <c r="GO75" s="102"/>
      <c r="GP75" s="102"/>
      <c r="GQ75" s="102"/>
      <c r="GR75" s="102"/>
      <c r="GS75" s="102"/>
      <c r="GT75" s="102"/>
      <c r="GU75" s="102"/>
      <c r="GV75" s="102"/>
      <c r="GW75" s="102"/>
      <c r="GX75" s="102"/>
      <c r="GY75" s="102"/>
      <c r="GZ75" s="102"/>
      <c r="HA75" s="102"/>
      <c r="HB75" s="102"/>
      <c r="HC75" s="102"/>
      <c r="HD75" s="102"/>
      <c r="HE75" s="102"/>
      <c r="HF75" s="102"/>
      <c r="HG75" s="102"/>
      <c r="HH75" s="102"/>
      <c r="HI75" s="102"/>
      <c r="HJ75" s="102"/>
      <c r="HK75" s="102"/>
      <c r="HL75" s="102"/>
      <c r="HM75" s="102"/>
      <c r="HN75" s="102"/>
      <c r="HO75" s="102"/>
      <c r="HP75" s="102"/>
      <c r="HQ75" s="102"/>
      <c r="HR75" s="102"/>
      <c r="HS75" s="102"/>
      <c r="HT75" s="102"/>
      <c r="HU75" s="102"/>
      <c r="HV75" s="102"/>
      <c r="HW75" s="102"/>
      <c r="HX75" s="102"/>
      <c r="HY75" s="102"/>
      <c r="HZ75" s="102"/>
      <c r="IA75" s="102"/>
      <c r="IB75" s="102"/>
      <c r="IC75" s="102"/>
      <c r="ID75" s="102"/>
      <c r="IE75" s="102"/>
      <c r="IF75" s="102"/>
      <c r="IG75" s="102"/>
      <c r="IH75" s="102"/>
      <c r="II75" s="102"/>
      <c r="IJ75" s="102"/>
      <c r="IK75" s="102"/>
      <c r="IL75" s="102"/>
      <c r="IM75" s="102"/>
      <c r="IN75" s="102"/>
      <c r="IO75" s="102"/>
      <c r="IP75" s="102"/>
      <c r="IQ75" s="102"/>
      <c r="IR75" s="102"/>
      <c r="IS75" s="102"/>
      <c r="IT75" s="102"/>
      <c r="IU75" s="102"/>
      <c r="IV75" s="102"/>
      <c r="IW75" s="102"/>
      <c r="IX75" s="102"/>
      <c r="IY75" s="102"/>
      <c r="IZ75" s="102"/>
      <c r="JA75" s="102"/>
      <c r="JB75" s="102"/>
      <c r="JC75" s="102"/>
      <c r="JD75" s="102"/>
      <c r="JE75" s="102"/>
      <c r="JF75" s="102"/>
      <c r="JG75" s="102"/>
      <c r="JH75" s="102"/>
      <c r="JI75" s="102"/>
      <c r="JJ75" s="102"/>
      <c r="JK75" s="102"/>
      <c r="JL75" s="102"/>
      <c r="JM75" s="102"/>
      <c r="JN75" s="102"/>
      <c r="JO75" s="102"/>
      <c r="JP75" s="102"/>
      <c r="JQ75" s="102"/>
      <c r="JR75" s="102"/>
      <c r="JS75" s="102"/>
      <c r="JT75" s="102"/>
      <c r="JU75" s="102"/>
      <c r="JV75" s="102"/>
      <c r="JW75" s="102"/>
      <c r="JX75" s="102"/>
      <c r="JY75" s="102"/>
      <c r="JZ75" s="102"/>
      <c r="KA75" s="102"/>
      <c r="KB75" s="102"/>
      <c r="KC75" s="102"/>
      <c r="KD75" s="102"/>
      <c r="KE75" s="102"/>
      <c r="KF75" s="102"/>
      <c r="KG75" s="102"/>
      <c r="KH75" s="102"/>
      <c r="KI75" s="102"/>
    </row>
    <row r="76" spans="1:295" ht="3" customHeight="1">
      <c r="A76" s="1524"/>
      <c r="B76" s="1529"/>
      <c r="C76" s="1532"/>
      <c r="D76" s="1532"/>
      <c r="E76" s="1532"/>
      <c r="F76" s="1532"/>
      <c r="G76" s="1532"/>
      <c r="H76" s="1532"/>
      <c r="I76" s="1532"/>
      <c r="J76" s="1532"/>
      <c r="K76" s="1532"/>
      <c r="L76" s="1532"/>
      <c r="M76" s="1532"/>
      <c r="N76" s="1532"/>
      <c r="O76" s="1532"/>
      <c r="P76" s="1532"/>
      <c r="Q76" s="1524"/>
      <c r="R76" s="102"/>
      <c r="S76" s="102"/>
      <c r="T76" s="102"/>
      <c r="U76" s="102"/>
      <c r="V76" s="102"/>
      <c r="W76" s="102"/>
      <c r="X76" s="102"/>
      <c r="Y76" s="102"/>
      <c r="Z76" s="102"/>
      <c r="AA76" s="102"/>
      <c r="AB76" s="102"/>
      <c r="AC76" s="102"/>
      <c r="AD76" s="102"/>
      <c r="AE76" s="366"/>
      <c r="AF76" s="366"/>
      <c r="AG76" s="102"/>
      <c r="AH76" s="102"/>
      <c r="AI76" s="102"/>
      <c r="AJ76" s="102"/>
      <c r="AK76" s="102"/>
      <c r="AL76" s="102"/>
      <c r="AM76" s="102"/>
      <c r="AN76" s="102"/>
      <c r="AO76" s="102"/>
      <c r="AP76" s="102"/>
      <c r="AQ76" s="102"/>
      <c r="AR76" s="102"/>
      <c r="AS76" s="102"/>
      <c r="AT76" s="102"/>
      <c r="AU76" s="102"/>
      <c r="AV76" s="102"/>
      <c r="AW76" s="102"/>
      <c r="AX76" s="102"/>
      <c r="AY76" s="102"/>
      <c r="AZ76" s="102"/>
      <c r="BA76" s="102"/>
      <c r="BB76" s="102"/>
      <c r="BC76" s="102"/>
      <c r="BD76" s="102"/>
      <c r="BE76" s="102"/>
      <c r="BF76" s="102"/>
      <c r="BG76" s="102"/>
      <c r="BH76" s="102"/>
      <c r="BI76" s="102"/>
      <c r="BJ76" s="102"/>
      <c r="BK76" s="102"/>
      <c r="BL76" s="102"/>
      <c r="BM76" s="102"/>
      <c r="BN76" s="102"/>
      <c r="BO76" s="102"/>
      <c r="BP76" s="102"/>
      <c r="BQ76" s="102"/>
      <c r="BR76" s="102"/>
      <c r="BS76" s="102"/>
      <c r="BT76" s="102"/>
      <c r="BU76" s="102"/>
      <c r="BV76" s="102"/>
      <c r="BW76" s="102"/>
      <c r="BX76" s="102"/>
      <c r="BY76" s="102"/>
      <c r="BZ76" s="102"/>
      <c r="CA76" s="102"/>
      <c r="CB76" s="102"/>
      <c r="CC76" s="102"/>
      <c r="CD76" s="102"/>
      <c r="CE76" s="102"/>
      <c r="CF76" s="102"/>
      <c r="CG76" s="102"/>
      <c r="CH76" s="102"/>
      <c r="CI76" s="102"/>
      <c r="CJ76" s="102"/>
      <c r="CK76" s="102"/>
      <c r="CL76" s="102"/>
      <c r="CM76" s="102"/>
      <c r="CN76" s="102"/>
      <c r="CO76" s="102"/>
      <c r="CP76" s="102"/>
      <c r="CQ76" s="102"/>
      <c r="CR76" s="102"/>
      <c r="CS76" s="102"/>
      <c r="CT76" s="102"/>
      <c r="CU76" s="102"/>
      <c r="CV76" s="102"/>
      <c r="CW76" s="102"/>
      <c r="CX76" s="102"/>
      <c r="CY76" s="102"/>
      <c r="CZ76" s="102"/>
      <c r="DA76" s="102"/>
      <c r="DB76" s="102"/>
      <c r="DC76" s="102"/>
      <c r="DD76" s="102"/>
      <c r="DE76" s="102"/>
      <c r="DF76" s="102"/>
      <c r="DG76" s="102"/>
      <c r="DH76" s="102"/>
      <c r="DI76" s="102"/>
      <c r="DJ76" s="102"/>
      <c r="DK76" s="102"/>
      <c r="DL76" s="102"/>
      <c r="DM76" s="102"/>
      <c r="DN76" s="102"/>
      <c r="DO76" s="102"/>
      <c r="DP76" s="102"/>
      <c r="DQ76" s="102"/>
      <c r="DR76" s="102"/>
      <c r="DS76" s="102"/>
      <c r="DT76" s="102"/>
      <c r="DU76" s="102"/>
      <c r="DV76" s="102"/>
      <c r="DW76" s="102"/>
      <c r="DX76" s="102"/>
      <c r="DY76" s="102"/>
      <c r="DZ76" s="102"/>
      <c r="EA76" s="102"/>
      <c r="EB76" s="102"/>
      <c r="EC76" s="102"/>
      <c r="ED76" s="102"/>
      <c r="EE76" s="102"/>
      <c r="EF76" s="102"/>
      <c r="EG76" s="102"/>
      <c r="EH76" s="102"/>
      <c r="EI76" s="102"/>
      <c r="EJ76" s="102"/>
      <c r="EK76" s="102"/>
      <c r="EL76" s="102"/>
      <c r="EM76" s="102"/>
      <c r="EN76" s="102"/>
      <c r="EO76" s="102"/>
      <c r="EP76" s="102"/>
      <c r="EQ76" s="102"/>
      <c r="ER76" s="102"/>
      <c r="ES76" s="102"/>
      <c r="ET76" s="102"/>
      <c r="EU76" s="102"/>
      <c r="EV76" s="102"/>
      <c r="EW76" s="102"/>
      <c r="EX76" s="102"/>
      <c r="EY76" s="102"/>
      <c r="EZ76" s="102"/>
      <c r="FA76" s="102"/>
      <c r="FB76" s="102"/>
      <c r="FC76" s="102"/>
      <c r="FD76" s="102"/>
      <c r="FE76" s="102"/>
      <c r="FF76" s="102"/>
      <c r="FG76" s="102"/>
      <c r="FH76" s="102"/>
      <c r="FI76" s="102"/>
      <c r="FJ76" s="102"/>
      <c r="FK76" s="102"/>
      <c r="FL76" s="102"/>
      <c r="FM76" s="102"/>
      <c r="FN76" s="102"/>
      <c r="FO76" s="102"/>
      <c r="FP76" s="102"/>
      <c r="FQ76" s="102"/>
      <c r="FR76" s="102"/>
      <c r="FS76" s="102"/>
      <c r="FT76" s="102"/>
      <c r="FU76" s="102"/>
      <c r="FV76" s="102"/>
      <c r="FW76" s="102"/>
      <c r="FX76" s="102"/>
      <c r="FY76" s="102"/>
      <c r="FZ76" s="102"/>
      <c r="GA76" s="102"/>
      <c r="GB76" s="102"/>
      <c r="GC76" s="102"/>
      <c r="GD76" s="102"/>
      <c r="GE76" s="102"/>
      <c r="GF76" s="102"/>
      <c r="GG76" s="102"/>
      <c r="GH76" s="102"/>
      <c r="GI76" s="102"/>
      <c r="GJ76" s="102"/>
      <c r="GK76" s="102"/>
      <c r="GL76" s="102"/>
      <c r="GM76" s="102"/>
      <c r="GN76" s="102"/>
      <c r="GO76" s="102"/>
      <c r="GP76" s="102"/>
      <c r="GQ76" s="102"/>
      <c r="GR76" s="102"/>
      <c r="GS76" s="102"/>
      <c r="GT76" s="102"/>
      <c r="GU76" s="102"/>
      <c r="GV76" s="102"/>
      <c r="GW76" s="102"/>
      <c r="GX76" s="102"/>
      <c r="GY76" s="102"/>
      <c r="GZ76" s="102"/>
      <c r="HA76" s="102"/>
      <c r="HB76" s="102"/>
      <c r="HC76" s="102"/>
      <c r="HD76" s="102"/>
      <c r="HE76" s="102"/>
      <c r="HF76" s="102"/>
      <c r="HG76" s="102"/>
      <c r="HH76" s="102"/>
      <c r="HI76" s="102"/>
      <c r="HJ76" s="102"/>
      <c r="HK76" s="102"/>
      <c r="HL76" s="102"/>
      <c r="HM76" s="102"/>
      <c r="HN76" s="102"/>
      <c r="HO76" s="102"/>
      <c r="HP76" s="102"/>
      <c r="HQ76" s="102"/>
      <c r="HR76" s="102"/>
      <c r="HS76" s="102"/>
      <c r="HT76" s="102"/>
      <c r="HU76" s="102"/>
      <c r="HV76" s="102"/>
      <c r="HW76" s="102"/>
      <c r="HX76" s="102"/>
      <c r="HY76" s="102"/>
      <c r="HZ76" s="102"/>
      <c r="IA76" s="102"/>
      <c r="IB76" s="102"/>
      <c r="IC76" s="102"/>
      <c r="ID76" s="102"/>
      <c r="IE76" s="102"/>
      <c r="IF76" s="102"/>
      <c r="IG76" s="102"/>
      <c r="IH76" s="102"/>
      <c r="II76" s="102"/>
      <c r="IJ76" s="102"/>
      <c r="IK76" s="102"/>
      <c r="IL76" s="102"/>
      <c r="IM76" s="102"/>
      <c r="IN76" s="102"/>
      <c r="IO76" s="102"/>
      <c r="IP76" s="102"/>
      <c r="IQ76" s="102"/>
      <c r="IR76" s="102"/>
      <c r="IS76" s="102"/>
      <c r="IT76" s="102"/>
      <c r="IU76" s="102"/>
      <c r="IV76" s="102"/>
      <c r="IW76" s="102"/>
      <c r="IX76" s="102"/>
      <c r="IY76" s="102"/>
      <c r="IZ76" s="102"/>
      <c r="JA76" s="102"/>
      <c r="JB76" s="102"/>
      <c r="JC76" s="102"/>
      <c r="JD76" s="102"/>
      <c r="JE76" s="102"/>
      <c r="JF76" s="102"/>
      <c r="JG76" s="102"/>
      <c r="JH76" s="102"/>
      <c r="JI76" s="102"/>
      <c r="JJ76" s="102"/>
      <c r="JK76" s="102"/>
      <c r="JL76" s="102"/>
      <c r="JM76" s="102"/>
      <c r="JN76" s="102"/>
      <c r="JO76" s="102"/>
      <c r="JP76" s="102"/>
      <c r="JQ76" s="102"/>
      <c r="JR76" s="102"/>
      <c r="JS76" s="102"/>
      <c r="JT76" s="102"/>
      <c r="JU76" s="102"/>
      <c r="JV76" s="102"/>
      <c r="JW76" s="102"/>
      <c r="JX76" s="102"/>
      <c r="JY76" s="102"/>
      <c r="JZ76" s="102"/>
      <c r="KA76" s="102"/>
      <c r="KB76" s="102"/>
      <c r="KC76" s="102"/>
      <c r="KD76" s="102"/>
      <c r="KE76" s="102"/>
      <c r="KF76" s="102"/>
      <c r="KG76" s="102"/>
      <c r="KH76" s="102"/>
      <c r="KI76" s="102"/>
    </row>
    <row r="77" spans="1:295" ht="12.75" customHeight="1">
      <c r="A77" s="1526" t="s">
        <v>57</v>
      </c>
      <c r="B77" s="1526" t="s">
        <v>1299</v>
      </c>
      <c r="C77" s="74"/>
      <c r="D77" s="1532"/>
      <c r="E77" s="1532"/>
      <c r="F77" s="1532"/>
      <c r="G77" s="1532"/>
      <c r="H77" s="1532"/>
      <c r="I77" s="1532"/>
      <c r="J77" s="1532"/>
      <c r="K77" s="1532"/>
      <c r="L77" s="1532"/>
      <c r="M77" s="1532"/>
      <c r="N77" s="102"/>
      <c r="O77" s="90" t="s">
        <v>1273</v>
      </c>
      <c r="P77" s="1838"/>
      <c r="Q77" s="1845"/>
      <c r="R77" s="102"/>
      <c r="S77" s="102"/>
      <c r="T77" s="102"/>
      <c r="U77" s="102"/>
      <c r="V77" s="102"/>
      <c r="W77" s="102"/>
      <c r="X77" s="102"/>
      <c r="Y77" s="102"/>
      <c r="Z77" s="102"/>
      <c r="AA77" s="102"/>
      <c r="AB77" s="102"/>
      <c r="AC77" s="102"/>
      <c r="AD77" s="102"/>
      <c r="AE77" s="366"/>
      <c r="AF77" s="366"/>
      <c r="AG77" s="102"/>
      <c r="AH77" s="102"/>
      <c r="AI77" s="102"/>
      <c r="AJ77" s="102"/>
      <c r="AK77" s="102"/>
      <c r="AL77" s="102"/>
      <c r="AM77" s="102"/>
      <c r="AN77" s="102"/>
      <c r="AO77" s="102"/>
      <c r="AP77" s="102"/>
      <c r="AQ77" s="102"/>
      <c r="AR77" s="102"/>
      <c r="AS77" s="102"/>
      <c r="AT77" s="102"/>
      <c r="AU77" s="102"/>
      <c r="AV77" s="102"/>
      <c r="AW77" s="102"/>
      <c r="AX77" s="102"/>
      <c r="AY77" s="102"/>
      <c r="AZ77" s="102"/>
      <c r="BA77" s="102"/>
      <c r="BB77" s="102"/>
      <c r="BC77" s="102"/>
      <c r="BD77" s="102"/>
      <c r="BE77" s="102"/>
      <c r="BF77" s="102"/>
      <c r="BG77" s="102"/>
      <c r="BH77" s="102"/>
      <c r="BI77" s="102"/>
      <c r="BJ77" s="102"/>
      <c r="BK77" s="102"/>
      <c r="BL77" s="102"/>
      <c r="BM77" s="102"/>
      <c r="BN77" s="102"/>
      <c r="BO77" s="102"/>
      <c r="BP77" s="102"/>
      <c r="BQ77" s="102"/>
      <c r="BR77" s="102"/>
      <c r="BS77" s="102"/>
      <c r="BT77" s="102"/>
      <c r="BU77" s="102"/>
      <c r="BV77" s="102"/>
      <c r="BW77" s="102"/>
      <c r="BX77" s="102"/>
      <c r="BY77" s="102"/>
      <c r="BZ77" s="102"/>
      <c r="CA77" s="102"/>
      <c r="CB77" s="102"/>
      <c r="CC77" s="102"/>
      <c r="CD77" s="102"/>
      <c r="CE77" s="102"/>
      <c r="CF77" s="102"/>
      <c r="CG77" s="102"/>
      <c r="CH77" s="102"/>
      <c r="CI77" s="102"/>
      <c r="CJ77" s="102"/>
      <c r="CK77" s="102"/>
      <c r="CL77" s="102"/>
      <c r="CM77" s="102"/>
      <c r="CN77" s="102"/>
      <c r="CO77" s="102"/>
      <c r="CP77" s="102"/>
      <c r="CQ77" s="102"/>
      <c r="CR77" s="102"/>
      <c r="CS77" s="102"/>
      <c r="CT77" s="102"/>
      <c r="CU77" s="102"/>
      <c r="CV77" s="102"/>
      <c r="CW77" s="102"/>
      <c r="CX77" s="102"/>
      <c r="CY77" s="102"/>
      <c r="CZ77" s="102"/>
      <c r="DA77" s="102"/>
      <c r="DB77" s="102"/>
      <c r="DC77" s="102"/>
      <c r="DD77" s="102"/>
      <c r="DE77" s="102"/>
      <c r="DF77" s="102"/>
      <c r="DG77" s="102"/>
      <c r="DH77" s="102"/>
      <c r="DI77" s="102"/>
      <c r="DJ77" s="102"/>
      <c r="DK77" s="102"/>
      <c r="DL77" s="102"/>
      <c r="DM77" s="102"/>
      <c r="DN77" s="102"/>
      <c r="DO77" s="102"/>
      <c r="DP77" s="102"/>
      <c r="DQ77" s="102"/>
      <c r="DR77" s="102"/>
      <c r="DS77" s="102"/>
      <c r="DT77" s="102"/>
      <c r="DU77" s="102"/>
      <c r="DV77" s="102"/>
      <c r="DW77" s="102"/>
      <c r="DX77" s="102"/>
      <c r="DY77" s="102"/>
      <c r="DZ77" s="102"/>
      <c r="EA77" s="102"/>
      <c r="EB77" s="102"/>
      <c r="EC77" s="102"/>
      <c r="ED77" s="102"/>
      <c r="EE77" s="102"/>
      <c r="EF77" s="102"/>
      <c r="EG77" s="102"/>
      <c r="EH77" s="102"/>
      <c r="EI77" s="102"/>
      <c r="EJ77" s="102"/>
      <c r="EK77" s="102"/>
      <c r="EL77" s="102"/>
      <c r="EM77" s="102"/>
      <c r="EN77" s="102"/>
      <c r="EO77" s="102"/>
      <c r="EP77" s="102"/>
      <c r="EQ77" s="102"/>
      <c r="ER77" s="102"/>
      <c r="ES77" s="102"/>
      <c r="ET77" s="102"/>
      <c r="EU77" s="102"/>
      <c r="EV77" s="102"/>
      <c r="EW77" s="102"/>
      <c r="EX77" s="102"/>
      <c r="EY77" s="102"/>
      <c r="EZ77" s="102"/>
      <c r="FA77" s="102"/>
      <c r="FB77" s="102"/>
      <c r="FC77" s="102"/>
      <c r="FD77" s="102"/>
      <c r="FE77" s="102"/>
      <c r="FF77" s="102"/>
      <c r="FG77" s="102"/>
      <c r="FH77" s="102"/>
      <c r="FI77" s="102"/>
      <c r="FJ77" s="102"/>
      <c r="FK77" s="102"/>
      <c r="FL77" s="102"/>
      <c r="FM77" s="102"/>
      <c r="FN77" s="102"/>
      <c r="FO77" s="102"/>
      <c r="FP77" s="102"/>
      <c r="FQ77" s="102"/>
      <c r="FR77" s="102"/>
      <c r="FS77" s="102"/>
      <c r="FT77" s="102"/>
      <c r="FU77" s="102"/>
      <c r="FV77" s="102"/>
      <c r="FW77" s="102"/>
      <c r="FX77" s="102"/>
      <c r="FY77" s="102"/>
      <c r="FZ77" s="102"/>
      <c r="GA77" s="102"/>
      <c r="GB77" s="102"/>
      <c r="GC77" s="102"/>
      <c r="GD77" s="102"/>
      <c r="GE77" s="102"/>
      <c r="GF77" s="102"/>
      <c r="GG77" s="102"/>
      <c r="GH77" s="102"/>
      <c r="GI77" s="102"/>
      <c r="GJ77" s="102"/>
      <c r="GK77" s="102"/>
      <c r="GL77" s="102"/>
      <c r="GM77" s="102"/>
      <c r="GN77" s="102"/>
      <c r="GO77" s="102"/>
      <c r="GP77" s="102"/>
      <c r="GQ77" s="102"/>
      <c r="GR77" s="102"/>
      <c r="GS77" s="102"/>
      <c r="GT77" s="102"/>
      <c r="GU77" s="102"/>
      <c r="GV77" s="102"/>
      <c r="GW77" s="102"/>
      <c r="GX77" s="102"/>
      <c r="GY77" s="102"/>
      <c r="GZ77" s="102"/>
      <c r="HA77" s="102"/>
      <c r="HB77" s="102"/>
      <c r="HC77" s="102"/>
      <c r="HD77" s="102"/>
      <c r="HE77" s="102"/>
      <c r="HF77" s="102"/>
      <c r="HG77" s="102"/>
      <c r="HH77" s="102"/>
      <c r="HI77" s="102"/>
      <c r="HJ77" s="102"/>
      <c r="HK77" s="102"/>
      <c r="HL77" s="102"/>
      <c r="HM77" s="102"/>
      <c r="HN77" s="102"/>
      <c r="HO77" s="102"/>
      <c r="HP77" s="102"/>
      <c r="HQ77" s="102"/>
      <c r="HR77" s="102"/>
      <c r="HS77" s="102"/>
      <c r="HT77" s="102"/>
      <c r="HU77" s="102"/>
      <c r="HV77" s="102"/>
      <c r="HW77" s="102"/>
      <c r="HX77" s="102"/>
      <c r="HY77" s="102"/>
      <c r="HZ77" s="102"/>
      <c r="IA77" s="102"/>
      <c r="IB77" s="102"/>
      <c r="IC77" s="102"/>
      <c r="ID77" s="102"/>
      <c r="IE77" s="102"/>
      <c r="IF77" s="102"/>
      <c r="IG77" s="102"/>
      <c r="IH77" s="102"/>
      <c r="II77" s="102"/>
      <c r="IJ77" s="102"/>
      <c r="IK77" s="102"/>
      <c r="IL77" s="102"/>
      <c r="IM77" s="102"/>
      <c r="IN77" s="102"/>
      <c r="IO77" s="102"/>
      <c r="IP77" s="102"/>
      <c r="IQ77" s="102"/>
      <c r="IR77" s="102"/>
      <c r="IS77" s="102"/>
      <c r="IT77" s="102"/>
      <c r="IU77" s="102"/>
      <c r="IV77" s="102"/>
      <c r="IW77" s="102"/>
      <c r="IX77" s="102"/>
      <c r="IY77" s="102"/>
      <c r="IZ77" s="102"/>
      <c r="JA77" s="102"/>
      <c r="JB77" s="102"/>
      <c r="JC77" s="102"/>
      <c r="JD77" s="102"/>
      <c r="JE77" s="102"/>
      <c r="JF77" s="102"/>
      <c r="JG77" s="102"/>
      <c r="JH77" s="102"/>
      <c r="JI77" s="102"/>
      <c r="JJ77" s="102"/>
      <c r="JK77" s="102"/>
      <c r="JL77" s="102"/>
      <c r="JM77" s="102"/>
      <c r="JN77" s="102"/>
      <c r="JO77" s="102"/>
      <c r="JP77" s="102"/>
      <c r="JQ77" s="102"/>
      <c r="JR77" s="102"/>
      <c r="JS77" s="102"/>
      <c r="JT77" s="102"/>
      <c r="JU77" s="102"/>
      <c r="JV77" s="102"/>
      <c r="JW77" s="102"/>
      <c r="JX77" s="102"/>
      <c r="JY77" s="102"/>
      <c r="JZ77" s="102"/>
      <c r="KA77" s="102"/>
      <c r="KB77" s="102"/>
      <c r="KC77" s="102"/>
      <c r="KD77" s="102"/>
      <c r="KE77" s="102"/>
      <c r="KF77" s="102"/>
      <c r="KG77" s="102"/>
      <c r="KH77" s="102"/>
      <c r="KI77" s="102"/>
    </row>
    <row r="78" spans="1:295" ht="1.5" customHeight="1">
      <c r="A78" s="102"/>
      <c r="B78" s="102"/>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02"/>
      <c r="AB78" s="102"/>
      <c r="AC78" s="102"/>
      <c r="AD78" s="102"/>
      <c r="AE78" s="366"/>
      <c r="AF78" s="366"/>
      <c r="AG78" s="102"/>
      <c r="AH78" s="102"/>
      <c r="AI78" s="102"/>
      <c r="AJ78" s="102"/>
      <c r="AK78" s="102"/>
      <c r="AL78" s="102"/>
      <c r="AM78" s="102"/>
      <c r="AN78" s="102"/>
      <c r="AO78" s="102"/>
      <c r="AP78" s="102"/>
      <c r="AQ78" s="102"/>
      <c r="AR78" s="102"/>
      <c r="AS78" s="102"/>
      <c r="AT78" s="102"/>
      <c r="AU78" s="102"/>
      <c r="AV78" s="102"/>
      <c r="AW78" s="102"/>
      <c r="AX78" s="102"/>
      <c r="AY78" s="102"/>
      <c r="AZ78" s="102"/>
      <c r="BA78" s="102"/>
      <c r="BB78" s="102"/>
      <c r="BC78" s="102"/>
      <c r="BD78" s="102"/>
      <c r="BE78" s="102"/>
      <c r="BF78" s="102"/>
      <c r="BG78" s="102"/>
      <c r="BH78" s="102"/>
      <c r="BI78" s="102"/>
      <c r="BJ78" s="102"/>
      <c r="BK78" s="102"/>
      <c r="BL78" s="102"/>
      <c r="BM78" s="102"/>
      <c r="BN78" s="102"/>
      <c r="BO78" s="102"/>
      <c r="BP78" s="102"/>
      <c r="BQ78" s="102"/>
      <c r="BR78" s="102"/>
      <c r="BS78" s="102"/>
      <c r="BT78" s="102"/>
      <c r="BU78" s="102"/>
      <c r="BV78" s="102"/>
      <c r="BW78" s="102"/>
      <c r="BX78" s="102"/>
      <c r="BY78" s="102"/>
      <c r="BZ78" s="102"/>
      <c r="CA78" s="102"/>
      <c r="CB78" s="102"/>
      <c r="CC78" s="102"/>
      <c r="CD78" s="102"/>
      <c r="CE78" s="102"/>
      <c r="CF78" s="102"/>
      <c r="CG78" s="102"/>
      <c r="CH78" s="102"/>
      <c r="CI78" s="102"/>
      <c r="CJ78" s="102"/>
      <c r="CK78" s="102"/>
      <c r="CL78" s="102"/>
      <c r="CM78" s="102"/>
      <c r="CN78" s="102"/>
      <c r="CO78" s="102"/>
      <c r="CP78" s="102"/>
      <c r="CQ78" s="102"/>
      <c r="CR78" s="102"/>
      <c r="CS78" s="102"/>
      <c r="CT78" s="102"/>
      <c r="CU78" s="102"/>
      <c r="CV78" s="102"/>
      <c r="CW78" s="102"/>
      <c r="CX78" s="102"/>
      <c r="CY78" s="102"/>
      <c r="CZ78" s="102"/>
      <c r="DA78" s="102"/>
      <c r="DB78" s="102"/>
      <c r="DC78" s="102"/>
      <c r="DD78" s="102"/>
      <c r="DE78" s="102"/>
      <c r="DF78" s="102"/>
      <c r="DG78" s="102"/>
      <c r="DH78" s="102"/>
      <c r="DI78" s="102"/>
      <c r="DJ78" s="102"/>
      <c r="DK78" s="102"/>
      <c r="DL78" s="102"/>
      <c r="DM78" s="102"/>
      <c r="DN78" s="102"/>
      <c r="DO78" s="102"/>
      <c r="DP78" s="102"/>
      <c r="DQ78" s="102"/>
      <c r="DR78" s="102"/>
      <c r="DS78" s="102"/>
      <c r="DT78" s="102"/>
      <c r="DU78" s="102"/>
      <c r="DV78" s="102"/>
      <c r="DW78" s="102"/>
      <c r="DX78" s="102"/>
      <c r="DY78" s="102"/>
      <c r="DZ78" s="102"/>
      <c r="EA78" s="102"/>
      <c r="EB78" s="102"/>
      <c r="EC78" s="102"/>
      <c r="ED78" s="102"/>
      <c r="EE78" s="102"/>
      <c r="EF78" s="102"/>
      <c r="EG78" s="102"/>
      <c r="EH78" s="102"/>
      <c r="EI78" s="102"/>
      <c r="EJ78" s="102"/>
      <c r="EK78" s="102"/>
      <c r="EL78" s="102"/>
      <c r="EM78" s="102"/>
      <c r="EN78" s="102"/>
      <c r="EO78" s="102"/>
      <c r="EP78" s="102"/>
      <c r="EQ78" s="102"/>
      <c r="ER78" s="102"/>
      <c r="ES78" s="102"/>
      <c r="ET78" s="102"/>
      <c r="EU78" s="102"/>
      <c r="EV78" s="102"/>
      <c r="EW78" s="102"/>
      <c r="EX78" s="102"/>
      <c r="EY78" s="102"/>
      <c r="EZ78" s="102"/>
      <c r="FA78" s="102"/>
      <c r="FB78" s="102"/>
      <c r="FC78" s="102"/>
      <c r="FD78" s="102"/>
      <c r="FE78" s="102"/>
      <c r="FF78" s="102"/>
      <c r="FG78" s="102"/>
      <c r="FH78" s="102"/>
      <c r="FI78" s="102"/>
      <c r="FJ78" s="102"/>
      <c r="FK78" s="102"/>
      <c r="FL78" s="102"/>
      <c r="FM78" s="102"/>
      <c r="FN78" s="102"/>
      <c r="FO78" s="102"/>
      <c r="FP78" s="102"/>
      <c r="FQ78" s="102"/>
      <c r="FR78" s="102"/>
      <c r="FS78" s="102"/>
      <c r="FT78" s="102"/>
      <c r="FU78" s="102"/>
      <c r="FV78" s="102"/>
      <c r="FW78" s="102"/>
      <c r="FX78" s="102"/>
      <c r="FY78" s="102"/>
      <c r="FZ78" s="102"/>
      <c r="GA78" s="102"/>
      <c r="GB78" s="102"/>
      <c r="GC78" s="102"/>
      <c r="GD78" s="102"/>
      <c r="GE78" s="102"/>
      <c r="GF78" s="102"/>
      <c r="GG78" s="102"/>
      <c r="GH78" s="102"/>
      <c r="GI78" s="102"/>
      <c r="GJ78" s="102"/>
      <c r="GK78" s="102"/>
      <c r="GL78" s="102"/>
      <c r="GM78" s="102"/>
      <c r="GN78" s="102"/>
      <c r="GO78" s="102"/>
      <c r="GP78" s="102"/>
      <c r="GQ78" s="102"/>
      <c r="GR78" s="102"/>
      <c r="GS78" s="102"/>
      <c r="GT78" s="102"/>
      <c r="GU78" s="102"/>
      <c r="GV78" s="102"/>
      <c r="GW78" s="102"/>
      <c r="GX78" s="102"/>
      <c r="GY78" s="102"/>
      <c r="GZ78" s="102"/>
      <c r="HA78" s="102"/>
      <c r="HB78" s="102"/>
      <c r="HC78" s="102"/>
      <c r="HD78" s="102"/>
      <c r="HE78" s="102"/>
      <c r="HF78" s="102"/>
      <c r="HG78" s="102"/>
      <c r="HH78" s="102"/>
      <c r="HI78" s="102"/>
      <c r="HJ78" s="102"/>
      <c r="HK78" s="102"/>
      <c r="HL78" s="102"/>
      <c r="HM78" s="102"/>
      <c r="HN78" s="102"/>
      <c r="HO78" s="102"/>
      <c r="HP78" s="102"/>
      <c r="HQ78" s="102"/>
      <c r="HR78" s="102"/>
      <c r="HS78" s="102"/>
      <c r="HT78" s="102"/>
      <c r="HU78" s="102"/>
      <c r="HV78" s="102"/>
      <c r="HW78" s="102"/>
      <c r="HX78" s="102"/>
      <c r="HY78" s="102"/>
      <c r="HZ78" s="102"/>
      <c r="IA78" s="102"/>
      <c r="IB78" s="102"/>
      <c r="IC78" s="102"/>
      <c r="ID78" s="102"/>
      <c r="IE78" s="102"/>
      <c r="IF78" s="102"/>
      <c r="IG78" s="102"/>
      <c r="IH78" s="102"/>
      <c r="II78" s="102"/>
      <c r="IJ78" s="102"/>
      <c r="IK78" s="102"/>
      <c r="IL78" s="102"/>
      <c r="IM78" s="102"/>
      <c r="IN78" s="102"/>
      <c r="IO78" s="102"/>
      <c r="IP78" s="102"/>
      <c r="IQ78" s="102"/>
      <c r="IR78" s="102"/>
      <c r="IS78" s="102"/>
      <c r="IT78" s="102"/>
      <c r="IU78" s="102"/>
      <c r="IV78" s="102"/>
      <c r="IW78" s="102"/>
      <c r="IX78" s="102"/>
      <c r="IY78" s="102"/>
      <c r="IZ78" s="102"/>
      <c r="JA78" s="102"/>
      <c r="JB78" s="102"/>
      <c r="JC78" s="102"/>
      <c r="JD78" s="102"/>
      <c r="JE78" s="102"/>
      <c r="JF78" s="102"/>
      <c r="JG78" s="102"/>
      <c r="JH78" s="102"/>
      <c r="JI78" s="102"/>
      <c r="JJ78" s="102"/>
      <c r="JK78" s="102"/>
      <c r="JL78" s="102"/>
      <c r="JM78" s="102"/>
      <c r="JN78" s="102"/>
      <c r="JO78" s="102"/>
      <c r="JP78" s="102"/>
      <c r="JQ78" s="102"/>
      <c r="JR78" s="102"/>
      <c r="JS78" s="102"/>
      <c r="JT78" s="102"/>
      <c r="JU78" s="102"/>
      <c r="JV78" s="102"/>
      <c r="JW78" s="102"/>
      <c r="JX78" s="102"/>
      <c r="JY78" s="102"/>
      <c r="JZ78" s="102"/>
      <c r="KA78" s="102"/>
      <c r="KB78" s="102"/>
      <c r="KC78" s="102"/>
      <c r="KD78" s="102"/>
      <c r="KE78" s="102"/>
      <c r="KF78" s="102"/>
      <c r="KG78" s="102"/>
      <c r="KH78" s="102"/>
      <c r="KI78" s="102"/>
    </row>
    <row r="79" spans="1:295" ht="10.5" customHeight="1">
      <c r="A79" s="100" t="s">
        <v>110</v>
      </c>
      <c r="B79" s="292" t="s">
        <v>1300</v>
      </c>
      <c r="C79" s="102"/>
      <c r="D79" s="292"/>
      <c r="E79" s="292"/>
      <c r="F79" s="292"/>
      <c r="G79" s="292"/>
      <c r="H79" s="292"/>
      <c r="I79" s="292"/>
      <c r="J79" s="102"/>
      <c r="K79" s="292"/>
      <c r="L79" s="292"/>
      <c r="M79" s="814" t="s">
        <v>1301</v>
      </c>
      <c r="N79" s="102"/>
      <c r="O79" s="480"/>
      <c r="P79" s="2383" t="s">
        <v>4621</v>
      </c>
      <c r="Q79" s="102"/>
      <c r="R79" s="102"/>
      <c r="S79" s="102"/>
      <c r="T79" s="102"/>
      <c r="U79" s="102"/>
      <c r="V79" s="102"/>
      <c r="W79" s="102"/>
      <c r="X79" s="102"/>
      <c r="Y79" s="102"/>
      <c r="Z79" s="102"/>
      <c r="AA79" s="102"/>
      <c r="AB79" s="102"/>
      <c r="AC79" s="102"/>
      <c r="AD79" s="102"/>
      <c r="AE79" s="366"/>
      <c r="AF79" s="366"/>
      <c r="AG79" s="102"/>
      <c r="AH79" s="102"/>
      <c r="AI79" s="102"/>
      <c r="AJ79" s="102"/>
      <c r="AK79" s="102"/>
      <c r="AL79" s="102"/>
      <c r="AM79" s="102"/>
      <c r="AN79" s="102"/>
      <c r="AO79" s="102"/>
      <c r="AP79" s="102"/>
      <c r="AQ79" s="102"/>
      <c r="AR79" s="102"/>
      <c r="AS79" s="102"/>
      <c r="AT79" s="102"/>
      <c r="AU79" s="102"/>
      <c r="AV79" s="102"/>
      <c r="AW79" s="102"/>
      <c r="AX79" s="102"/>
      <c r="AY79" s="102"/>
      <c r="AZ79" s="102"/>
      <c r="BA79" s="102"/>
      <c r="BB79" s="102"/>
      <c r="BC79" s="102"/>
      <c r="BD79" s="102"/>
      <c r="BE79" s="102"/>
      <c r="BF79" s="102"/>
      <c r="BG79" s="102"/>
      <c r="BH79" s="102"/>
      <c r="BI79" s="102"/>
      <c r="BJ79" s="102"/>
      <c r="BK79" s="102"/>
      <c r="BL79" s="102"/>
      <c r="BM79" s="102"/>
      <c r="BN79" s="102"/>
      <c r="BO79" s="102"/>
      <c r="BP79" s="102"/>
      <c r="BQ79" s="102"/>
      <c r="BR79" s="102"/>
      <c r="BS79" s="102"/>
      <c r="BT79" s="102"/>
      <c r="BU79" s="102"/>
      <c r="BV79" s="102"/>
      <c r="BW79" s="102"/>
      <c r="BX79" s="102"/>
      <c r="BY79" s="102"/>
      <c r="BZ79" s="102"/>
      <c r="CA79" s="102"/>
      <c r="CB79" s="102"/>
      <c r="CC79" s="102"/>
      <c r="CD79" s="102"/>
      <c r="CE79" s="102"/>
      <c r="CF79" s="102"/>
      <c r="CG79" s="102"/>
      <c r="CH79" s="102"/>
      <c r="CI79" s="102"/>
      <c r="CJ79" s="102"/>
      <c r="CK79" s="102"/>
      <c r="CL79" s="102"/>
      <c r="CM79" s="102"/>
      <c r="CN79" s="102"/>
      <c r="CO79" s="102"/>
      <c r="CP79" s="102"/>
      <c r="CQ79" s="102"/>
      <c r="CR79" s="102"/>
      <c r="CS79" s="102"/>
      <c r="CT79" s="102"/>
      <c r="CU79" s="102"/>
      <c r="CV79" s="102"/>
      <c r="CW79" s="102"/>
      <c r="CX79" s="102"/>
      <c r="CY79" s="102"/>
      <c r="CZ79" s="102"/>
      <c r="DA79" s="102"/>
      <c r="DB79" s="102"/>
      <c r="DC79" s="102"/>
      <c r="DD79" s="102"/>
      <c r="DE79" s="102"/>
      <c r="DF79" s="102"/>
      <c r="DG79" s="102"/>
      <c r="DH79" s="102"/>
      <c r="DI79" s="102"/>
      <c r="DJ79" s="102"/>
      <c r="DK79" s="102"/>
      <c r="DL79" s="102"/>
      <c r="DM79" s="102"/>
      <c r="DN79" s="102"/>
      <c r="DO79" s="102"/>
      <c r="DP79" s="102"/>
      <c r="DQ79" s="102"/>
      <c r="DR79" s="102"/>
      <c r="DS79" s="102"/>
      <c r="DT79" s="102"/>
      <c r="DU79" s="102"/>
      <c r="DV79" s="102"/>
      <c r="DW79" s="102"/>
      <c r="DX79" s="102"/>
      <c r="DY79" s="102"/>
      <c r="DZ79" s="102"/>
      <c r="EA79" s="102"/>
      <c r="EB79" s="102"/>
      <c r="EC79" s="102"/>
      <c r="ED79" s="102"/>
      <c r="EE79" s="102"/>
      <c r="EF79" s="102"/>
      <c r="EG79" s="102"/>
      <c r="EH79" s="102"/>
      <c r="EI79" s="102"/>
      <c r="EJ79" s="102"/>
      <c r="EK79" s="102"/>
      <c r="EL79" s="102"/>
      <c r="EM79" s="102"/>
      <c r="EN79" s="102"/>
      <c r="EO79" s="102"/>
      <c r="EP79" s="102"/>
      <c r="EQ79" s="102"/>
      <c r="ER79" s="102"/>
      <c r="ES79" s="102"/>
      <c r="ET79" s="102"/>
      <c r="EU79" s="102"/>
      <c r="EV79" s="102"/>
      <c r="EW79" s="102"/>
      <c r="EX79" s="102"/>
      <c r="EY79" s="102"/>
      <c r="EZ79" s="102"/>
      <c r="FA79" s="102"/>
      <c r="FB79" s="102"/>
      <c r="FC79" s="102"/>
      <c r="FD79" s="102"/>
      <c r="FE79" s="102"/>
      <c r="FF79" s="102"/>
      <c r="FG79" s="102"/>
      <c r="FH79" s="102"/>
      <c r="FI79" s="102"/>
      <c r="FJ79" s="102"/>
      <c r="FK79" s="102"/>
      <c r="FL79" s="102"/>
      <c r="FM79" s="102"/>
      <c r="FN79" s="102"/>
      <c r="FO79" s="102"/>
      <c r="FP79" s="102"/>
      <c r="FQ79" s="102"/>
      <c r="FR79" s="102"/>
      <c r="FS79" s="102"/>
      <c r="FT79" s="102"/>
      <c r="FU79" s="102"/>
      <c r="FV79" s="102"/>
      <c r="FW79" s="102"/>
      <c r="FX79" s="102"/>
      <c r="FY79" s="102"/>
      <c r="FZ79" s="102"/>
      <c r="GA79" s="102"/>
      <c r="GB79" s="102"/>
      <c r="GC79" s="102"/>
      <c r="GD79" s="102"/>
      <c r="GE79" s="102"/>
      <c r="GF79" s="102"/>
      <c r="GG79" s="102"/>
      <c r="GH79" s="102"/>
      <c r="GI79" s="102"/>
      <c r="GJ79" s="102"/>
      <c r="GK79" s="102"/>
      <c r="GL79" s="102"/>
      <c r="GM79" s="102"/>
      <c r="GN79" s="102"/>
      <c r="GO79" s="102"/>
      <c r="GP79" s="102"/>
      <c r="GQ79" s="102"/>
      <c r="GR79" s="102"/>
      <c r="GS79" s="102"/>
      <c r="GT79" s="102"/>
      <c r="GU79" s="102"/>
      <c r="GV79" s="102"/>
      <c r="GW79" s="102"/>
      <c r="GX79" s="102"/>
      <c r="GY79" s="102"/>
      <c r="GZ79" s="102"/>
      <c r="HA79" s="102"/>
      <c r="HB79" s="102"/>
      <c r="HC79" s="102"/>
      <c r="HD79" s="102"/>
      <c r="HE79" s="102"/>
      <c r="HF79" s="102"/>
      <c r="HG79" s="102"/>
      <c r="HH79" s="102"/>
      <c r="HI79" s="102"/>
      <c r="HJ79" s="102"/>
      <c r="HK79" s="102"/>
      <c r="HL79" s="102"/>
      <c r="HM79" s="102"/>
      <c r="HN79" s="102"/>
      <c r="HO79" s="102"/>
      <c r="HP79" s="102"/>
      <c r="HQ79" s="102"/>
      <c r="HR79" s="102"/>
      <c r="HS79" s="102"/>
      <c r="HT79" s="102"/>
      <c r="HU79" s="102"/>
      <c r="HV79" s="102"/>
      <c r="HW79" s="102"/>
      <c r="HX79" s="102"/>
      <c r="HY79" s="102"/>
      <c r="HZ79" s="102"/>
      <c r="IA79" s="102"/>
      <c r="IB79" s="102"/>
      <c r="IC79" s="102"/>
      <c r="ID79" s="102"/>
      <c r="IE79" s="102"/>
      <c r="IF79" s="102"/>
      <c r="IG79" s="102"/>
      <c r="IH79" s="102"/>
      <c r="II79" s="102"/>
      <c r="IJ79" s="102"/>
      <c r="IK79" s="102"/>
      <c r="IL79" s="102"/>
      <c r="IM79" s="102"/>
      <c r="IN79" s="102"/>
      <c r="IO79" s="102"/>
      <c r="IP79" s="102"/>
      <c r="IQ79" s="102"/>
      <c r="IR79" s="102"/>
      <c r="IS79" s="102"/>
      <c r="IT79" s="102"/>
      <c r="IU79" s="102"/>
      <c r="IV79" s="102"/>
      <c r="IW79" s="102"/>
      <c r="IX79" s="102"/>
      <c r="IY79" s="102"/>
      <c r="IZ79" s="102"/>
      <c r="JA79" s="102"/>
      <c r="JB79" s="102"/>
      <c r="JC79" s="102"/>
      <c r="JD79" s="102"/>
      <c r="JE79" s="102"/>
      <c r="JF79" s="102"/>
      <c r="JG79" s="102"/>
      <c r="JH79" s="102"/>
      <c r="JI79" s="102"/>
      <c r="JJ79" s="102"/>
      <c r="JK79" s="102"/>
      <c r="JL79" s="102"/>
      <c r="JM79" s="102"/>
      <c r="JN79" s="102"/>
      <c r="JO79" s="102"/>
      <c r="JP79" s="102"/>
      <c r="JQ79" s="102"/>
      <c r="JR79" s="102"/>
      <c r="JS79" s="102"/>
      <c r="JT79" s="102"/>
      <c r="JU79" s="102"/>
      <c r="JV79" s="102"/>
      <c r="JW79" s="102"/>
      <c r="JX79" s="102"/>
      <c r="JY79" s="102"/>
      <c r="JZ79" s="102"/>
      <c r="KA79" s="102"/>
      <c r="KB79" s="102"/>
      <c r="KC79" s="102"/>
      <c r="KD79" s="102"/>
      <c r="KE79" s="102"/>
      <c r="KF79" s="102"/>
      <c r="KG79" s="102"/>
      <c r="KH79" s="102"/>
      <c r="KI79" s="102"/>
    </row>
    <row r="80" spans="1:295" ht="10.5" customHeight="1">
      <c r="A80" s="28" t="s">
        <v>121</v>
      </c>
      <c r="B80" s="772" t="s">
        <v>1302</v>
      </c>
      <c r="C80" s="102"/>
      <c r="D80" s="772"/>
      <c r="E80" s="772"/>
      <c r="F80" s="772"/>
      <c r="G80" s="772"/>
      <c r="H80" s="772"/>
      <c r="I80" s="772"/>
      <c r="J80" s="772"/>
      <c r="K80" s="772"/>
      <c r="L80" s="772"/>
      <c r="M80" s="772"/>
      <c r="N80" s="102"/>
      <c r="O80" s="772"/>
      <c r="P80" s="772"/>
      <c r="Q80" s="772"/>
      <c r="R80" s="102"/>
      <c r="S80" s="102"/>
      <c r="T80" s="102"/>
      <c r="U80" s="102"/>
      <c r="V80" s="102"/>
      <c r="W80" s="102"/>
      <c r="X80" s="102"/>
      <c r="Y80" s="102"/>
      <c r="Z80" s="102"/>
      <c r="AA80" s="102"/>
      <c r="AB80" s="102"/>
      <c r="AC80" s="102"/>
      <c r="AD80" s="102"/>
      <c r="AE80" s="366"/>
      <c r="AF80" s="366"/>
      <c r="AG80" s="102"/>
      <c r="AH80" s="102"/>
      <c r="AI80" s="102"/>
      <c r="AJ80" s="102"/>
      <c r="AK80" s="102"/>
      <c r="AL80" s="102"/>
      <c r="AM80" s="102"/>
      <c r="AN80" s="102"/>
      <c r="AO80" s="102"/>
      <c r="AP80" s="102"/>
      <c r="AQ80" s="102"/>
      <c r="AR80" s="102"/>
      <c r="AS80" s="102"/>
      <c r="AT80" s="102"/>
      <c r="AU80" s="102"/>
      <c r="AV80" s="102"/>
      <c r="AW80" s="102"/>
      <c r="AX80" s="102"/>
      <c r="AY80" s="102"/>
      <c r="AZ80" s="102"/>
      <c r="BA80" s="102"/>
      <c r="BB80" s="102"/>
      <c r="BC80" s="102"/>
      <c r="BD80" s="102"/>
      <c r="BE80" s="102"/>
      <c r="BF80" s="102"/>
      <c r="BG80" s="102"/>
      <c r="BH80" s="102"/>
      <c r="BI80" s="102"/>
      <c r="BJ80" s="102"/>
      <c r="BK80" s="102"/>
      <c r="BL80" s="102"/>
      <c r="BM80" s="102"/>
      <c r="BN80" s="102"/>
      <c r="BO80" s="102"/>
      <c r="BP80" s="102"/>
      <c r="BQ80" s="102"/>
      <c r="BR80" s="102"/>
      <c r="BS80" s="102"/>
      <c r="BT80" s="102"/>
      <c r="BU80" s="102"/>
      <c r="BV80" s="102"/>
      <c r="BW80" s="102"/>
      <c r="BX80" s="102"/>
      <c r="BY80" s="102"/>
      <c r="BZ80" s="102"/>
      <c r="CA80" s="102"/>
      <c r="CB80" s="102"/>
      <c r="CC80" s="102"/>
      <c r="CD80" s="102"/>
      <c r="CE80" s="102"/>
      <c r="CF80" s="102"/>
      <c r="CG80" s="102"/>
      <c r="CH80" s="102"/>
      <c r="CI80" s="102"/>
      <c r="CJ80" s="102"/>
      <c r="CK80" s="102"/>
      <c r="CL80" s="102"/>
      <c r="CM80" s="102"/>
      <c r="CN80" s="102"/>
      <c r="CO80" s="102"/>
      <c r="CP80" s="102"/>
      <c r="CQ80" s="102"/>
      <c r="CR80" s="102"/>
      <c r="CS80" s="102"/>
      <c r="CT80" s="102"/>
      <c r="CU80" s="102"/>
      <c r="CV80" s="102"/>
      <c r="CW80" s="102"/>
      <c r="CX80" s="102"/>
      <c r="CY80" s="102"/>
      <c r="CZ80" s="102"/>
      <c r="DA80" s="102"/>
      <c r="DB80" s="102"/>
      <c r="DC80" s="102"/>
      <c r="DD80" s="102"/>
      <c r="DE80" s="102"/>
      <c r="DF80" s="102"/>
      <c r="DG80" s="102"/>
      <c r="DH80" s="102"/>
      <c r="DI80" s="102"/>
      <c r="DJ80" s="102"/>
      <c r="DK80" s="102"/>
      <c r="DL80" s="102"/>
      <c r="DM80" s="102"/>
      <c r="DN80" s="102"/>
      <c r="DO80" s="102"/>
      <c r="DP80" s="102"/>
      <c r="DQ80" s="102"/>
      <c r="DR80" s="102"/>
      <c r="DS80" s="102"/>
      <c r="DT80" s="102"/>
      <c r="DU80" s="102"/>
      <c r="DV80" s="102"/>
      <c r="DW80" s="102"/>
      <c r="DX80" s="102"/>
      <c r="DY80" s="102"/>
      <c r="DZ80" s="102"/>
      <c r="EA80" s="102"/>
      <c r="EB80" s="102"/>
      <c r="EC80" s="102"/>
      <c r="ED80" s="102"/>
      <c r="EE80" s="102"/>
      <c r="EF80" s="102"/>
      <c r="EG80" s="102"/>
      <c r="EH80" s="102"/>
      <c r="EI80" s="102"/>
      <c r="EJ80" s="102"/>
      <c r="EK80" s="102"/>
      <c r="EL80" s="102"/>
      <c r="EM80" s="102"/>
      <c r="EN80" s="102"/>
      <c r="EO80" s="102"/>
      <c r="EP80" s="102"/>
      <c r="EQ80" s="102"/>
      <c r="ER80" s="102"/>
      <c r="ES80" s="102"/>
      <c r="ET80" s="102"/>
      <c r="EU80" s="102"/>
      <c r="EV80" s="102"/>
      <c r="EW80" s="102"/>
      <c r="EX80" s="102"/>
      <c r="EY80" s="102"/>
      <c r="EZ80" s="102"/>
      <c r="FA80" s="102"/>
      <c r="FB80" s="102"/>
      <c r="FC80" s="102"/>
      <c r="FD80" s="102"/>
      <c r="FE80" s="102"/>
      <c r="FF80" s="102"/>
      <c r="FG80" s="102"/>
      <c r="FH80" s="102"/>
      <c r="FI80" s="102"/>
      <c r="FJ80" s="102"/>
      <c r="FK80" s="102"/>
      <c r="FL80" s="102"/>
      <c r="FM80" s="102"/>
      <c r="FN80" s="102"/>
      <c r="FO80" s="102"/>
      <c r="FP80" s="102"/>
      <c r="FQ80" s="102"/>
      <c r="FR80" s="102"/>
      <c r="FS80" s="102"/>
      <c r="FT80" s="102"/>
      <c r="FU80" s="102"/>
      <c r="FV80" s="102"/>
      <c r="FW80" s="102"/>
      <c r="FX80" s="102"/>
      <c r="FY80" s="102"/>
      <c r="FZ80" s="102"/>
      <c r="GA80" s="102"/>
      <c r="GB80" s="102"/>
      <c r="GC80" s="102"/>
      <c r="GD80" s="102"/>
      <c r="GE80" s="102"/>
      <c r="GF80" s="102"/>
      <c r="GG80" s="102"/>
      <c r="GH80" s="102"/>
      <c r="GI80" s="102"/>
      <c r="GJ80" s="102"/>
      <c r="GK80" s="102"/>
      <c r="GL80" s="102"/>
      <c r="GM80" s="102"/>
      <c r="GN80" s="102"/>
      <c r="GO80" s="102"/>
      <c r="GP80" s="102"/>
      <c r="GQ80" s="102"/>
      <c r="GR80" s="102"/>
      <c r="GS80" s="102"/>
      <c r="GT80" s="102"/>
      <c r="GU80" s="102"/>
      <c r="GV80" s="102"/>
      <c r="GW80" s="102"/>
      <c r="GX80" s="102"/>
      <c r="GY80" s="102"/>
      <c r="GZ80" s="102"/>
      <c r="HA80" s="102"/>
      <c r="HB80" s="102"/>
      <c r="HC80" s="102"/>
      <c r="HD80" s="102"/>
      <c r="HE80" s="102"/>
      <c r="HF80" s="102"/>
      <c r="HG80" s="102"/>
      <c r="HH80" s="102"/>
      <c r="HI80" s="102"/>
      <c r="HJ80" s="102"/>
      <c r="HK80" s="102"/>
      <c r="HL80" s="102"/>
      <c r="HM80" s="102"/>
      <c r="HN80" s="102"/>
      <c r="HO80" s="102"/>
      <c r="HP80" s="102"/>
      <c r="HQ80" s="102"/>
      <c r="HR80" s="102"/>
      <c r="HS80" s="102"/>
      <c r="HT80" s="102"/>
      <c r="HU80" s="102"/>
      <c r="HV80" s="102"/>
      <c r="HW80" s="102"/>
      <c r="HX80" s="102"/>
      <c r="HY80" s="102"/>
      <c r="HZ80" s="102"/>
      <c r="IA80" s="102"/>
      <c r="IB80" s="102"/>
      <c r="IC80" s="102"/>
      <c r="ID80" s="102"/>
      <c r="IE80" s="102"/>
      <c r="IF80" s="102"/>
      <c r="IG80" s="102"/>
      <c r="IH80" s="102"/>
      <c r="II80" s="102"/>
      <c r="IJ80" s="102"/>
      <c r="IK80" s="102"/>
      <c r="IL80" s="102"/>
      <c r="IM80" s="102"/>
      <c r="IN80" s="102"/>
      <c r="IO80" s="102"/>
      <c r="IP80" s="102"/>
      <c r="IQ80" s="102"/>
      <c r="IR80" s="102"/>
      <c r="IS80" s="102"/>
      <c r="IT80" s="102"/>
      <c r="IU80" s="102"/>
      <c r="IV80" s="102"/>
      <c r="IW80" s="102"/>
      <c r="IX80" s="102"/>
      <c r="IY80" s="102"/>
      <c r="IZ80" s="102"/>
      <c r="JA80" s="102"/>
      <c r="JB80" s="102"/>
      <c r="JC80" s="102"/>
      <c r="JD80" s="102"/>
      <c r="JE80" s="102"/>
      <c r="JF80" s="102"/>
      <c r="JG80" s="102"/>
      <c r="JH80" s="102"/>
      <c r="JI80" s="102"/>
      <c r="JJ80" s="102"/>
      <c r="JK80" s="102"/>
      <c r="JL80" s="102"/>
      <c r="JM80" s="102"/>
      <c r="JN80" s="102"/>
      <c r="JO80" s="102"/>
      <c r="JP80" s="102"/>
      <c r="JQ80" s="102"/>
      <c r="JR80" s="102"/>
      <c r="JS80" s="102"/>
      <c r="JT80" s="102"/>
      <c r="JU80" s="102"/>
      <c r="JV80" s="102"/>
      <c r="JW80" s="102"/>
      <c r="JX80" s="102"/>
      <c r="JY80" s="102"/>
      <c r="JZ80" s="102"/>
      <c r="KA80" s="102"/>
      <c r="KB80" s="102"/>
      <c r="KC80" s="102"/>
      <c r="KD80" s="102"/>
      <c r="KE80" s="102"/>
      <c r="KF80" s="102"/>
      <c r="KG80" s="102"/>
      <c r="KH80" s="102"/>
      <c r="KI80" s="102"/>
    </row>
    <row r="81" spans="1:31" ht="21.75" customHeight="1">
      <c r="A81" s="101"/>
      <c r="B81" s="363" t="s">
        <v>1303</v>
      </c>
      <c r="C81" s="772" t="s">
        <v>1304</v>
      </c>
      <c r="D81" s="102"/>
      <c r="E81" s="1535"/>
      <c r="F81" s="1535"/>
      <c r="G81" s="1535"/>
      <c r="H81" s="18"/>
      <c r="I81" s="20" t="s">
        <v>1305</v>
      </c>
      <c r="J81" s="2502" t="s">
        <v>4625</v>
      </c>
      <c r="K81" s="2503"/>
      <c r="L81" s="2503"/>
      <c r="M81" s="2503"/>
      <c r="N81" s="2503"/>
      <c r="O81" s="2503"/>
      <c r="P81" s="2503"/>
      <c r="Q81" s="2504"/>
      <c r="R81" s="102"/>
      <c r="S81" s="102"/>
      <c r="T81" s="102"/>
      <c r="U81" s="102"/>
      <c r="V81" s="102"/>
      <c r="W81" s="102"/>
      <c r="X81" s="102"/>
      <c r="Y81" s="102"/>
      <c r="Z81" s="102"/>
      <c r="AA81" s="102"/>
      <c r="AB81" s="102"/>
      <c r="AC81" s="102"/>
      <c r="AD81" s="102"/>
      <c r="AE81" s="366"/>
    </row>
    <row r="82" spans="1:31" ht="10.9" customHeight="1">
      <c r="A82" s="101"/>
      <c r="B82" s="363" t="s">
        <v>1306</v>
      </c>
      <c r="C82" s="772" t="s">
        <v>1307</v>
      </c>
      <c r="D82" s="102"/>
      <c r="E82" s="1535"/>
      <c r="F82" s="1535"/>
      <c r="G82" s="1535"/>
      <c r="H82" s="18"/>
      <c r="I82" s="20" t="s">
        <v>1305</v>
      </c>
      <c r="J82" s="2505"/>
      <c r="K82" s="2506"/>
      <c r="L82" s="2506"/>
      <c r="M82" s="2506"/>
      <c r="N82" s="2506"/>
      <c r="O82" s="2506"/>
      <c r="P82" s="2506"/>
      <c r="Q82" s="2507"/>
      <c r="R82" s="102"/>
      <c r="S82" s="102"/>
      <c r="T82" s="102"/>
      <c r="U82" s="102"/>
      <c r="V82" s="102"/>
      <c r="W82" s="102"/>
      <c r="X82" s="102"/>
      <c r="Y82" s="102"/>
      <c r="Z82" s="102"/>
      <c r="AA82" s="102"/>
      <c r="AB82" s="102"/>
      <c r="AC82" s="102"/>
      <c r="AD82" s="102"/>
      <c r="AE82" s="366"/>
    </row>
    <row r="83" spans="1:31" ht="10.9" customHeight="1">
      <c r="A83" s="101"/>
      <c r="B83" s="363" t="s">
        <v>1308</v>
      </c>
      <c r="C83" s="772" t="s">
        <v>1309</v>
      </c>
      <c r="D83" s="102"/>
      <c r="E83" s="1535"/>
      <c r="F83" s="1535"/>
      <c r="G83" s="1535"/>
      <c r="H83" s="18"/>
      <c r="I83" s="20" t="s">
        <v>1305</v>
      </c>
      <c r="J83" s="2505" t="s">
        <v>4626</v>
      </c>
      <c r="K83" s="2506"/>
      <c r="L83" s="2506"/>
      <c r="M83" s="2506"/>
      <c r="N83" s="2506"/>
      <c r="O83" s="2506"/>
      <c r="P83" s="2506"/>
      <c r="Q83" s="2507"/>
      <c r="R83" s="102"/>
      <c r="S83" s="102"/>
      <c r="T83" s="102"/>
      <c r="U83" s="102"/>
      <c r="V83" s="102"/>
      <c r="W83" s="102"/>
      <c r="X83" s="102"/>
      <c r="Y83" s="102"/>
      <c r="Z83" s="102"/>
      <c r="AA83" s="102"/>
      <c r="AB83" s="102"/>
      <c r="AC83" s="102"/>
      <c r="AD83" s="102"/>
      <c r="AE83" s="366"/>
    </row>
    <row r="84" spans="1:31" ht="10.9" customHeight="1">
      <c r="A84" s="101"/>
      <c r="B84" s="363" t="s">
        <v>1310</v>
      </c>
      <c r="C84" s="772" t="s">
        <v>1311</v>
      </c>
      <c r="D84" s="102"/>
      <c r="E84" s="1535"/>
      <c r="F84" s="102"/>
      <c r="G84" s="102"/>
      <c r="H84" s="102"/>
      <c r="I84" s="20" t="s">
        <v>1305</v>
      </c>
      <c r="J84" s="2508"/>
      <c r="K84" s="2509"/>
      <c r="L84" s="2509"/>
      <c r="M84" s="2509"/>
      <c r="N84" s="2509"/>
      <c r="O84" s="2509"/>
      <c r="P84" s="2509"/>
      <c r="Q84" s="2510"/>
      <c r="R84" s="102"/>
      <c r="S84" s="102"/>
      <c r="T84" s="102"/>
      <c r="U84" s="102"/>
      <c r="V84" s="102"/>
      <c r="W84" s="102"/>
      <c r="X84" s="102"/>
      <c r="Y84" s="102"/>
      <c r="Z84" s="102"/>
      <c r="AA84" s="102"/>
      <c r="AB84" s="102"/>
      <c r="AC84" s="102"/>
      <c r="AD84" s="102"/>
      <c r="AE84" s="366"/>
    </row>
    <row r="85" spans="1:31" ht="10.9" customHeight="1">
      <c r="A85" s="28" t="s">
        <v>123</v>
      </c>
      <c r="B85" s="22" t="s">
        <v>1312</v>
      </c>
      <c r="C85" s="102"/>
      <c r="D85" s="772"/>
      <c r="E85" s="1535"/>
      <c r="F85" s="102"/>
      <c r="G85" s="102"/>
      <c r="H85" s="102"/>
      <c r="I85" s="102"/>
      <c r="J85" s="20"/>
      <c r="K85" s="20"/>
      <c r="L85" s="20"/>
      <c r="M85" s="20"/>
      <c r="N85" s="20"/>
      <c r="O85" s="20"/>
      <c r="P85" s="20"/>
      <c r="Q85" s="20"/>
      <c r="R85" s="102"/>
      <c r="S85" s="102"/>
      <c r="T85" s="102"/>
      <c r="U85" s="102"/>
      <c r="V85" s="102"/>
      <c r="W85" s="102"/>
      <c r="X85" s="102"/>
      <c r="Y85" s="102"/>
      <c r="Z85" s="102"/>
      <c r="AA85" s="102"/>
      <c r="AB85" s="102"/>
      <c r="AC85" s="102"/>
      <c r="AD85" s="102"/>
      <c r="AE85" s="366"/>
    </row>
    <row r="86" spans="1:31" ht="10.9" customHeight="1">
      <c r="A86" s="101"/>
      <c r="B86" s="33" t="s">
        <v>1313</v>
      </c>
      <c r="C86" s="102"/>
      <c r="D86" s="92"/>
      <c r="E86" s="92"/>
      <c r="F86" s="92"/>
      <c r="G86" s="92"/>
      <c r="H86" s="92"/>
      <c r="I86" s="58"/>
      <c r="J86" s="58"/>
      <c r="K86" s="363" t="s">
        <v>123</v>
      </c>
      <c r="L86" s="2511" t="s">
        <v>64</v>
      </c>
      <c r="M86" s="2512"/>
      <c r="N86" s="2512"/>
      <c r="O86" s="2512"/>
      <c r="P86" s="2513"/>
      <c r="Q86" s="1411"/>
      <c r="R86" s="102"/>
      <c r="S86" s="102"/>
      <c r="T86" s="102"/>
      <c r="U86" s="102"/>
      <c r="V86" s="102"/>
      <c r="W86" s="102"/>
      <c r="X86" s="102"/>
      <c r="Y86" s="102"/>
      <c r="Z86" s="102"/>
      <c r="AA86" s="102"/>
      <c r="AB86" s="102"/>
      <c r="AC86" s="102"/>
      <c r="AD86" s="102"/>
      <c r="AE86" s="366"/>
    </row>
    <row r="87" spans="1:31" ht="10.5" customHeight="1">
      <c r="A87" s="102"/>
      <c r="B87" s="59" t="s">
        <v>1274</v>
      </c>
      <c r="C87" s="102"/>
      <c r="D87" s="59"/>
      <c r="E87" s="59"/>
      <c r="F87" s="59"/>
      <c r="G87" s="59"/>
      <c r="H87" s="22"/>
      <c r="I87" s="1529"/>
      <c r="J87" s="1529"/>
      <c r="K87" s="95" t="s">
        <v>1276</v>
      </c>
      <c r="L87" s="1524"/>
      <c r="M87" s="1524"/>
      <c r="N87" s="1524"/>
      <c r="O87" s="1524"/>
      <c r="P87" s="1524"/>
      <c r="Q87" s="771"/>
      <c r="R87" s="102"/>
      <c r="S87" s="102"/>
      <c r="T87" s="102"/>
      <c r="U87" s="102"/>
      <c r="V87" s="102"/>
      <c r="W87" s="102"/>
      <c r="X87" s="102"/>
      <c r="Y87" s="102"/>
      <c r="Z87" s="102"/>
      <c r="AA87" s="102"/>
      <c r="AB87" s="102"/>
      <c r="AC87" s="102"/>
      <c r="AD87" s="102"/>
      <c r="AE87" s="366"/>
    </row>
    <row r="88" spans="1:31" ht="10.5" customHeight="1">
      <c r="A88" s="2496" t="s">
        <v>4627</v>
      </c>
      <c r="B88" s="2497"/>
      <c r="C88" s="2497"/>
      <c r="D88" s="2497"/>
      <c r="E88" s="2497"/>
      <c r="F88" s="2497"/>
      <c r="G88" s="2497"/>
      <c r="H88" s="2497"/>
      <c r="I88" s="2497"/>
      <c r="J88" s="2498"/>
      <c r="K88" s="1835"/>
      <c r="L88" s="1836"/>
      <c r="M88" s="1836"/>
      <c r="N88" s="1836"/>
      <c r="O88" s="1836"/>
      <c r="P88" s="1836"/>
      <c r="Q88" s="1837"/>
      <c r="R88" s="341" t="s">
        <v>1275</v>
      </c>
      <c r="S88" s="102"/>
      <c r="T88" s="102"/>
      <c r="U88" s="94"/>
      <c r="V88" s="94"/>
      <c r="W88" s="94"/>
      <c r="X88" s="94"/>
      <c r="Y88" s="94"/>
      <c r="Z88" s="94"/>
      <c r="AA88" s="94"/>
      <c r="AB88" s="94"/>
      <c r="AC88" s="94"/>
      <c r="AD88" s="94"/>
      <c r="AE88" s="365"/>
    </row>
    <row r="89" spans="1:31" ht="3" customHeight="1">
      <c r="A89" s="1524"/>
      <c r="B89" s="1529"/>
      <c r="C89" s="1532"/>
      <c r="D89" s="1532"/>
      <c r="E89" s="1532"/>
      <c r="F89" s="1532"/>
      <c r="G89" s="1532"/>
      <c r="H89" s="1532"/>
      <c r="I89" s="1532"/>
      <c r="J89" s="1532"/>
      <c r="K89" s="1532"/>
      <c r="L89" s="1532"/>
      <c r="M89" s="1532"/>
      <c r="N89" s="1532"/>
      <c r="O89" s="1532"/>
      <c r="P89" s="1532"/>
      <c r="Q89" s="1524"/>
      <c r="R89" s="102"/>
      <c r="S89" s="102"/>
      <c r="T89" s="102"/>
      <c r="U89" s="102"/>
      <c r="V89" s="102"/>
      <c r="W89" s="102"/>
      <c r="X89" s="102"/>
      <c r="Y89" s="102"/>
      <c r="Z89" s="102"/>
      <c r="AA89" s="102"/>
      <c r="AB89" s="102"/>
      <c r="AC89" s="102"/>
      <c r="AD89" s="102"/>
      <c r="AE89" s="366"/>
    </row>
    <row r="90" spans="1:31" ht="13.9" customHeight="1">
      <c r="A90" s="1526" t="s">
        <v>108</v>
      </c>
      <c r="B90" s="1526" t="s">
        <v>1314</v>
      </c>
      <c r="C90" s="1526"/>
      <c r="D90" s="1532"/>
      <c r="E90" s="1532"/>
      <c r="F90" s="1532"/>
      <c r="G90" s="1532"/>
      <c r="H90" s="1532"/>
      <c r="I90" s="1532"/>
      <c r="J90" s="1532"/>
      <c r="K90" s="1532"/>
      <c r="L90" s="102"/>
      <c r="M90" s="102"/>
      <c r="N90" s="102"/>
      <c r="O90" s="90" t="s">
        <v>1273</v>
      </c>
      <c r="P90" s="1838"/>
      <c r="Q90" s="1845"/>
      <c r="R90" s="102"/>
      <c r="S90" s="102"/>
      <c r="T90" s="102"/>
      <c r="U90" s="102"/>
      <c r="V90" s="102"/>
      <c r="W90" s="102"/>
      <c r="X90" s="102"/>
      <c r="Y90" s="102"/>
      <c r="Z90" s="102"/>
      <c r="AA90" s="102"/>
      <c r="AB90" s="102"/>
      <c r="AC90" s="102"/>
      <c r="AD90" s="102"/>
      <c r="AE90" s="366"/>
    </row>
    <row r="91" spans="1:31" ht="3" customHeight="1">
      <c r="A91" s="102"/>
      <c r="B91" s="102"/>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02"/>
      <c r="AB91" s="102"/>
      <c r="AC91" s="102"/>
      <c r="AD91" s="102"/>
      <c r="AE91" s="366"/>
    </row>
    <row r="92" spans="1:31" ht="10.5" customHeight="1">
      <c r="A92" s="28" t="s">
        <v>110</v>
      </c>
      <c r="B92" s="33" t="s">
        <v>1315</v>
      </c>
      <c r="C92" s="102"/>
      <c r="D92" s="92"/>
      <c r="E92" s="92"/>
      <c r="F92" s="92"/>
      <c r="G92" s="92"/>
      <c r="H92" s="92"/>
      <c r="I92" s="58"/>
      <c r="J92" s="58"/>
      <c r="K92" s="58"/>
      <c r="L92" s="363" t="s">
        <v>110</v>
      </c>
      <c r="M92" s="2514" t="s">
        <v>4628</v>
      </c>
      <c r="N92" s="2515"/>
      <c r="O92" s="2515"/>
      <c r="P92" s="2516"/>
      <c r="Q92" s="425"/>
      <c r="R92" s="102"/>
      <c r="S92" s="102"/>
      <c r="T92" s="102"/>
      <c r="U92" s="102"/>
      <c r="V92" s="102"/>
      <c r="W92" s="102"/>
      <c r="X92" s="102"/>
      <c r="Y92" s="102"/>
      <c r="Z92" s="102"/>
      <c r="AA92" s="102"/>
      <c r="AB92" s="102"/>
      <c r="AC92" s="102"/>
      <c r="AD92" s="102"/>
      <c r="AE92" s="366"/>
    </row>
    <row r="93" spans="1:31" ht="10.5" customHeight="1">
      <c r="A93" s="28" t="s">
        <v>121</v>
      </c>
      <c r="B93" s="31" t="s">
        <v>1316</v>
      </c>
      <c r="C93" s="102"/>
      <c r="D93" s="92"/>
      <c r="E93" s="92"/>
      <c r="F93" s="92"/>
      <c r="G93" s="102"/>
      <c r="H93" s="102"/>
      <c r="I93" s="102"/>
      <c r="J93" s="102"/>
      <c r="K93" s="102"/>
      <c r="L93" s="363" t="s">
        <v>121</v>
      </c>
      <c r="M93" s="2517" t="s">
        <v>4629</v>
      </c>
      <c r="N93" s="2518"/>
      <c r="O93" s="2518"/>
      <c r="P93" s="2519"/>
      <c r="Q93" s="426"/>
      <c r="R93" s="102"/>
      <c r="S93" s="102"/>
      <c r="T93" s="102"/>
      <c r="U93" s="102"/>
      <c r="V93" s="102"/>
      <c r="W93" s="102"/>
      <c r="X93" s="102"/>
      <c r="Y93" s="102"/>
      <c r="Z93" s="102"/>
      <c r="AA93" s="102"/>
      <c r="AB93" s="102"/>
      <c r="AC93" s="102"/>
      <c r="AD93" s="102"/>
      <c r="AE93" s="366"/>
    </row>
    <row r="94" spans="1:31" ht="10.5" customHeight="1">
      <c r="A94" s="28" t="s">
        <v>123</v>
      </c>
      <c r="B94" s="31" t="s">
        <v>1317</v>
      </c>
      <c r="C94" s="102"/>
      <c r="D94" s="92"/>
      <c r="E94" s="92"/>
      <c r="F94" s="92"/>
      <c r="G94" s="102"/>
      <c r="H94" s="102"/>
      <c r="I94" s="102"/>
      <c r="J94" s="102"/>
      <c r="K94" s="102"/>
      <c r="L94" s="363" t="s">
        <v>123</v>
      </c>
      <c r="M94" s="2520">
        <v>0.95199999999999996</v>
      </c>
      <c r="N94" s="2521"/>
      <c r="O94" s="2521"/>
      <c r="P94" s="2522"/>
      <c r="Q94" s="426"/>
      <c r="R94" s="102"/>
      <c r="S94" s="102"/>
      <c r="T94" s="102"/>
      <c r="U94" s="102"/>
      <c r="V94" s="102"/>
      <c r="W94" s="102"/>
      <c r="X94" s="102"/>
      <c r="Y94" s="102"/>
      <c r="Z94" s="102"/>
      <c r="AA94" s="102"/>
      <c r="AB94" s="102"/>
      <c r="AC94" s="102"/>
      <c r="AD94" s="102"/>
      <c r="AE94" s="366"/>
    </row>
    <row r="95" spans="1:31" ht="10.5" customHeight="1">
      <c r="A95" s="28" t="s">
        <v>126</v>
      </c>
      <c r="B95" s="31" t="s">
        <v>1318</v>
      </c>
      <c r="C95" s="102"/>
      <c r="D95" s="92"/>
      <c r="E95" s="92"/>
      <c r="F95" s="92"/>
      <c r="G95" s="102"/>
      <c r="H95" s="102"/>
      <c r="I95" s="102"/>
      <c r="J95" s="102"/>
      <c r="K95" s="102"/>
      <c r="L95" s="363" t="s">
        <v>1319</v>
      </c>
      <c r="M95" s="2523">
        <v>0.10290000000000001</v>
      </c>
      <c r="N95" s="1397"/>
      <c r="O95" s="1357" t="s">
        <v>1320</v>
      </c>
      <c r="P95" s="2524">
        <v>8.0000000000000002E-3</v>
      </c>
      <c r="Q95" s="427"/>
      <c r="R95" s="102"/>
      <c r="S95" s="102"/>
      <c r="T95" s="102"/>
      <c r="U95" s="102"/>
      <c r="V95" s="102"/>
      <c r="W95" s="102"/>
      <c r="X95" s="102"/>
      <c r="Y95" s="102"/>
      <c r="Z95" s="102"/>
      <c r="AA95" s="102"/>
      <c r="AB95" s="102"/>
      <c r="AC95" s="102"/>
      <c r="AD95" s="102"/>
      <c r="AE95" s="366"/>
    </row>
    <row r="96" spans="1:31" ht="10.5" customHeight="1">
      <c r="A96" s="100" t="s">
        <v>140</v>
      </c>
      <c r="B96" s="98" t="s">
        <v>1321</v>
      </c>
      <c r="C96" s="102"/>
      <c r="D96" s="98"/>
      <c r="E96" s="98"/>
      <c r="F96" s="98"/>
      <c r="G96" s="98"/>
      <c r="H96" s="98"/>
      <c r="I96" s="98"/>
      <c r="J96" s="98"/>
      <c r="K96" s="98"/>
      <c r="L96" s="98"/>
      <c r="M96" s="98"/>
      <c r="N96" s="98"/>
      <c r="O96" s="98"/>
      <c r="P96" s="98"/>
      <c r="Q96" s="98"/>
      <c r="R96" s="102"/>
      <c r="S96" s="102"/>
      <c r="T96" s="102"/>
      <c r="U96" s="102"/>
      <c r="V96" s="102"/>
      <c r="W96" s="102"/>
      <c r="X96" s="102"/>
      <c r="Y96" s="102"/>
      <c r="Z96" s="102"/>
      <c r="AA96" s="102"/>
      <c r="AB96" s="102"/>
      <c r="AC96" s="102"/>
      <c r="AD96" s="102"/>
      <c r="AE96" s="366"/>
    </row>
    <row r="97" spans="1:31" ht="10.5" customHeight="1">
      <c r="A97" s="102"/>
      <c r="B97" s="28"/>
      <c r="C97" s="31"/>
      <c r="D97" s="1534" t="s">
        <v>1322</v>
      </c>
      <c r="E97" s="772" t="s">
        <v>59</v>
      </c>
      <c r="F97" s="772"/>
      <c r="G97" s="102"/>
      <c r="H97" s="31"/>
      <c r="I97" s="1534" t="s">
        <v>1322</v>
      </c>
      <c r="J97" s="772" t="s">
        <v>59</v>
      </c>
      <c r="K97" s="772"/>
      <c r="L97" s="102"/>
      <c r="M97" s="31"/>
      <c r="N97" s="1534" t="s">
        <v>1322</v>
      </c>
      <c r="O97" s="772" t="s">
        <v>59</v>
      </c>
      <c r="P97" s="772"/>
      <c r="Q97" s="363"/>
      <c r="R97" s="102"/>
      <c r="S97" s="102"/>
      <c r="T97" s="102"/>
      <c r="U97" s="102"/>
      <c r="V97" s="102"/>
      <c r="W97" s="102"/>
      <c r="X97" s="102"/>
      <c r="Y97" s="102"/>
      <c r="Z97" s="102"/>
      <c r="AA97" s="102"/>
      <c r="AB97" s="102"/>
      <c r="AC97" s="102"/>
      <c r="AD97" s="102"/>
      <c r="AE97" s="366"/>
    </row>
    <row r="98" spans="1:31" ht="10.5" customHeight="1">
      <c r="A98" s="102"/>
      <c r="B98" s="102"/>
      <c r="C98" s="363" t="s">
        <v>1303</v>
      </c>
      <c r="D98" s="2525" t="s">
        <v>4639</v>
      </c>
      <c r="E98" s="2526" t="s">
        <v>4630</v>
      </c>
      <c r="F98" s="2526"/>
      <c r="G98" s="2526"/>
      <c r="H98" s="363" t="s">
        <v>1308</v>
      </c>
      <c r="I98" s="2525" t="s">
        <v>4641</v>
      </c>
      <c r="J98" s="2526" t="s">
        <v>4632</v>
      </c>
      <c r="K98" s="2526"/>
      <c r="L98" s="2526"/>
      <c r="M98" s="40" t="s">
        <v>1323</v>
      </c>
      <c r="N98" s="2525" t="s">
        <v>4640</v>
      </c>
      <c r="O98" s="2526" t="s">
        <v>4634</v>
      </c>
      <c r="P98" s="2526"/>
      <c r="Q98" s="2526"/>
      <c r="R98" s="102"/>
      <c r="S98" s="102"/>
      <c r="T98" s="102"/>
      <c r="U98" s="102"/>
      <c r="V98" s="102"/>
      <c r="W98" s="102"/>
      <c r="X98" s="102"/>
      <c r="Y98" s="102"/>
      <c r="Z98" s="102"/>
      <c r="AA98" s="102"/>
      <c r="AB98" s="102"/>
      <c r="AC98" s="102"/>
      <c r="AD98" s="102"/>
      <c r="AE98" s="366"/>
    </row>
    <row r="99" spans="1:31" ht="10.5" customHeight="1">
      <c r="A99" s="102"/>
      <c r="B99" s="102"/>
      <c r="C99" s="363" t="s">
        <v>1306</v>
      </c>
      <c r="D99" s="2527" t="s">
        <v>4638</v>
      </c>
      <c r="E99" s="2528" t="s">
        <v>4631</v>
      </c>
      <c r="F99" s="2528"/>
      <c r="G99" s="2528"/>
      <c r="H99" s="363" t="s">
        <v>1310</v>
      </c>
      <c r="I99" s="2527" t="s">
        <v>4636</v>
      </c>
      <c r="J99" s="2528" t="s">
        <v>4633</v>
      </c>
      <c r="K99" s="2528"/>
      <c r="L99" s="2528"/>
      <c r="M99" s="40" t="s">
        <v>1324</v>
      </c>
      <c r="N99" s="2527" t="s">
        <v>4637</v>
      </c>
      <c r="O99" s="2528" t="s">
        <v>4635</v>
      </c>
      <c r="P99" s="2528"/>
      <c r="Q99" s="2528"/>
      <c r="R99" s="102"/>
      <c r="S99" s="102"/>
      <c r="T99" s="102"/>
      <c r="U99" s="102"/>
      <c r="V99" s="102"/>
      <c r="W99" s="102"/>
      <c r="X99" s="102"/>
      <c r="Y99" s="102"/>
      <c r="Z99" s="102"/>
      <c r="AA99" s="102"/>
      <c r="AB99" s="102"/>
      <c r="AC99" s="102"/>
      <c r="AD99" s="102"/>
      <c r="AE99" s="366"/>
    </row>
    <row r="100" spans="1:31" ht="10.5" customHeight="1">
      <c r="A100" s="28" t="s">
        <v>147</v>
      </c>
      <c r="B100" s="31" t="s">
        <v>1325</v>
      </c>
      <c r="C100" s="102"/>
      <c r="D100" s="92"/>
      <c r="E100" s="92"/>
      <c r="F100" s="92"/>
      <c r="G100" s="92"/>
      <c r="H100" s="92"/>
      <c r="I100" s="58"/>
      <c r="J100" s="58"/>
      <c r="K100" s="92"/>
      <c r="L100" s="1535"/>
      <c r="M100" s="1535"/>
      <c r="N100" s="102"/>
      <c r="O100" s="363" t="s">
        <v>147</v>
      </c>
      <c r="P100" s="2362" t="s">
        <v>22</v>
      </c>
      <c r="Q100" s="429"/>
      <c r="R100" s="102"/>
      <c r="S100" s="102"/>
      <c r="T100" s="102"/>
      <c r="U100" s="102"/>
      <c r="V100" s="102"/>
      <c r="W100" s="102"/>
      <c r="X100" s="102"/>
      <c r="Y100" s="102"/>
      <c r="Z100" s="102"/>
      <c r="AA100" s="102"/>
      <c r="AB100" s="102"/>
      <c r="AC100" s="102"/>
      <c r="AD100" s="102"/>
      <c r="AE100" s="366"/>
    </row>
    <row r="101" spans="1:31" s="12" customFormat="1" ht="11.45" customHeight="1">
      <c r="A101" s="334" t="s">
        <v>1326</v>
      </c>
      <c r="E101" s="76"/>
      <c r="M101" s="288"/>
      <c r="O101" s="280"/>
      <c r="Q101" s="894" t="s">
        <v>437</v>
      </c>
      <c r="R101" s="767"/>
      <c r="S101" s="1106"/>
      <c r="T101" s="956"/>
      <c r="U101" s="956"/>
      <c r="V101" s="956"/>
      <c r="W101" s="956"/>
    </row>
    <row r="102" spans="1:31" s="293" customFormat="1" ht="21.75" customHeight="1">
      <c r="A102" s="100" t="s">
        <v>1327</v>
      </c>
      <c r="B102" s="1880" t="s">
        <v>1328</v>
      </c>
      <c r="C102" s="1880"/>
      <c r="D102" s="1880"/>
      <c r="E102" s="1880"/>
      <c r="F102" s="1880"/>
      <c r="G102" s="1880"/>
      <c r="H102" s="1880"/>
      <c r="I102" s="1880"/>
      <c r="J102" s="1880"/>
      <c r="K102" s="1880"/>
      <c r="L102" s="1880"/>
      <c r="M102" s="1880"/>
      <c r="N102" s="1880"/>
      <c r="O102" s="1880"/>
      <c r="P102" s="113" t="s">
        <v>1327</v>
      </c>
      <c r="Q102" s="1033"/>
      <c r="R102" s="768"/>
    </row>
    <row r="103" spans="1:31" s="293" customFormat="1" ht="21.75" customHeight="1">
      <c r="A103" s="100" t="s">
        <v>1329</v>
      </c>
      <c r="B103" s="1880" t="s">
        <v>1330</v>
      </c>
      <c r="C103" s="1880"/>
      <c r="D103" s="1880"/>
      <c r="E103" s="1880"/>
      <c r="F103" s="1880"/>
      <c r="G103" s="1880"/>
      <c r="H103" s="1880"/>
      <c r="I103" s="1880"/>
      <c r="J103" s="1880"/>
      <c r="K103" s="1880"/>
      <c r="L103" s="1880"/>
      <c r="M103" s="1880"/>
      <c r="N103" s="1880"/>
      <c r="O103" s="1880"/>
      <c r="P103" s="113" t="s">
        <v>1329</v>
      </c>
      <c r="Q103" s="428"/>
      <c r="R103" s="768"/>
    </row>
    <row r="104" spans="1:31" s="293" customFormat="1" ht="9.75" customHeight="1">
      <c r="A104" s="100" t="s">
        <v>9</v>
      </c>
      <c r="B104" s="98" t="s">
        <v>1331</v>
      </c>
      <c r="L104" s="332"/>
      <c r="N104" s="280"/>
      <c r="P104" s="40" t="s">
        <v>9</v>
      </c>
      <c r="Q104" s="428"/>
      <c r="R104" s="1106"/>
    </row>
    <row r="105" spans="1:31" s="293" customFormat="1" ht="9.75" customHeight="1">
      <c r="A105" s="100" t="s">
        <v>1332</v>
      </c>
      <c r="B105" s="98" t="s">
        <v>1333</v>
      </c>
      <c r="L105" s="332"/>
      <c r="N105" s="280"/>
      <c r="P105" s="40" t="s">
        <v>1332</v>
      </c>
      <c r="Q105" s="1051"/>
      <c r="R105" s="1106"/>
    </row>
    <row r="106" spans="1:31" ht="9.75" customHeight="1">
      <c r="A106" s="102"/>
      <c r="B106" s="99" t="s">
        <v>1274</v>
      </c>
      <c r="C106" s="102"/>
      <c r="D106" s="99"/>
      <c r="E106" s="99"/>
      <c r="F106" s="99"/>
      <c r="G106" s="99"/>
      <c r="H106" s="22"/>
      <c r="I106" s="1529"/>
      <c r="J106" s="1529"/>
      <c r="K106" s="1529"/>
      <c r="L106" s="1524"/>
      <c r="M106" s="1524"/>
      <c r="N106" s="1524"/>
      <c r="O106" s="1524"/>
      <c r="P106" s="1524"/>
      <c r="Q106" s="771"/>
      <c r="R106" s="102"/>
      <c r="S106" s="102"/>
      <c r="T106" s="102"/>
      <c r="U106" s="102"/>
      <c r="V106" s="102"/>
      <c r="W106" s="102"/>
      <c r="X106" s="102"/>
      <c r="Y106" s="102"/>
      <c r="Z106" s="102"/>
      <c r="AA106" s="102"/>
      <c r="AB106" s="102"/>
      <c r="AC106" s="102"/>
      <c r="AD106" s="102"/>
      <c r="AE106" s="366"/>
    </row>
    <row r="107" spans="1:31" ht="44.25" customHeight="1">
      <c r="A107" s="2496" t="s">
        <v>4728</v>
      </c>
      <c r="B107" s="2497"/>
      <c r="C107" s="2497"/>
      <c r="D107" s="2497"/>
      <c r="E107" s="2497"/>
      <c r="F107" s="2497"/>
      <c r="G107" s="2497"/>
      <c r="H107" s="2497"/>
      <c r="I107" s="2497"/>
      <c r="J107" s="2497"/>
      <c r="K107" s="2497"/>
      <c r="L107" s="2497"/>
      <c r="M107" s="2497"/>
      <c r="N107" s="2497"/>
      <c r="O107" s="2497"/>
      <c r="P107" s="2497"/>
      <c r="Q107" s="2498"/>
      <c r="R107" s="102"/>
      <c r="S107" s="102"/>
      <c r="T107" s="102"/>
      <c r="U107" s="94"/>
      <c r="V107" s="94"/>
      <c r="W107" s="94"/>
      <c r="X107" s="94"/>
      <c r="Y107" s="94"/>
      <c r="Z107" s="94"/>
      <c r="AA107" s="94"/>
      <c r="AB107" s="94"/>
      <c r="AC107" s="94"/>
      <c r="AD107" s="94"/>
      <c r="AE107" s="365"/>
    </row>
    <row r="108" spans="1:31" ht="9.75" customHeight="1">
      <c r="A108" s="102"/>
      <c r="B108" s="95" t="s">
        <v>1276</v>
      </c>
      <c r="C108" s="96"/>
      <c r="D108" s="1532"/>
      <c r="E108" s="1532"/>
      <c r="F108" s="1532"/>
      <c r="G108" s="1532"/>
      <c r="H108" s="1532"/>
      <c r="I108" s="1532"/>
      <c r="J108" s="1532"/>
      <c r="K108" s="1532"/>
      <c r="L108" s="1532"/>
      <c r="M108" s="1532"/>
      <c r="N108" s="1532"/>
      <c r="O108" s="1532"/>
      <c r="P108" s="1532"/>
      <c r="Q108" s="1532"/>
      <c r="R108" s="102"/>
      <c r="S108" s="102"/>
      <c r="T108" s="102"/>
      <c r="U108" s="102"/>
      <c r="V108" s="102"/>
      <c r="W108" s="102"/>
      <c r="X108" s="102"/>
      <c r="Y108" s="102"/>
      <c r="Z108" s="102"/>
      <c r="AA108" s="102"/>
      <c r="AB108" s="102"/>
      <c r="AC108" s="102"/>
      <c r="AD108" s="102"/>
      <c r="AE108" s="366"/>
    </row>
    <row r="109" spans="1:31" ht="44.25" customHeight="1">
      <c r="A109" s="1835"/>
      <c r="B109" s="1836"/>
      <c r="C109" s="1836"/>
      <c r="D109" s="1836"/>
      <c r="E109" s="1836"/>
      <c r="F109" s="1836"/>
      <c r="G109" s="1836"/>
      <c r="H109" s="1836"/>
      <c r="I109" s="1836"/>
      <c r="J109" s="1836"/>
      <c r="K109" s="1836"/>
      <c r="L109" s="1836"/>
      <c r="M109" s="1836"/>
      <c r="N109" s="1836"/>
      <c r="O109" s="1836"/>
      <c r="P109" s="1836"/>
      <c r="Q109" s="1837"/>
      <c r="R109" s="102"/>
      <c r="S109" s="102"/>
      <c r="T109" s="102"/>
      <c r="U109" s="102"/>
      <c r="V109" s="102"/>
      <c r="W109" s="102"/>
      <c r="X109" s="102"/>
      <c r="Y109" s="102"/>
      <c r="Z109" s="102"/>
      <c r="AA109" s="102"/>
      <c r="AB109" s="102"/>
      <c r="AC109" s="102"/>
      <c r="AD109" s="102"/>
      <c r="AE109" s="366"/>
    </row>
    <row r="110" spans="1:31" ht="13.9" customHeight="1">
      <c r="A110" s="1526" t="s">
        <v>150</v>
      </c>
      <c r="B110" s="1526" t="s">
        <v>1334</v>
      </c>
      <c r="C110" s="1526"/>
      <c r="D110" s="1532"/>
      <c r="E110" s="1532"/>
      <c r="F110" s="1532"/>
      <c r="G110" s="1532"/>
      <c r="H110" s="1532"/>
      <c r="I110" s="1532"/>
      <c r="J110" s="1532"/>
      <c r="K110" s="1532"/>
      <c r="L110" s="1532"/>
      <c r="M110" s="1532"/>
      <c r="N110" s="102"/>
      <c r="O110" s="90" t="s">
        <v>1273</v>
      </c>
      <c r="P110" s="1838"/>
      <c r="Q110" s="1845"/>
      <c r="R110" s="102"/>
      <c r="S110" s="102"/>
      <c r="T110" s="102"/>
      <c r="U110" s="102"/>
      <c r="V110" s="102"/>
      <c r="W110" s="102"/>
      <c r="X110" s="102"/>
      <c r="Y110" s="102"/>
      <c r="Z110" s="102"/>
      <c r="AA110" s="102"/>
      <c r="AB110" s="102"/>
      <c r="AC110" s="102"/>
      <c r="AD110" s="102"/>
      <c r="AE110" s="366"/>
    </row>
    <row r="111" spans="1:31" ht="3" customHeight="1">
      <c r="A111" s="102"/>
      <c r="B111" s="102"/>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02"/>
      <c r="AB111" s="102"/>
      <c r="AC111" s="102"/>
      <c r="AD111" s="102"/>
      <c r="AE111" s="366"/>
    </row>
    <row r="112" spans="1:31" ht="10.5" customHeight="1">
      <c r="A112" s="28" t="s">
        <v>110</v>
      </c>
      <c r="B112" s="31" t="s">
        <v>1335</v>
      </c>
      <c r="C112" s="31"/>
      <c r="D112" s="102"/>
      <c r="E112" s="31"/>
      <c r="F112" s="31"/>
      <c r="G112" s="31"/>
      <c r="H112" s="31"/>
      <c r="I112" s="31"/>
      <c r="J112" s="31"/>
      <c r="K112" s="31"/>
      <c r="L112" s="31"/>
      <c r="M112" s="31"/>
      <c r="N112" s="102"/>
      <c r="O112" s="363" t="s">
        <v>110</v>
      </c>
      <c r="P112" s="2313" t="s">
        <v>22</v>
      </c>
      <c r="Q112" s="425"/>
      <c r="R112" s="102"/>
      <c r="S112" s="102"/>
      <c r="T112" s="102"/>
      <c r="U112" s="102"/>
      <c r="V112" s="102"/>
      <c r="W112" s="102"/>
      <c r="X112" s="102"/>
      <c r="Y112" s="102"/>
      <c r="Z112" s="102"/>
      <c r="AA112" s="102"/>
      <c r="AB112" s="102"/>
      <c r="AC112" s="102"/>
      <c r="AD112" s="102"/>
      <c r="AE112" s="366"/>
    </row>
    <row r="113" spans="1:32" ht="10.5" customHeight="1">
      <c r="A113" s="28" t="s">
        <v>121</v>
      </c>
      <c r="B113" s="31" t="s">
        <v>1336</v>
      </c>
      <c r="C113" s="31"/>
      <c r="D113" s="102"/>
      <c r="E113" s="31"/>
      <c r="F113" s="31"/>
      <c r="G113" s="31"/>
      <c r="H113" s="31"/>
      <c r="I113" s="31"/>
      <c r="J113" s="31"/>
      <c r="K113" s="31"/>
      <c r="L113" s="772"/>
      <c r="M113" s="772"/>
      <c r="N113" s="102"/>
      <c r="O113" s="363" t="s">
        <v>121</v>
      </c>
      <c r="P113" s="2312" t="s">
        <v>22</v>
      </c>
      <c r="Q113" s="426"/>
      <c r="R113" s="102"/>
      <c r="S113" s="102"/>
      <c r="T113" s="102"/>
      <c r="U113" s="102"/>
      <c r="V113" s="102"/>
      <c r="W113" s="102"/>
      <c r="X113" s="102"/>
      <c r="Y113" s="102"/>
      <c r="Z113" s="102"/>
      <c r="AA113" s="102"/>
      <c r="AB113" s="102"/>
      <c r="AC113" s="102"/>
      <c r="AD113" s="102"/>
      <c r="AE113" s="366"/>
      <c r="AF113" s="366"/>
    </row>
    <row r="114" spans="1:32" ht="10.5" customHeight="1">
      <c r="A114" s="20"/>
      <c r="B114" s="102"/>
      <c r="C114" s="20" t="s">
        <v>1337</v>
      </c>
      <c r="D114" s="102"/>
      <c r="E114" s="58"/>
      <c r="F114" s="58"/>
      <c r="G114" s="58"/>
      <c r="H114" s="58"/>
      <c r="I114" s="58"/>
      <c r="J114" s="102"/>
      <c r="K114" s="102"/>
      <c r="L114" s="363" t="s">
        <v>1338</v>
      </c>
      <c r="M114" s="2511" t="s">
        <v>4628</v>
      </c>
      <c r="N114" s="2512"/>
      <c r="O114" s="2512"/>
      <c r="P114" s="2529"/>
      <c r="Q114" s="426"/>
      <c r="R114" s="102"/>
      <c r="S114" s="102"/>
      <c r="T114" s="102"/>
      <c r="U114" s="102"/>
      <c r="V114" s="102"/>
      <c r="W114" s="102"/>
      <c r="X114" s="102"/>
      <c r="Y114" s="102"/>
      <c r="Z114" s="102"/>
      <c r="AA114" s="102"/>
      <c r="AB114" s="102"/>
      <c r="AC114" s="102"/>
      <c r="AD114" s="102"/>
      <c r="AE114" s="366"/>
      <c r="AF114" s="366"/>
    </row>
    <row r="115" spans="1:32" ht="10.5" customHeight="1">
      <c r="A115" s="1529"/>
      <c r="B115" s="113" t="s">
        <v>1303</v>
      </c>
      <c r="C115" s="772" t="s">
        <v>1339</v>
      </c>
      <c r="D115" s="897"/>
      <c r="E115" s="897"/>
      <c r="F115" s="897"/>
      <c r="G115" s="897"/>
      <c r="H115" s="897"/>
      <c r="I115" s="897"/>
      <c r="J115" s="897"/>
      <c r="K115" s="897"/>
      <c r="L115" s="897"/>
      <c r="M115" s="897"/>
      <c r="N115" s="102"/>
      <c r="O115" s="113" t="s">
        <v>1303</v>
      </c>
      <c r="P115" s="2313" t="s">
        <v>22</v>
      </c>
      <c r="Q115" s="426"/>
      <c r="R115" s="102"/>
      <c r="S115" s="102"/>
      <c r="T115" s="102"/>
      <c r="U115" s="102"/>
      <c r="V115" s="102"/>
      <c r="W115" s="102"/>
      <c r="X115" s="102"/>
      <c r="Y115" s="102"/>
      <c r="Z115" s="102"/>
      <c r="AA115" s="102"/>
      <c r="AB115" s="102"/>
      <c r="AC115" s="102"/>
      <c r="AD115" s="102"/>
      <c r="AE115" s="366"/>
      <c r="AF115" s="366"/>
    </row>
    <row r="116" spans="1:32" ht="10.5" customHeight="1">
      <c r="A116" s="1529"/>
      <c r="B116" s="363" t="s">
        <v>1306</v>
      </c>
      <c r="C116" s="772" t="s">
        <v>1340</v>
      </c>
      <c r="D116" s="897"/>
      <c r="E116" s="897"/>
      <c r="F116" s="897"/>
      <c r="G116" s="897"/>
      <c r="H116" s="897"/>
      <c r="I116" s="897"/>
      <c r="J116" s="897"/>
      <c r="K116" s="897"/>
      <c r="L116" s="897"/>
      <c r="M116" s="897"/>
      <c r="N116" s="102"/>
      <c r="O116" s="363" t="s">
        <v>1306</v>
      </c>
      <c r="P116" s="2319" t="s">
        <v>21</v>
      </c>
      <c r="Q116" s="426"/>
      <c r="R116" s="102"/>
      <c r="S116" s="102"/>
      <c r="T116" s="102"/>
      <c r="U116" s="102"/>
      <c r="V116" s="102"/>
      <c r="W116" s="102"/>
      <c r="X116" s="102"/>
      <c r="Y116" s="102"/>
      <c r="Z116" s="102"/>
      <c r="AA116" s="102"/>
      <c r="AB116" s="102"/>
      <c r="AC116" s="102"/>
      <c r="AD116" s="102"/>
      <c r="AE116" s="366"/>
      <c r="AF116" s="366"/>
    </row>
    <row r="117" spans="1:32" ht="10.5" customHeight="1">
      <c r="A117" s="1529"/>
      <c r="B117" s="113" t="s">
        <v>1308</v>
      </c>
      <c r="C117" s="772" t="s">
        <v>1341</v>
      </c>
      <c r="D117" s="772"/>
      <c r="E117" s="772"/>
      <c r="F117" s="772"/>
      <c r="G117" s="772"/>
      <c r="H117" s="772"/>
      <c r="I117" s="772"/>
      <c r="J117" s="772"/>
      <c r="K117" s="772"/>
      <c r="L117" s="772"/>
      <c r="M117" s="790"/>
      <c r="N117" s="102"/>
      <c r="O117" s="113" t="s">
        <v>1308</v>
      </c>
      <c r="P117" s="2319" t="s">
        <v>22</v>
      </c>
      <c r="Q117" s="426"/>
      <c r="R117" s="102"/>
      <c r="S117" s="102"/>
      <c r="T117" s="102"/>
      <c r="U117" s="102"/>
      <c r="V117" s="102"/>
      <c r="W117" s="102"/>
      <c r="X117" s="102"/>
      <c r="Y117" s="102"/>
      <c r="Z117" s="102"/>
      <c r="AA117" s="102"/>
      <c r="AB117" s="102"/>
      <c r="AC117" s="102"/>
      <c r="AD117" s="102"/>
      <c r="AE117" s="366"/>
      <c r="AF117" s="366"/>
    </row>
    <row r="118" spans="1:32" s="91" customFormat="1" ht="24.75" customHeight="1">
      <c r="A118" s="329"/>
      <c r="B118" s="113" t="s">
        <v>1310</v>
      </c>
      <c r="C118" s="1833" t="s">
        <v>1342</v>
      </c>
      <c r="D118" s="1833"/>
      <c r="E118" s="1833"/>
      <c r="F118" s="1833"/>
      <c r="G118" s="1833"/>
      <c r="H118" s="1833"/>
      <c r="I118" s="1833"/>
      <c r="J118" s="1833"/>
      <c r="K118" s="1833"/>
      <c r="L118" s="1833"/>
      <c r="M118" s="1833"/>
      <c r="N118" s="1833"/>
      <c r="O118" s="113" t="s">
        <v>1310</v>
      </c>
      <c r="P118" s="2530"/>
      <c r="Q118" s="428"/>
      <c r="R118" s="310"/>
      <c r="S118" s="310"/>
      <c r="T118" s="310"/>
      <c r="U118" s="310"/>
      <c r="V118" s="310"/>
      <c r="W118" s="310"/>
      <c r="X118" s="310"/>
      <c r="Y118" s="310"/>
      <c r="Z118" s="310"/>
      <c r="AA118" s="310"/>
      <c r="AB118" s="310"/>
      <c r="AC118" s="310"/>
      <c r="AD118" s="310"/>
      <c r="AE118" s="367"/>
      <c r="AF118" s="367"/>
    </row>
    <row r="119" spans="1:32" ht="10.5" customHeight="1">
      <c r="A119" s="28" t="s">
        <v>123</v>
      </c>
      <c r="B119" s="31" t="s">
        <v>1343</v>
      </c>
      <c r="C119" s="102"/>
      <c r="D119" s="31"/>
      <c r="E119" s="31"/>
      <c r="F119" s="31"/>
      <c r="G119" s="31"/>
      <c r="H119" s="31"/>
      <c r="I119" s="31"/>
      <c r="J119" s="31"/>
      <c r="K119" s="31"/>
      <c r="L119" s="31"/>
      <c r="M119" s="31"/>
      <c r="N119" s="102"/>
      <c r="O119" s="363" t="s">
        <v>123</v>
      </c>
      <c r="P119" s="2312" t="s">
        <v>21</v>
      </c>
      <c r="Q119" s="427"/>
      <c r="R119" s="102"/>
      <c r="S119" s="102"/>
      <c r="T119" s="102"/>
      <c r="U119" s="102"/>
      <c r="V119" s="102"/>
      <c r="W119" s="102"/>
      <c r="X119" s="102"/>
      <c r="Y119" s="102"/>
      <c r="Z119" s="102"/>
      <c r="AA119" s="102"/>
      <c r="AB119" s="102"/>
      <c r="AC119" s="102"/>
      <c r="AD119" s="102"/>
      <c r="AE119" s="366"/>
      <c r="AF119" s="366"/>
    </row>
    <row r="120" spans="1:32" ht="10.5" customHeight="1">
      <c r="A120" s="28" t="s">
        <v>126</v>
      </c>
      <c r="B120" s="31" t="s">
        <v>1344</v>
      </c>
      <c r="C120" s="102"/>
      <c r="D120" s="31"/>
      <c r="E120" s="31"/>
      <c r="F120" s="102"/>
      <c r="G120" s="31"/>
      <c r="H120" s="102"/>
      <c r="I120" s="31"/>
      <c r="J120" s="102"/>
      <c r="K120" s="31"/>
      <c r="L120" s="772"/>
      <c r="M120" s="772"/>
      <c r="N120" s="772"/>
      <c r="O120" s="363" t="s">
        <v>126</v>
      </c>
      <c r="P120" s="772"/>
      <c r="Q120" s="772"/>
      <c r="R120" s="102"/>
      <c r="S120" s="102"/>
      <c r="T120" s="102"/>
      <c r="U120" s="102"/>
      <c r="V120" s="102"/>
      <c r="W120" s="102"/>
      <c r="X120" s="102"/>
      <c r="Y120" s="102"/>
      <c r="Z120" s="102"/>
      <c r="AA120" s="102"/>
      <c r="AB120" s="102"/>
      <c r="AC120" s="102"/>
      <c r="AD120" s="102"/>
      <c r="AE120" s="366"/>
      <c r="AF120" s="366"/>
    </row>
    <row r="121" spans="1:32" ht="10.5" customHeight="1">
      <c r="A121" s="102"/>
      <c r="B121" s="363" t="s">
        <v>1303</v>
      </c>
      <c r="C121" s="31" t="s">
        <v>1345</v>
      </c>
      <c r="D121" s="102"/>
      <c r="E121" s="31"/>
      <c r="F121" s="31"/>
      <c r="G121" s="31"/>
      <c r="H121" s="31"/>
      <c r="I121" s="31"/>
      <c r="J121" s="31"/>
      <c r="K121" s="31"/>
      <c r="L121" s="772"/>
      <c r="M121" s="772"/>
      <c r="N121" s="102"/>
      <c r="O121" s="363" t="s">
        <v>1303</v>
      </c>
      <c r="P121" s="2313" t="s">
        <v>21</v>
      </c>
      <c r="Q121" s="425"/>
      <c r="R121" s="102"/>
      <c r="S121" s="102"/>
      <c r="T121" s="102"/>
      <c r="U121" s="102"/>
      <c r="V121" s="102"/>
      <c r="W121" s="102"/>
      <c r="X121" s="102"/>
      <c r="Y121" s="102"/>
      <c r="Z121" s="102"/>
      <c r="AA121" s="102"/>
      <c r="AB121" s="102"/>
      <c r="AC121" s="102"/>
      <c r="AD121" s="102"/>
      <c r="AE121" s="366"/>
      <c r="AF121" s="366"/>
    </row>
    <row r="122" spans="1:32" ht="10.5" customHeight="1">
      <c r="A122" s="102"/>
      <c r="B122" s="363" t="s">
        <v>1306</v>
      </c>
      <c r="C122" s="31" t="s">
        <v>1346</v>
      </c>
      <c r="D122" s="102"/>
      <c r="E122" s="31"/>
      <c r="F122" s="31"/>
      <c r="G122" s="31"/>
      <c r="H122" s="31"/>
      <c r="I122" s="31"/>
      <c r="J122" s="31"/>
      <c r="K122" s="31"/>
      <c r="L122" s="772"/>
      <c r="M122" s="772"/>
      <c r="N122" s="102"/>
      <c r="O122" s="363" t="s">
        <v>1306</v>
      </c>
      <c r="P122" s="2319" t="s">
        <v>21</v>
      </c>
      <c r="Q122" s="426"/>
      <c r="R122" s="102"/>
      <c r="S122" s="102"/>
      <c r="T122" s="102"/>
      <c r="U122" s="102"/>
      <c r="V122" s="102"/>
      <c r="W122" s="102"/>
      <c r="X122" s="102"/>
      <c r="Y122" s="102"/>
      <c r="Z122" s="102"/>
      <c r="AA122" s="102"/>
      <c r="AB122" s="102"/>
      <c r="AC122" s="102"/>
      <c r="AD122" s="102"/>
      <c r="AE122" s="366"/>
      <c r="AF122" s="366"/>
    </row>
    <row r="123" spans="1:32" ht="10.5" customHeight="1">
      <c r="A123" s="102"/>
      <c r="B123" s="363" t="s">
        <v>1308</v>
      </c>
      <c r="C123" s="31" t="s">
        <v>1347</v>
      </c>
      <c r="D123" s="102"/>
      <c r="E123" s="31"/>
      <c r="F123" s="31"/>
      <c r="G123" s="31"/>
      <c r="H123" s="31"/>
      <c r="I123" s="31"/>
      <c r="J123" s="31"/>
      <c r="K123" s="31"/>
      <c r="L123" s="772"/>
      <c r="M123" s="772"/>
      <c r="N123" s="102"/>
      <c r="O123" s="363" t="s">
        <v>1308</v>
      </c>
      <c r="P123" s="2312" t="s">
        <v>21</v>
      </c>
      <c r="Q123" s="427"/>
      <c r="R123" s="102"/>
      <c r="S123" s="102"/>
      <c r="T123" s="102"/>
      <c r="U123" s="102"/>
      <c r="V123" s="102"/>
      <c r="W123" s="102"/>
      <c r="X123" s="102"/>
      <c r="Y123" s="102"/>
      <c r="Z123" s="102"/>
      <c r="AA123" s="102"/>
      <c r="AB123" s="102"/>
      <c r="AC123" s="102"/>
      <c r="AD123" s="102"/>
      <c r="AE123" s="366"/>
      <c r="AF123" s="366"/>
    </row>
    <row r="124" spans="1:32" ht="10.5" customHeight="1">
      <c r="A124" s="102"/>
      <c r="B124" s="99" t="s">
        <v>1274</v>
      </c>
      <c r="C124" s="102"/>
      <c r="D124" s="99"/>
      <c r="E124" s="99"/>
      <c r="F124" s="99"/>
      <c r="G124" s="99"/>
      <c r="H124" s="22"/>
      <c r="I124" s="1529"/>
      <c r="J124" s="1529"/>
      <c r="K124" s="1529"/>
      <c r="L124" s="1524"/>
      <c r="M124" s="1524"/>
      <c r="N124" s="1524"/>
      <c r="O124" s="1524"/>
      <c r="P124" s="1524"/>
      <c r="Q124" s="771"/>
      <c r="R124" s="102"/>
      <c r="S124" s="102"/>
      <c r="T124" s="102"/>
      <c r="U124" s="102"/>
      <c r="V124" s="102"/>
      <c r="W124" s="102"/>
      <c r="X124" s="102"/>
      <c r="Y124" s="102"/>
      <c r="Z124" s="102"/>
      <c r="AA124" s="102"/>
      <c r="AB124" s="102"/>
      <c r="AC124" s="102"/>
      <c r="AD124" s="102"/>
      <c r="AE124" s="366"/>
      <c r="AF124" s="366"/>
    </row>
    <row r="125" spans="1:32" ht="30" customHeight="1">
      <c r="A125" s="2496" t="s">
        <v>4642</v>
      </c>
      <c r="B125" s="2497"/>
      <c r="C125" s="2497"/>
      <c r="D125" s="2497"/>
      <c r="E125" s="2497"/>
      <c r="F125" s="2497"/>
      <c r="G125" s="2497"/>
      <c r="H125" s="2497"/>
      <c r="I125" s="2497"/>
      <c r="J125" s="2497"/>
      <c r="K125" s="2497"/>
      <c r="L125" s="2497"/>
      <c r="M125" s="2497"/>
      <c r="N125" s="2497"/>
      <c r="O125" s="2497"/>
      <c r="P125" s="2497"/>
      <c r="Q125" s="2498"/>
      <c r="R125" s="102"/>
      <c r="S125" s="102"/>
      <c r="T125" s="102"/>
      <c r="U125" s="94"/>
      <c r="V125" s="94"/>
      <c r="W125" s="94"/>
      <c r="X125" s="94"/>
      <c r="Y125" s="94"/>
      <c r="Z125" s="94"/>
      <c r="AA125" s="94"/>
      <c r="AB125" s="94"/>
      <c r="AC125" s="94"/>
      <c r="AD125" s="94"/>
      <c r="AE125" s="365"/>
      <c r="AF125" s="366"/>
    </row>
    <row r="126" spans="1:32" ht="11.25" customHeight="1">
      <c r="A126" s="102"/>
      <c r="B126" s="95" t="s">
        <v>1276</v>
      </c>
      <c r="C126" s="96"/>
      <c r="D126" s="1532"/>
      <c r="E126" s="1532"/>
      <c r="F126" s="1532"/>
      <c r="G126" s="1532"/>
      <c r="H126" s="1532"/>
      <c r="I126" s="1532"/>
      <c r="J126" s="1532"/>
      <c r="K126" s="1532"/>
      <c r="L126" s="1532"/>
      <c r="M126" s="1532"/>
      <c r="N126" s="1532"/>
      <c r="O126" s="1532"/>
      <c r="P126" s="1532"/>
      <c r="Q126" s="1532"/>
      <c r="R126" s="102"/>
      <c r="S126" s="102"/>
      <c r="T126" s="102"/>
      <c r="U126" s="102"/>
      <c r="V126" s="102"/>
      <c r="W126" s="102"/>
      <c r="X126" s="102"/>
      <c r="Y126" s="102"/>
      <c r="Z126" s="102"/>
      <c r="AA126" s="102"/>
      <c r="AB126" s="102"/>
      <c r="AC126" s="102"/>
      <c r="AD126" s="102"/>
      <c r="AE126" s="366"/>
      <c r="AF126" s="366"/>
    </row>
    <row r="127" spans="1:32" ht="22.5" customHeight="1">
      <c r="A127" s="1835"/>
      <c r="B127" s="1836"/>
      <c r="C127" s="1836"/>
      <c r="D127" s="1836"/>
      <c r="E127" s="1836"/>
      <c r="F127" s="1836"/>
      <c r="G127" s="1836"/>
      <c r="H127" s="1836"/>
      <c r="I127" s="1836"/>
      <c r="J127" s="1836"/>
      <c r="K127" s="1836"/>
      <c r="L127" s="1836"/>
      <c r="M127" s="1836"/>
      <c r="N127" s="1836"/>
      <c r="O127" s="1836"/>
      <c r="P127" s="1836"/>
      <c r="Q127" s="1837"/>
      <c r="R127" s="102"/>
      <c r="S127" s="102"/>
      <c r="T127" s="102"/>
      <c r="U127" s="102"/>
      <c r="V127" s="102"/>
      <c r="W127" s="102"/>
      <c r="X127" s="102"/>
      <c r="Y127" s="102"/>
      <c r="Z127" s="102"/>
      <c r="AA127" s="102"/>
      <c r="AB127" s="102"/>
      <c r="AC127" s="102"/>
      <c r="AD127" s="102"/>
      <c r="AE127" s="366"/>
      <c r="AF127" s="366"/>
    </row>
    <row r="128" spans="1:32" ht="13.9" customHeight="1">
      <c r="A128" s="1526" t="s">
        <v>167</v>
      </c>
      <c r="B128" s="1526" t="s">
        <v>1348</v>
      </c>
      <c r="C128" s="22"/>
      <c r="D128" s="1532"/>
      <c r="E128" s="1532"/>
      <c r="F128" s="1532"/>
      <c r="G128" s="1532"/>
      <c r="H128" s="1532"/>
      <c r="I128" s="1532"/>
      <c r="J128" s="1532"/>
      <c r="K128" s="1532"/>
      <c r="L128" s="1532"/>
      <c r="M128" s="1532"/>
      <c r="N128" s="102"/>
      <c r="O128" s="90" t="s">
        <v>1273</v>
      </c>
      <c r="P128" s="1838"/>
      <c r="Q128" s="1845"/>
      <c r="R128" s="102"/>
      <c r="S128" s="102"/>
      <c r="T128" s="102"/>
      <c r="U128" s="102"/>
      <c r="V128" s="102"/>
      <c r="W128" s="102"/>
      <c r="X128" s="102"/>
      <c r="Y128" s="102"/>
      <c r="Z128" s="102"/>
      <c r="AA128" s="102"/>
      <c r="AB128" s="102"/>
      <c r="AC128" s="102"/>
      <c r="AD128" s="102"/>
      <c r="AE128" s="366"/>
      <c r="AF128" s="366"/>
    </row>
    <row r="129" spans="1:17" ht="6.6" customHeight="1">
      <c r="A129" s="102"/>
      <c r="B129" s="102"/>
      <c r="C129" s="102"/>
      <c r="D129" s="102"/>
      <c r="E129" s="102"/>
      <c r="F129" s="102"/>
      <c r="G129" s="102"/>
      <c r="H129" s="102"/>
      <c r="I129" s="102"/>
      <c r="J129" s="102"/>
      <c r="K129" s="102"/>
      <c r="L129" s="102"/>
      <c r="M129" s="102"/>
      <c r="N129" s="102"/>
      <c r="O129" s="102"/>
      <c r="P129" s="102"/>
      <c r="Q129" s="102"/>
    </row>
    <row r="130" spans="1:17" ht="12" customHeight="1">
      <c r="A130" s="28" t="s">
        <v>110</v>
      </c>
      <c r="B130" s="31" t="s">
        <v>1349</v>
      </c>
      <c r="C130" s="102"/>
      <c r="D130" s="92"/>
      <c r="E130" s="92"/>
      <c r="F130" s="92"/>
      <c r="G130" s="92"/>
      <c r="H130" s="92"/>
      <c r="I130" s="58"/>
      <c r="J130" s="58"/>
      <c r="K130" s="363" t="s">
        <v>110</v>
      </c>
      <c r="L130" s="2531" t="s">
        <v>4643</v>
      </c>
      <c r="M130" s="2531"/>
      <c r="N130" s="2531"/>
      <c r="O130" s="2531"/>
      <c r="P130" s="2531"/>
      <c r="Q130" s="1411"/>
    </row>
    <row r="131" spans="1:17" ht="12" customHeight="1">
      <c r="A131" s="28" t="s">
        <v>121</v>
      </c>
      <c r="B131" s="31" t="s">
        <v>1350</v>
      </c>
      <c r="C131" s="102"/>
      <c r="D131" s="92"/>
      <c r="E131" s="92"/>
      <c r="F131" s="92"/>
      <c r="G131" s="92"/>
      <c r="H131" s="92"/>
      <c r="I131" s="58"/>
      <c r="J131" s="58"/>
      <c r="K131" s="92"/>
      <c r="L131" s="1535"/>
      <c r="M131" s="102"/>
      <c r="N131" s="102"/>
      <c r="O131" s="363" t="s">
        <v>121</v>
      </c>
      <c r="P131" s="2364" t="s">
        <v>21</v>
      </c>
      <c r="Q131" s="815"/>
    </row>
    <row r="132" spans="1:17" ht="12" customHeight="1">
      <c r="A132" s="28" t="s">
        <v>123</v>
      </c>
      <c r="B132" s="31" t="s">
        <v>1351</v>
      </c>
      <c r="C132" s="102"/>
      <c r="D132" s="92"/>
      <c r="E132" s="92"/>
      <c r="F132" s="92"/>
      <c r="G132" s="92"/>
      <c r="H132" s="92"/>
      <c r="I132" s="58"/>
      <c r="J132" s="58"/>
      <c r="K132" s="1535"/>
      <c r="L132" s="1535"/>
      <c r="M132" s="102"/>
      <c r="N132" s="102"/>
      <c r="O132" s="363" t="s">
        <v>123</v>
      </c>
      <c r="P132" s="2312" t="s">
        <v>22</v>
      </c>
      <c r="Q132" s="778"/>
    </row>
    <row r="133" spans="1:17" ht="12" customHeight="1">
      <c r="A133" s="28"/>
      <c r="B133" s="40" t="s">
        <v>1303</v>
      </c>
      <c r="C133" s="31" t="s">
        <v>1352</v>
      </c>
      <c r="D133" s="102"/>
      <c r="E133" s="92"/>
      <c r="F133" s="92"/>
      <c r="G133" s="92"/>
      <c r="H133" s="92"/>
      <c r="I133" s="58"/>
      <c r="J133" s="58"/>
      <c r="K133" s="363" t="s">
        <v>1303</v>
      </c>
      <c r="L133" s="2531" t="s">
        <v>4643</v>
      </c>
      <c r="M133" s="2531"/>
      <c r="N133" s="2531"/>
      <c r="O133" s="2531"/>
      <c r="P133" s="2531"/>
      <c r="Q133" s="1411"/>
    </row>
    <row r="134" spans="1:17" ht="12" customHeight="1">
      <c r="A134" s="97"/>
      <c r="B134" s="363" t="s">
        <v>1306</v>
      </c>
      <c r="C134" s="20" t="s">
        <v>1353</v>
      </c>
      <c r="D134" s="102"/>
      <c r="E134" s="58"/>
      <c r="F134" s="58"/>
      <c r="G134" s="58"/>
      <c r="H134" s="31"/>
      <c r="I134" s="58"/>
      <c r="J134" s="58"/>
      <c r="K134" s="92"/>
      <c r="L134" s="1535"/>
      <c r="M134" s="1535"/>
      <c r="N134" s="102"/>
      <c r="O134" s="363" t="s">
        <v>1306</v>
      </c>
      <c r="P134" s="2362" t="s">
        <v>4644</v>
      </c>
      <c r="Q134" s="429"/>
    </row>
    <row r="135" spans="1:17" ht="12" customHeight="1">
      <c r="A135" s="97"/>
      <c r="B135" s="363" t="s">
        <v>1308</v>
      </c>
      <c r="C135" s="31" t="s">
        <v>1354</v>
      </c>
      <c r="D135" s="102"/>
      <c r="E135" s="58"/>
      <c r="F135" s="58"/>
      <c r="G135" s="58"/>
      <c r="H135" s="31"/>
      <c r="I135" s="58"/>
      <c r="J135" s="58"/>
      <c r="K135" s="92"/>
      <c r="L135" s="1535"/>
      <c r="M135" s="1535"/>
      <c r="N135" s="1535"/>
      <c r="O135" s="1535"/>
      <c r="P135" s="102"/>
      <c r="Q135" s="102"/>
    </row>
    <row r="136" spans="1:17" ht="11.45" customHeight="1">
      <c r="A136" s="1524"/>
      <c r="B136" s="363"/>
      <c r="C136" s="2532" t="s">
        <v>4645</v>
      </c>
      <c r="D136" s="2532"/>
      <c r="E136" s="2532"/>
      <c r="F136" s="2532"/>
      <c r="G136" s="2532"/>
      <c r="H136" s="2532"/>
      <c r="I136" s="2532"/>
      <c r="J136" s="2532"/>
      <c r="K136" s="2532"/>
      <c r="L136" s="2532"/>
      <c r="M136" s="2532"/>
      <c r="N136" s="2532"/>
      <c r="O136" s="2532"/>
      <c r="P136" s="2532"/>
      <c r="Q136" s="2532"/>
    </row>
    <row r="137" spans="1:17" ht="12" customHeight="1">
      <c r="A137" s="28" t="s">
        <v>126</v>
      </c>
      <c r="B137" s="31" t="s">
        <v>1355</v>
      </c>
      <c r="C137" s="102"/>
      <c r="D137" s="92"/>
      <c r="E137" s="92"/>
      <c r="F137" s="92"/>
      <c r="G137" s="92"/>
      <c r="H137" s="92"/>
      <c r="I137" s="58"/>
      <c r="J137" s="58"/>
      <c r="K137" s="92"/>
      <c r="L137" s="1535"/>
      <c r="M137" s="1535"/>
      <c r="N137" s="1535"/>
      <c r="O137" s="363" t="s">
        <v>126</v>
      </c>
      <c r="P137" s="102"/>
      <c r="Q137" s="102"/>
    </row>
    <row r="138" spans="1:17" ht="12" customHeight="1">
      <c r="A138" s="28"/>
      <c r="B138" s="363" t="s">
        <v>1303</v>
      </c>
      <c r="C138" s="31" t="s">
        <v>1356</v>
      </c>
      <c r="D138" s="102"/>
      <c r="E138" s="92"/>
      <c r="F138" s="92"/>
      <c r="G138" s="92"/>
      <c r="H138" s="92"/>
      <c r="I138" s="58"/>
      <c r="J138" s="58"/>
      <c r="K138" s="92"/>
      <c r="L138" s="1535"/>
      <c r="M138" s="1535"/>
      <c r="N138" s="102"/>
      <c r="O138" s="363" t="s">
        <v>1303</v>
      </c>
      <c r="P138" s="2313" t="s">
        <v>21</v>
      </c>
      <c r="Q138" s="425"/>
    </row>
    <row r="139" spans="1:17" ht="12" customHeight="1">
      <c r="A139" s="28"/>
      <c r="B139" s="363" t="s">
        <v>1306</v>
      </c>
      <c r="C139" s="31" t="s">
        <v>1357</v>
      </c>
      <c r="D139" s="102"/>
      <c r="E139" s="92"/>
      <c r="F139" s="92"/>
      <c r="G139" s="92"/>
      <c r="H139" s="58"/>
      <c r="I139" s="58"/>
      <c r="J139" s="58"/>
      <c r="K139" s="92"/>
      <c r="L139" s="1535"/>
      <c r="M139" s="1535"/>
      <c r="N139" s="102"/>
      <c r="O139" s="363" t="s">
        <v>1306</v>
      </c>
      <c r="P139" s="2319" t="s">
        <v>21</v>
      </c>
      <c r="Q139" s="426"/>
    </row>
    <row r="140" spans="1:17" ht="12" customHeight="1">
      <c r="A140" s="28"/>
      <c r="B140" s="363"/>
      <c r="C140" s="31" t="s">
        <v>1358</v>
      </c>
      <c r="D140" s="102"/>
      <c r="E140" s="363" t="s">
        <v>1359</v>
      </c>
      <c r="F140" s="31" t="s">
        <v>1360</v>
      </c>
      <c r="G140" s="58"/>
      <c r="H140" s="31"/>
      <c r="I140" s="58"/>
      <c r="J140" s="58"/>
      <c r="K140" s="92"/>
      <c r="L140" s="1535"/>
      <c r="M140" s="1535"/>
      <c r="N140" s="102"/>
      <c r="O140" s="363" t="s">
        <v>1359</v>
      </c>
      <c r="P140" s="2533"/>
      <c r="Q140" s="733"/>
    </row>
    <row r="141" spans="1:17" ht="12" customHeight="1">
      <c r="A141" s="28"/>
      <c r="B141" s="363"/>
      <c r="C141" s="102"/>
      <c r="D141" s="102"/>
      <c r="E141" s="363" t="s">
        <v>1361</v>
      </c>
      <c r="F141" s="31" t="s">
        <v>1362</v>
      </c>
      <c r="G141" s="58"/>
      <c r="H141" s="31"/>
      <c r="I141" s="58"/>
      <c r="J141" s="58"/>
      <c r="K141" s="92"/>
      <c r="L141" s="1535"/>
      <c r="M141" s="1535"/>
      <c r="N141" s="102"/>
      <c r="O141" s="363" t="s">
        <v>1361</v>
      </c>
      <c r="P141" s="2319"/>
      <c r="Q141" s="426"/>
    </row>
    <row r="142" spans="1:17" ht="12" customHeight="1">
      <c r="A142" s="28"/>
      <c r="B142" s="363"/>
      <c r="C142" s="102"/>
      <c r="D142" s="102"/>
      <c r="E142" s="363" t="s">
        <v>1363</v>
      </c>
      <c r="F142" s="31" t="s">
        <v>1364</v>
      </c>
      <c r="G142" s="58"/>
      <c r="H142" s="31"/>
      <c r="I142" s="58"/>
      <c r="J142" s="58"/>
      <c r="K142" s="92"/>
      <c r="L142" s="1535"/>
      <c r="M142" s="1535"/>
      <c r="N142" s="102"/>
      <c r="O142" s="363" t="s">
        <v>1363</v>
      </c>
      <c r="P142" s="2319"/>
      <c r="Q142" s="426"/>
    </row>
    <row r="143" spans="1:17" ht="12" customHeight="1">
      <c r="A143" s="28"/>
      <c r="B143" s="363" t="s">
        <v>1308</v>
      </c>
      <c r="C143" s="31" t="s">
        <v>1365</v>
      </c>
      <c r="D143" s="102"/>
      <c r="E143" s="92"/>
      <c r="F143" s="92"/>
      <c r="G143" s="92"/>
      <c r="H143" s="31"/>
      <c r="I143" s="58"/>
      <c r="J143" s="58"/>
      <c r="K143" s="92"/>
      <c r="L143" s="1535"/>
      <c r="M143" s="1535"/>
      <c r="N143" s="102"/>
      <c r="O143" s="363" t="s">
        <v>1308</v>
      </c>
      <c r="P143" s="2319" t="s">
        <v>21</v>
      </c>
      <c r="Q143" s="426"/>
    </row>
    <row r="144" spans="1:17" ht="12" customHeight="1">
      <c r="A144" s="28"/>
      <c r="B144" s="363"/>
      <c r="C144" s="31" t="s">
        <v>1358</v>
      </c>
      <c r="D144" s="102"/>
      <c r="E144" s="363" t="s">
        <v>1359</v>
      </c>
      <c r="F144" s="31" t="s">
        <v>1366</v>
      </c>
      <c r="G144" s="58"/>
      <c r="H144" s="31"/>
      <c r="I144" s="58"/>
      <c r="J144" s="58"/>
      <c r="K144" s="92"/>
      <c r="L144" s="1535"/>
      <c r="M144" s="102"/>
      <c r="N144" s="102"/>
      <c r="O144" s="363" t="s">
        <v>1359</v>
      </c>
      <c r="P144" s="2533">
        <v>1.7000000000000001E-2</v>
      </c>
      <c r="Q144" s="733"/>
    </row>
    <row r="145" spans="1:18" ht="12" customHeight="1">
      <c r="A145" s="28"/>
      <c r="B145" s="363"/>
      <c r="C145" s="102"/>
      <c r="D145" s="102"/>
      <c r="E145" s="363" t="s">
        <v>1361</v>
      </c>
      <c r="F145" s="31" t="s">
        <v>1367</v>
      </c>
      <c r="G145" s="58"/>
      <c r="H145" s="31"/>
      <c r="I145" s="58"/>
      <c r="J145" s="58"/>
      <c r="K145" s="102"/>
      <c r="L145" s="102"/>
      <c r="M145" s="102"/>
      <c r="N145" s="102"/>
      <c r="O145" s="363" t="s">
        <v>1361</v>
      </c>
      <c r="P145" s="2319" t="s">
        <v>21</v>
      </c>
      <c r="Q145" s="426"/>
      <c r="R145" s="102"/>
    </row>
    <row r="146" spans="1:18" ht="12" customHeight="1">
      <c r="A146" s="28"/>
      <c r="B146" s="363"/>
      <c r="C146" s="102"/>
      <c r="D146" s="102"/>
      <c r="E146" s="363" t="s">
        <v>1363</v>
      </c>
      <c r="F146" s="31" t="s">
        <v>1364</v>
      </c>
      <c r="G146" s="58"/>
      <c r="H146" s="31"/>
      <c r="I146" s="58"/>
      <c r="J146" s="58"/>
      <c r="K146" s="102"/>
      <c r="L146" s="102"/>
      <c r="M146" s="102"/>
      <c r="N146" s="102"/>
      <c r="O146" s="363" t="s">
        <v>1363</v>
      </c>
      <c r="P146" s="2319" t="s">
        <v>22</v>
      </c>
      <c r="Q146" s="426"/>
      <c r="R146" s="102"/>
    </row>
    <row r="147" spans="1:18" ht="12" customHeight="1">
      <c r="A147" s="20"/>
      <c r="B147" s="363" t="s">
        <v>1310</v>
      </c>
      <c r="C147" s="31" t="s">
        <v>1368</v>
      </c>
      <c r="D147" s="102"/>
      <c r="E147" s="92"/>
      <c r="F147" s="92"/>
      <c r="G147" s="92"/>
      <c r="H147" s="92"/>
      <c r="I147" s="58"/>
      <c r="J147" s="58"/>
      <c r="K147" s="102"/>
      <c r="L147" s="102"/>
      <c r="M147" s="102"/>
      <c r="N147" s="102"/>
      <c r="O147" s="363" t="s">
        <v>1310</v>
      </c>
      <c r="P147" s="2312" t="s">
        <v>22</v>
      </c>
      <c r="Q147" s="427"/>
      <c r="R147" s="102"/>
    </row>
    <row r="148" spans="1:18" ht="12" customHeight="1">
      <c r="A148" s="28" t="s">
        <v>140</v>
      </c>
      <c r="B148" s="22" t="s">
        <v>1369</v>
      </c>
      <c r="C148" s="102"/>
      <c r="D148" s="92"/>
      <c r="E148" s="92"/>
      <c r="F148" s="92"/>
      <c r="G148" s="92"/>
      <c r="H148" s="92"/>
      <c r="I148" s="58"/>
      <c r="J148" s="58"/>
      <c r="K148" s="92"/>
      <c r="L148" s="1535"/>
      <c r="M148" s="1535"/>
      <c r="N148" s="1535"/>
      <c r="O148" s="1535"/>
      <c r="P148" s="1535"/>
      <c r="Q148" s="1535"/>
      <c r="R148" s="102"/>
    </row>
    <row r="149" spans="1:18" ht="12" customHeight="1">
      <c r="A149" s="102"/>
      <c r="B149" s="363" t="s">
        <v>1303</v>
      </c>
      <c r="C149" s="31" t="s">
        <v>1370</v>
      </c>
      <c r="D149" s="102"/>
      <c r="E149" s="92"/>
      <c r="F149" s="2313" t="s">
        <v>21</v>
      </c>
      <c r="G149" s="425"/>
      <c r="H149" s="363" t="s">
        <v>1323</v>
      </c>
      <c r="I149" s="33" t="s">
        <v>1371</v>
      </c>
      <c r="J149" s="102"/>
      <c r="K149" s="102"/>
      <c r="L149" s="2313" t="s">
        <v>22</v>
      </c>
      <c r="M149" s="425"/>
      <c r="N149" s="363" t="s">
        <v>1372</v>
      </c>
      <c r="O149" s="31" t="s">
        <v>1373</v>
      </c>
      <c r="P149" s="2313" t="s">
        <v>21</v>
      </c>
      <c r="Q149" s="425"/>
      <c r="R149" s="102"/>
    </row>
    <row r="150" spans="1:18" ht="12" customHeight="1">
      <c r="A150" s="20"/>
      <c r="B150" s="363" t="s">
        <v>1306</v>
      </c>
      <c r="C150" s="31" t="s">
        <v>1374</v>
      </c>
      <c r="D150" s="102"/>
      <c r="E150" s="92"/>
      <c r="F150" s="2319" t="s">
        <v>21</v>
      </c>
      <c r="G150" s="426"/>
      <c r="H150" s="363" t="s">
        <v>1324</v>
      </c>
      <c r="I150" s="33" t="s">
        <v>1375</v>
      </c>
      <c r="J150" s="102"/>
      <c r="K150" s="102"/>
      <c r="L150" s="2319" t="s">
        <v>21</v>
      </c>
      <c r="M150" s="426"/>
      <c r="N150" s="363" t="s">
        <v>1376</v>
      </c>
      <c r="O150" s="31" t="s">
        <v>1377</v>
      </c>
      <c r="P150" s="2319" t="s">
        <v>21</v>
      </c>
      <c r="Q150" s="426"/>
      <c r="R150" s="102"/>
    </row>
    <row r="151" spans="1:18" ht="12" customHeight="1">
      <c r="A151" s="20"/>
      <c r="B151" s="363" t="s">
        <v>1308</v>
      </c>
      <c r="C151" s="31" t="s">
        <v>1378</v>
      </c>
      <c r="D151" s="102"/>
      <c r="E151" s="92"/>
      <c r="F151" s="2319" t="s">
        <v>21</v>
      </c>
      <c r="G151" s="426"/>
      <c r="H151" s="363" t="s">
        <v>1379</v>
      </c>
      <c r="I151" s="33" t="s">
        <v>1380</v>
      </c>
      <c r="J151" s="102"/>
      <c r="K151" s="102"/>
      <c r="L151" s="2319" t="s">
        <v>21</v>
      </c>
      <c r="M151" s="426"/>
      <c r="N151" s="363" t="s">
        <v>1381</v>
      </c>
      <c r="O151" s="31" t="s">
        <v>1382</v>
      </c>
      <c r="P151" s="2312" t="s">
        <v>21</v>
      </c>
      <c r="Q151" s="427"/>
      <c r="R151" s="102"/>
    </row>
    <row r="152" spans="1:18" ht="12" customHeight="1">
      <c r="A152" s="20"/>
      <c r="B152" s="363" t="s">
        <v>1310</v>
      </c>
      <c r="C152" s="31" t="s">
        <v>1383</v>
      </c>
      <c r="D152" s="102"/>
      <c r="E152" s="92"/>
      <c r="F152" s="2312" t="s">
        <v>21</v>
      </c>
      <c r="G152" s="427"/>
      <c r="H152" s="363" t="s">
        <v>1384</v>
      </c>
      <c r="I152" s="31" t="s">
        <v>1385</v>
      </c>
      <c r="J152" s="102"/>
      <c r="K152" s="102"/>
      <c r="L152" s="2312" t="s">
        <v>21</v>
      </c>
      <c r="M152" s="427"/>
      <c r="N152" s="102"/>
      <c r="O152" s="363"/>
      <c r="P152" s="102"/>
      <c r="Q152" s="102"/>
      <c r="R152" s="102"/>
    </row>
    <row r="153" spans="1:18" ht="12" customHeight="1">
      <c r="A153" s="20"/>
      <c r="B153" s="363" t="s">
        <v>1386</v>
      </c>
      <c r="C153" s="31" t="s">
        <v>1387</v>
      </c>
      <c r="D153" s="102"/>
      <c r="E153" s="92"/>
      <c r="F153" s="92"/>
      <c r="G153" s="92"/>
      <c r="H153" s="92"/>
      <c r="I153" s="92"/>
      <c r="J153" s="92"/>
      <c r="K153" s="92"/>
      <c r="L153" s="92"/>
      <c r="M153" s="31"/>
      <c r="N153" s="102"/>
      <c r="O153" s="363"/>
      <c r="P153" s="363"/>
      <c r="Q153" s="102"/>
      <c r="R153" s="102"/>
    </row>
    <row r="154" spans="1:18" ht="12" customHeight="1">
      <c r="A154" s="20"/>
      <c r="B154" s="102"/>
      <c r="C154" s="2532" t="s">
        <v>2217</v>
      </c>
      <c r="D154" s="2532"/>
      <c r="E154" s="2532"/>
      <c r="F154" s="2532"/>
      <c r="G154" s="2532"/>
      <c r="H154" s="2532"/>
      <c r="I154" s="2532"/>
      <c r="J154" s="2532"/>
      <c r="K154" s="2532"/>
      <c r="L154" s="2532"/>
      <c r="M154" s="2532"/>
      <c r="N154" s="2532"/>
      <c r="O154" s="2532"/>
      <c r="P154" s="2532"/>
      <c r="Q154" s="2532"/>
      <c r="R154" s="102"/>
    </row>
    <row r="155" spans="1:18" ht="12" customHeight="1">
      <c r="A155" s="28" t="s">
        <v>147</v>
      </c>
      <c r="B155" s="31" t="s">
        <v>1388</v>
      </c>
      <c r="C155" s="102"/>
      <c r="D155" s="92"/>
      <c r="E155" s="92"/>
      <c r="F155" s="92"/>
      <c r="G155" s="92"/>
      <c r="H155" s="92"/>
      <c r="I155" s="58"/>
      <c r="J155" s="58"/>
      <c r="K155" s="92"/>
      <c r="L155" s="92"/>
      <c r="M155" s="1535"/>
      <c r="N155" s="102"/>
      <c r="O155" s="102"/>
      <c r="P155" s="102"/>
      <c r="Q155" s="102"/>
      <c r="R155" s="102"/>
    </row>
    <row r="156" spans="1:18" ht="12" customHeight="1">
      <c r="A156" s="58"/>
      <c r="B156" s="363" t="s">
        <v>1303</v>
      </c>
      <c r="C156" s="31" t="s">
        <v>1389</v>
      </c>
      <c r="D156" s="102"/>
      <c r="E156" s="92"/>
      <c r="F156" s="92"/>
      <c r="G156" s="92"/>
      <c r="H156" s="92"/>
      <c r="I156" s="102"/>
      <c r="J156" s="102"/>
      <c r="K156" s="102"/>
      <c r="L156" s="102"/>
      <c r="M156" s="102"/>
      <c r="N156" s="102"/>
      <c r="O156" s="363" t="s">
        <v>1303</v>
      </c>
      <c r="P156" s="2313"/>
      <c r="Q156" s="425"/>
      <c r="R156" s="102"/>
    </row>
    <row r="157" spans="1:18" ht="12" customHeight="1">
      <c r="A157" s="1529"/>
      <c r="B157" s="363" t="s">
        <v>1306</v>
      </c>
      <c r="C157" s="31" t="s">
        <v>1390</v>
      </c>
      <c r="D157" s="102"/>
      <c r="E157" s="31"/>
      <c r="F157" s="31"/>
      <c r="G157" s="31"/>
      <c r="H157" s="31"/>
      <c r="I157" s="58"/>
      <c r="J157" s="58"/>
      <c r="K157" s="31"/>
      <c r="L157" s="31"/>
      <c r="M157" s="31"/>
      <c r="N157" s="102"/>
      <c r="O157" s="363" t="s">
        <v>1306</v>
      </c>
      <c r="P157" s="2319"/>
      <c r="Q157" s="426"/>
      <c r="R157" s="102"/>
    </row>
    <row r="158" spans="1:18" ht="12" customHeight="1">
      <c r="A158" s="1529"/>
      <c r="B158" s="363" t="s">
        <v>1308</v>
      </c>
      <c r="C158" s="31" t="s">
        <v>1391</v>
      </c>
      <c r="D158" s="102"/>
      <c r="E158" s="31"/>
      <c r="F158" s="31"/>
      <c r="G158" s="31"/>
      <c r="H158" s="31"/>
      <c r="I158" s="58"/>
      <c r="J158" s="58"/>
      <c r="K158" s="31"/>
      <c r="L158" s="31"/>
      <c r="M158" s="31"/>
      <c r="N158" s="102"/>
      <c r="O158" s="363" t="s">
        <v>1308</v>
      </c>
      <c r="P158" s="2319"/>
      <c r="Q158" s="426"/>
      <c r="R158" s="102"/>
    </row>
    <row r="159" spans="1:18" ht="12" customHeight="1">
      <c r="A159" s="28" t="s">
        <v>1327</v>
      </c>
      <c r="B159" s="31" t="s">
        <v>1392</v>
      </c>
      <c r="C159" s="102"/>
      <c r="D159" s="92"/>
      <c r="E159" s="92"/>
      <c r="F159" s="92"/>
      <c r="G159" s="92"/>
      <c r="H159" s="92"/>
      <c r="I159" s="58"/>
      <c r="J159" s="58"/>
      <c r="K159" s="92"/>
      <c r="L159" s="92"/>
      <c r="M159" s="1535"/>
      <c r="N159" s="102"/>
      <c r="O159" s="363" t="s">
        <v>1327</v>
      </c>
      <c r="P159" s="2312"/>
      <c r="Q159" s="427"/>
      <c r="R159" s="102"/>
    </row>
    <row r="160" spans="1:18" ht="12" customHeight="1">
      <c r="A160" s="307" t="s">
        <v>1393</v>
      </c>
      <c r="B160" s="102"/>
      <c r="C160" s="31"/>
      <c r="D160" s="92"/>
      <c r="E160" s="92"/>
      <c r="F160" s="92"/>
      <c r="G160" s="92"/>
      <c r="H160" s="92"/>
      <c r="I160" s="58"/>
      <c r="J160" s="58"/>
      <c r="K160" s="92"/>
      <c r="L160" s="92"/>
      <c r="M160" s="1535"/>
      <c r="N160" s="1535"/>
      <c r="O160" s="1535"/>
      <c r="P160" s="1535"/>
      <c r="Q160" s="1535"/>
      <c r="R160" s="1535"/>
    </row>
    <row r="161" spans="1:32" s="1" customFormat="1" ht="23.45" customHeight="1">
      <c r="A161" s="100" t="s">
        <v>1329</v>
      </c>
      <c r="B161" s="1833" t="s">
        <v>1394</v>
      </c>
      <c r="C161" s="1833"/>
      <c r="D161" s="1833"/>
      <c r="E161" s="1833"/>
      <c r="F161" s="1833"/>
      <c r="G161" s="1833"/>
      <c r="H161" s="1833"/>
      <c r="I161" s="1833"/>
      <c r="J161" s="1833"/>
      <c r="K161" s="1833"/>
      <c r="L161" s="1833"/>
      <c r="M161" s="113" t="s">
        <v>1329</v>
      </c>
      <c r="N161" s="2534" t="s">
        <v>781</v>
      </c>
      <c r="O161" s="2535"/>
      <c r="P161" s="1881" t="s">
        <v>781</v>
      </c>
      <c r="Q161" s="1882"/>
      <c r="R161" s="58"/>
      <c r="S161" s="58"/>
      <c r="T161" s="58"/>
      <c r="U161" s="58"/>
      <c r="V161" s="58"/>
      <c r="W161" s="58"/>
      <c r="X161" s="58"/>
      <c r="Y161" s="58"/>
      <c r="Z161" s="58"/>
      <c r="AA161" s="58"/>
      <c r="AB161" s="58"/>
      <c r="AC161" s="58"/>
      <c r="AD161" s="58"/>
      <c r="AE161" s="368"/>
      <c r="AF161" s="368"/>
    </row>
    <row r="162" spans="1:32" s="1" customFormat="1" ht="12" customHeight="1">
      <c r="A162" s="28" t="s">
        <v>9</v>
      </c>
      <c r="B162" s="328" t="s">
        <v>1395</v>
      </c>
      <c r="C162" s="58"/>
      <c r="D162" s="1014"/>
      <c r="E162" s="1014"/>
      <c r="F162" s="58"/>
      <c r="G162" s="363" t="s">
        <v>9</v>
      </c>
      <c r="H162" s="2536"/>
      <c r="I162" s="2537"/>
      <c r="J162" s="2537"/>
      <c r="K162" s="2537"/>
      <c r="L162" s="2537"/>
      <c r="M162" s="2537"/>
      <c r="N162" s="2537"/>
      <c r="O162" s="2537"/>
      <c r="P162" s="2538"/>
      <c r="Q162" s="1411"/>
      <c r="R162" s="58"/>
      <c r="S162" s="58"/>
      <c r="T162" s="58"/>
      <c r="U162" s="58"/>
      <c r="V162" s="58"/>
      <c r="W162" s="58"/>
      <c r="X162" s="58"/>
      <c r="Y162" s="58"/>
      <c r="Z162" s="58"/>
      <c r="AA162" s="58"/>
      <c r="AB162" s="58"/>
      <c r="AC162" s="58"/>
      <c r="AD162" s="58"/>
      <c r="AE162" s="368"/>
      <c r="AF162" s="368"/>
    </row>
    <row r="163" spans="1:32" s="1" customFormat="1" ht="12" customHeight="1">
      <c r="A163" s="28" t="s">
        <v>1332</v>
      </c>
      <c r="B163" s="772" t="s">
        <v>1396</v>
      </c>
      <c r="C163" s="58"/>
      <c r="D163" s="1342"/>
      <c r="E163" s="1342"/>
      <c r="F163" s="1342"/>
      <c r="G163" s="325"/>
      <c r="H163" s="325"/>
      <c r="I163" s="772"/>
      <c r="J163" s="58"/>
      <c r="K163" s="325"/>
      <c r="L163" s="325"/>
      <c r="M163" s="325"/>
      <c r="N163" s="58"/>
      <c r="O163" s="363" t="s">
        <v>1332</v>
      </c>
      <c r="P163" s="2383"/>
      <c r="Q163" s="1411"/>
      <c r="R163" s="58"/>
      <c r="S163" s="58"/>
      <c r="T163" s="58"/>
      <c r="U163" s="58"/>
      <c r="V163" s="58"/>
      <c r="W163" s="58"/>
      <c r="X163" s="58"/>
      <c r="Y163" s="58"/>
      <c r="Z163" s="58"/>
      <c r="AA163" s="58"/>
      <c r="AB163" s="58"/>
      <c r="AC163" s="58"/>
      <c r="AD163" s="58"/>
      <c r="AE163" s="368"/>
      <c r="AF163" s="368"/>
    </row>
    <row r="164" spans="1:32" ht="11.25" customHeight="1">
      <c r="A164" s="102"/>
      <c r="B164" s="99" t="s">
        <v>1274</v>
      </c>
      <c r="C164" s="102"/>
      <c r="D164" s="99"/>
      <c r="E164" s="99"/>
      <c r="F164" s="99"/>
      <c r="G164" s="99"/>
      <c r="H164" s="22"/>
      <c r="I164" s="1529"/>
      <c r="J164" s="1529"/>
      <c r="K164" s="1529"/>
      <c r="L164" s="1524"/>
      <c r="M164" s="1524"/>
      <c r="N164" s="1524"/>
      <c r="O164" s="1524"/>
      <c r="P164" s="1524"/>
      <c r="Q164" s="771"/>
      <c r="R164" s="102"/>
      <c r="S164" s="102"/>
      <c r="T164" s="102"/>
      <c r="U164" s="102"/>
      <c r="V164" s="102"/>
      <c r="W164" s="102"/>
      <c r="X164" s="102"/>
      <c r="Y164" s="102"/>
      <c r="Z164" s="102"/>
      <c r="AA164" s="102"/>
      <c r="AB164" s="102"/>
      <c r="AC164" s="102"/>
      <c r="AD164" s="102"/>
      <c r="AE164" s="366"/>
      <c r="AF164" s="366"/>
    </row>
    <row r="165" spans="1:32" ht="39" customHeight="1">
      <c r="A165" s="2496" t="s">
        <v>4650</v>
      </c>
      <c r="B165" s="2497"/>
      <c r="C165" s="2497"/>
      <c r="D165" s="2497"/>
      <c r="E165" s="2497"/>
      <c r="F165" s="2497"/>
      <c r="G165" s="2497"/>
      <c r="H165" s="2497"/>
      <c r="I165" s="2497"/>
      <c r="J165" s="2497"/>
      <c r="K165" s="2497"/>
      <c r="L165" s="2497"/>
      <c r="M165" s="2497"/>
      <c r="N165" s="2497"/>
      <c r="O165" s="2497"/>
      <c r="P165" s="2497"/>
      <c r="Q165" s="2498"/>
      <c r="R165" s="342" t="s">
        <v>1275</v>
      </c>
      <c r="S165" s="342"/>
      <c r="T165" s="102"/>
      <c r="U165" s="94"/>
      <c r="V165" s="94"/>
      <c r="W165" s="94"/>
      <c r="X165" s="94"/>
      <c r="Y165" s="94"/>
      <c r="Z165" s="94"/>
      <c r="AA165" s="94"/>
      <c r="AB165" s="94"/>
      <c r="AC165" s="94"/>
      <c r="AD165" s="94"/>
      <c r="AE165" s="365"/>
      <c r="AF165" s="366"/>
    </row>
    <row r="166" spans="1:32" s="12" customFormat="1" ht="3" customHeight="1">
      <c r="C166" s="76"/>
      <c r="D166" s="76"/>
      <c r="R166" s="342"/>
      <c r="S166" s="342"/>
      <c r="AE166" s="76"/>
      <c r="AF166" s="76"/>
    </row>
    <row r="167" spans="1:32" ht="11.25" customHeight="1">
      <c r="A167" s="102"/>
      <c r="B167" s="95" t="s">
        <v>1276</v>
      </c>
      <c r="C167" s="96"/>
      <c r="D167" s="1532"/>
      <c r="E167" s="1532"/>
      <c r="F167" s="1532"/>
      <c r="G167" s="1532"/>
      <c r="H167" s="1532"/>
      <c r="I167" s="1532"/>
      <c r="J167" s="1532"/>
      <c r="K167" s="1532"/>
      <c r="L167" s="1532"/>
      <c r="M167" s="1532"/>
      <c r="N167" s="1532"/>
      <c r="O167" s="1532"/>
      <c r="P167" s="1532"/>
      <c r="Q167" s="1532"/>
      <c r="R167" s="102"/>
      <c r="S167" s="102"/>
      <c r="T167" s="102"/>
      <c r="U167" s="102"/>
      <c r="V167" s="102"/>
      <c r="W167" s="102"/>
      <c r="X167" s="102"/>
      <c r="Y167" s="102"/>
      <c r="Z167" s="102"/>
      <c r="AA167" s="102"/>
      <c r="AB167" s="102"/>
      <c r="AC167" s="102"/>
      <c r="AD167" s="102"/>
      <c r="AE167" s="366"/>
      <c r="AF167" s="366"/>
    </row>
    <row r="168" spans="1:32" ht="11.45" customHeight="1">
      <c r="A168" s="1835"/>
      <c r="B168" s="1836"/>
      <c r="C168" s="1836"/>
      <c r="D168" s="1836"/>
      <c r="E168" s="1836"/>
      <c r="F168" s="1836"/>
      <c r="G168" s="1836"/>
      <c r="H168" s="1836"/>
      <c r="I168" s="1836"/>
      <c r="J168" s="1836"/>
      <c r="K168" s="1836"/>
      <c r="L168" s="1836"/>
      <c r="M168" s="1836"/>
      <c r="N168" s="1836"/>
      <c r="O168" s="1836"/>
      <c r="P168" s="1836"/>
      <c r="Q168" s="1837"/>
      <c r="R168" s="102"/>
      <c r="S168" s="102"/>
      <c r="T168" s="102"/>
      <c r="U168" s="102"/>
      <c r="V168" s="102"/>
      <c r="W168" s="102"/>
      <c r="X168" s="102"/>
      <c r="Y168" s="102"/>
      <c r="Z168" s="102"/>
      <c r="AA168" s="102"/>
      <c r="AB168" s="102"/>
      <c r="AC168" s="102"/>
      <c r="AD168" s="102"/>
      <c r="AE168" s="366"/>
      <c r="AF168" s="366"/>
    </row>
    <row r="169" spans="1:32" ht="3" customHeight="1">
      <c r="A169" s="1524"/>
      <c r="B169" s="1529"/>
      <c r="C169" s="1532"/>
      <c r="D169" s="1532"/>
      <c r="E169" s="1532"/>
      <c r="F169" s="1532"/>
      <c r="G169" s="1532"/>
      <c r="H169" s="1532"/>
      <c r="I169" s="1532"/>
      <c r="J169" s="1532"/>
      <c r="K169" s="1532"/>
      <c r="L169" s="1532"/>
      <c r="M169" s="1532"/>
      <c r="N169" s="1532"/>
      <c r="O169" s="1532"/>
      <c r="P169" s="1532"/>
      <c r="Q169" s="1524"/>
      <c r="R169" s="102"/>
      <c r="S169" s="102"/>
      <c r="T169" s="102"/>
      <c r="U169" s="102"/>
      <c r="V169" s="102"/>
      <c r="W169" s="102"/>
      <c r="X169" s="102"/>
      <c r="Y169" s="102"/>
      <c r="Z169" s="102"/>
      <c r="AA169" s="102"/>
      <c r="AB169" s="102"/>
      <c r="AC169" s="102"/>
      <c r="AD169" s="102"/>
      <c r="AE169" s="366"/>
      <c r="AF169" s="366"/>
    </row>
    <row r="170" spans="1:32" ht="13.9" customHeight="1">
      <c r="A170" s="1526" t="s">
        <v>173</v>
      </c>
      <c r="B170" s="1526" t="s">
        <v>1397</v>
      </c>
      <c r="C170" s="1526"/>
      <c r="D170" s="1532"/>
      <c r="E170" s="1532"/>
      <c r="F170" s="1532"/>
      <c r="G170" s="1532"/>
      <c r="H170" s="1532"/>
      <c r="I170" s="1532"/>
      <c r="J170" s="1532"/>
      <c r="K170" s="1532"/>
      <c r="L170" s="102"/>
      <c r="M170" s="102"/>
      <c r="N170" s="102"/>
      <c r="O170" s="90" t="s">
        <v>1273</v>
      </c>
      <c r="P170" s="1838"/>
      <c r="Q170" s="1845"/>
      <c r="R170" s="102"/>
      <c r="S170" s="102"/>
      <c r="T170" s="102"/>
      <c r="U170" s="102"/>
      <c r="V170" s="102"/>
      <c r="W170" s="102"/>
      <c r="X170" s="102"/>
      <c r="Y170" s="102"/>
      <c r="Z170" s="102"/>
      <c r="AA170" s="102"/>
      <c r="AB170" s="102"/>
      <c r="AC170" s="102"/>
      <c r="AD170" s="102"/>
      <c r="AE170" s="366"/>
      <c r="AF170" s="366"/>
    </row>
    <row r="171" spans="1:32" ht="12" customHeight="1">
      <c r="A171" s="28" t="s">
        <v>110</v>
      </c>
      <c r="B171" s="31" t="s">
        <v>1398</v>
      </c>
      <c r="C171" s="102"/>
      <c r="D171" s="31"/>
      <c r="E171" s="31"/>
      <c r="F171" s="31"/>
      <c r="G171" s="31"/>
      <c r="H171" s="102"/>
      <c r="I171" s="31" t="s">
        <v>1399</v>
      </c>
      <c r="J171" s="102"/>
      <c r="K171" s="2539">
        <v>43830</v>
      </c>
      <c r="L171" s="2540"/>
      <c r="M171" s="102"/>
      <c r="N171" s="31"/>
      <c r="O171" s="363" t="s">
        <v>110</v>
      </c>
      <c r="P171" s="2383" t="s">
        <v>22</v>
      </c>
      <c r="Q171" s="1411"/>
      <c r="R171" s="102"/>
      <c r="S171" s="102"/>
      <c r="T171" s="102"/>
      <c r="U171" s="102"/>
      <c r="V171" s="102"/>
      <c r="W171" s="102"/>
      <c r="X171" s="102"/>
      <c r="Y171" s="102"/>
      <c r="Z171" s="102"/>
      <c r="AA171" s="102"/>
      <c r="AB171" s="102"/>
      <c r="AC171" s="102"/>
      <c r="AD171" s="102"/>
      <c r="AE171" s="366"/>
      <c r="AF171" s="366"/>
    </row>
    <row r="172" spans="1:32" ht="12" customHeight="1">
      <c r="A172" s="28" t="s">
        <v>121</v>
      </c>
      <c r="B172" s="98" t="s">
        <v>1400</v>
      </c>
      <c r="C172" s="102"/>
      <c r="D172" s="98"/>
      <c r="E172" s="98"/>
      <c r="F172" s="98"/>
      <c r="G172" s="98"/>
      <c r="H172" s="98"/>
      <c r="I172" s="102"/>
      <c r="J172" s="102"/>
      <c r="K172" s="102"/>
      <c r="L172" s="102"/>
      <c r="M172" s="363" t="s">
        <v>121</v>
      </c>
      <c r="N172" s="2541" t="s">
        <v>4646</v>
      </c>
      <c r="O172" s="2542"/>
      <c r="P172" s="1846" t="s">
        <v>781</v>
      </c>
      <c r="Q172" s="1847"/>
      <c r="R172" s="102"/>
      <c r="S172" s="102"/>
      <c r="T172" s="102"/>
      <c r="U172" s="102"/>
      <c r="V172" s="102"/>
      <c r="W172" s="102"/>
      <c r="X172" s="102"/>
      <c r="Y172" s="102"/>
      <c r="Z172" s="102"/>
      <c r="AA172" s="102"/>
      <c r="AB172" s="102"/>
      <c r="AC172" s="102"/>
      <c r="AD172" s="102"/>
      <c r="AE172" s="366"/>
      <c r="AF172" s="366"/>
    </row>
    <row r="173" spans="1:32" ht="12" customHeight="1">
      <c r="A173" s="28" t="s">
        <v>123</v>
      </c>
      <c r="B173" s="98" t="s">
        <v>1401</v>
      </c>
      <c r="C173" s="102"/>
      <c r="D173" s="98"/>
      <c r="E173" s="98"/>
      <c r="F173" s="98"/>
      <c r="G173" s="98"/>
      <c r="H173" s="98"/>
      <c r="I173" s="102"/>
      <c r="J173" s="363" t="s">
        <v>123</v>
      </c>
      <c r="K173" s="2511" t="s">
        <v>4647</v>
      </c>
      <c r="L173" s="2512"/>
      <c r="M173" s="2512"/>
      <c r="N173" s="2512"/>
      <c r="O173" s="2512"/>
      <c r="P173" s="2513"/>
      <c r="Q173" s="1411"/>
      <c r="R173" s="102"/>
      <c r="S173" s="102"/>
      <c r="T173" s="102"/>
      <c r="U173" s="102"/>
      <c r="V173" s="102"/>
      <c r="W173" s="102"/>
      <c r="X173" s="102"/>
      <c r="Y173" s="102"/>
      <c r="Z173" s="102"/>
      <c r="AA173" s="102"/>
      <c r="AB173" s="102"/>
      <c r="AC173" s="102"/>
      <c r="AD173" s="102"/>
      <c r="AE173" s="366"/>
      <c r="AF173" s="366"/>
    </row>
    <row r="174" spans="1:32" ht="12" customHeight="1">
      <c r="A174" s="28" t="s">
        <v>126</v>
      </c>
      <c r="B174" s="98" t="s">
        <v>1402</v>
      </c>
      <c r="C174" s="102"/>
      <c r="D174" s="98"/>
      <c r="E174" s="98"/>
      <c r="F174" s="98"/>
      <c r="G174" s="98"/>
      <c r="H174" s="98"/>
      <c r="I174" s="102"/>
      <c r="J174" s="363"/>
      <c r="K174" s="363"/>
      <c r="L174" s="363"/>
      <c r="M174" s="363"/>
      <c r="N174" s="363"/>
      <c r="O174" s="363" t="s">
        <v>126</v>
      </c>
      <c r="P174" s="2383" t="s">
        <v>22</v>
      </c>
      <c r="Q174" s="1411"/>
      <c r="R174" s="102"/>
      <c r="S174" s="102"/>
      <c r="T174" s="102"/>
      <c r="U174" s="102"/>
      <c r="V174" s="102"/>
      <c r="W174" s="102"/>
      <c r="X174" s="102"/>
      <c r="Y174" s="102"/>
      <c r="Z174" s="102"/>
      <c r="AA174" s="102"/>
      <c r="AB174" s="102"/>
      <c r="AC174" s="102"/>
      <c r="AD174" s="102"/>
      <c r="AE174" s="366"/>
      <c r="AF174" s="366"/>
    </row>
    <row r="175" spans="1:32" ht="12" customHeight="1">
      <c r="A175" s="102"/>
      <c r="B175" s="99" t="s">
        <v>1274</v>
      </c>
      <c r="C175" s="102"/>
      <c r="D175" s="99"/>
      <c r="E175" s="99"/>
      <c r="F175" s="99"/>
      <c r="G175" s="99"/>
      <c r="H175" s="22"/>
      <c r="I175" s="1529"/>
      <c r="J175" s="1529"/>
      <c r="K175" s="1529"/>
      <c r="L175" s="1524"/>
      <c r="M175" s="1524"/>
      <c r="N175" s="1524"/>
      <c r="O175" s="1524"/>
      <c r="P175" s="1524"/>
      <c r="Q175" s="771"/>
      <c r="R175" s="102"/>
      <c r="S175" s="102"/>
      <c r="T175" s="102"/>
      <c r="U175" s="102"/>
      <c r="V175" s="102"/>
      <c r="W175" s="102"/>
      <c r="X175" s="102"/>
      <c r="Y175" s="102"/>
      <c r="Z175" s="102"/>
      <c r="AA175" s="102"/>
      <c r="AB175" s="102"/>
      <c r="AC175" s="102"/>
      <c r="AD175" s="102"/>
      <c r="AE175" s="366"/>
      <c r="AF175" s="366"/>
    </row>
    <row r="176" spans="1:32" ht="24.75" customHeight="1">
      <c r="A176" s="2496" t="s">
        <v>4648</v>
      </c>
      <c r="B176" s="2497"/>
      <c r="C176" s="2497"/>
      <c r="D176" s="2497"/>
      <c r="E176" s="2497"/>
      <c r="F176" s="2497"/>
      <c r="G176" s="2497"/>
      <c r="H176" s="2497"/>
      <c r="I176" s="2497"/>
      <c r="J176" s="2497"/>
      <c r="K176" s="2497"/>
      <c r="L176" s="2497"/>
      <c r="M176" s="2497"/>
      <c r="N176" s="2497"/>
      <c r="O176" s="2497"/>
      <c r="P176" s="2497"/>
      <c r="Q176" s="2498"/>
      <c r="R176" s="102"/>
      <c r="S176" s="102"/>
      <c r="T176" s="102"/>
      <c r="U176" s="94"/>
      <c r="V176" s="94"/>
      <c r="W176" s="94"/>
      <c r="X176" s="94"/>
      <c r="Y176" s="94"/>
      <c r="Z176" s="94"/>
      <c r="AA176" s="94"/>
      <c r="AB176" s="94"/>
      <c r="AC176" s="94"/>
      <c r="AD176" s="94"/>
      <c r="AE176" s="365"/>
      <c r="AF176" s="366"/>
    </row>
    <row r="177" spans="1:31" ht="12" customHeight="1">
      <c r="A177" s="102"/>
      <c r="B177" s="95" t="s">
        <v>1276</v>
      </c>
      <c r="C177" s="96"/>
      <c r="D177" s="1532"/>
      <c r="E177" s="1532"/>
      <c r="F177" s="1532"/>
      <c r="G177" s="1532"/>
      <c r="H177" s="1532"/>
      <c r="I177" s="1532"/>
      <c r="J177" s="1532"/>
      <c r="K177" s="1532"/>
      <c r="L177" s="1532"/>
      <c r="M177" s="1532"/>
      <c r="N177" s="1532"/>
      <c r="O177" s="1532"/>
      <c r="P177" s="1532"/>
      <c r="Q177" s="1532"/>
      <c r="R177" s="102"/>
      <c r="S177" s="102"/>
      <c r="T177" s="102"/>
      <c r="U177" s="102"/>
      <c r="V177" s="102"/>
      <c r="W177" s="102"/>
      <c r="X177" s="102"/>
      <c r="Y177" s="102"/>
      <c r="Z177" s="102"/>
      <c r="AA177" s="102"/>
      <c r="AB177" s="102"/>
      <c r="AC177" s="102"/>
      <c r="AD177" s="102"/>
      <c r="AE177" s="366"/>
    </row>
    <row r="178" spans="1:31" ht="11.45" customHeight="1">
      <c r="A178" s="1835"/>
      <c r="B178" s="1836"/>
      <c r="C178" s="1836"/>
      <c r="D178" s="1836"/>
      <c r="E178" s="1836"/>
      <c r="F178" s="1836"/>
      <c r="G178" s="1836"/>
      <c r="H178" s="1836"/>
      <c r="I178" s="1836"/>
      <c r="J178" s="1836"/>
      <c r="K178" s="1836"/>
      <c r="L178" s="1836"/>
      <c r="M178" s="1836"/>
      <c r="N178" s="1836"/>
      <c r="O178" s="1836"/>
      <c r="P178" s="1836"/>
      <c r="Q178" s="1837"/>
      <c r="R178" s="102"/>
      <c r="S178" s="102"/>
      <c r="T178" s="102"/>
      <c r="U178" s="102"/>
      <c r="V178" s="102"/>
      <c r="W178" s="102"/>
      <c r="X178" s="102"/>
      <c r="Y178" s="102"/>
      <c r="Z178" s="102"/>
      <c r="AA178" s="102"/>
      <c r="AB178" s="102"/>
      <c r="AC178" s="102"/>
      <c r="AD178" s="102"/>
      <c r="AE178" s="366"/>
    </row>
    <row r="179" spans="1:31" ht="3" customHeight="1">
      <c r="A179" s="1524"/>
      <c r="B179" s="1529"/>
      <c r="C179" s="1532"/>
      <c r="D179" s="1532"/>
      <c r="E179" s="1532"/>
      <c r="F179" s="1532"/>
      <c r="G179" s="1532"/>
      <c r="H179" s="1532"/>
      <c r="I179" s="1532"/>
      <c r="J179" s="1532"/>
      <c r="K179" s="1532"/>
      <c r="L179" s="1532"/>
      <c r="M179" s="1532"/>
      <c r="N179" s="102"/>
      <c r="O179" s="102"/>
      <c r="P179" s="102"/>
      <c r="Q179" s="1524"/>
      <c r="R179" s="102"/>
      <c r="S179" s="102"/>
      <c r="T179" s="102"/>
      <c r="U179" s="102"/>
      <c r="V179" s="102"/>
      <c r="W179" s="102"/>
      <c r="X179" s="102"/>
      <c r="Y179" s="102"/>
      <c r="Z179" s="102"/>
      <c r="AA179" s="102"/>
      <c r="AB179" s="102"/>
      <c r="AC179" s="102"/>
      <c r="AD179" s="102"/>
      <c r="AE179" s="366"/>
    </row>
    <row r="180" spans="1:31" ht="13.9" customHeight="1">
      <c r="A180" s="1526" t="s">
        <v>182</v>
      </c>
      <c r="B180" s="1526" t="s">
        <v>1403</v>
      </c>
      <c r="C180" s="1526"/>
      <c r="D180" s="1532"/>
      <c r="E180" s="1532"/>
      <c r="F180" s="1532"/>
      <c r="G180" s="1532"/>
      <c r="H180" s="1532"/>
      <c r="I180" s="1532"/>
      <c r="J180" s="1532"/>
      <c r="K180" s="1532"/>
      <c r="L180" s="1532"/>
      <c r="M180" s="1532"/>
      <c r="N180" s="102"/>
      <c r="O180" s="90" t="s">
        <v>1273</v>
      </c>
      <c r="P180" s="1838"/>
      <c r="Q180" s="1845"/>
      <c r="R180" s="102"/>
      <c r="S180" s="102"/>
      <c r="T180" s="102"/>
      <c r="U180" s="102"/>
      <c r="V180" s="102"/>
      <c r="W180" s="102"/>
      <c r="X180" s="102"/>
      <c r="Y180" s="102"/>
      <c r="Z180" s="102"/>
      <c r="AA180" s="102"/>
      <c r="AB180" s="102"/>
      <c r="AC180" s="102"/>
      <c r="AD180" s="102"/>
      <c r="AE180" s="366"/>
    </row>
    <row r="181" spans="1:31" ht="21.75" customHeight="1">
      <c r="A181" s="100" t="s">
        <v>110</v>
      </c>
      <c r="B181" s="1833" t="s">
        <v>1404</v>
      </c>
      <c r="C181" s="1833"/>
      <c r="D181" s="1833"/>
      <c r="E181" s="1833"/>
      <c r="F181" s="1833"/>
      <c r="G181" s="1833"/>
      <c r="H181" s="1833"/>
      <c r="I181" s="1833"/>
      <c r="J181" s="1833"/>
      <c r="K181" s="1833"/>
      <c r="L181" s="1833"/>
      <c r="M181" s="1833"/>
      <c r="N181" s="1833"/>
      <c r="O181" s="113" t="s">
        <v>110</v>
      </c>
      <c r="P181" s="2454" t="s">
        <v>22</v>
      </c>
      <c r="Q181" s="1033"/>
      <c r="R181" s="102"/>
      <c r="S181" s="102"/>
      <c r="T181" s="102"/>
      <c r="U181" s="102"/>
      <c r="V181" s="102"/>
      <c r="W181" s="102"/>
      <c r="X181" s="102"/>
      <c r="Y181" s="102"/>
      <c r="Z181" s="102"/>
      <c r="AA181" s="102"/>
      <c r="AB181" s="102"/>
      <c r="AC181" s="102"/>
      <c r="AD181" s="102"/>
      <c r="AE181" s="366"/>
    </row>
    <row r="182" spans="1:31" ht="22.15" customHeight="1">
      <c r="A182" s="100" t="s">
        <v>121</v>
      </c>
      <c r="B182" s="1833" t="s">
        <v>1405</v>
      </c>
      <c r="C182" s="1833"/>
      <c r="D182" s="1833"/>
      <c r="E182" s="1833"/>
      <c r="F182" s="1833"/>
      <c r="G182" s="1833"/>
      <c r="H182" s="1833"/>
      <c r="I182" s="1833"/>
      <c r="J182" s="1833"/>
      <c r="K182" s="1833"/>
      <c r="L182" s="1833"/>
      <c r="M182" s="1833"/>
      <c r="N182" s="1833"/>
      <c r="O182" s="113" t="s">
        <v>121</v>
      </c>
      <c r="P182" s="2530" t="s">
        <v>4649</v>
      </c>
      <c r="Q182" s="428"/>
      <c r="R182" s="102"/>
      <c r="S182" s="102"/>
      <c r="T182" s="102"/>
      <c r="U182" s="102"/>
      <c r="V182" s="102"/>
      <c r="W182" s="102"/>
      <c r="X182" s="102"/>
      <c r="Y182" s="102"/>
      <c r="Z182" s="102"/>
      <c r="AA182" s="102"/>
      <c r="AB182" s="102"/>
      <c r="AC182" s="102"/>
      <c r="AD182" s="102"/>
      <c r="AE182" s="366"/>
    </row>
    <row r="183" spans="1:31" ht="22.15" customHeight="1">
      <c r="A183" s="100" t="s">
        <v>123</v>
      </c>
      <c r="B183" s="1833" t="s">
        <v>1406</v>
      </c>
      <c r="C183" s="1833"/>
      <c r="D183" s="1833"/>
      <c r="E183" s="1833"/>
      <c r="F183" s="1833"/>
      <c r="G183" s="1833"/>
      <c r="H183" s="1833"/>
      <c r="I183" s="1833"/>
      <c r="J183" s="1833"/>
      <c r="K183" s="1833"/>
      <c r="L183" s="1833"/>
      <c r="M183" s="1833"/>
      <c r="N183" s="1833"/>
      <c r="O183" s="113" t="s">
        <v>123</v>
      </c>
      <c r="P183" s="2530" t="s">
        <v>4649</v>
      </c>
      <c r="Q183" s="428"/>
      <c r="R183" s="102"/>
      <c r="S183" s="102"/>
      <c r="T183" s="102"/>
      <c r="U183" s="102"/>
      <c r="V183" s="102"/>
      <c r="W183" s="102"/>
      <c r="X183" s="102"/>
      <c r="Y183" s="102"/>
      <c r="Z183" s="102"/>
      <c r="AA183" s="102"/>
      <c r="AB183" s="102"/>
      <c r="AC183" s="102"/>
      <c r="AD183" s="102"/>
      <c r="AE183" s="366"/>
    </row>
    <row r="184" spans="1:31" ht="21.75" customHeight="1">
      <c r="A184" s="100" t="s">
        <v>126</v>
      </c>
      <c r="B184" s="1833" t="s">
        <v>1407</v>
      </c>
      <c r="C184" s="1833"/>
      <c r="D184" s="1833"/>
      <c r="E184" s="1833"/>
      <c r="F184" s="1833"/>
      <c r="G184" s="1833"/>
      <c r="H184" s="1833"/>
      <c r="I184" s="1833"/>
      <c r="J184" s="1833"/>
      <c r="K184" s="1833"/>
      <c r="L184" s="1833"/>
      <c r="M184" s="1833"/>
      <c r="N184" s="1833"/>
      <c r="O184" s="113" t="s">
        <v>126</v>
      </c>
      <c r="P184" s="2477" t="s">
        <v>4649</v>
      </c>
      <c r="Q184" s="1051"/>
      <c r="R184" s="102"/>
      <c r="S184" s="102"/>
      <c r="T184" s="102"/>
      <c r="U184" s="102"/>
      <c r="V184" s="102"/>
      <c r="W184" s="102"/>
      <c r="X184" s="102"/>
      <c r="Y184" s="102"/>
      <c r="Z184" s="102"/>
      <c r="AA184" s="102"/>
      <c r="AB184" s="102"/>
      <c r="AC184" s="102"/>
      <c r="AD184" s="102"/>
      <c r="AE184" s="366"/>
    </row>
    <row r="185" spans="1:31" ht="12" customHeight="1">
      <c r="A185" s="102"/>
      <c r="B185" s="99" t="s">
        <v>1274</v>
      </c>
      <c r="C185" s="102"/>
      <c r="D185" s="99"/>
      <c r="E185" s="99"/>
      <c r="F185" s="99"/>
      <c r="G185" s="99"/>
      <c r="H185" s="22"/>
      <c r="I185" s="1529"/>
      <c r="J185" s="1529"/>
      <c r="K185" s="1529"/>
      <c r="L185" s="1524"/>
      <c r="M185" s="1524"/>
      <c r="N185" s="1524"/>
      <c r="O185" s="1524"/>
      <c r="P185" s="1524"/>
      <c r="Q185" s="771"/>
      <c r="R185" s="102"/>
      <c r="S185" s="102"/>
      <c r="T185" s="102"/>
      <c r="U185" s="102"/>
      <c r="V185" s="102"/>
      <c r="W185" s="102"/>
      <c r="X185" s="102"/>
      <c r="Y185" s="102"/>
      <c r="Z185" s="102"/>
      <c r="AA185" s="102"/>
      <c r="AB185" s="102"/>
      <c r="AC185" s="102"/>
      <c r="AD185" s="102"/>
      <c r="AE185" s="366"/>
    </row>
    <row r="186" spans="1:31" ht="25.5" customHeight="1">
      <c r="A186" s="2496" t="s">
        <v>4652</v>
      </c>
      <c r="B186" s="2497"/>
      <c r="C186" s="2497"/>
      <c r="D186" s="2497"/>
      <c r="E186" s="2497"/>
      <c r="F186" s="2497"/>
      <c r="G186" s="2497"/>
      <c r="H186" s="2497"/>
      <c r="I186" s="2497"/>
      <c r="J186" s="2497"/>
      <c r="K186" s="2497"/>
      <c r="L186" s="2497"/>
      <c r="M186" s="2497"/>
      <c r="N186" s="2497"/>
      <c r="O186" s="2497"/>
      <c r="P186" s="2497"/>
      <c r="Q186" s="2498"/>
      <c r="R186" s="102"/>
      <c r="S186" s="102"/>
      <c r="T186" s="102"/>
      <c r="U186" s="94"/>
      <c r="V186" s="94"/>
      <c r="W186" s="94"/>
      <c r="X186" s="94"/>
      <c r="Y186" s="94"/>
      <c r="Z186" s="94"/>
      <c r="AA186" s="94"/>
      <c r="AB186" s="94"/>
      <c r="AC186" s="94"/>
      <c r="AD186" s="94"/>
      <c r="AE186" s="365"/>
    </row>
    <row r="187" spans="1:31" ht="12" customHeight="1">
      <c r="A187" s="102"/>
      <c r="B187" s="95" t="s">
        <v>1276</v>
      </c>
      <c r="C187" s="96"/>
      <c r="D187" s="1532"/>
      <c r="E187" s="1532"/>
      <c r="F187" s="1532"/>
      <c r="G187" s="1532"/>
      <c r="H187" s="1532"/>
      <c r="I187" s="1532"/>
      <c r="J187" s="1532"/>
      <c r="K187" s="1532"/>
      <c r="L187" s="1532"/>
      <c r="M187" s="1532"/>
      <c r="N187" s="1532"/>
      <c r="O187" s="1532"/>
      <c r="P187" s="1532"/>
      <c r="Q187" s="1532"/>
      <c r="R187" s="102"/>
      <c r="S187" s="102"/>
      <c r="T187" s="102"/>
      <c r="U187" s="102"/>
      <c r="V187" s="102"/>
      <c r="W187" s="102"/>
      <c r="X187" s="102"/>
      <c r="Y187" s="102"/>
      <c r="Z187" s="102"/>
      <c r="AA187" s="102"/>
      <c r="AB187" s="102"/>
      <c r="AC187" s="102"/>
      <c r="AD187" s="102"/>
      <c r="AE187" s="366"/>
    </row>
    <row r="188" spans="1:31" ht="11.45" customHeight="1">
      <c r="A188" s="1835"/>
      <c r="B188" s="1836"/>
      <c r="C188" s="1836"/>
      <c r="D188" s="1836"/>
      <c r="E188" s="1836"/>
      <c r="F188" s="1836"/>
      <c r="G188" s="1836"/>
      <c r="H188" s="1836"/>
      <c r="I188" s="1836"/>
      <c r="J188" s="1836"/>
      <c r="K188" s="1836"/>
      <c r="L188" s="1836"/>
      <c r="M188" s="1836"/>
      <c r="N188" s="1836"/>
      <c r="O188" s="1836"/>
      <c r="P188" s="1836"/>
      <c r="Q188" s="1837"/>
      <c r="R188" s="102"/>
      <c r="S188" s="102"/>
      <c r="T188" s="102"/>
      <c r="U188" s="102"/>
      <c r="V188" s="102"/>
      <c r="W188" s="102"/>
      <c r="X188" s="102"/>
      <c r="Y188" s="102"/>
      <c r="Z188" s="102"/>
      <c r="AA188" s="102"/>
      <c r="AB188" s="102"/>
      <c r="AC188" s="102"/>
      <c r="AD188" s="102"/>
      <c r="AE188" s="366"/>
    </row>
    <row r="189" spans="1:31" ht="3" customHeight="1">
      <c r="A189" s="102"/>
      <c r="B189" s="1529"/>
      <c r="C189" s="1532"/>
      <c r="D189" s="1532"/>
      <c r="E189" s="1532"/>
      <c r="F189" s="1532"/>
      <c r="G189" s="1532"/>
      <c r="H189" s="1532"/>
      <c r="I189" s="1532"/>
      <c r="J189" s="1532"/>
      <c r="K189" s="1532"/>
      <c r="L189" s="1532"/>
      <c r="M189" s="1532"/>
      <c r="N189" s="1532"/>
      <c r="O189" s="1532"/>
      <c r="P189" s="1532"/>
      <c r="Q189" s="1524"/>
      <c r="R189" s="102"/>
      <c r="S189" s="102"/>
      <c r="T189" s="102"/>
      <c r="U189" s="102"/>
      <c r="V189" s="102"/>
      <c r="W189" s="102"/>
      <c r="X189" s="102"/>
      <c r="Y189" s="102"/>
      <c r="Z189" s="102"/>
      <c r="AA189" s="102"/>
      <c r="AB189" s="102"/>
      <c r="AC189" s="102"/>
      <c r="AD189" s="102"/>
      <c r="AE189" s="366"/>
    </row>
    <row r="190" spans="1:31" ht="13.9" customHeight="1">
      <c r="A190" s="1505" t="s">
        <v>185</v>
      </c>
      <c r="B190" s="1787" t="s">
        <v>1408</v>
      </c>
      <c r="C190" s="1787"/>
      <c r="D190" s="1787"/>
      <c r="E190" s="102"/>
      <c r="F190" s="102"/>
      <c r="G190" s="102"/>
      <c r="H190" s="102"/>
      <c r="I190" s="102"/>
      <c r="J190" s="102"/>
      <c r="K190" s="102"/>
      <c r="L190" s="102"/>
      <c r="M190" s="102"/>
      <c r="N190" s="102"/>
      <c r="O190" s="90" t="s">
        <v>1273</v>
      </c>
      <c r="P190" s="1838"/>
      <c r="Q190" s="1845"/>
      <c r="R190" s="102"/>
      <c r="S190" s="102"/>
      <c r="T190" s="102"/>
      <c r="U190" s="102"/>
      <c r="V190" s="102"/>
      <c r="W190" s="102"/>
      <c r="X190" s="102"/>
      <c r="Y190" s="102"/>
      <c r="Z190" s="102"/>
      <c r="AA190" s="102"/>
      <c r="AB190" s="102"/>
      <c r="AC190" s="102"/>
      <c r="AD190" s="102"/>
      <c r="AE190" s="366"/>
    </row>
    <row r="191" spans="1:31" ht="12" customHeight="1">
      <c r="A191" s="100" t="s">
        <v>110</v>
      </c>
      <c r="B191" s="752" t="s">
        <v>1409</v>
      </c>
      <c r="C191" s="102"/>
      <c r="D191" s="752"/>
      <c r="E191" s="752"/>
      <c r="F191" s="752"/>
      <c r="G191" s="752"/>
      <c r="H191" s="752"/>
      <c r="I191" s="752"/>
      <c r="J191" s="752"/>
      <c r="K191" s="752"/>
      <c r="L191" s="752"/>
      <c r="M191" s="752"/>
      <c r="N191" s="102"/>
      <c r="O191" s="113" t="s">
        <v>110</v>
      </c>
      <c r="P191" s="2313" t="s">
        <v>22</v>
      </c>
      <c r="Q191" s="425"/>
      <c r="R191" s="102"/>
      <c r="S191" s="102"/>
      <c r="T191" s="102"/>
      <c r="U191" s="102"/>
      <c r="V191" s="102"/>
      <c r="W191" s="102"/>
      <c r="X191" s="102"/>
      <c r="Y191" s="102"/>
      <c r="Z191" s="102"/>
      <c r="AA191" s="102"/>
      <c r="AB191" s="102"/>
      <c r="AC191" s="102"/>
      <c r="AD191" s="102"/>
      <c r="AE191" s="366"/>
    </row>
    <row r="192" spans="1:31" ht="12" customHeight="1">
      <c r="A192" s="100" t="s">
        <v>121</v>
      </c>
      <c r="B192" s="752" t="s">
        <v>1410</v>
      </c>
      <c r="C192" s="102"/>
      <c r="D192" s="752"/>
      <c r="E192" s="752"/>
      <c r="F192" s="752"/>
      <c r="G192" s="752"/>
      <c r="H192" s="752"/>
      <c r="I192" s="752"/>
      <c r="J192" s="752"/>
      <c r="K192" s="752"/>
      <c r="L192" s="752"/>
      <c r="M192" s="752"/>
      <c r="N192" s="102"/>
      <c r="O192" s="113" t="s">
        <v>121</v>
      </c>
      <c r="P192" s="2319" t="s">
        <v>22</v>
      </c>
      <c r="Q192" s="426"/>
      <c r="R192" s="102"/>
      <c r="S192" s="102"/>
      <c r="T192" s="102"/>
      <c r="U192" s="102"/>
      <c r="V192" s="102"/>
      <c r="W192" s="102"/>
      <c r="X192" s="102"/>
      <c r="Y192" s="102"/>
      <c r="Z192" s="102"/>
      <c r="AA192" s="102"/>
      <c r="AB192" s="102"/>
      <c r="AC192" s="102"/>
      <c r="AD192" s="102"/>
      <c r="AE192" s="366"/>
    </row>
    <row r="193" spans="1:32" ht="12" customHeight="1">
      <c r="A193" s="100" t="s">
        <v>123</v>
      </c>
      <c r="B193" s="752" t="s">
        <v>1411</v>
      </c>
      <c r="C193" s="102"/>
      <c r="D193" s="752"/>
      <c r="E193" s="752"/>
      <c r="F193" s="752"/>
      <c r="G193" s="752"/>
      <c r="H193" s="752"/>
      <c r="I193" s="752"/>
      <c r="J193" s="752"/>
      <c r="K193" s="752"/>
      <c r="L193" s="752"/>
      <c r="M193" s="752"/>
      <c r="N193" s="102"/>
      <c r="O193" s="113" t="s">
        <v>123</v>
      </c>
      <c r="P193" s="2319" t="s">
        <v>22</v>
      </c>
      <c r="Q193" s="426"/>
      <c r="R193" s="102"/>
      <c r="S193" s="102"/>
      <c r="T193" s="102"/>
      <c r="U193" s="102"/>
      <c r="V193" s="102"/>
      <c r="W193" s="102"/>
      <c r="X193" s="102"/>
      <c r="Y193" s="102"/>
      <c r="Z193" s="102"/>
      <c r="AA193" s="102"/>
      <c r="AB193" s="102"/>
      <c r="AC193" s="102"/>
      <c r="AD193" s="102"/>
      <c r="AE193" s="366"/>
      <c r="AF193" s="366"/>
    </row>
    <row r="194" spans="1:32" ht="12" customHeight="1">
      <c r="A194" s="100"/>
      <c r="B194" s="1833" t="s">
        <v>1358</v>
      </c>
      <c r="C194" s="1833"/>
      <c r="D194" s="363" t="s">
        <v>1303</v>
      </c>
      <c r="E194" s="772" t="s">
        <v>1412</v>
      </c>
      <c r="F194" s="102"/>
      <c r="G194" s="752"/>
      <c r="H194" s="752"/>
      <c r="I194" s="752"/>
      <c r="J194" s="752"/>
      <c r="K194" s="752"/>
      <c r="L194" s="752"/>
      <c r="M194" s="752"/>
      <c r="N194" s="102"/>
      <c r="O194" s="339" t="s">
        <v>1303</v>
      </c>
      <c r="P194" s="2319" t="s">
        <v>22</v>
      </c>
      <c r="Q194" s="426"/>
      <c r="R194" s="102"/>
      <c r="S194" s="102"/>
      <c r="T194" s="102"/>
      <c r="U194" s="102"/>
      <c r="V194" s="102"/>
      <c r="W194" s="102"/>
      <c r="X194" s="102"/>
      <c r="Y194" s="102"/>
      <c r="Z194" s="102"/>
      <c r="AA194" s="102"/>
      <c r="AB194" s="102"/>
      <c r="AC194" s="102"/>
      <c r="AD194" s="102"/>
      <c r="AE194" s="366"/>
      <c r="AF194" s="366"/>
    </row>
    <row r="195" spans="1:32" ht="12" customHeight="1">
      <c r="A195" s="100"/>
      <c r="B195" s="1833"/>
      <c r="C195" s="1833"/>
      <c r="D195" s="363" t="s">
        <v>1306</v>
      </c>
      <c r="E195" s="772" t="s">
        <v>1413</v>
      </c>
      <c r="F195" s="102"/>
      <c r="G195" s="752"/>
      <c r="H195" s="752"/>
      <c r="I195" s="752"/>
      <c r="J195" s="752"/>
      <c r="K195" s="752"/>
      <c r="L195" s="752"/>
      <c r="M195" s="752"/>
      <c r="N195" s="102"/>
      <c r="O195" s="339" t="s">
        <v>1306</v>
      </c>
      <c r="P195" s="2319" t="s">
        <v>22</v>
      </c>
      <c r="Q195" s="426"/>
      <c r="R195" s="102"/>
      <c r="S195" s="102"/>
      <c r="T195" s="102"/>
      <c r="U195" s="102"/>
      <c r="V195" s="102"/>
      <c r="W195" s="102"/>
      <c r="X195" s="102"/>
      <c r="Y195" s="102"/>
      <c r="Z195" s="102"/>
      <c r="AA195" s="102"/>
      <c r="AB195" s="102"/>
      <c r="AC195" s="102"/>
      <c r="AD195" s="102"/>
      <c r="AE195" s="366"/>
      <c r="AF195" s="366"/>
    </row>
    <row r="196" spans="1:32" s="91" customFormat="1" ht="21.75" customHeight="1">
      <c r="A196" s="100"/>
      <c r="B196" s="310"/>
      <c r="C196" s="752"/>
      <c r="D196" s="113" t="s">
        <v>1308</v>
      </c>
      <c r="E196" s="1833" t="s">
        <v>1414</v>
      </c>
      <c r="F196" s="1833"/>
      <c r="G196" s="1833"/>
      <c r="H196" s="1833"/>
      <c r="I196" s="1833"/>
      <c r="J196" s="1833"/>
      <c r="K196" s="1833"/>
      <c r="L196" s="1833"/>
      <c r="M196" s="1833"/>
      <c r="N196" s="1833"/>
      <c r="O196" s="113" t="s">
        <v>1308</v>
      </c>
      <c r="P196" s="2530" t="s">
        <v>22</v>
      </c>
      <c r="Q196" s="428"/>
      <c r="R196" s="310"/>
      <c r="S196" s="310"/>
      <c r="T196" s="310"/>
      <c r="U196" s="310"/>
      <c r="V196" s="310"/>
      <c r="W196" s="310"/>
      <c r="X196" s="310"/>
      <c r="Y196" s="310"/>
      <c r="Z196" s="310"/>
      <c r="AA196" s="310"/>
      <c r="AB196" s="310"/>
      <c r="AC196" s="310"/>
      <c r="AD196" s="310"/>
      <c r="AE196" s="367"/>
      <c r="AF196" s="367"/>
    </row>
    <row r="197" spans="1:32" ht="12" customHeight="1">
      <c r="A197" s="100"/>
      <c r="B197" s="102"/>
      <c r="C197" s="752"/>
      <c r="D197" s="363" t="s">
        <v>1310</v>
      </c>
      <c r="E197" s="772" t="s">
        <v>1415</v>
      </c>
      <c r="F197" s="102"/>
      <c r="G197" s="752"/>
      <c r="H197" s="752"/>
      <c r="I197" s="752"/>
      <c r="J197" s="752"/>
      <c r="K197" s="752"/>
      <c r="L197" s="752"/>
      <c r="M197" s="752"/>
      <c r="N197" s="102"/>
      <c r="O197" s="339" t="s">
        <v>1310</v>
      </c>
      <c r="P197" s="2319" t="s">
        <v>22</v>
      </c>
      <c r="Q197" s="426"/>
      <c r="R197" s="102"/>
      <c r="S197" s="102"/>
      <c r="T197" s="102"/>
      <c r="U197" s="102"/>
      <c r="V197" s="102"/>
      <c r="W197" s="102"/>
      <c r="X197" s="102"/>
      <c r="Y197" s="102"/>
      <c r="Z197" s="102"/>
      <c r="AA197" s="102"/>
      <c r="AB197" s="102"/>
      <c r="AC197" s="102"/>
      <c r="AD197" s="102"/>
      <c r="AE197" s="366"/>
      <c r="AF197" s="366"/>
    </row>
    <row r="198" spans="1:32" s="91" customFormat="1" ht="21.75" customHeight="1">
      <c r="A198" s="100"/>
      <c r="B198" s="310"/>
      <c r="C198" s="752"/>
      <c r="D198" s="113" t="s">
        <v>1323</v>
      </c>
      <c r="E198" s="1833" t="s">
        <v>1416</v>
      </c>
      <c r="F198" s="1833"/>
      <c r="G198" s="1833"/>
      <c r="H198" s="1833"/>
      <c r="I198" s="1833"/>
      <c r="J198" s="1833"/>
      <c r="K198" s="1833"/>
      <c r="L198" s="1833"/>
      <c r="M198" s="1833"/>
      <c r="N198" s="1833"/>
      <c r="O198" s="113" t="s">
        <v>1323</v>
      </c>
      <c r="P198" s="2530" t="s">
        <v>4649</v>
      </c>
      <c r="Q198" s="428"/>
      <c r="R198" s="310"/>
      <c r="S198" s="310"/>
      <c r="T198" s="310"/>
      <c r="U198" s="310"/>
      <c r="V198" s="310"/>
      <c r="W198" s="310"/>
      <c r="X198" s="310"/>
      <c r="Y198" s="310"/>
      <c r="Z198" s="310"/>
      <c r="AA198" s="310"/>
      <c r="AB198" s="310"/>
      <c r="AC198" s="310"/>
      <c r="AD198" s="310"/>
      <c r="AE198" s="367"/>
      <c r="AF198" s="367"/>
    </row>
    <row r="199" spans="1:32" s="91" customFormat="1" ht="21.75" customHeight="1">
      <c r="A199" s="100"/>
      <c r="B199" s="310"/>
      <c r="C199" s="752"/>
      <c r="D199" s="113" t="s">
        <v>1324</v>
      </c>
      <c r="E199" s="1833" t="s">
        <v>1417</v>
      </c>
      <c r="F199" s="1833"/>
      <c r="G199" s="1833"/>
      <c r="H199" s="1833"/>
      <c r="I199" s="1833"/>
      <c r="J199" s="1833"/>
      <c r="K199" s="1833"/>
      <c r="L199" s="1833"/>
      <c r="M199" s="1833"/>
      <c r="N199" s="1833"/>
      <c r="O199" s="113" t="s">
        <v>1324</v>
      </c>
      <c r="P199" s="2530" t="s">
        <v>4649</v>
      </c>
      <c r="Q199" s="428"/>
      <c r="R199" s="310"/>
      <c r="S199" s="310"/>
      <c r="T199" s="310"/>
      <c r="U199" s="310"/>
      <c r="V199" s="310"/>
      <c r="W199" s="310"/>
      <c r="X199" s="310"/>
      <c r="Y199" s="310"/>
      <c r="Z199" s="310"/>
      <c r="AA199" s="310"/>
      <c r="AB199" s="310"/>
      <c r="AC199" s="310"/>
      <c r="AD199" s="310"/>
      <c r="AE199" s="367"/>
      <c r="AF199" s="367"/>
    </row>
    <row r="200" spans="1:32" ht="21.75" customHeight="1">
      <c r="A200" s="100" t="s">
        <v>126</v>
      </c>
      <c r="B200" s="1833" t="s">
        <v>1418</v>
      </c>
      <c r="C200" s="1833"/>
      <c r="D200" s="1833"/>
      <c r="E200" s="1833"/>
      <c r="F200" s="1833"/>
      <c r="G200" s="1833"/>
      <c r="H200" s="1833"/>
      <c r="I200" s="1833"/>
      <c r="J200" s="1833"/>
      <c r="K200" s="1833"/>
      <c r="L200" s="1833"/>
      <c r="M200" s="1833"/>
      <c r="N200" s="1833"/>
      <c r="O200" s="113" t="s">
        <v>126</v>
      </c>
      <c r="P200" s="2530" t="s">
        <v>22</v>
      </c>
      <c r="Q200" s="428"/>
      <c r="R200" s="102"/>
      <c r="S200" s="102"/>
      <c r="T200" s="102"/>
      <c r="U200" s="102"/>
      <c r="V200" s="102"/>
      <c r="W200" s="102"/>
      <c r="X200" s="102"/>
      <c r="Y200" s="102"/>
      <c r="Z200" s="102"/>
      <c r="AA200" s="102"/>
      <c r="AB200" s="102"/>
      <c r="AC200" s="102"/>
      <c r="AD200" s="102"/>
      <c r="AE200" s="366"/>
      <c r="AF200" s="366"/>
    </row>
    <row r="201" spans="1:32" ht="12" customHeight="1">
      <c r="A201" s="100" t="s">
        <v>140</v>
      </c>
      <c r="B201" s="752" t="s">
        <v>1419</v>
      </c>
      <c r="C201" s="102"/>
      <c r="D201" s="752"/>
      <c r="E201" s="752"/>
      <c r="F201" s="752"/>
      <c r="G201" s="752"/>
      <c r="H201" s="752"/>
      <c r="I201" s="752"/>
      <c r="J201" s="752"/>
      <c r="K201" s="752"/>
      <c r="L201" s="752"/>
      <c r="M201" s="752"/>
      <c r="N201" s="102"/>
      <c r="O201" s="113" t="s">
        <v>140</v>
      </c>
      <c r="P201" s="2312" t="s">
        <v>22</v>
      </c>
      <c r="Q201" s="427"/>
      <c r="R201" s="102"/>
      <c r="S201" s="102"/>
      <c r="T201" s="102"/>
      <c r="U201" s="102"/>
      <c r="V201" s="102"/>
      <c r="W201" s="102"/>
      <c r="X201" s="102"/>
      <c r="Y201" s="102"/>
      <c r="Z201" s="102"/>
      <c r="AA201" s="102"/>
      <c r="AB201" s="102"/>
      <c r="AC201" s="102"/>
      <c r="AD201" s="102"/>
      <c r="AE201" s="366"/>
      <c r="AF201" s="366"/>
    </row>
    <row r="202" spans="1:32" ht="12" customHeight="1">
      <c r="A202" s="102"/>
      <c r="B202" s="99" t="s">
        <v>1274</v>
      </c>
      <c r="C202" s="102"/>
      <c r="D202" s="99"/>
      <c r="E202" s="99"/>
      <c r="F202" s="99"/>
      <c r="G202" s="99"/>
      <c r="H202" s="22"/>
      <c r="I202" s="1529"/>
      <c r="J202" s="1529"/>
      <c r="K202" s="1529"/>
      <c r="L202" s="1524"/>
      <c r="M202" s="1524"/>
      <c r="N202" s="1524"/>
      <c r="O202" s="1524"/>
      <c r="P202" s="1524"/>
      <c r="Q202" s="771"/>
      <c r="R202" s="102"/>
      <c r="S202" s="102"/>
      <c r="T202" s="102"/>
      <c r="U202" s="102"/>
      <c r="V202" s="102"/>
      <c r="W202" s="102"/>
      <c r="X202" s="102"/>
      <c r="Y202" s="102"/>
      <c r="Z202" s="102"/>
      <c r="AA202" s="102"/>
      <c r="AB202" s="102"/>
      <c r="AC202" s="102"/>
      <c r="AD202" s="102"/>
      <c r="AE202" s="366"/>
      <c r="AF202" s="366"/>
    </row>
    <row r="203" spans="1:32" ht="11.45" customHeight="1">
      <c r="A203" s="2496" t="s">
        <v>4651</v>
      </c>
      <c r="B203" s="2497"/>
      <c r="C203" s="2497"/>
      <c r="D203" s="2497"/>
      <c r="E203" s="2497"/>
      <c r="F203" s="2497"/>
      <c r="G203" s="2497"/>
      <c r="H203" s="2497"/>
      <c r="I203" s="2497"/>
      <c r="J203" s="2497"/>
      <c r="K203" s="2497"/>
      <c r="L203" s="2497"/>
      <c r="M203" s="2497"/>
      <c r="N203" s="2497"/>
      <c r="O203" s="2497"/>
      <c r="P203" s="2497"/>
      <c r="Q203" s="2498"/>
      <c r="R203" s="102"/>
      <c r="S203" s="102"/>
      <c r="T203" s="102"/>
      <c r="U203" s="94"/>
      <c r="V203" s="94"/>
      <c r="W203" s="94"/>
      <c r="X203" s="94"/>
      <c r="Y203" s="94"/>
      <c r="Z203" s="94"/>
      <c r="AA203" s="94"/>
      <c r="AB203" s="94"/>
      <c r="AC203" s="94"/>
      <c r="AD203" s="94"/>
      <c r="AE203" s="365"/>
      <c r="AF203" s="366"/>
    </row>
    <row r="204" spans="1:32" ht="12" customHeight="1">
      <c r="A204" s="102"/>
      <c r="B204" s="95" t="s">
        <v>1276</v>
      </c>
      <c r="C204" s="96"/>
      <c r="D204" s="1532"/>
      <c r="E204" s="1532"/>
      <c r="F204" s="1532"/>
      <c r="G204" s="1532"/>
      <c r="H204" s="1532"/>
      <c r="I204" s="1532"/>
      <c r="J204" s="1532"/>
      <c r="K204" s="1532"/>
      <c r="L204" s="1532"/>
      <c r="M204" s="1532"/>
      <c r="N204" s="1532"/>
      <c r="O204" s="1532"/>
      <c r="P204" s="1532"/>
      <c r="Q204" s="1532"/>
      <c r="R204" s="102"/>
      <c r="S204" s="102"/>
      <c r="T204" s="102"/>
      <c r="U204" s="102"/>
      <c r="V204" s="102"/>
      <c r="W204" s="102"/>
      <c r="X204" s="102"/>
      <c r="Y204" s="102"/>
      <c r="Z204" s="102"/>
      <c r="AA204" s="102"/>
      <c r="AB204" s="102"/>
      <c r="AC204" s="102"/>
      <c r="AD204" s="102"/>
      <c r="AE204" s="366"/>
      <c r="AF204" s="366"/>
    </row>
    <row r="205" spans="1:32" ht="11.45" customHeight="1">
      <c r="A205" s="1835"/>
      <c r="B205" s="1836"/>
      <c r="C205" s="1836"/>
      <c r="D205" s="1836"/>
      <c r="E205" s="1836"/>
      <c r="F205" s="1836"/>
      <c r="G205" s="1836"/>
      <c r="H205" s="1836"/>
      <c r="I205" s="1836"/>
      <c r="J205" s="1836"/>
      <c r="K205" s="1836"/>
      <c r="L205" s="1836"/>
      <c r="M205" s="1836"/>
      <c r="N205" s="1836"/>
      <c r="O205" s="1836"/>
      <c r="P205" s="1836"/>
      <c r="Q205" s="1837"/>
      <c r="R205" s="102"/>
      <c r="S205" s="102"/>
      <c r="T205" s="102"/>
      <c r="U205" s="102"/>
      <c r="V205" s="102"/>
      <c r="W205" s="102"/>
      <c r="X205" s="102"/>
      <c r="Y205" s="102"/>
      <c r="Z205" s="102"/>
      <c r="AA205" s="102"/>
      <c r="AB205" s="102"/>
      <c r="AC205" s="102"/>
      <c r="AD205" s="102"/>
      <c r="AE205" s="366"/>
      <c r="AF205" s="366"/>
    </row>
    <row r="206" spans="1:32" ht="3" customHeight="1">
      <c r="A206" s="1524"/>
      <c r="B206" s="1529"/>
      <c r="C206" s="1532"/>
      <c r="D206" s="1532"/>
      <c r="E206" s="1532"/>
      <c r="F206" s="1532"/>
      <c r="G206" s="1532"/>
      <c r="H206" s="1532"/>
      <c r="I206" s="1532"/>
      <c r="J206" s="1532"/>
      <c r="K206" s="1532"/>
      <c r="L206" s="1532"/>
      <c r="M206" s="1532"/>
      <c r="N206" s="1532"/>
      <c r="O206" s="1532"/>
      <c r="P206" s="1532"/>
      <c r="Q206" s="1524"/>
      <c r="R206" s="102"/>
      <c r="S206" s="102"/>
      <c r="T206" s="102"/>
      <c r="U206" s="102"/>
      <c r="V206" s="102"/>
      <c r="W206" s="102"/>
      <c r="X206" s="102"/>
      <c r="Y206" s="102"/>
      <c r="Z206" s="102"/>
      <c r="AA206" s="102"/>
      <c r="AB206" s="102"/>
      <c r="AC206" s="102"/>
      <c r="AD206" s="102"/>
      <c r="AE206" s="366"/>
      <c r="AF206" s="366"/>
    </row>
    <row r="207" spans="1:32" ht="13.9" customHeight="1">
      <c r="A207" s="1526" t="s">
        <v>195</v>
      </c>
      <c r="B207" s="1526" t="s">
        <v>1420</v>
      </c>
      <c r="C207" s="1526"/>
      <c r="D207" s="1532"/>
      <c r="E207" s="1525"/>
      <c r="F207" s="1525"/>
      <c r="G207" s="1532"/>
      <c r="H207" s="102"/>
      <c r="I207" s="102"/>
      <c r="J207" s="773"/>
      <c r="K207" s="388"/>
      <c r="L207" s="388"/>
      <c r="M207" s="388"/>
      <c r="N207" s="388"/>
      <c r="O207" s="90" t="s">
        <v>1273</v>
      </c>
      <c r="P207" s="1838"/>
      <c r="Q207" s="1845"/>
      <c r="R207" s="102"/>
      <c r="S207" s="102"/>
      <c r="T207" s="102"/>
      <c r="U207" s="102"/>
      <c r="V207" s="102"/>
      <c r="W207" s="102"/>
      <c r="X207" s="102"/>
      <c r="Y207" s="102"/>
      <c r="Z207" s="102"/>
      <c r="AA207" s="102"/>
      <c r="AB207" s="102"/>
      <c r="AC207" s="102"/>
      <c r="AD207" s="102"/>
      <c r="AE207" s="366"/>
      <c r="AF207" s="366"/>
    </row>
    <row r="208" spans="1:32" ht="11.25" customHeight="1">
      <c r="A208" s="97"/>
      <c r="B208" s="98" t="s">
        <v>1421</v>
      </c>
      <c r="C208" s="102"/>
      <c r="D208" s="98"/>
      <c r="E208" s="98"/>
      <c r="F208" s="98"/>
      <c r="G208" s="98"/>
      <c r="H208" s="363" t="s">
        <v>1303</v>
      </c>
      <c r="I208" s="31" t="s">
        <v>1422</v>
      </c>
      <c r="J208" s="2514" t="s">
        <v>64</v>
      </c>
      <c r="K208" s="2515"/>
      <c r="L208" s="2515"/>
      <c r="M208" s="2515"/>
      <c r="N208" s="2543"/>
      <c r="O208" s="363" t="s">
        <v>1303</v>
      </c>
      <c r="P208" s="2313" t="s">
        <v>21</v>
      </c>
      <c r="Q208" s="425"/>
      <c r="R208" s="102"/>
      <c r="S208" s="102"/>
      <c r="T208" s="102"/>
      <c r="U208" s="102"/>
      <c r="V208" s="102"/>
      <c r="W208" s="102"/>
      <c r="X208" s="102"/>
      <c r="Y208" s="102"/>
      <c r="Z208" s="102"/>
      <c r="AA208" s="102"/>
      <c r="AB208" s="102"/>
      <c r="AC208" s="102"/>
      <c r="AD208" s="102"/>
      <c r="AE208" s="366"/>
      <c r="AF208" s="366"/>
    </row>
    <row r="209" spans="1:31" ht="11.25" customHeight="1">
      <c r="A209" s="97"/>
      <c r="B209" s="99" t="s">
        <v>1274</v>
      </c>
      <c r="C209" s="65"/>
      <c r="D209" s="65"/>
      <c r="E209" s="65"/>
      <c r="F209" s="65"/>
      <c r="G209" s="102"/>
      <c r="H209" s="363" t="s">
        <v>1306</v>
      </c>
      <c r="I209" s="31" t="s">
        <v>837</v>
      </c>
      <c r="J209" s="2544" t="s">
        <v>4653</v>
      </c>
      <c r="K209" s="2545"/>
      <c r="L209" s="2545"/>
      <c r="M209" s="2545"/>
      <c r="N209" s="2546"/>
      <c r="O209" s="363" t="s">
        <v>1306</v>
      </c>
      <c r="P209" s="2312" t="s">
        <v>22</v>
      </c>
      <c r="Q209" s="427"/>
      <c r="R209" s="102"/>
      <c r="S209" s="102"/>
      <c r="T209" s="102"/>
      <c r="U209" s="102"/>
      <c r="V209" s="102"/>
      <c r="W209" s="102"/>
      <c r="X209" s="102"/>
      <c r="Y209" s="102"/>
      <c r="Z209" s="102"/>
      <c r="AA209" s="102"/>
      <c r="AB209" s="102"/>
      <c r="AC209" s="102"/>
      <c r="AD209" s="102"/>
      <c r="AE209" s="366"/>
    </row>
    <row r="210" spans="1:31" ht="11.45" customHeight="1">
      <c r="A210" s="2496" t="s">
        <v>4729</v>
      </c>
      <c r="B210" s="2497"/>
      <c r="C210" s="2497"/>
      <c r="D210" s="2497"/>
      <c r="E210" s="2497"/>
      <c r="F210" s="2497"/>
      <c r="G210" s="2497"/>
      <c r="H210" s="2497"/>
      <c r="I210" s="2497"/>
      <c r="J210" s="2497"/>
      <c r="K210" s="2497"/>
      <c r="L210" s="2497"/>
      <c r="M210" s="2497"/>
      <c r="N210" s="2497"/>
      <c r="O210" s="2497"/>
      <c r="P210" s="2497"/>
      <c r="Q210" s="2498"/>
      <c r="R210" s="102"/>
      <c r="S210" s="102"/>
      <c r="T210" s="102"/>
      <c r="U210" s="94"/>
      <c r="V210" s="94"/>
      <c r="W210" s="94"/>
      <c r="X210" s="94"/>
      <c r="Y210" s="94"/>
      <c r="Z210" s="94"/>
      <c r="AA210" s="94"/>
      <c r="AB210" s="94"/>
      <c r="AC210" s="94"/>
      <c r="AD210" s="94"/>
      <c r="AE210" s="365"/>
    </row>
    <row r="211" spans="1:31" ht="11.25" customHeight="1">
      <c r="A211" s="102"/>
      <c r="B211" s="95" t="s">
        <v>1276</v>
      </c>
      <c r="C211" s="96"/>
      <c r="D211" s="1532"/>
      <c r="E211" s="1532"/>
      <c r="F211" s="1532"/>
      <c r="G211" s="1532"/>
      <c r="H211" s="1532"/>
      <c r="I211" s="1532"/>
      <c r="J211" s="1532"/>
      <c r="K211" s="1532"/>
      <c r="L211" s="1532"/>
      <c r="M211" s="1532"/>
      <c r="N211" s="1532"/>
      <c r="O211" s="1532"/>
      <c r="P211" s="1532"/>
      <c r="Q211" s="1532"/>
      <c r="R211" s="102"/>
      <c r="S211" s="102"/>
      <c r="T211" s="102"/>
      <c r="U211" s="102"/>
      <c r="V211" s="102"/>
      <c r="W211" s="102"/>
      <c r="X211" s="102"/>
      <c r="Y211" s="102"/>
      <c r="Z211" s="102"/>
      <c r="AA211" s="102"/>
      <c r="AB211" s="102"/>
      <c r="AC211" s="102"/>
      <c r="AD211" s="102"/>
      <c r="AE211" s="366"/>
    </row>
    <row r="212" spans="1:31" ht="11.45" customHeight="1">
      <c r="A212" s="1835"/>
      <c r="B212" s="1836"/>
      <c r="C212" s="1836"/>
      <c r="D212" s="1836"/>
      <c r="E212" s="1836"/>
      <c r="F212" s="1836"/>
      <c r="G212" s="1836"/>
      <c r="H212" s="1836"/>
      <c r="I212" s="1836"/>
      <c r="J212" s="1836"/>
      <c r="K212" s="1836"/>
      <c r="L212" s="1836"/>
      <c r="M212" s="1836"/>
      <c r="N212" s="1836"/>
      <c r="O212" s="1836"/>
      <c r="P212" s="1836"/>
      <c r="Q212" s="1837"/>
      <c r="R212" s="102"/>
      <c r="S212" s="102"/>
      <c r="T212" s="102"/>
      <c r="U212" s="102"/>
      <c r="V212" s="102"/>
      <c r="W212" s="102"/>
      <c r="X212" s="102"/>
      <c r="Y212" s="102"/>
      <c r="Z212" s="102"/>
      <c r="AA212" s="102"/>
      <c r="AB212" s="102"/>
      <c r="AC212" s="102"/>
      <c r="AD212" s="102"/>
      <c r="AE212" s="366"/>
    </row>
    <row r="213" spans="1:31" ht="4.1500000000000004" customHeight="1">
      <c r="A213" s="102"/>
      <c r="B213" s="1529"/>
      <c r="C213" s="1532"/>
      <c r="D213" s="1532"/>
      <c r="E213" s="1532"/>
      <c r="F213" s="1532"/>
      <c r="G213" s="1532"/>
      <c r="H213" s="1532"/>
      <c r="I213" s="1532"/>
      <c r="J213" s="1532"/>
      <c r="K213" s="1532"/>
      <c r="L213" s="1532"/>
      <c r="M213" s="1532"/>
      <c r="N213" s="102"/>
      <c r="O213" s="102"/>
      <c r="P213" s="102"/>
      <c r="Q213" s="771"/>
      <c r="R213" s="102"/>
      <c r="S213" s="102"/>
      <c r="T213" s="102"/>
      <c r="U213" s="102"/>
      <c r="V213" s="102"/>
      <c r="W213" s="102"/>
      <c r="X213" s="102"/>
      <c r="Y213" s="102"/>
      <c r="Z213" s="102"/>
      <c r="AA213" s="102"/>
      <c r="AB213" s="102"/>
      <c r="AC213" s="102"/>
      <c r="AD213" s="102"/>
      <c r="AE213" s="366"/>
    </row>
    <row r="214" spans="1:31" ht="13.9" customHeight="1">
      <c r="A214" s="1526" t="s">
        <v>207</v>
      </c>
      <c r="B214" s="4" t="s">
        <v>1423</v>
      </c>
      <c r="C214" s="4"/>
      <c r="D214" s="51"/>
      <c r="E214" s="51"/>
      <c r="F214" s="51"/>
      <c r="G214" s="1532"/>
      <c r="H214" s="1532"/>
      <c r="I214" s="1532"/>
      <c r="J214" s="1532"/>
      <c r="K214" s="1532"/>
      <c r="L214" s="1532"/>
      <c r="M214" s="1532"/>
      <c r="N214" s="102"/>
      <c r="O214" s="90" t="s">
        <v>1273</v>
      </c>
      <c r="P214" s="1838"/>
      <c r="Q214" s="1845"/>
      <c r="R214" s="102"/>
      <c r="S214" s="102"/>
      <c r="T214" s="102"/>
      <c r="U214" s="102"/>
      <c r="V214" s="102"/>
      <c r="W214" s="102"/>
      <c r="X214" s="102"/>
      <c r="Y214" s="102"/>
      <c r="Z214" s="102"/>
      <c r="AA214" s="102"/>
      <c r="AB214" s="102"/>
      <c r="AC214" s="102"/>
      <c r="AD214" s="102"/>
      <c r="AE214" s="366"/>
    </row>
    <row r="215" spans="1:31" ht="4.1500000000000004" customHeight="1">
      <c r="A215" s="102"/>
      <c r="B215" s="102"/>
      <c r="C215" s="102"/>
      <c r="D215" s="102"/>
      <c r="E215" s="102"/>
      <c r="F215" s="102"/>
      <c r="G215" s="102"/>
      <c r="H215" s="102"/>
      <c r="I215" s="102"/>
      <c r="J215" s="102"/>
      <c r="K215" s="102"/>
      <c r="L215" s="102"/>
      <c r="M215" s="102"/>
      <c r="N215" s="102"/>
      <c r="O215" s="102"/>
      <c r="P215" s="102"/>
      <c r="Q215" s="102"/>
      <c r="R215" s="102"/>
      <c r="S215" s="102"/>
      <c r="T215" s="102"/>
      <c r="U215" s="102"/>
      <c r="V215" s="102"/>
      <c r="W215" s="102"/>
      <c r="X215" s="102"/>
      <c r="Y215" s="102"/>
      <c r="Z215" s="102"/>
      <c r="AA215" s="102"/>
      <c r="AB215" s="102"/>
      <c r="AC215" s="102"/>
      <c r="AD215" s="102"/>
      <c r="AE215" s="366"/>
    </row>
    <row r="216" spans="1:31" ht="11.45" customHeight="1">
      <c r="A216" s="100" t="s">
        <v>110</v>
      </c>
      <c r="B216" s="1533" t="s">
        <v>1303</v>
      </c>
      <c r="C216" s="947" t="s">
        <v>1424</v>
      </c>
      <c r="D216" s="102"/>
      <c r="E216" s="947"/>
      <c r="F216" s="947"/>
      <c r="G216" s="947"/>
      <c r="H216" s="947"/>
      <c r="I216" s="947"/>
      <c r="J216" s="947"/>
      <c r="K216" s="947"/>
      <c r="L216" s="947"/>
      <c r="M216" s="947"/>
      <c r="N216" s="947"/>
      <c r="O216" s="113" t="s">
        <v>1425</v>
      </c>
      <c r="P216" s="2313" t="s">
        <v>21</v>
      </c>
      <c r="Q216" s="425"/>
      <c r="R216" s="102"/>
      <c r="S216" s="102"/>
      <c r="T216" s="102"/>
      <c r="U216" s="102"/>
      <c r="V216" s="102"/>
      <c r="W216" s="102"/>
      <c r="X216" s="102"/>
      <c r="Y216" s="102"/>
      <c r="Z216" s="102"/>
      <c r="AA216" s="102"/>
      <c r="AB216" s="102"/>
      <c r="AC216" s="102"/>
      <c r="AD216" s="102"/>
      <c r="AE216" s="366"/>
    </row>
    <row r="217" spans="1:31" ht="11.45" customHeight="1">
      <c r="A217" s="100"/>
      <c r="B217" s="1533" t="s">
        <v>1306</v>
      </c>
      <c r="C217" s="947" t="s">
        <v>1426</v>
      </c>
      <c r="D217" s="102"/>
      <c r="E217" s="947"/>
      <c r="F217" s="947"/>
      <c r="G217" s="947"/>
      <c r="H217" s="947"/>
      <c r="I217" s="947"/>
      <c r="J217" s="947"/>
      <c r="K217" s="947"/>
      <c r="L217" s="947"/>
      <c r="M217" s="947"/>
      <c r="N217" s="947"/>
      <c r="O217" s="113" t="s">
        <v>1306</v>
      </c>
      <c r="P217" s="2319"/>
      <c r="Q217" s="426"/>
      <c r="R217" s="102"/>
      <c r="S217" s="102"/>
      <c r="T217" s="102"/>
      <c r="U217" s="102"/>
      <c r="V217" s="102"/>
      <c r="W217" s="102"/>
      <c r="X217" s="102"/>
      <c r="Y217" s="102"/>
      <c r="Z217" s="102"/>
      <c r="AA217" s="102"/>
      <c r="AB217" s="102"/>
      <c r="AC217" s="102"/>
      <c r="AD217" s="102"/>
      <c r="AE217" s="366"/>
    </row>
    <row r="218" spans="1:31" ht="11.45" customHeight="1">
      <c r="A218" s="100" t="s">
        <v>121</v>
      </c>
      <c r="B218" s="1833" t="s">
        <v>1427</v>
      </c>
      <c r="C218" s="1833"/>
      <c r="D218" s="1833"/>
      <c r="E218" s="1833"/>
      <c r="F218" s="1833"/>
      <c r="G218" s="1833"/>
      <c r="H218" s="363" t="s">
        <v>1303</v>
      </c>
      <c r="I218" s="31" t="s">
        <v>1428</v>
      </c>
      <c r="J218" s="2514" t="s">
        <v>98</v>
      </c>
      <c r="K218" s="2515"/>
      <c r="L218" s="2515"/>
      <c r="M218" s="2515"/>
      <c r="N218" s="2543"/>
      <c r="O218" s="363" t="s">
        <v>1429</v>
      </c>
      <c r="P218" s="2319" t="s">
        <v>22</v>
      </c>
      <c r="Q218" s="426"/>
      <c r="R218" s="102"/>
      <c r="S218" s="102"/>
      <c r="T218" s="102"/>
      <c r="U218" s="102"/>
      <c r="V218" s="102"/>
      <c r="W218" s="102"/>
      <c r="X218" s="102"/>
      <c r="Y218" s="102"/>
      <c r="Z218" s="102"/>
      <c r="AA218" s="102"/>
      <c r="AB218" s="102"/>
      <c r="AC218" s="102"/>
      <c r="AD218" s="102"/>
      <c r="AE218" s="366"/>
    </row>
    <row r="219" spans="1:31" ht="11.45" customHeight="1">
      <c r="A219" s="104"/>
      <c r="B219" s="1833"/>
      <c r="C219" s="1833"/>
      <c r="D219" s="1833"/>
      <c r="E219" s="1833"/>
      <c r="F219" s="1833"/>
      <c r="G219" s="1833"/>
      <c r="H219" s="363" t="s">
        <v>1306</v>
      </c>
      <c r="I219" s="31" t="s">
        <v>1430</v>
      </c>
      <c r="J219" s="2544" t="s">
        <v>98</v>
      </c>
      <c r="K219" s="2545"/>
      <c r="L219" s="2545"/>
      <c r="M219" s="2545"/>
      <c r="N219" s="2546"/>
      <c r="O219" s="363" t="s">
        <v>1306</v>
      </c>
      <c r="P219" s="2319" t="s">
        <v>22</v>
      </c>
      <c r="Q219" s="426"/>
      <c r="R219" s="102"/>
      <c r="S219" s="102"/>
      <c r="T219" s="102"/>
      <c r="U219" s="102"/>
      <c r="V219" s="102"/>
      <c r="W219" s="102"/>
      <c r="X219" s="102"/>
      <c r="Y219" s="102"/>
      <c r="Z219" s="102"/>
      <c r="AA219" s="102"/>
      <c r="AB219" s="102"/>
      <c r="AC219" s="102"/>
      <c r="AD219" s="102"/>
      <c r="AE219" s="366"/>
    </row>
    <row r="220" spans="1:31" ht="12" customHeight="1">
      <c r="A220" s="28" t="s">
        <v>123</v>
      </c>
      <c r="B220" s="31" t="s">
        <v>1431</v>
      </c>
      <c r="C220" s="102"/>
      <c r="D220" s="31"/>
      <c r="E220" s="31"/>
      <c r="F220" s="31"/>
      <c r="G220" s="31"/>
      <c r="H220" s="31"/>
      <c r="I220" s="31"/>
      <c r="J220" s="31"/>
      <c r="K220" s="58"/>
      <c r="L220" s="31"/>
      <c r="M220" s="31"/>
      <c r="N220" s="102"/>
      <c r="O220" s="363" t="s">
        <v>123</v>
      </c>
      <c r="P220" s="2319" t="s">
        <v>22</v>
      </c>
      <c r="Q220" s="426"/>
      <c r="R220" s="102"/>
      <c r="S220" s="102"/>
      <c r="T220" s="102"/>
      <c r="U220" s="102"/>
      <c r="V220" s="102"/>
      <c r="W220" s="102"/>
      <c r="X220" s="102"/>
      <c r="Y220" s="102"/>
      <c r="Z220" s="102"/>
      <c r="AA220" s="102"/>
      <c r="AB220" s="102"/>
      <c r="AC220" s="102"/>
      <c r="AD220" s="102"/>
      <c r="AE220" s="366"/>
    </row>
    <row r="221" spans="1:31" ht="12" customHeight="1">
      <c r="A221" s="28" t="s">
        <v>126</v>
      </c>
      <c r="B221" s="31" t="s">
        <v>1432</v>
      </c>
      <c r="C221" s="102"/>
      <c r="D221" s="31"/>
      <c r="E221" s="31"/>
      <c r="F221" s="31"/>
      <c r="G221" s="31"/>
      <c r="H221" s="31"/>
      <c r="I221" s="31"/>
      <c r="J221" s="31"/>
      <c r="K221" s="58"/>
      <c r="L221" s="31"/>
      <c r="M221" s="31"/>
      <c r="N221" s="102"/>
      <c r="O221" s="363" t="s">
        <v>126</v>
      </c>
      <c r="P221" s="2312" t="s">
        <v>21</v>
      </c>
      <c r="Q221" s="427"/>
      <c r="R221" s="102"/>
      <c r="S221" s="102"/>
      <c r="T221" s="102"/>
      <c r="U221" s="102"/>
      <c r="V221" s="102"/>
      <c r="W221" s="102"/>
      <c r="X221" s="102"/>
      <c r="Y221" s="102"/>
      <c r="Z221" s="102"/>
      <c r="AA221" s="102"/>
      <c r="AB221" s="102"/>
      <c r="AC221" s="102"/>
      <c r="AD221" s="102"/>
      <c r="AE221" s="366"/>
    </row>
    <row r="222" spans="1:31" ht="11.25" customHeight="1">
      <c r="A222" s="102"/>
      <c r="B222" s="99" t="s">
        <v>1274</v>
      </c>
      <c r="C222" s="102"/>
      <c r="D222" s="99"/>
      <c r="E222" s="99"/>
      <c r="F222" s="99"/>
      <c r="G222" s="99"/>
      <c r="H222" s="22"/>
      <c r="I222" s="1529"/>
      <c r="J222" s="1529"/>
      <c r="K222" s="1529"/>
      <c r="L222" s="1524"/>
      <c r="M222" s="1524"/>
      <c r="N222" s="1524"/>
      <c r="O222" s="1524"/>
      <c r="P222" s="1524"/>
      <c r="Q222" s="771"/>
      <c r="R222" s="102"/>
      <c r="S222" s="102"/>
      <c r="T222" s="102"/>
      <c r="U222" s="102"/>
      <c r="V222" s="102"/>
      <c r="W222" s="102"/>
      <c r="X222" s="102"/>
      <c r="Y222" s="102"/>
      <c r="Z222" s="102"/>
      <c r="AA222" s="102"/>
      <c r="AB222" s="102"/>
      <c r="AC222" s="102"/>
      <c r="AD222" s="102"/>
      <c r="AE222" s="366"/>
    </row>
    <row r="223" spans="1:31" ht="11.45" customHeight="1">
      <c r="A223" s="2496" t="s">
        <v>4654</v>
      </c>
      <c r="B223" s="2497"/>
      <c r="C223" s="2497"/>
      <c r="D223" s="2497"/>
      <c r="E223" s="2497"/>
      <c r="F223" s="2497"/>
      <c r="G223" s="2497"/>
      <c r="H223" s="2497"/>
      <c r="I223" s="2497"/>
      <c r="J223" s="2497"/>
      <c r="K223" s="2497"/>
      <c r="L223" s="2497"/>
      <c r="M223" s="2497"/>
      <c r="N223" s="2497"/>
      <c r="O223" s="2497"/>
      <c r="P223" s="2497"/>
      <c r="Q223" s="2498"/>
      <c r="R223" s="102"/>
      <c r="S223" s="102"/>
      <c r="T223" s="102"/>
      <c r="U223" s="94"/>
      <c r="V223" s="94"/>
      <c r="W223" s="94"/>
      <c r="X223" s="94"/>
      <c r="Y223" s="94"/>
      <c r="Z223" s="94"/>
      <c r="AA223" s="94"/>
      <c r="AB223" s="94"/>
      <c r="AC223" s="94"/>
      <c r="AD223" s="94"/>
      <c r="AE223" s="365"/>
    </row>
    <row r="224" spans="1:31" ht="11.25" customHeight="1">
      <c r="A224" s="102"/>
      <c r="B224" s="95" t="s">
        <v>1276</v>
      </c>
      <c r="C224" s="96"/>
      <c r="D224" s="1532"/>
      <c r="E224" s="1532"/>
      <c r="F224" s="1532"/>
      <c r="G224" s="1532"/>
      <c r="H224" s="1532"/>
      <c r="I224" s="1532"/>
      <c r="J224" s="1532"/>
      <c r="K224" s="1532"/>
      <c r="L224" s="1532"/>
      <c r="M224" s="1532"/>
      <c r="N224" s="1532"/>
      <c r="O224" s="1532"/>
      <c r="P224" s="1532"/>
      <c r="Q224" s="1532"/>
      <c r="R224" s="102"/>
      <c r="S224" s="102"/>
      <c r="T224" s="102"/>
      <c r="U224" s="102"/>
      <c r="V224" s="102"/>
      <c r="W224" s="102"/>
      <c r="X224" s="102"/>
      <c r="Y224" s="102"/>
      <c r="Z224" s="102"/>
      <c r="AA224" s="102"/>
      <c r="AB224" s="102"/>
      <c r="AC224" s="102"/>
      <c r="AD224" s="102"/>
      <c r="AE224" s="366"/>
    </row>
    <row r="225" spans="1:32" ht="11.45" customHeight="1">
      <c r="A225" s="1835"/>
      <c r="B225" s="1836"/>
      <c r="C225" s="1836"/>
      <c r="D225" s="1836"/>
      <c r="E225" s="1836"/>
      <c r="F225" s="1836"/>
      <c r="G225" s="1836"/>
      <c r="H225" s="1836"/>
      <c r="I225" s="1836"/>
      <c r="J225" s="1836"/>
      <c r="K225" s="1836"/>
      <c r="L225" s="1836"/>
      <c r="M225" s="1836"/>
      <c r="N225" s="1836"/>
      <c r="O225" s="1836"/>
      <c r="P225" s="1836"/>
      <c r="Q225" s="1837"/>
      <c r="R225" s="102"/>
      <c r="S225" s="102"/>
      <c r="T225" s="102"/>
      <c r="U225" s="102"/>
      <c r="V225" s="102"/>
      <c r="W225" s="102"/>
      <c r="X225" s="102"/>
      <c r="Y225" s="102"/>
      <c r="Z225" s="102"/>
      <c r="AA225" s="102"/>
      <c r="AB225" s="102"/>
      <c r="AC225" s="102"/>
      <c r="AD225" s="102"/>
      <c r="AE225" s="366"/>
      <c r="AF225" s="366"/>
    </row>
    <row r="226" spans="1:32" ht="3" customHeight="1">
      <c r="A226" s="1524"/>
      <c r="B226" s="1529"/>
      <c r="C226" s="1532"/>
      <c r="D226" s="1532"/>
      <c r="E226" s="1532"/>
      <c r="F226" s="1532"/>
      <c r="G226" s="1532"/>
      <c r="H226" s="1532"/>
      <c r="I226" s="1532"/>
      <c r="J226" s="1532"/>
      <c r="K226" s="1532"/>
      <c r="L226" s="1532"/>
      <c r="M226" s="1532"/>
      <c r="N226" s="102"/>
      <c r="O226" s="102"/>
      <c r="P226" s="102"/>
      <c r="Q226" s="1524"/>
      <c r="R226" s="102"/>
      <c r="S226" s="102"/>
      <c r="T226" s="102"/>
      <c r="U226" s="102"/>
      <c r="V226" s="102"/>
      <c r="W226" s="102"/>
      <c r="X226" s="102"/>
      <c r="Y226" s="102"/>
      <c r="Z226" s="102"/>
      <c r="AA226" s="102"/>
      <c r="AB226" s="102"/>
      <c r="AC226" s="102"/>
      <c r="AD226" s="102"/>
      <c r="AE226" s="366"/>
      <c r="AF226" s="366"/>
    </row>
    <row r="227" spans="1:32" ht="13.9" customHeight="1">
      <c r="A227" s="1526" t="s">
        <v>222</v>
      </c>
      <c r="B227" s="1526" t="s">
        <v>1433</v>
      </c>
      <c r="C227" s="74"/>
      <c r="D227" s="1532"/>
      <c r="E227" s="1532"/>
      <c r="F227" s="1532"/>
      <c r="G227" s="1532"/>
      <c r="H227" s="1532"/>
      <c r="I227" s="1532"/>
      <c r="J227" s="1532"/>
      <c r="K227" s="1532"/>
      <c r="L227" s="1532"/>
      <c r="M227" s="1532"/>
      <c r="N227" s="102"/>
      <c r="O227" s="90" t="s">
        <v>1273</v>
      </c>
      <c r="P227" s="1838"/>
      <c r="Q227" s="1845"/>
      <c r="R227" s="102"/>
      <c r="S227" s="102"/>
      <c r="T227" s="102"/>
      <c r="U227" s="102"/>
      <c r="V227" s="102"/>
      <c r="W227" s="102"/>
      <c r="X227" s="102"/>
      <c r="Y227" s="102"/>
      <c r="Z227" s="102"/>
      <c r="AA227" s="102"/>
      <c r="AB227" s="102"/>
      <c r="AC227" s="102"/>
      <c r="AD227" s="102"/>
      <c r="AE227" s="366"/>
      <c r="AF227" s="366"/>
    </row>
    <row r="228" spans="1:32" s="12" customFormat="1" ht="11.45" customHeight="1">
      <c r="B228" s="33" t="s">
        <v>1434</v>
      </c>
      <c r="N228" s="79"/>
      <c r="P228" s="2383" t="s">
        <v>21</v>
      </c>
      <c r="Q228" s="1411"/>
      <c r="AE228" s="76"/>
      <c r="AF228" s="76"/>
    </row>
    <row r="229" spans="1:32" ht="12" customHeight="1">
      <c r="A229" s="28" t="s">
        <v>110</v>
      </c>
      <c r="B229" s="20" t="s">
        <v>1435</v>
      </c>
      <c r="C229" s="102"/>
      <c r="D229" s="58"/>
      <c r="E229" s="58"/>
      <c r="F229" s="58"/>
      <c r="G229" s="58"/>
      <c r="H229" s="58"/>
      <c r="I229" s="58"/>
      <c r="J229" s="58"/>
      <c r="K229" s="58"/>
      <c r="L229" s="58"/>
      <c r="M229" s="58"/>
      <c r="N229" s="102"/>
      <c r="O229" s="363" t="s">
        <v>110</v>
      </c>
      <c r="P229" s="2383" t="s">
        <v>4621</v>
      </c>
      <c r="Q229" s="425"/>
      <c r="R229" s="102"/>
      <c r="S229" s="102"/>
      <c r="T229" s="102"/>
      <c r="U229" s="102"/>
      <c r="V229" s="102"/>
      <c r="W229" s="102"/>
      <c r="X229" s="102"/>
      <c r="Y229" s="102"/>
      <c r="Z229" s="102"/>
      <c r="AA229" s="102"/>
      <c r="AB229" s="102"/>
      <c r="AC229" s="102"/>
      <c r="AD229" s="102"/>
      <c r="AE229" s="366"/>
      <c r="AF229" s="366"/>
    </row>
    <row r="230" spans="1:32" ht="11.45" customHeight="1">
      <c r="A230" s="28"/>
      <c r="B230" s="363" t="s">
        <v>1303</v>
      </c>
      <c r="C230" s="31" t="s">
        <v>1436</v>
      </c>
      <c r="D230" s="102"/>
      <c r="E230" s="31"/>
      <c r="F230" s="31"/>
      <c r="G230" s="31"/>
      <c r="H230" s="31"/>
      <c r="I230" s="58"/>
      <c r="J230" s="363" t="s">
        <v>1425</v>
      </c>
      <c r="K230" s="2514" t="s">
        <v>1050</v>
      </c>
      <c r="L230" s="2543"/>
      <c r="M230" s="102"/>
      <c r="N230" s="102"/>
      <c r="O230" s="102"/>
      <c r="P230" s="102"/>
      <c r="Q230" s="426"/>
      <c r="R230" s="102"/>
      <c r="S230" s="102"/>
      <c r="T230" s="102"/>
      <c r="U230" s="102"/>
      <c r="V230" s="102"/>
      <c r="W230" s="102"/>
      <c r="X230" s="102"/>
      <c r="Y230" s="102"/>
      <c r="Z230" s="102"/>
      <c r="AA230" s="102"/>
      <c r="AB230" s="102"/>
      <c r="AC230" s="102"/>
      <c r="AD230" s="102"/>
      <c r="AE230" s="366"/>
      <c r="AF230" s="366"/>
    </row>
    <row r="231" spans="1:32" ht="11.45" customHeight="1">
      <c r="A231" s="28"/>
      <c r="B231" s="363" t="s">
        <v>1306</v>
      </c>
      <c r="C231" s="772" t="s">
        <v>1437</v>
      </c>
      <c r="D231" s="102"/>
      <c r="E231" s="772"/>
      <c r="F231" s="772"/>
      <c r="G231" s="772"/>
      <c r="H231" s="772"/>
      <c r="I231" s="58"/>
      <c r="J231" s="363" t="s">
        <v>1438</v>
      </c>
      <c r="K231" s="2547" t="s">
        <v>4655</v>
      </c>
      <c r="L231" s="2548"/>
      <c r="M231" s="2549" t="s">
        <v>4656</v>
      </c>
      <c r="N231" s="2550"/>
      <c r="O231" s="2550"/>
      <c r="P231" s="2551"/>
      <c r="Q231" s="426"/>
      <c r="R231" s="102"/>
      <c r="S231" s="102"/>
      <c r="T231" s="102"/>
      <c r="U231" s="102"/>
      <c r="V231" s="102"/>
      <c r="W231" s="102"/>
      <c r="X231" s="102"/>
      <c r="Y231" s="102"/>
      <c r="Z231" s="102"/>
      <c r="AA231" s="102"/>
      <c r="AB231" s="102"/>
      <c r="AC231" s="102"/>
      <c r="AD231" s="102"/>
      <c r="AE231" s="366"/>
      <c r="AF231" s="366"/>
    </row>
    <row r="232" spans="1:32" ht="11.45" customHeight="1">
      <c r="A232" s="28"/>
      <c r="B232" s="363" t="s">
        <v>1308</v>
      </c>
      <c r="C232" s="772" t="s">
        <v>1439</v>
      </c>
      <c r="D232" s="102"/>
      <c r="E232" s="772"/>
      <c r="F232" s="772"/>
      <c r="G232" s="772"/>
      <c r="H232" s="772"/>
      <c r="I232" s="58"/>
      <c r="J232" s="363" t="s">
        <v>1440</v>
      </c>
      <c r="K232" s="2544" t="s">
        <v>4657</v>
      </c>
      <c r="L232" s="2545"/>
      <c r="M232" s="2546"/>
      <c r="N232" s="1396"/>
      <c r="O232" s="1358"/>
      <c r="P232" s="1352"/>
      <c r="Q232" s="427"/>
      <c r="R232" s="58"/>
      <c r="S232" s="102"/>
      <c r="T232" s="102"/>
      <c r="U232" s="102"/>
      <c r="V232" s="102"/>
      <c r="W232" s="102"/>
      <c r="X232" s="102"/>
      <c r="Y232" s="102"/>
      <c r="Z232" s="102"/>
      <c r="AA232" s="102"/>
      <c r="AB232" s="102"/>
      <c r="AC232" s="102"/>
      <c r="AD232" s="102"/>
      <c r="AE232" s="366"/>
      <c r="AF232" s="366"/>
    </row>
    <row r="233" spans="1:32" ht="12" customHeight="1">
      <c r="A233" s="28" t="s">
        <v>121</v>
      </c>
      <c r="B233" s="31" t="s">
        <v>1441</v>
      </c>
      <c r="C233" s="102"/>
      <c r="D233" s="31"/>
      <c r="E233" s="31"/>
      <c r="F233" s="31"/>
      <c r="G233" s="31"/>
      <c r="H233" s="31"/>
      <c r="I233" s="31"/>
      <c r="J233" s="31"/>
      <c r="K233" s="58"/>
      <c r="L233" s="58"/>
      <c r="M233" s="58"/>
      <c r="N233" s="58"/>
      <c r="O233" s="363" t="s">
        <v>121</v>
      </c>
      <c r="P233" s="2383" t="s">
        <v>4621</v>
      </c>
      <c r="Q233" s="1411"/>
      <c r="R233" s="102"/>
      <c r="S233" s="102"/>
      <c r="T233" s="102"/>
      <c r="U233" s="102"/>
      <c r="V233" s="102"/>
      <c r="W233" s="102"/>
      <c r="X233" s="102"/>
      <c r="Y233" s="102"/>
      <c r="Z233" s="102"/>
      <c r="AA233" s="102"/>
      <c r="AB233" s="102"/>
      <c r="AC233" s="102"/>
      <c r="AD233" s="102"/>
      <c r="AE233" s="366"/>
      <c r="AF233" s="366"/>
    </row>
    <row r="234" spans="1:32" ht="10.9" customHeight="1">
      <c r="A234" s="28"/>
      <c r="B234" s="31" t="s">
        <v>1442</v>
      </c>
      <c r="C234" s="102"/>
      <c r="D234" s="31"/>
      <c r="E234" s="31"/>
      <c r="F234" s="31"/>
      <c r="G234" s="31"/>
      <c r="H234" s="31"/>
      <c r="I234" s="31"/>
      <c r="J234" s="31"/>
      <c r="K234" s="58"/>
      <c r="L234" s="58"/>
      <c r="M234" s="58"/>
      <c r="N234" s="58"/>
      <c r="O234" s="58"/>
      <c r="P234" s="1879" t="s">
        <v>1443</v>
      </c>
      <c r="Q234" s="1879"/>
      <c r="R234" s="102"/>
      <c r="S234" s="102"/>
      <c r="T234" s="102"/>
      <c r="U234" s="102"/>
      <c r="V234" s="102"/>
      <c r="W234" s="102"/>
      <c r="X234" s="102"/>
      <c r="Y234" s="102"/>
      <c r="Z234" s="102"/>
      <c r="AA234" s="102"/>
      <c r="AB234" s="102"/>
      <c r="AC234" s="102"/>
      <c r="AD234" s="102"/>
      <c r="AE234" s="366"/>
      <c r="AF234" s="366"/>
    </row>
    <row r="235" spans="1:32" ht="10.9" customHeight="1">
      <c r="A235" s="28"/>
      <c r="B235" s="102"/>
      <c r="C235" s="31" t="s">
        <v>1444</v>
      </c>
      <c r="D235" s="31"/>
      <c r="E235" s="31"/>
      <c r="F235" s="31"/>
      <c r="G235" s="102"/>
      <c r="H235" s="201" t="s">
        <v>1445</v>
      </c>
      <c r="I235" s="202" t="s">
        <v>1446</v>
      </c>
      <c r="J235" s="102"/>
      <c r="K235" s="31" t="s">
        <v>1444</v>
      </c>
      <c r="L235" s="102"/>
      <c r="M235" s="58"/>
      <c r="N235" s="58"/>
      <c r="O235" s="201"/>
      <c r="P235" s="203" t="s">
        <v>1445</v>
      </c>
      <c r="Q235" s="202" t="s">
        <v>1446</v>
      </c>
      <c r="R235" s="102"/>
      <c r="S235" s="102"/>
      <c r="T235" s="102"/>
      <c r="U235" s="102"/>
      <c r="V235" s="102"/>
      <c r="W235" s="102"/>
      <c r="X235" s="102"/>
      <c r="Y235" s="102"/>
      <c r="Z235" s="102"/>
      <c r="AA235" s="102"/>
      <c r="AB235" s="102"/>
      <c r="AC235" s="102"/>
      <c r="AD235" s="102"/>
      <c r="AE235" s="366"/>
      <c r="AF235" s="366"/>
    </row>
    <row r="236" spans="1:32" s="25" customFormat="1" ht="11.45" customHeight="1">
      <c r="A236" s="30"/>
      <c r="B236" s="363" t="s">
        <v>1303</v>
      </c>
      <c r="C236" s="2552" t="s">
        <v>1654</v>
      </c>
      <c r="D236" s="2553"/>
      <c r="E236" s="2553"/>
      <c r="F236" s="2553"/>
      <c r="G236" s="2554"/>
      <c r="H236" s="430"/>
      <c r="I236" s="431"/>
      <c r="J236" s="363" t="s">
        <v>1308</v>
      </c>
      <c r="K236" s="2552" t="s">
        <v>1447</v>
      </c>
      <c r="L236" s="2553"/>
      <c r="M236" s="2553"/>
      <c r="N236" s="2553"/>
      <c r="O236" s="2554"/>
      <c r="P236" s="425"/>
      <c r="Q236" s="431"/>
      <c r="AE236" s="32"/>
      <c r="AF236" s="32"/>
    </row>
    <row r="237" spans="1:32" s="25" customFormat="1" ht="11.45" customHeight="1">
      <c r="A237" s="30"/>
      <c r="B237" s="363" t="s">
        <v>1306</v>
      </c>
      <c r="C237" s="2555" t="s">
        <v>1651</v>
      </c>
      <c r="D237" s="2556"/>
      <c r="E237" s="2556"/>
      <c r="F237" s="2556"/>
      <c r="G237" s="2557"/>
      <c r="H237" s="432"/>
      <c r="I237" s="433"/>
      <c r="J237" s="363" t="s">
        <v>1310</v>
      </c>
      <c r="K237" s="2555"/>
      <c r="L237" s="2556"/>
      <c r="M237" s="2556"/>
      <c r="N237" s="2556"/>
      <c r="O237" s="2557"/>
      <c r="P237" s="427"/>
      <c r="Q237" s="433"/>
      <c r="AE237" s="32"/>
      <c r="AF237" s="32"/>
    </row>
    <row r="238" spans="1:32" ht="12" customHeight="1">
      <c r="A238" s="28" t="s">
        <v>123</v>
      </c>
      <c r="B238" s="31" t="s">
        <v>1448</v>
      </c>
      <c r="C238" s="31"/>
      <c r="D238" s="102"/>
      <c r="E238" s="31"/>
      <c r="F238" s="31"/>
      <c r="G238" s="31"/>
      <c r="H238" s="31"/>
      <c r="I238" s="31"/>
      <c r="J238" s="31"/>
      <c r="K238" s="58"/>
      <c r="L238" s="31"/>
      <c r="M238" s="31"/>
      <c r="N238" s="102"/>
      <c r="O238" s="363" t="s">
        <v>123</v>
      </c>
      <c r="P238" s="2313" t="s">
        <v>4621</v>
      </c>
      <c r="Q238" s="425"/>
      <c r="R238" s="102"/>
      <c r="S238" s="102"/>
      <c r="T238" s="102"/>
      <c r="U238" s="102"/>
      <c r="V238" s="102"/>
      <c r="W238" s="102"/>
      <c r="X238" s="102"/>
      <c r="Y238" s="102"/>
      <c r="Z238" s="102"/>
      <c r="AA238" s="102"/>
      <c r="AB238" s="102"/>
      <c r="AC238" s="102"/>
      <c r="AD238" s="102"/>
      <c r="AE238" s="366"/>
      <c r="AF238" s="366"/>
    </row>
    <row r="239" spans="1:32" ht="11.45" customHeight="1">
      <c r="A239" s="28"/>
      <c r="B239" s="363" t="s">
        <v>1303</v>
      </c>
      <c r="C239" s="31" t="s">
        <v>1449</v>
      </c>
      <c r="D239" s="102"/>
      <c r="E239" s="31"/>
      <c r="F239" s="31"/>
      <c r="G239" s="102"/>
      <c r="H239" s="102"/>
      <c r="I239" s="102"/>
      <c r="J239" s="102"/>
      <c r="K239" s="102"/>
      <c r="L239" s="18"/>
      <c r="M239" s="18"/>
      <c r="N239" s="102"/>
      <c r="O239" s="363" t="s">
        <v>1303</v>
      </c>
      <c r="P239" s="2319" t="s">
        <v>22</v>
      </c>
      <c r="Q239" s="426"/>
      <c r="R239" s="102"/>
      <c r="S239" s="102"/>
      <c r="T239" s="102"/>
      <c r="U239" s="102"/>
      <c r="V239" s="102"/>
      <c r="W239" s="102"/>
      <c r="X239" s="102"/>
      <c r="Y239" s="102"/>
      <c r="Z239" s="102"/>
      <c r="AA239" s="102"/>
      <c r="AB239" s="102"/>
      <c r="AC239" s="102"/>
      <c r="AD239" s="102"/>
      <c r="AE239" s="366"/>
      <c r="AF239" s="366"/>
    </row>
    <row r="240" spans="1:32" ht="11.45" customHeight="1">
      <c r="A240" s="102"/>
      <c r="B240" s="363" t="s">
        <v>1306</v>
      </c>
      <c r="C240" s="772" t="s">
        <v>1450</v>
      </c>
      <c r="D240" s="102"/>
      <c r="E240" s="772"/>
      <c r="F240" s="772"/>
      <c r="G240" s="102"/>
      <c r="H240" s="102"/>
      <c r="I240" s="102"/>
      <c r="J240" s="102"/>
      <c r="K240" s="102"/>
      <c r="L240" s="18"/>
      <c r="M240" s="18"/>
      <c r="N240" s="102"/>
      <c r="O240" s="363" t="s">
        <v>1306</v>
      </c>
      <c r="P240" s="2319" t="s">
        <v>22</v>
      </c>
      <c r="Q240" s="426"/>
      <c r="R240" s="102"/>
      <c r="S240" s="102"/>
      <c r="T240" s="102"/>
      <c r="U240" s="102"/>
      <c r="V240" s="102"/>
      <c r="W240" s="102"/>
      <c r="X240" s="102"/>
      <c r="Y240" s="102"/>
      <c r="Z240" s="102"/>
      <c r="AA240" s="102"/>
      <c r="AB240" s="102"/>
      <c r="AC240" s="102"/>
      <c r="AD240" s="102"/>
      <c r="AE240" s="366"/>
      <c r="AF240" s="366"/>
    </row>
    <row r="241" spans="1:31" ht="11.45" customHeight="1">
      <c r="A241" s="102"/>
      <c r="B241" s="363" t="s">
        <v>1308</v>
      </c>
      <c r="C241" s="772" t="s">
        <v>1451</v>
      </c>
      <c r="D241" s="102"/>
      <c r="E241" s="772"/>
      <c r="F241" s="772"/>
      <c r="G241" s="772"/>
      <c r="H241" s="772"/>
      <c r="I241" s="58"/>
      <c r="J241" s="18"/>
      <c r="K241" s="58"/>
      <c r="L241" s="18"/>
      <c r="M241" s="18"/>
      <c r="N241" s="102"/>
      <c r="O241" s="363" t="s">
        <v>1308</v>
      </c>
      <c r="P241" s="2319" t="s">
        <v>22</v>
      </c>
      <c r="Q241" s="426"/>
      <c r="R241" s="102"/>
      <c r="S241" s="102"/>
      <c r="T241" s="102"/>
      <c r="U241" s="102"/>
      <c r="V241" s="102"/>
      <c r="W241" s="102"/>
      <c r="X241" s="102"/>
      <c r="Y241" s="102"/>
      <c r="Z241" s="102"/>
      <c r="AA241" s="102"/>
      <c r="AB241" s="102"/>
      <c r="AC241" s="102"/>
      <c r="AD241" s="102"/>
      <c r="AE241" s="366"/>
    </row>
    <row r="242" spans="1:31" ht="11.45" customHeight="1">
      <c r="A242" s="28"/>
      <c r="B242" s="363" t="s">
        <v>1310</v>
      </c>
      <c r="C242" s="772" t="s">
        <v>1452</v>
      </c>
      <c r="D242" s="102"/>
      <c r="E242" s="772"/>
      <c r="F242" s="772"/>
      <c r="G242" s="772"/>
      <c r="H242" s="772"/>
      <c r="I242" s="58"/>
      <c r="J242" s="18"/>
      <c r="K242" s="58"/>
      <c r="L242" s="18"/>
      <c r="M242" s="18"/>
      <c r="N242" s="102"/>
      <c r="O242" s="363" t="s">
        <v>1310</v>
      </c>
      <c r="P242" s="2319" t="s">
        <v>22</v>
      </c>
      <c r="Q242" s="426"/>
      <c r="R242" s="102"/>
      <c r="S242" s="102"/>
      <c r="T242" s="102"/>
      <c r="U242" s="102"/>
      <c r="V242" s="102"/>
      <c r="W242" s="102"/>
      <c r="X242" s="102"/>
      <c r="Y242" s="102"/>
      <c r="Z242" s="102"/>
      <c r="AA242" s="102"/>
      <c r="AB242" s="102"/>
      <c r="AC242" s="102"/>
      <c r="AD242" s="102"/>
      <c r="AE242" s="366"/>
    </row>
    <row r="243" spans="1:31" ht="11.45" customHeight="1">
      <c r="A243" s="28"/>
      <c r="B243" s="363" t="s">
        <v>1323</v>
      </c>
      <c r="C243" s="772" t="s">
        <v>1453</v>
      </c>
      <c r="D243" s="102"/>
      <c r="E243" s="772"/>
      <c r="F243" s="772"/>
      <c r="G243" s="772"/>
      <c r="H243" s="772"/>
      <c r="I243" s="58"/>
      <c r="J243" s="18"/>
      <c r="K243" s="58"/>
      <c r="L243" s="18"/>
      <c r="M243" s="18"/>
      <c r="N243" s="102"/>
      <c r="O243" s="363" t="s">
        <v>1323</v>
      </c>
      <c r="P243" s="2319" t="s">
        <v>22</v>
      </c>
      <c r="Q243" s="426"/>
      <c r="R243" s="102"/>
      <c r="S243" s="102"/>
      <c r="T243" s="102"/>
      <c r="U243" s="102"/>
      <c r="V243" s="102"/>
      <c r="W243" s="102"/>
      <c r="X243" s="102"/>
      <c r="Y243" s="102"/>
      <c r="Z243" s="102"/>
      <c r="AA243" s="102"/>
      <c r="AB243" s="102"/>
      <c r="AC243" s="102"/>
      <c r="AD243" s="102"/>
      <c r="AE243" s="366"/>
    </row>
    <row r="244" spans="1:31" ht="11.45" customHeight="1">
      <c r="A244" s="28"/>
      <c r="B244" s="363" t="s">
        <v>1324</v>
      </c>
      <c r="C244" s="31" t="s">
        <v>1454</v>
      </c>
      <c r="D244" s="102"/>
      <c r="E244" s="31"/>
      <c r="F244" s="31"/>
      <c r="G244" s="31"/>
      <c r="H244" s="31"/>
      <c r="I244" s="58"/>
      <c r="J244" s="18"/>
      <c r="K244" s="58"/>
      <c r="L244" s="18"/>
      <c r="M244" s="18"/>
      <c r="N244" s="102"/>
      <c r="O244" s="363" t="s">
        <v>1455</v>
      </c>
      <c r="P244" s="2319" t="s">
        <v>22</v>
      </c>
      <c r="Q244" s="426"/>
      <c r="R244" s="102"/>
      <c r="S244" s="102"/>
      <c r="T244" s="102"/>
      <c r="U244" s="102"/>
      <c r="V244" s="102"/>
      <c r="W244" s="102"/>
      <c r="X244" s="102"/>
      <c r="Y244" s="102"/>
      <c r="Z244" s="102"/>
      <c r="AA244" s="102"/>
      <c r="AB244" s="102"/>
      <c r="AC244" s="102"/>
      <c r="AD244" s="102"/>
      <c r="AE244" s="366"/>
    </row>
    <row r="245" spans="1:31" ht="11.45" customHeight="1">
      <c r="A245" s="28"/>
      <c r="B245" s="363"/>
      <c r="C245" s="31" t="s">
        <v>1456</v>
      </c>
      <c r="D245" s="102"/>
      <c r="E245" s="31"/>
      <c r="F245" s="31"/>
      <c r="G245" s="31"/>
      <c r="H245" s="31"/>
      <c r="I245" s="58"/>
      <c r="J245" s="18"/>
      <c r="K245" s="58"/>
      <c r="L245" s="18"/>
      <c r="M245" s="18"/>
      <c r="N245" s="102"/>
      <c r="O245" s="363" t="s">
        <v>1457</v>
      </c>
      <c r="P245" s="2312" t="s">
        <v>21</v>
      </c>
      <c r="Q245" s="427"/>
      <c r="R245" s="102"/>
      <c r="S245" s="102"/>
      <c r="T245" s="102"/>
      <c r="U245" s="102"/>
      <c r="V245" s="102"/>
      <c r="W245" s="102"/>
      <c r="X245" s="102"/>
      <c r="Y245" s="102"/>
      <c r="Z245" s="102"/>
      <c r="AA245" s="102"/>
      <c r="AB245" s="102"/>
      <c r="AC245" s="102"/>
      <c r="AD245" s="102"/>
      <c r="AE245" s="366"/>
    </row>
    <row r="246" spans="1:31" ht="12" customHeight="1">
      <c r="A246" s="28" t="s">
        <v>126</v>
      </c>
      <c r="B246" s="31" t="s">
        <v>1458</v>
      </c>
      <c r="C246" s="31"/>
      <c r="D246" s="102"/>
      <c r="E246" s="31"/>
      <c r="F246" s="31"/>
      <c r="G246" s="31"/>
      <c r="H246" s="31"/>
      <c r="I246" s="31"/>
      <c r="J246" s="31"/>
      <c r="K246" s="58"/>
      <c r="L246" s="31"/>
      <c r="M246" s="31"/>
      <c r="N246" s="102"/>
      <c r="O246" s="363" t="s">
        <v>126</v>
      </c>
      <c r="P246" s="2313" t="s">
        <v>64</v>
      </c>
      <c r="Q246" s="425"/>
      <c r="R246" s="102"/>
      <c r="S246" s="102"/>
      <c r="T246" s="102"/>
      <c r="U246" s="102"/>
      <c r="V246" s="102"/>
      <c r="W246" s="102"/>
      <c r="X246" s="102"/>
      <c r="Y246" s="102"/>
      <c r="Z246" s="102"/>
      <c r="AA246" s="102"/>
      <c r="AB246" s="102"/>
      <c r="AC246" s="102"/>
      <c r="AD246" s="102"/>
      <c r="AE246" s="366"/>
    </row>
    <row r="247" spans="1:31" ht="11.45" customHeight="1">
      <c r="A247" s="102"/>
      <c r="B247" s="363" t="s">
        <v>1303</v>
      </c>
      <c r="C247" s="20" t="s">
        <v>1459</v>
      </c>
      <c r="D247" s="102"/>
      <c r="E247" s="58"/>
      <c r="F247" s="58"/>
      <c r="G247" s="20"/>
      <c r="H247" s="772"/>
      <c r="I247" s="58"/>
      <c r="J247" s="772"/>
      <c r="K247" s="58"/>
      <c r="L247" s="772"/>
      <c r="M247" s="772"/>
      <c r="N247" s="102"/>
      <c r="O247" s="363" t="s">
        <v>1303</v>
      </c>
      <c r="P247" s="2319"/>
      <c r="Q247" s="426"/>
      <c r="R247" s="102"/>
      <c r="S247" s="102"/>
      <c r="T247" s="102"/>
      <c r="U247" s="102"/>
      <c r="V247" s="102"/>
      <c r="W247" s="102"/>
      <c r="X247" s="102"/>
      <c r="Y247" s="102"/>
      <c r="Z247" s="102"/>
      <c r="AA247" s="102"/>
      <c r="AB247" s="102"/>
      <c r="AC247" s="102"/>
      <c r="AD247" s="102"/>
      <c r="AE247" s="366"/>
    </row>
    <row r="248" spans="1:31" ht="11.45" customHeight="1">
      <c r="A248" s="102"/>
      <c r="B248" s="363" t="s">
        <v>1306</v>
      </c>
      <c r="C248" s="20" t="s">
        <v>1460</v>
      </c>
      <c r="D248" s="102"/>
      <c r="E248" s="58"/>
      <c r="F248" s="58"/>
      <c r="G248" s="772"/>
      <c r="H248" s="772"/>
      <c r="I248" s="58"/>
      <c r="J248" s="772"/>
      <c r="K248" s="58"/>
      <c r="L248" s="772"/>
      <c r="M248" s="772"/>
      <c r="N248" s="102"/>
      <c r="O248" s="363" t="s">
        <v>1306</v>
      </c>
      <c r="P248" s="2312"/>
      <c r="Q248" s="427"/>
      <c r="R248" s="102"/>
      <c r="S248" s="102"/>
      <c r="T248" s="102"/>
      <c r="U248" s="102"/>
      <c r="V248" s="102"/>
      <c r="W248" s="102"/>
      <c r="X248" s="102"/>
      <c r="Y248" s="102"/>
      <c r="Z248" s="102"/>
      <c r="AA248" s="102"/>
      <c r="AB248" s="102"/>
      <c r="AC248" s="102"/>
      <c r="AD248" s="102"/>
      <c r="AE248" s="366"/>
    </row>
    <row r="249" spans="1:31" ht="11.25" customHeight="1">
      <c r="A249" s="102"/>
      <c r="B249" s="99" t="s">
        <v>1274</v>
      </c>
      <c r="C249" s="102"/>
      <c r="D249" s="99"/>
      <c r="E249" s="99"/>
      <c r="F249" s="99"/>
      <c r="G249" s="99"/>
      <c r="H249" s="22"/>
      <c r="I249" s="1529"/>
      <c r="J249" s="1529"/>
      <c r="K249" s="1529"/>
      <c r="L249" s="1524"/>
      <c r="M249" s="1524"/>
      <c r="N249" s="1524"/>
      <c r="O249" s="1524"/>
      <c r="P249" s="1524"/>
      <c r="Q249" s="771"/>
      <c r="R249" s="102"/>
      <c r="S249" s="102"/>
      <c r="T249" s="102"/>
      <c r="U249" s="102"/>
      <c r="V249" s="102"/>
      <c r="W249" s="102"/>
      <c r="X249" s="102"/>
      <c r="Y249" s="102"/>
      <c r="Z249" s="102"/>
      <c r="AA249" s="102"/>
      <c r="AB249" s="102"/>
      <c r="AC249" s="102"/>
      <c r="AD249" s="102"/>
      <c r="AE249" s="366"/>
    </row>
    <row r="250" spans="1:31" ht="30.75" customHeight="1">
      <c r="A250" s="2496" t="s">
        <v>4658</v>
      </c>
      <c r="B250" s="2497"/>
      <c r="C250" s="2497"/>
      <c r="D250" s="2497"/>
      <c r="E250" s="2497"/>
      <c r="F250" s="2497"/>
      <c r="G250" s="2497"/>
      <c r="H250" s="2497"/>
      <c r="I250" s="2497"/>
      <c r="J250" s="2497"/>
      <c r="K250" s="2497"/>
      <c r="L250" s="2497"/>
      <c r="M250" s="2497"/>
      <c r="N250" s="2497"/>
      <c r="O250" s="2497"/>
      <c r="P250" s="2497"/>
      <c r="Q250" s="2498"/>
      <c r="R250" s="341" t="s">
        <v>1275</v>
      </c>
      <c r="S250" s="342"/>
      <c r="T250" s="102"/>
      <c r="U250" s="94"/>
      <c r="V250" s="94"/>
      <c r="W250" s="94"/>
      <c r="X250" s="94"/>
      <c r="Y250" s="94"/>
      <c r="Z250" s="94"/>
      <c r="AA250" s="94"/>
      <c r="AB250" s="94"/>
      <c r="AC250" s="94"/>
      <c r="AD250" s="94"/>
      <c r="AE250" s="365"/>
    </row>
    <row r="251" spans="1:31" ht="11.25" customHeight="1">
      <c r="A251" s="102"/>
      <c r="B251" s="95" t="s">
        <v>1276</v>
      </c>
      <c r="C251" s="96"/>
      <c r="D251" s="1532"/>
      <c r="E251" s="1532"/>
      <c r="F251" s="1532"/>
      <c r="G251" s="1532"/>
      <c r="H251" s="1532"/>
      <c r="I251" s="1532"/>
      <c r="J251" s="1532"/>
      <c r="K251" s="1532"/>
      <c r="L251" s="1532"/>
      <c r="M251" s="1532"/>
      <c r="N251" s="1532"/>
      <c r="O251" s="1532"/>
      <c r="P251" s="1532"/>
      <c r="Q251" s="1532"/>
      <c r="R251" s="102"/>
      <c r="S251" s="102"/>
      <c r="T251" s="102"/>
      <c r="U251" s="102"/>
      <c r="V251" s="102"/>
      <c r="W251" s="102"/>
      <c r="X251" s="102"/>
      <c r="Y251" s="102"/>
      <c r="Z251" s="102"/>
      <c r="AA251" s="102"/>
      <c r="AB251" s="102"/>
      <c r="AC251" s="102"/>
      <c r="AD251" s="102"/>
      <c r="AE251" s="366"/>
    </row>
    <row r="252" spans="1:31" ht="11.25" customHeight="1">
      <c r="A252" s="1835"/>
      <c r="B252" s="1836"/>
      <c r="C252" s="1836"/>
      <c r="D252" s="1836"/>
      <c r="E252" s="1836"/>
      <c r="F252" s="1836"/>
      <c r="G252" s="1836"/>
      <c r="H252" s="1836"/>
      <c r="I252" s="1836"/>
      <c r="J252" s="1836"/>
      <c r="K252" s="1836"/>
      <c r="L252" s="1836"/>
      <c r="M252" s="1836"/>
      <c r="N252" s="1836"/>
      <c r="O252" s="1836"/>
      <c r="P252" s="1836"/>
      <c r="Q252" s="1837"/>
      <c r="R252" s="102"/>
      <c r="S252" s="102"/>
      <c r="T252" s="102"/>
      <c r="U252" s="102"/>
      <c r="V252" s="102"/>
      <c r="W252" s="102"/>
      <c r="X252" s="102"/>
      <c r="Y252" s="102"/>
      <c r="Z252" s="102"/>
      <c r="AA252" s="102"/>
      <c r="AB252" s="102"/>
      <c r="AC252" s="102"/>
      <c r="AD252" s="102"/>
      <c r="AE252" s="366"/>
    </row>
    <row r="253" spans="1:31" ht="3" customHeight="1">
      <c r="A253" s="1524"/>
      <c r="B253" s="1529"/>
      <c r="C253" s="1532"/>
      <c r="D253" s="1532"/>
      <c r="E253" s="1532"/>
      <c r="F253" s="1532"/>
      <c r="G253" s="1532"/>
      <c r="H253" s="1532"/>
      <c r="I253" s="1532"/>
      <c r="J253" s="1532"/>
      <c r="K253" s="1532"/>
      <c r="L253" s="1532"/>
      <c r="M253" s="1532"/>
      <c r="N253" s="102"/>
      <c r="O253" s="102"/>
      <c r="P253" s="102"/>
      <c r="Q253" s="1524"/>
      <c r="R253" s="102"/>
      <c r="S253" s="102"/>
      <c r="T253" s="102"/>
      <c r="U253" s="102"/>
      <c r="V253" s="102"/>
      <c r="W253" s="102"/>
      <c r="X253" s="102"/>
      <c r="Y253" s="102"/>
      <c r="Z253" s="102"/>
      <c r="AA253" s="102"/>
      <c r="AB253" s="102"/>
      <c r="AC253" s="102"/>
      <c r="AD253" s="102"/>
      <c r="AE253" s="366"/>
    </row>
    <row r="254" spans="1:31" ht="13.9" customHeight="1">
      <c r="A254" s="1526" t="s">
        <v>258</v>
      </c>
      <c r="B254" s="4" t="s">
        <v>1461</v>
      </c>
      <c r="C254" s="4"/>
      <c r="D254" s="51"/>
      <c r="E254" s="51"/>
      <c r="F254" s="51"/>
      <c r="G254" s="51"/>
      <c r="H254" s="1532"/>
      <c r="I254" s="1532"/>
      <c r="J254" s="1532"/>
      <c r="K254" s="1532"/>
      <c r="L254" s="1877"/>
      <c r="M254" s="1878"/>
      <c r="N254" s="102"/>
      <c r="O254" s="90" t="s">
        <v>1273</v>
      </c>
      <c r="P254" s="1838"/>
      <c r="Q254" s="1845"/>
      <c r="R254" s="102"/>
      <c r="S254" s="102"/>
      <c r="T254" s="102"/>
      <c r="U254" s="102"/>
      <c r="V254" s="102"/>
      <c r="W254" s="102"/>
      <c r="X254" s="102"/>
      <c r="Y254" s="102"/>
      <c r="Z254" s="102"/>
      <c r="AA254" s="102"/>
      <c r="AB254" s="102"/>
      <c r="AC254" s="102"/>
      <c r="AD254" s="102"/>
      <c r="AE254" s="366"/>
    </row>
    <row r="255" spans="1:31" ht="4.9000000000000004" customHeight="1">
      <c r="A255" s="102"/>
      <c r="B255" s="102"/>
      <c r="C255" s="102"/>
      <c r="D255" s="102"/>
      <c r="E255" s="102"/>
      <c r="F255" s="102"/>
      <c r="G255" s="102"/>
      <c r="H255" s="102"/>
      <c r="I255" s="102"/>
      <c r="J255" s="102"/>
      <c r="K255" s="102"/>
      <c r="L255" s="1877"/>
      <c r="M255" s="1878"/>
      <c r="N255" s="33"/>
      <c r="O255" s="102"/>
      <c r="P255" s="102"/>
      <c r="Q255" s="102"/>
      <c r="R255" s="102"/>
      <c r="S255" s="102"/>
      <c r="T255" s="102"/>
      <c r="U255" s="102"/>
      <c r="V255" s="102"/>
      <c r="W255" s="102"/>
      <c r="X255" s="102"/>
      <c r="Y255" s="102"/>
      <c r="Z255" s="102"/>
      <c r="AA255" s="102"/>
      <c r="AB255" s="102"/>
      <c r="AC255" s="102"/>
      <c r="AD255" s="102"/>
      <c r="AE255" s="366"/>
    </row>
    <row r="256" spans="1:31" ht="11.45" customHeight="1">
      <c r="A256" s="28" t="s">
        <v>110</v>
      </c>
      <c r="B256" s="31" t="s">
        <v>1462</v>
      </c>
      <c r="C256" s="102"/>
      <c r="D256" s="58"/>
      <c r="E256" s="31"/>
      <c r="F256" s="31"/>
      <c r="G256" s="102"/>
      <c r="H256" s="102"/>
      <c r="I256" s="102"/>
      <c r="J256" s="363" t="s">
        <v>110</v>
      </c>
      <c r="K256" s="2511" t="s">
        <v>781</v>
      </c>
      <c r="L256" s="2512"/>
      <c r="M256" s="2512"/>
      <c r="N256" s="2512"/>
      <c r="O256" s="2513"/>
      <c r="P256" s="1871" t="s">
        <v>781</v>
      </c>
      <c r="Q256" s="1872"/>
      <c r="R256" s="102"/>
      <c r="S256" s="102"/>
      <c r="T256" s="102"/>
      <c r="U256" s="102"/>
      <c r="V256" s="102"/>
      <c r="W256" s="102"/>
      <c r="X256" s="102"/>
      <c r="Y256" s="102"/>
      <c r="Z256" s="102"/>
      <c r="AA256" s="102"/>
      <c r="AB256" s="102"/>
      <c r="AC256" s="102"/>
      <c r="AD256" s="102"/>
      <c r="AE256" s="366"/>
    </row>
    <row r="257" spans="1:32" ht="11.45" customHeight="1">
      <c r="A257" s="28" t="s">
        <v>121</v>
      </c>
      <c r="B257" s="31" t="s">
        <v>1463</v>
      </c>
      <c r="C257" s="102"/>
      <c r="D257" s="31"/>
      <c r="E257" s="31"/>
      <c r="F257" s="31"/>
      <c r="G257" s="102"/>
      <c r="H257" s="102"/>
      <c r="I257" s="102"/>
      <c r="J257" s="363" t="s">
        <v>121</v>
      </c>
      <c r="K257" s="2558"/>
      <c r="L257" s="2559"/>
      <c r="M257" s="2559"/>
      <c r="N257" s="2559"/>
      <c r="O257" s="2560"/>
      <c r="P257" s="1873"/>
      <c r="Q257" s="1874"/>
      <c r="R257" s="102"/>
      <c r="S257" s="102"/>
      <c r="T257" s="102"/>
      <c r="U257" s="102"/>
      <c r="V257" s="102"/>
      <c r="W257" s="102"/>
      <c r="X257" s="102"/>
      <c r="Y257" s="102"/>
      <c r="Z257" s="102"/>
      <c r="AA257" s="102"/>
      <c r="AB257" s="102"/>
      <c r="AC257" s="102"/>
      <c r="AD257" s="102"/>
      <c r="AE257" s="366"/>
      <c r="AF257" s="366"/>
    </row>
    <row r="258" spans="1:32" s="102" customFormat="1" ht="11.45" customHeight="1">
      <c r="A258" s="28"/>
      <c r="B258" s="31" t="s">
        <v>1464</v>
      </c>
      <c r="D258" s="31"/>
      <c r="E258" s="31"/>
      <c r="F258" s="31"/>
      <c r="K258" s="2544"/>
      <c r="L258" s="2545"/>
      <c r="M258" s="2545"/>
      <c r="N258" s="2545"/>
      <c r="O258" s="2546"/>
      <c r="P258" s="1875"/>
      <c r="Q258" s="1876"/>
      <c r="AE258" s="366"/>
      <c r="AF258" s="366"/>
    </row>
    <row r="259" spans="1:32" s="102" customFormat="1" ht="11.45" customHeight="1">
      <c r="A259" s="28"/>
      <c r="B259" s="31" t="s">
        <v>1465</v>
      </c>
      <c r="D259" s="31"/>
      <c r="E259" s="31"/>
      <c r="F259" s="31"/>
      <c r="G259" s="31"/>
      <c r="H259" s="31"/>
      <c r="I259" s="58"/>
      <c r="J259" s="58"/>
      <c r="M259" s="20"/>
      <c r="N259" s="888"/>
      <c r="O259" s="363"/>
      <c r="P259" s="2364"/>
      <c r="Q259" s="815"/>
      <c r="AE259" s="366"/>
      <c r="AF259" s="366"/>
    </row>
    <row r="260" spans="1:32" s="102" customFormat="1" ht="11.45" customHeight="1">
      <c r="A260" s="28" t="s">
        <v>123</v>
      </c>
      <c r="B260" s="31" t="s">
        <v>1466</v>
      </c>
      <c r="D260" s="31"/>
      <c r="E260" s="31"/>
      <c r="F260" s="31"/>
      <c r="M260" s="20"/>
      <c r="N260" s="888"/>
      <c r="O260" s="363" t="s">
        <v>123</v>
      </c>
      <c r="P260" s="2313"/>
      <c r="Q260" s="425"/>
      <c r="AE260" s="366"/>
      <c r="AF260" s="366"/>
    </row>
    <row r="261" spans="1:32" s="102" customFormat="1" ht="11.45" customHeight="1">
      <c r="A261" s="28"/>
      <c r="B261" s="31" t="s">
        <v>1467</v>
      </c>
      <c r="D261" s="31"/>
      <c r="E261" s="31"/>
      <c r="F261" s="31"/>
      <c r="K261" s="2511"/>
      <c r="L261" s="2512"/>
      <c r="M261" s="2512"/>
      <c r="N261" s="2512"/>
      <c r="O261" s="2513"/>
      <c r="P261" s="1869"/>
      <c r="Q261" s="1870"/>
      <c r="AE261" s="366"/>
      <c r="AF261" s="366"/>
    </row>
    <row r="262" spans="1:32" s="102" customFormat="1" ht="11.45" customHeight="1">
      <c r="A262" s="28" t="s">
        <v>126</v>
      </c>
      <c r="B262" s="31" t="s">
        <v>1468</v>
      </c>
      <c r="D262" s="31"/>
      <c r="E262" s="31"/>
      <c r="F262" s="31"/>
      <c r="G262" s="31"/>
      <c r="H262" s="31"/>
      <c r="I262" s="58"/>
      <c r="J262" s="58"/>
      <c r="K262" s="58"/>
      <c r="M262" s="20"/>
      <c r="N262" s="888"/>
      <c r="O262" s="363" t="s">
        <v>126</v>
      </c>
      <c r="P262" s="2313"/>
      <c r="Q262" s="425"/>
      <c r="AE262" s="366"/>
      <c r="AF262" s="366"/>
    </row>
    <row r="263" spans="1:32" s="102" customFormat="1" ht="11.45" customHeight="1">
      <c r="A263" s="28"/>
      <c r="B263" s="1833" t="s">
        <v>1469</v>
      </c>
      <c r="C263" s="1833"/>
      <c r="D263" s="1833"/>
      <c r="E263" s="1833"/>
      <c r="F263" s="1833"/>
      <c r="G263" s="1833"/>
      <c r="H263" s="326" t="s">
        <v>1470</v>
      </c>
      <c r="K263" s="58"/>
      <c r="M263" s="20"/>
      <c r="N263" s="888"/>
      <c r="O263" s="363" t="s">
        <v>1303</v>
      </c>
      <c r="P263" s="2319"/>
      <c r="Q263" s="426"/>
      <c r="AE263" s="366"/>
      <c r="AF263" s="366"/>
    </row>
    <row r="264" spans="1:32" s="102" customFormat="1" ht="11.45" customHeight="1">
      <c r="A264" s="28"/>
      <c r="B264" s="1833"/>
      <c r="C264" s="1833"/>
      <c r="D264" s="1833"/>
      <c r="E264" s="1833"/>
      <c r="F264" s="1833"/>
      <c r="G264" s="1833"/>
      <c r="H264" s="33" t="s">
        <v>1471</v>
      </c>
      <c r="K264" s="58"/>
      <c r="M264" s="20"/>
      <c r="N264" s="888"/>
      <c r="O264" s="363" t="s">
        <v>1306</v>
      </c>
      <c r="P264" s="2319"/>
      <c r="Q264" s="426"/>
      <c r="AE264" s="366"/>
      <c r="AF264" s="366"/>
    </row>
    <row r="265" spans="1:32" s="102" customFormat="1" ht="11.45" customHeight="1">
      <c r="A265" s="28"/>
      <c r="B265" s="31"/>
      <c r="D265" s="31"/>
      <c r="E265" s="31"/>
      <c r="F265" s="31"/>
      <c r="G265" s="31"/>
      <c r="H265" s="33" t="s">
        <v>1472</v>
      </c>
      <c r="K265" s="58"/>
      <c r="M265" s="20"/>
      <c r="N265" s="888"/>
      <c r="O265" s="363" t="s">
        <v>1308</v>
      </c>
      <c r="P265" s="2319"/>
      <c r="Q265" s="426"/>
      <c r="AE265" s="366"/>
      <c r="AF265" s="366"/>
    </row>
    <row r="266" spans="1:32" s="102" customFormat="1" ht="11.45" customHeight="1">
      <c r="A266" s="28"/>
      <c r="B266" s="31"/>
      <c r="D266" s="31"/>
      <c r="E266" s="31"/>
      <c r="F266" s="31"/>
      <c r="G266" s="31"/>
      <c r="H266" s="33" t="s">
        <v>1473</v>
      </c>
      <c r="K266" s="58"/>
      <c r="M266" s="20"/>
      <c r="N266" s="888"/>
      <c r="O266" s="363" t="s">
        <v>1310</v>
      </c>
      <c r="P266" s="2312"/>
      <c r="Q266" s="427"/>
      <c r="AE266" s="366"/>
      <c r="AF266" s="366"/>
    </row>
    <row r="267" spans="1:32" s="102" customFormat="1" ht="22.15" customHeight="1">
      <c r="A267" s="100" t="s">
        <v>140</v>
      </c>
      <c r="B267" s="1833" t="s">
        <v>1474</v>
      </c>
      <c r="C267" s="1833"/>
      <c r="D267" s="1833"/>
      <c r="E267" s="1833"/>
      <c r="F267" s="1833"/>
      <c r="G267" s="1833"/>
      <c r="H267" s="1833"/>
      <c r="I267" s="1833"/>
      <c r="J267" s="1833"/>
      <c r="K267" s="1833"/>
      <c r="L267" s="1833"/>
      <c r="M267" s="1833"/>
      <c r="N267" s="1833"/>
      <c r="O267" s="113" t="s">
        <v>140</v>
      </c>
      <c r="P267" s="2561"/>
      <c r="Q267" s="1098"/>
      <c r="T267" s="366"/>
      <c r="AE267" s="366"/>
      <c r="AF267" s="366"/>
    </row>
    <row r="268" spans="1:32" ht="11.25" customHeight="1">
      <c r="A268" s="102"/>
      <c r="B268" s="99" t="s">
        <v>1274</v>
      </c>
      <c r="C268" s="102"/>
      <c r="D268" s="99"/>
      <c r="E268" s="99"/>
      <c r="F268" s="99"/>
      <c r="G268" s="99"/>
      <c r="H268" s="22"/>
      <c r="I268" s="1529"/>
      <c r="J268" s="1529"/>
      <c r="K268" s="1529"/>
      <c r="L268" s="1524"/>
      <c r="M268" s="1524"/>
      <c r="N268" s="1524"/>
      <c r="O268" s="1524"/>
      <c r="P268" s="1524"/>
      <c r="Q268" s="771"/>
      <c r="R268" s="102"/>
      <c r="S268" s="102"/>
      <c r="T268" s="102"/>
      <c r="U268" s="102"/>
      <c r="V268" s="102"/>
      <c r="W268" s="102"/>
      <c r="X268" s="102"/>
      <c r="Y268" s="102"/>
      <c r="Z268" s="102"/>
      <c r="AA268" s="102"/>
      <c r="AB268" s="102"/>
      <c r="AC268" s="102"/>
      <c r="AD268" s="102"/>
      <c r="AE268" s="366"/>
      <c r="AF268" s="366"/>
    </row>
    <row r="269" spans="1:32" ht="13.15" customHeight="1">
      <c r="A269" s="2496" t="s">
        <v>4730</v>
      </c>
      <c r="B269" s="2497"/>
      <c r="C269" s="2497"/>
      <c r="D269" s="2497"/>
      <c r="E269" s="2497"/>
      <c r="F269" s="2497"/>
      <c r="G269" s="2497"/>
      <c r="H269" s="2497"/>
      <c r="I269" s="2497"/>
      <c r="J269" s="2497"/>
      <c r="K269" s="2497"/>
      <c r="L269" s="2497"/>
      <c r="M269" s="2497"/>
      <c r="N269" s="2497"/>
      <c r="O269" s="2497"/>
      <c r="P269" s="2497"/>
      <c r="Q269" s="2498"/>
      <c r="R269" s="341" t="s">
        <v>1275</v>
      </c>
      <c r="S269" s="342"/>
      <c r="T269" s="102"/>
      <c r="U269" s="94"/>
      <c r="V269" s="94"/>
      <c r="W269" s="94"/>
      <c r="X269" s="94"/>
      <c r="Y269" s="94"/>
      <c r="Z269" s="94"/>
      <c r="AA269" s="94"/>
      <c r="AB269" s="94"/>
      <c r="AC269" s="94"/>
      <c r="AD269" s="94"/>
      <c r="AE269" s="365"/>
      <c r="AF269" s="366"/>
    </row>
    <row r="270" spans="1:32" ht="10.9" customHeight="1">
      <c r="A270" s="102"/>
      <c r="B270" s="95" t="s">
        <v>1276</v>
      </c>
      <c r="C270" s="96"/>
      <c r="D270" s="1532"/>
      <c r="E270" s="1532"/>
      <c r="F270" s="1532"/>
      <c r="G270" s="1532"/>
      <c r="H270" s="1532"/>
      <c r="I270" s="1532"/>
      <c r="J270" s="1532"/>
      <c r="K270" s="1532"/>
      <c r="L270" s="1532"/>
      <c r="M270" s="1532"/>
      <c r="N270" s="1532"/>
      <c r="O270" s="1532"/>
      <c r="P270" s="1532"/>
      <c r="Q270" s="1532"/>
      <c r="R270" s="102"/>
      <c r="S270" s="102"/>
      <c r="T270" s="102"/>
      <c r="U270" s="102"/>
      <c r="V270" s="102"/>
      <c r="W270" s="102"/>
      <c r="X270" s="102"/>
      <c r="Y270" s="102"/>
      <c r="Z270" s="102"/>
      <c r="AA270" s="102"/>
      <c r="AB270" s="102"/>
      <c r="AC270" s="102"/>
      <c r="AD270" s="102"/>
      <c r="AE270" s="366"/>
      <c r="AF270" s="366"/>
    </row>
    <row r="271" spans="1:32" ht="13.15" customHeight="1">
      <c r="A271" s="1835"/>
      <c r="B271" s="1836"/>
      <c r="C271" s="1836"/>
      <c r="D271" s="1836"/>
      <c r="E271" s="1836"/>
      <c r="F271" s="1836"/>
      <c r="G271" s="1836"/>
      <c r="H271" s="1836"/>
      <c r="I271" s="1836"/>
      <c r="J271" s="1836"/>
      <c r="K271" s="1836"/>
      <c r="L271" s="1836"/>
      <c r="M271" s="1836"/>
      <c r="N271" s="1836"/>
      <c r="O271" s="1836"/>
      <c r="P271" s="1836"/>
      <c r="Q271" s="1837"/>
      <c r="R271" s="102"/>
      <c r="S271" s="102"/>
      <c r="T271" s="102"/>
      <c r="U271" s="102"/>
      <c r="V271" s="102"/>
      <c r="W271" s="102"/>
      <c r="X271" s="102"/>
      <c r="Y271" s="102"/>
      <c r="Z271" s="102"/>
      <c r="AA271" s="102"/>
      <c r="AB271" s="102"/>
      <c r="AC271" s="102"/>
      <c r="AD271" s="102"/>
      <c r="AE271" s="366"/>
      <c r="AF271" s="366"/>
    </row>
    <row r="272" spans="1:32" ht="3" customHeight="1">
      <c r="A272" s="1524"/>
      <c r="B272" s="1529"/>
      <c r="C272" s="1532"/>
      <c r="D272" s="1532"/>
      <c r="E272" s="1532"/>
      <c r="F272" s="1532"/>
      <c r="G272" s="1532"/>
      <c r="H272" s="1532"/>
      <c r="I272" s="1532"/>
      <c r="J272" s="1532"/>
      <c r="K272" s="1532"/>
      <c r="L272" s="1532"/>
      <c r="M272" s="1532"/>
      <c r="N272" s="102"/>
      <c r="O272" s="102"/>
      <c r="P272" s="102"/>
      <c r="Q272" s="1524"/>
      <c r="R272" s="102"/>
      <c r="S272" s="102"/>
      <c r="T272" s="102"/>
      <c r="U272" s="102"/>
      <c r="V272" s="102"/>
      <c r="W272" s="102"/>
      <c r="X272" s="102"/>
      <c r="Y272" s="102"/>
      <c r="Z272" s="102"/>
      <c r="AA272" s="102"/>
      <c r="AB272" s="102"/>
      <c r="AC272" s="102"/>
      <c r="AD272" s="102"/>
      <c r="AE272" s="366"/>
      <c r="AF272" s="366"/>
    </row>
    <row r="273" spans="1:32" ht="13.9" customHeight="1">
      <c r="A273" s="1526" t="s">
        <v>260</v>
      </c>
      <c r="B273" s="4" t="s">
        <v>1475</v>
      </c>
      <c r="C273" s="4"/>
      <c r="D273" s="51"/>
      <c r="E273" s="51"/>
      <c r="F273" s="51"/>
      <c r="G273" s="51"/>
      <c r="H273" s="1532"/>
      <c r="I273" s="1532"/>
      <c r="J273" s="1532"/>
      <c r="K273" s="1532"/>
      <c r="L273" s="1532"/>
      <c r="M273" s="1532"/>
      <c r="N273" s="102"/>
      <c r="O273" s="90" t="s">
        <v>1273</v>
      </c>
      <c r="P273" s="1838"/>
      <c r="Q273" s="1845"/>
      <c r="R273" s="102"/>
      <c r="S273" s="102"/>
      <c r="T273" s="102"/>
      <c r="U273" s="102"/>
      <c r="V273" s="102"/>
      <c r="W273" s="102"/>
      <c r="X273" s="102"/>
      <c r="Y273" s="102"/>
      <c r="Z273" s="102"/>
      <c r="AA273" s="102"/>
      <c r="AB273" s="102"/>
      <c r="AC273" s="102"/>
      <c r="AD273" s="102"/>
      <c r="AE273" s="366"/>
      <c r="AF273" s="366"/>
    </row>
    <row r="274" spans="1:32" ht="3" customHeight="1">
      <c r="A274" s="102"/>
      <c r="B274" s="102"/>
      <c r="C274" s="102"/>
      <c r="D274" s="102"/>
      <c r="E274" s="102"/>
      <c r="F274" s="102"/>
      <c r="G274" s="102"/>
      <c r="H274" s="102"/>
      <c r="I274" s="102"/>
      <c r="J274" s="102"/>
      <c r="K274" s="102"/>
      <c r="L274" s="102"/>
      <c r="M274" s="102"/>
      <c r="N274" s="102"/>
      <c r="O274" s="102"/>
      <c r="P274" s="102"/>
      <c r="Q274" s="102"/>
      <c r="R274" s="102"/>
      <c r="S274" s="102"/>
      <c r="T274" s="102"/>
      <c r="U274" s="102"/>
      <c r="V274" s="102"/>
      <c r="W274" s="102"/>
      <c r="X274" s="102"/>
      <c r="Y274" s="102"/>
      <c r="Z274" s="102"/>
      <c r="AA274" s="102"/>
      <c r="AB274" s="102"/>
      <c r="AC274" s="102"/>
      <c r="AD274" s="102"/>
      <c r="AE274" s="366"/>
      <c r="AF274" s="366"/>
    </row>
    <row r="275" spans="1:32" s="310" customFormat="1" ht="21.75" customHeight="1">
      <c r="A275" s="100" t="s">
        <v>110</v>
      </c>
      <c r="B275" s="1833" t="s">
        <v>1476</v>
      </c>
      <c r="C275" s="1833"/>
      <c r="D275" s="1833"/>
      <c r="E275" s="1833"/>
      <c r="F275" s="1833"/>
      <c r="G275" s="1833"/>
      <c r="H275" s="1833"/>
      <c r="I275" s="1833"/>
      <c r="J275" s="1833"/>
      <c r="K275" s="1833"/>
      <c r="L275" s="1833"/>
      <c r="M275" s="1833"/>
      <c r="N275" s="1833"/>
      <c r="O275" s="113" t="s">
        <v>110</v>
      </c>
      <c r="P275" s="2454" t="s">
        <v>22</v>
      </c>
      <c r="Q275" s="1033"/>
      <c r="AE275" s="367"/>
      <c r="AF275" s="367"/>
    </row>
    <row r="276" spans="1:32" s="102" customFormat="1" ht="11.45" customHeight="1">
      <c r="A276" s="28"/>
      <c r="B276" s="31" t="s">
        <v>1477</v>
      </c>
      <c r="D276" s="31"/>
      <c r="E276" s="31"/>
      <c r="F276" s="31"/>
      <c r="G276" s="31"/>
      <c r="H276" s="31"/>
      <c r="I276" s="31"/>
      <c r="J276" s="31"/>
      <c r="K276" s="31"/>
      <c r="L276" s="31"/>
      <c r="M276" s="31"/>
      <c r="O276" s="363"/>
      <c r="P276" s="2312" t="s">
        <v>22</v>
      </c>
      <c r="Q276" s="427"/>
      <c r="AE276" s="366"/>
      <c r="AF276" s="366"/>
    </row>
    <row r="277" spans="1:32" s="102" customFormat="1" ht="11.45" customHeight="1">
      <c r="A277" s="28" t="s">
        <v>121</v>
      </c>
      <c r="B277" s="31" t="s">
        <v>1478</v>
      </c>
      <c r="D277" s="31"/>
      <c r="E277" s="31"/>
      <c r="F277" s="31"/>
      <c r="G277" s="31"/>
      <c r="H277" s="31"/>
      <c r="I277" s="31"/>
      <c r="J277" s="31"/>
      <c r="K277" s="31"/>
      <c r="L277" s="31"/>
      <c r="M277" s="31"/>
      <c r="O277" s="363" t="s">
        <v>121</v>
      </c>
      <c r="P277" s="2312" t="s">
        <v>22</v>
      </c>
      <c r="Q277" s="427"/>
      <c r="AE277" s="366"/>
      <c r="AF277" s="366"/>
    </row>
    <row r="278" spans="1:32" s="102" customFormat="1" ht="11.45" customHeight="1">
      <c r="A278" s="28" t="s">
        <v>123</v>
      </c>
      <c r="B278" s="31" t="s">
        <v>1479</v>
      </c>
      <c r="D278" s="31"/>
      <c r="E278" s="31"/>
      <c r="F278" s="31"/>
      <c r="G278" s="31"/>
      <c r="H278" s="31"/>
      <c r="I278" s="31"/>
      <c r="J278" s="31"/>
      <c r="K278" s="31"/>
      <c r="L278" s="31"/>
      <c r="M278" s="31"/>
      <c r="O278" s="363" t="s">
        <v>123</v>
      </c>
      <c r="P278" s="2313" t="s">
        <v>22</v>
      </c>
      <c r="Q278" s="425"/>
      <c r="AE278" s="366"/>
      <c r="AF278" s="366"/>
    </row>
    <row r="279" spans="1:32" s="102" customFormat="1" ht="11.45" customHeight="1">
      <c r="A279" s="28"/>
      <c r="B279" s="31" t="s">
        <v>1480</v>
      </c>
      <c r="D279" s="31"/>
      <c r="E279" s="31"/>
      <c r="F279" s="31"/>
      <c r="G279" s="31"/>
      <c r="H279" s="31"/>
      <c r="I279" s="31"/>
      <c r="J279" s="31"/>
      <c r="K279" s="31"/>
      <c r="L279" s="31"/>
      <c r="M279" s="31"/>
      <c r="O279" s="363"/>
      <c r="P279" s="2312" t="s">
        <v>22</v>
      </c>
      <c r="Q279" s="427"/>
      <c r="AE279" s="366"/>
      <c r="AF279" s="366"/>
    </row>
    <row r="280" spans="1:32" s="102" customFormat="1" ht="11.45" customHeight="1">
      <c r="A280" s="28" t="s">
        <v>126</v>
      </c>
      <c r="B280" s="31" t="s">
        <v>1481</v>
      </c>
      <c r="D280" s="31"/>
      <c r="E280" s="31"/>
      <c r="F280" s="31"/>
      <c r="G280" s="31"/>
      <c r="H280" s="31"/>
      <c r="I280" s="31"/>
      <c r="J280" s="31"/>
      <c r="K280" s="31"/>
      <c r="L280" s="31"/>
      <c r="M280" s="31"/>
      <c r="O280" s="363" t="s">
        <v>126</v>
      </c>
      <c r="P280" s="2312" t="s">
        <v>22</v>
      </c>
      <c r="Q280" s="427"/>
      <c r="AE280" s="366"/>
      <c r="AF280" s="366"/>
    </row>
    <row r="281" spans="1:32" ht="11.25" customHeight="1">
      <c r="A281" s="102"/>
      <c r="B281" s="99" t="s">
        <v>1274</v>
      </c>
      <c r="C281" s="102"/>
      <c r="D281" s="99"/>
      <c r="E281" s="99"/>
      <c r="F281" s="99"/>
      <c r="G281" s="99"/>
      <c r="H281" s="22"/>
      <c r="I281" s="1529"/>
      <c r="J281" s="1529"/>
      <c r="K281" s="1529"/>
      <c r="L281" s="1524"/>
      <c r="M281" s="1524"/>
      <c r="N281" s="1524"/>
      <c r="O281" s="1524"/>
      <c r="P281" s="1524"/>
      <c r="Q281" s="771"/>
      <c r="R281" s="102"/>
      <c r="S281" s="102"/>
      <c r="T281" s="102"/>
      <c r="U281" s="102"/>
      <c r="V281" s="102"/>
      <c r="W281" s="102"/>
      <c r="X281" s="102"/>
      <c r="Y281" s="102"/>
      <c r="Z281" s="102"/>
      <c r="AA281" s="102"/>
      <c r="AB281" s="102"/>
      <c r="AC281" s="102"/>
      <c r="AD281" s="102"/>
      <c r="AE281" s="366"/>
      <c r="AF281" s="366"/>
    </row>
    <row r="282" spans="1:32" ht="23.25" customHeight="1">
      <c r="A282" s="2496" t="s">
        <v>4731</v>
      </c>
      <c r="B282" s="2497"/>
      <c r="C282" s="2497"/>
      <c r="D282" s="2497"/>
      <c r="E282" s="2497"/>
      <c r="F282" s="2497"/>
      <c r="G282" s="2497"/>
      <c r="H282" s="2497"/>
      <c r="I282" s="2497"/>
      <c r="J282" s="2497"/>
      <c r="K282" s="2497"/>
      <c r="L282" s="2497"/>
      <c r="M282" s="2497"/>
      <c r="N282" s="2497"/>
      <c r="O282" s="2497"/>
      <c r="P282" s="2497"/>
      <c r="Q282" s="2498"/>
      <c r="R282" s="341" t="s">
        <v>1275</v>
      </c>
      <c r="S282" s="342"/>
      <c r="T282" s="102"/>
      <c r="U282" s="94"/>
      <c r="V282" s="94"/>
      <c r="W282" s="94"/>
      <c r="X282" s="94"/>
      <c r="Y282" s="94"/>
      <c r="Z282" s="94"/>
      <c r="AA282" s="94"/>
      <c r="AB282" s="94"/>
      <c r="AC282" s="94"/>
      <c r="AD282" s="94"/>
      <c r="AE282" s="365"/>
      <c r="AF282" s="366"/>
    </row>
    <row r="283" spans="1:32" ht="11.25" customHeight="1">
      <c r="A283" s="102"/>
      <c r="B283" s="95" t="s">
        <v>1276</v>
      </c>
      <c r="C283" s="96"/>
      <c r="D283" s="1532"/>
      <c r="E283" s="1532"/>
      <c r="F283" s="1532"/>
      <c r="G283" s="1532"/>
      <c r="H283" s="1532"/>
      <c r="I283" s="1532"/>
      <c r="J283" s="1532"/>
      <c r="K283" s="1532"/>
      <c r="L283" s="1532"/>
      <c r="M283" s="1532"/>
      <c r="N283" s="1532"/>
      <c r="O283" s="1532"/>
      <c r="P283" s="1532"/>
      <c r="Q283" s="1532"/>
      <c r="R283" s="102"/>
      <c r="S283" s="102"/>
      <c r="T283" s="102"/>
      <c r="U283" s="102"/>
      <c r="V283" s="102"/>
      <c r="W283" s="102"/>
      <c r="X283" s="102"/>
      <c r="Y283" s="102"/>
      <c r="Z283" s="102"/>
      <c r="AA283" s="102"/>
      <c r="AB283" s="102"/>
      <c r="AC283" s="102"/>
      <c r="AD283" s="102"/>
      <c r="AE283" s="366"/>
      <c r="AF283" s="366"/>
    </row>
    <row r="284" spans="1:32" ht="13.15" customHeight="1">
      <c r="A284" s="1835"/>
      <c r="B284" s="1836"/>
      <c r="C284" s="1836"/>
      <c r="D284" s="1836"/>
      <c r="E284" s="1836"/>
      <c r="F284" s="1836"/>
      <c r="G284" s="1836"/>
      <c r="H284" s="1836"/>
      <c r="I284" s="1836"/>
      <c r="J284" s="1836"/>
      <c r="K284" s="1836"/>
      <c r="L284" s="1836"/>
      <c r="M284" s="1836"/>
      <c r="N284" s="1836"/>
      <c r="O284" s="1836"/>
      <c r="P284" s="1836"/>
      <c r="Q284" s="1837"/>
      <c r="R284" s="102"/>
      <c r="S284" s="102"/>
      <c r="T284" s="102"/>
      <c r="U284" s="102"/>
      <c r="V284" s="102"/>
      <c r="W284" s="102"/>
      <c r="X284" s="102"/>
      <c r="Y284" s="102"/>
      <c r="Z284" s="102"/>
      <c r="AA284" s="102"/>
      <c r="AB284" s="102"/>
      <c r="AC284" s="102"/>
      <c r="AD284" s="102"/>
      <c r="AE284" s="366"/>
      <c r="AF284" s="366"/>
    </row>
    <row r="285" spans="1:32" ht="13.9" customHeight="1">
      <c r="A285" s="1526" t="s">
        <v>1482</v>
      </c>
      <c r="B285" s="1526" t="s">
        <v>1483</v>
      </c>
      <c r="C285" s="1526"/>
      <c r="D285" s="1532"/>
      <c r="E285" s="1532"/>
      <c r="F285" s="1532"/>
      <c r="G285" s="1532"/>
      <c r="H285" s="1532"/>
      <c r="I285" s="1532"/>
      <c r="J285" s="1532"/>
      <c r="K285" s="1532"/>
      <c r="L285" s="1532"/>
      <c r="M285" s="1532"/>
      <c r="N285" s="102"/>
      <c r="O285" s="90" t="s">
        <v>1273</v>
      </c>
      <c r="P285" s="1838"/>
      <c r="Q285" s="1845"/>
      <c r="R285" s="102"/>
      <c r="S285" s="102"/>
      <c r="T285" s="102"/>
      <c r="U285" s="102"/>
      <c r="V285" s="102"/>
      <c r="W285" s="102"/>
      <c r="X285" s="102"/>
      <c r="Y285" s="102"/>
      <c r="Z285" s="102"/>
      <c r="AA285" s="102"/>
      <c r="AB285" s="102"/>
      <c r="AC285" s="102"/>
      <c r="AD285" s="102"/>
      <c r="AE285" s="366"/>
      <c r="AF285" s="366"/>
    </row>
    <row r="286" spans="1:32" ht="3" customHeight="1">
      <c r="A286" s="102"/>
      <c r="B286" s="102"/>
      <c r="C286" s="102"/>
      <c r="D286" s="102"/>
      <c r="E286" s="102"/>
      <c r="F286" s="102"/>
      <c r="G286" s="102"/>
      <c r="H286" s="102"/>
      <c r="I286" s="102"/>
      <c r="J286" s="102"/>
      <c r="K286" s="102"/>
      <c r="L286" s="102"/>
      <c r="M286" s="102"/>
      <c r="N286" s="102"/>
      <c r="O286" s="102"/>
      <c r="P286" s="102"/>
      <c r="Q286" s="102"/>
      <c r="R286" s="102"/>
      <c r="S286" s="102"/>
      <c r="T286" s="102"/>
      <c r="U286" s="102"/>
      <c r="V286" s="102"/>
      <c r="W286" s="102"/>
      <c r="X286" s="102"/>
      <c r="Y286" s="102"/>
      <c r="Z286" s="102"/>
      <c r="AA286" s="102"/>
      <c r="AB286" s="102"/>
      <c r="AC286" s="102"/>
      <c r="AD286" s="102"/>
      <c r="AE286" s="366"/>
      <c r="AF286" s="366"/>
    </row>
    <row r="287" spans="1:32" s="310" customFormat="1" ht="21.75" customHeight="1">
      <c r="A287" s="100" t="s">
        <v>110</v>
      </c>
      <c r="B287" s="1833" t="s">
        <v>1484</v>
      </c>
      <c r="C287" s="1833"/>
      <c r="D287" s="1833"/>
      <c r="E287" s="1833"/>
      <c r="F287" s="1833"/>
      <c r="G287" s="1833"/>
      <c r="H287" s="1833"/>
      <c r="I287" s="1833"/>
      <c r="J287" s="1833"/>
      <c r="K287" s="1833"/>
      <c r="L287" s="1833"/>
      <c r="M287" s="1833"/>
      <c r="N287" s="1833"/>
      <c r="O287" s="113" t="s">
        <v>110</v>
      </c>
      <c r="P287" s="2454" t="s">
        <v>4621</v>
      </c>
      <c r="Q287" s="1033"/>
      <c r="AE287" s="367"/>
      <c r="AF287" s="367"/>
    </row>
    <row r="288" spans="1:32" s="310" customFormat="1" ht="21.75" customHeight="1">
      <c r="A288" s="100" t="s">
        <v>121</v>
      </c>
      <c r="B288" s="1833" t="s">
        <v>1485</v>
      </c>
      <c r="C288" s="1833"/>
      <c r="D288" s="1833"/>
      <c r="E288" s="1833"/>
      <c r="F288" s="1833"/>
      <c r="G288" s="1833"/>
      <c r="H288" s="1833"/>
      <c r="I288" s="1833"/>
      <c r="J288" s="1833"/>
      <c r="K288" s="1833"/>
      <c r="L288" s="1833"/>
      <c r="M288" s="1833"/>
      <c r="N288" s="1833"/>
      <c r="O288" s="113" t="s">
        <v>121</v>
      </c>
      <c r="P288" s="2477" t="s">
        <v>4621</v>
      </c>
      <c r="Q288" s="1051"/>
      <c r="AE288" s="367"/>
      <c r="AF288" s="367"/>
    </row>
    <row r="289" spans="1:33" ht="11.25" customHeight="1">
      <c r="A289" s="102"/>
      <c r="B289" s="99" t="s">
        <v>1274</v>
      </c>
      <c r="C289" s="102"/>
      <c r="D289" s="99"/>
      <c r="E289" s="99"/>
      <c r="F289" s="99"/>
      <c r="G289" s="99"/>
      <c r="H289" s="22"/>
      <c r="I289" s="1529"/>
      <c r="J289" s="1529"/>
      <c r="K289" s="1529"/>
      <c r="L289" s="1524"/>
      <c r="M289" s="1524"/>
      <c r="N289" s="1524"/>
      <c r="O289" s="1524"/>
      <c r="P289" s="1524"/>
      <c r="Q289" s="771"/>
      <c r="R289" s="102"/>
      <c r="S289" s="102"/>
      <c r="T289" s="102"/>
      <c r="U289" s="102"/>
      <c r="V289" s="102"/>
      <c r="W289" s="102"/>
      <c r="X289" s="102"/>
      <c r="Y289" s="102"/>
      <c r="Z289" s="102"/>
      <c r="AA289" s="102"/>
      <c r="AB289" s="102"/>
      <c r="AC289" s="102"/>
      <c r="AD289" s="102"/>
      <c r="AE289" s="366"/>
      <c r="AF289" s="366"/>
      <c r="AG289" s="102"/>
    </row>
    <row r="290" spans="1:33" ht="37.5" customHeight="1">
      <c r="A290" s="2496" t="s">
        <v>4659</v>
      </c>
      <c r="B290" s="2497"/>
      <c r="C290" s="2497"/>
      <c r="D290" s="2497"/>
      <c r="E290" s="2497"/>
      <c r="F290" s="2497"/>
      <c r="G290" s="2497"/>
      <c r="H290" s="2497"/>
      <c r="I290" s="2497"/>
      <c r="J290" s="2497"/>
      <c r="K290" s="2497"/>
      <c r="L290" s="2497"/>
      <c r="M290" s="2497"/>
      <c r="N290" s="2497"/>
      <c r="O290" s="2497"/>
      <c r="P290" s="2497"/>
      <c r="Q290" s="2498"/>
      <c r="R290" s="341" t="s">
        <v>1275</v>
      </c>
      <c r="S290" s="342"/>
      <c r="T290" s="102"/>
      <c r="U290" s="94"/>
      <c r="V290" s="94"/>
      <c r="W290" s="94"/>
      <c r="X290" s="94"/>
      <c r="Y290" s="94"/>
      <c r="Z290" s="94"/>
      <c r="AA290" s="94"/>
      <c r="AB290" s="94"/>
      <c r="AC290" s="94"/>
      <c r="AD290" s="94"/>
      <c r="AE290" s="365"/>
      <c r="AF290" s="366"/>
      <c r="AG290" s="102"/>
    </row>
    <row r="291" spans="1:33" ht="11.25" customHeight="1">
      <c r="A291" s="102"/>
      <c r="B291" s="95" t="s">
        <v>1276</v>
      </c>
      <c r="C291" s="96"/>
      <c r="D291" s="1532"/>
      <c r="E291" s="1532"/>
      <c r="F291" s="1532"/>
      <c r="G291" s="1532"/>
      <c r="H291" s="1532"/>
      <c r="I291" s="1532"/>
      <c r="J291" s="1532"/>
      <c r="K291" s="1532"/>
      <c r="L291" s="1532"/>
      <c r="M291" s="1532"/>
      <c r="N291" s="1532"/>
      <c r="O291" s="1532"/>
      <c r="P291" s="1532"/>
      <c r="Q291" s="1532"/>
      <c r="R291" s="102"/>
      <c r="S291" s="102"/>
      <c r="T291" s="102"/>
      <c r="U291" s="102"/>
      <c r="V291" s="102"/>
      <c r="W291" s="102"/>
      <c r="X291" s="102"/>
      <c r="Y291" s="102"/>
      <c r="Z291" s="102"/>
      <c r="AA291" s="102"/>
      <c r="AB291" s="102"/>
      <c r="AC291" s="102"/>
      <c r="AD291" s="102"/>
      <c r="AE291" s="366"/>
      <c r="AF291" s="366"/>
      <c r="AG291" s="102"/>
    </row>
    <row r="292" spans="1:33" ht="13.15" customHeight="1">
      <c r="A292" s="1835"/>
      <c r="B292" s="1836"/>
      <c r="C292" s="1836"/>
      <c r="D292" s="1836"/>
      <c r="E292" s="1836"/>
      <c r="F292" s="1836"/>
      <c r="G292" s="1836"/>
      <c r="H292" s="1836"/>
      <c r="I292" s="1836"/>
      <c r="J292" s="1836"/>
      <c r="K292" s="1836"/>
      <c r="L292" s="1836"/>
      <c r="M292" s="1836"/>
      <c r="N292" s="1836"/>
      <c r="O292" s="1836"/>
      <c r="P292" s="1836"/>
      <c r="Q292" s="1837"/>
      <c r="R292" s="102"/>
      <c r="S292" s="102"/>
      <c r="T292" s="102"/>
      <c r="U292" s="102"/>
      <c r="V292" s="102"/>
      <c r="W292" s="102"/>
      <c r="X292" s="102"/>
      <c r="Y292" s="102"/>
      <c r="Z292" s="102"/>
      <c r="AA292" s="102"/>
      <c r="AB292" s="102"/>
      <c r="AC292" s="102"/>
      <c r="AD292" s="102"/>
      <c r="AE292" s="366"/>
      <c r="AF292" s="366"/>
      <c r="AG292" s="102"/>
    </row>
    <row r="293" spans="1:33" ht="13.9" customHeight="1">
      <c r="A293" s="1526" t="s">
        <v>1486</v>
      </c>
      <c r="B293" s="1526" t="s">
        <v>1487</v>
      </c>
      <c r="C293" s="103"/>
      <c r="D293" s="1539"/>
      <c r="E293" s="1532"/>
      <c r="F293" s="1532"/>
      <c r="G293" s="1532"/>
      <c r="H293" s="1532"/>
      <c r="I293" s="1532"/>
      <c r="J293" s="1532"/>
      <c r="K293" s="1532"/>
      <c r="L293" s="1532"/>
      <c r="M293" s="1532"/>
      <c r="N293" s="102"/>
      <c r="O293" s="90" t="s">
        <v>1273</v>
      </c>
      <c r="P293" s="1838"/>
      <c r="Q293" s="1845"/>
      <c r="R293" s="102"/>
      <c r="S293" s="102"/>
      <c r="T293" s="102"/>
      <c r="U293" s="102"/>
      <c r="V293" s="102"/>
      <c r="W293" s="102"/>
      <c r="X293" s="102"/>
      <c r="Y293" s="102"/>
      <c r="Z293" s="102"/>
      <c r="AA293" s="102"/>
      <c r="AB293" s="102"/>
      <c r="AC293" s="102"/>
      <c r="AD293" s="102"/>
      <c r="AE293" s="366"/>
      <c r="AF293" s="366"/>
      <c r="AG293" s="102"/>
    </row>
    <row r="294" spans="1:33" ht="12.75" customHeight="1">
      <c r="A294" s="9" t="s">
        <v>110</v>
      </c>
      <c r="B294" s="1526" t="s">
        <v>1488</v>
      </c>
      <c r="C294" s="102"/>
      <c r="D294" s="102"/>
      <c r="E294" s="102"/>
      <c r="F294" s="102"/>
      <c r="G294" s="102"/>
      <c r="H294" s="102"/>
      <c r="I294" s="102"/>
      <c r="J294" s="102"/>
      <c r="K294" s="102"/>
      <c r="L294" s="102"/>
      <c r="M294" s="102"/>
      <c r="N294" s="102"/>
      <c r="O294" s="102"/>
      <c r="P294" s="102"/>
      <c r="Q294" s="102"/>
      <c r="R294" s="102"/>
      <c r="S294" s="102"/>
      <c r="T294" s="102"/>
      <c r="U294" s="102"/>
      <c r="V294" s="102"/>
      <c r="W294" s="102"/>
      <c r="X294" s="102"/>
      <c r="Y294" s="102"/>
      <c r="Z294" s="102"/>
      <c r="AA294" s="102"/>
      <c r="AB294" s="102"/>
      <c r="AC294" s="102"/>
      <c r="AD294" s="102"/>
      <c r="AE294" s="366"/>
      <c r="AF294" s="366"/>
      <c r="AG294" s="102"/>
    </row>
    <row r="295" spans="1:33" s="102" customFormat="1" ht="44.25" customHeight="1">
      <c r="A295" s="100"/>
      <c r="B295" s="113" t="s">
        <v>1303</v>
      </c>
      <c r="C295" s="1833" t="s">
        <v>1489</v>
      </c>
      <c r="D295" s="1833"/>
      <c r="E295" s="1833"/>
      <c r="F295" s="1833"/>
      <c r="G295" s="1833"/>
      <c r="H295" s="1833"/>
      <c r="I295" s="1833"/>
      <c r="J295" s="1833"/>
      <c r="K295" s="1833"/>
      <c r="L295" s="1833"/>
      <c r="M295" s="1833"/>
      <c r="N295" s="1833"/>
      <c r="O295" s="113" t="s">
        <v>1490</v>
      </c>
      <c r="P295" s="2454" t="s">
        <v>22</v>
      </c>
      <c r="Q295" s="1033"/>
      <c r="AE295" s="366"/>
      <c r="AF295" s="366"/>
    </row>
    <row r="296" spans="1:33" s="310" customFormat="1" ht="12" customHeight="1">
      <c r="A296" s="100"/>
      <c r="B296" s="113" t="s">
        <v>1306</v>
      </c>
      <c r="C296" s="1833" t="s">
        <v>1491</v>
      </c>
      <c r="D296" s="1833"/>
      <c r="E296" s="1833"/>
      <c r="F296" s="1833"/>
      <c r="G296" s="1833"/>
      <c r="H296" s="1833"/>
      <c r="I296" s="1833"/>
      <c r="J296" s="1833"/>
      <c r="K296" s="1833"/>
      <c r="L296" s="1833"/>
      <c r="M296" s="1833"/>
      <c r="N296" s="1833"/>
      <c r="O296" s="113" t="s">
        <v>1306</v>
      </c>
      <c r="P296" s="2530" t="s">
        <v>22</v>
      </c>
      <c r="Q296" s="428"/>
      <c r="AE296" s="367"/>
      <c r="AF296" s="367"/>
    </row>
    <row r="297" spans="1:33" s="310" customFormat="1" ht="21.75" customHeight="1">
      <c r="A297" s="100"/>
      <c r="B297" s="113" t="s">
        <v>1308</v>
      </c>
      <c r="C297" s="1833" t="s">
        <v>1492</v>
      </c>
      <c r="D297" s="1833"/>
      <c r="E297" s="1833"/>
      <c r="F297" s="1833"/>
      <c r="G297" s="1833"/>
      <c r="H297" s="1833"/>
      <c r="I297" s="1833"/>
      <c r="J297" s="1833"/>
      <c r="K297" s="1833"/>
      <c r="L297" s="1833"/>
      <c r="M297" s="1833"/>
      <c r="N297" s="1833"/>
      <c r="O297" s="113" t="s">
        <v>1308</v>
      </c>
      <c r="P297" s="2477"/>
      <c r="Q297" s="1051"/>
      <c r="AE297" s="367"/>
      <c r="AF297" s="367"/>
    </row>
    <row r="298" spans="1:33" s="58" customFormat="1" ht="12.75" customHeight="1">
      <c r="A298" s="9" t="s">
        <v>121</v>
      </c>
      <c r="B298" s="1526" t="s">
        <v>1493</v>
      </c>
      <c r="D298" s="1103"/>
      <c r="E298" s="1103"/>
      <c r="F298" s="1103"/>
      <c r="G298" s="1103"/>
      <c r="H298" s="1103"/>
      <c r="I298" s="1103"/>
      <c r="J298" s="1103"/>
      <c r="K298" s="1103"/>
      <c r="L298" s="1103"/>
      <c r="M298" s="1103"/>
      <c r="N298" s="1103"/>
      <c r="O298" s="363"/>
      <c r="P298" s="363"/>
      <c r="Q298" s="363"/>
      <c r="AE298" s="368"/>
    </row>
    <row r="299" spans="1:33" s="58" customFormat="1" ht="11.25" customHeight="1">
      <c r="A299" s="127"/>
      <c r="B299" s="113" t="s">
        <v>1303</v>
      </c>
      <c r="C299" s="1833" t="s">
        <v>1494</v>
      </c>
      <c r="D299" s="1833"/>
      <c r="E299" s="1833"/>
      <c r="F299" s="1833"/>
      <c r="G299" s="1833"/>
      <c r="H299" s="1833"/>
      <c r="I299" s="98"/>
      <c r="J299" s="1842" t="s">
        <v>1495</v>
      </c>
      <c r="K299" s="1843"/>
      <c r="L299" s="1843"/>
      <c r="M299" s="1844" t="s">
        <v>1496</v>
      </c>
      <c r="N299" s="1844"/>
      <c r="AE299" s="368"/>
      <c r="AF299" s="368"/>
    </row>
    <row r="300" spans="1:33" s="204" customFormat="1" ht="10.5" customHeight="1">
      <c r="A300" s="214"/>
      <c r="C300" s="1833"/>
      <c r="D300" s="1833"/>
      <c r="E300" s="1833"/>
      <c r="F300" s="1833"/>
      <c r="G300" s="1833"/>
      <c r="H300" s="1833"/>
      <c r="I300" s="1511"/>
      <c r="J300" s="1843"/>
      <c r="K300" s="1843"/>
      <c r="L300" s="1843"/>
      <c r="M300" s="20" t="s">
        <v>1497</v>
      </c>
      <c r="N300" s="1529" t="s">
        <v>1498</v>
      </c>
      <c r="P300" s="212"/>
    </row>
    <row r="301" spans="1:33" s="204" customFormat="1" ht="13.15" customHeight="1">
      <c r="A301" s="214"/>
      <c r="C301" s="1833"/>
      <c r="D301" s="1833"/>
      <c r="E301" s="1833"/>
      <c r="F301" s="1833"/>
      <c r="G301" s="1833"/>
      <c r="H301" s="1833"/>
      <c r="I301" s="31" t="s">
        <v>1499</v>
      </c>
      <c r="K301" s="2562">
        <v>4</v>
      </c>
      <c r="L301" s="885" t="str">
        <f>IF(K301&lt;M301,"Check!!!","")</f>
        <v/>
      </c>
      <c r="M301" s="1480">
        <f>ROUNDUP('Part VI-Revenues &amp; Expenses'!$O$62*'Part VIII-Threshold Criteria'!N301,0)</f>
        <v>4</v>
      </c>
      <c r="N301" s="889">
        <f>'DCA Underwriting Assumptions'!$Q$136</f>
        <v>0.05</v>
      </c>
      <c r="O301" s="363" t="s">
        <v>1500</v>
      </c>
      <c r="P301" s="2383" t="s">
        <v>22</v>
      </c>
      <c r="Q301" s="1411"/>
      <c r="V301" s="20"/>
      <c r="X301" s="20"/>
      <c r="Z301" s="885" t="str">
        <f>IF(AA301="","",IF(AA301&lt;AC301,"Check!!!",""))</f>
        <v/>
      </c>
      <c r="AA301" s="885" t="str">
        <f t="shared" ref="AA301:AG301" si="0">IF(AB301="","",IF(AB301&lt;AD301,"Check!!!",""))</f>
        <v/>
      </c>
      <c r="AB301" s="885" t="str">
        <f t="shared" si="0"/>
        <v/>
      </c>
      <c r="AC301" s="885" t="str">
        <f t="shared" si="0"/>
        <v/>
      </c>
      <c r="AD301" s="885" t="str">
        <f t="shared" si="0"/>
        <v/>
      </c>
      <c r="AE301" s="885" t="str">
        <f t="shared" si="0"/>
        <v/>
      </c>
      <c r="AF301" s="885" t="str">
        <f t="shared" si="0"/>
        <v/>
      </c>
      <c r="AG301" s="885" t="str">
        <f t="shared" si="0"/>
        <v/>
      </c>
    </row>
    <row r="302" spans="1:33" s="204" customFormat="1" ht="3" customHeight="1">
      <c r="A302" s="214"/>
      <c r="C302" s="1500"/>
      <c r="E302" s="1500"/>
      <c r="F302" s="1500"/>
      <c r="G302" s="1500"/>
      <c r="K302" s="1511"/>
      <c r="L302" s="1499"/>
      <c r="M302" s="1510"/>
      <c r="P302" s="212"/>
      <c r="T302" s="1500"/>
      <c r="U302" s="1500"/>
      <c r="V302" s="1500"/>
      <c r="W302" s="1500"/>
      <c r="Y302" s="1511"/>
    </row>
    <row r="303" spans="1:33" s="58" customFormat="1" ht="12.75" customHeight="1">
      <c r="A303" s="100"/>
      <c r="B303" s="113"/>
      <c r="C303" s="1833" t="s">
        <v>1501</v>
      </c>
      <c r="D303" s="1833"/>
      <c r="E303" s="1833"/>
      <c r="F303" s="1833"/>
      <c r="G303" s="1833"/>
      <c r="H303" s="1833"/>
      <c r="I303" s="758" t="s">
        <v>1502</v>
      </c>
      <c r="J303" s="204"/>
      <c r="K303" s="2562">
        <v>2</v>
      </c>
      <c r="L303" s="885" t="str">
        <f>IF(K303&lt;M303,"Check!!!","")</f>
        <v/>
      </c>
      <c r="M303" s="1480">
        <f>ROUNDUP(K301*'Part VIII-Threshold Criteria'!N303,0)</f>
        <v>2</v>
      </c>
      <c r="N303" s="889">
        <f>'DCA Underwriting Assumptions'!$Q$137</f>
        <v>0.4</v>
      </c>
      <c r="O303" s="363" t="s">
        <v>386</v>
      </c>
      <c r="P303" s="2383" t="s">
        <v>22</v>
      </c>
      <c r="Q303" s="1411"/>
      <c r="T303" s="98"/>
      <c r="U303" s="98"/>
      <c r="V303" s="98"/>
      <c r="W303" s="98"/>
      <c r="X303" s="98"/>
      <c r="Y303" s="98"/>
      <c r="Z303" s="98"/>
      <c r="AA303" s="98"/>
      <c r="AB303" s="98"/>
      <c r="AC303" s="98"/>
      <c r="AD303" s="98"/>
      <c r="AE303" s="98"/>
      <c r="AF303" s="98"/>
      <c r="AG303" s="98"/>
    </row>
    <row r="304" spans="1:33" s="204" customFormat="1" ht="10.5" customHeight="1">
      <c r="A304" s="214"/>
      <c r="C304" s="1833"/>
      <c r="D304" s="1833"/>
      <c r="E304" s="1833"/>
      <c r="F304" s="1833"/>
      <c r="G304" s="1833"/>
      <c r="H304" s="1833"/>
      <c r="O304" s="22"/>
      <c r="P304" s="363"/>
      <c r="V304" s="20"/>
      <c r="W304" s="758"/>
      <c r="X304" s="20"/>
      <c r="Z304" s="885" t="str">
        <f>IF(AA304="","",IF(AA304&lt;AC304,"Check!!!",""))</f>
        <v/>
      </c>
      <c r="AA304" s="885" t="str">
        <f t="shared" ref="AA304:AG304" si="1">IF(AB304="","",IF(AB304&lt;AD304,"Check!!!",""))</f>
        <v/>
      </c>
      <c r="AB304" s="885" t="str">
        <f t="shared" si="1"/>
        <v/>
      </c>
      <c r="AC304" s="885" t="str">
        <f t="shared" si="1"/>
        <v/>
      </c>
      <c r="AD304" s="885" t="str">
        <f t="shared" si="1"/>
        <v/>
      </c>
      <c r="AE304" s="885" t="str">
        <f t="shared" si="1"/>
        <v/>
      </c>
      <c r="AF304" s="885" t="str">
        <f t="shared" si="1"/>
        <v/>
      </c>
      <c r="AG304" s="885" t="str">
        <f t="shared" si="1"/>
        <v/>
      </c>
    </row>
    <row r="305" spans="1:33" s="58" customFormat="1" ht="12.75" customHeight="1">
      <c r="A305" s="100"/>
      <c r="B305" s="113" t="s">
        <v>1306</v>
      </c>
      <c r="C305" s="1833" t="s">
        <v>1503</v>
      </c>
      <c r="D305" s="1833"/>
      <c r="E305" s="1833"/>
      <c r="F305" s="1833"/>
      <c r="G305" s="1833"/>
      <c r="H305" s="1833"/>
      <c r="I305" s="31" t="s">
        <v>1504</v>
      </c>
      <c r="J305" s="204"/>
      <c r="K305" s="2562">
        <v>2</v>
      </c>
      <c r="L305" s="885" t="str">
        <f>IF(K305&lt;M305,"Check!!!","")</f>
        <v/>
      </c>
      <c r="M305" s="1480">
        <f>ROUNDUP('Part VI-Revenues &amp; Expenses'!$O$62*'Part VIII-Threshold Criteria'!N305,0)</f>
        <v>2</v>
      </c>
      <c r="N305" s="889">
        <f>'DCA Underwriting Assumptions'!$Q$138</f>
        <v>0.02</v>
      </c>
      <c r="O305" s="363" t="s">
        <v>1306</v>
      </c>
      <c r="P305" s="2383" t="s">
        <v>22</v>
      </c>
      <c r="Q305" s="1411"/>
      <c r="T305" s="98"/>
      <c r="U305" s="98"/>
      <c r="V305" s="98"/>
      <c r="W305" s="98"/>
      <c r="X305" s="98"/>
      <c r="Y305" s="98"/>
      <c r="Z305" s="98"/>
      <c r="AA305" s="98"/>
      <c r="AB305" s="98"/>
      <c r="AC305" s="98"/>
      <c r="AD305" s="98"/>
      <c r="AE305" s="98"/>
      <c r="AF305" s="98"/>
      <c r="AG305" s="98"/>
    </row>
    <row r="306" spans="1:33" s="204" customFormat="1" ht="3" customHeight="1">
      <c r="A306" s="214"/>
      <c r="C306" s="1833"/>
      <c r="D306" s="1833"/>
      <c r="E306" s="1833"/>
      <c r="F306" s="1833"/>
      <c r="G306" s="1833"/>
      <c r="H306" s="1833"/>
      <c r="J306" s="20"/>
      <c r="K306" s="20"/>
      <c r="L306" s="772"/>
      <c r="M306" s="1534"/>
      <c r="O306" s="20"/>
      <c r="P306" s="1529"/>
      <c r="Q306" s="20"/>
      <c r="T306" s="20"/>
      <c r="U306" s="758"/>
      <c r="V306" s="20"/>
      <c r="W306" s="758"/>
      <c r="X306" s="20"/>
      <c r="Y306" s="20"/>
      <c r="Z306" s="20"/>
      <c r="AA306" s="20"/>
      <c r="AB306" s="20"/>
      <c r="AC306" s="20"/>
      <c r="AD306" s="20"/>
      <c r="AE306" s="20"/>
      <c r="AF306" s="20"/>
      <c r="AG306" s="20"/>
    </row>
    <row r="307" spans="1:33" s="204" customFormat="1" ht="10.5" customHeight="1">
      <c r="A307" s="214"/>
      <c r="C307" s="1833"/>
      <c r="D307" s="1833"/>
      <c r="E307" s="1833"/>
      <c r="F307" s="1833"/>
      <c r="G307" s="1833"/>
      <c r="H307" s="1833"/>
      <c r="O307" s="22"/>
      <c r="P307" s="363"/>
      <c r="V307" s="20"/>
      <c r="W307" s="758"/>
      <c r="X307" s="20"/>
      <c r="Z307" s="885" t="str">
        <f>IF(AA307="","",IF(AA307&lt;AC307,"Check!!!",""))</f>
        <v/>
      </c>
      <c r="AA307" s="885" t="str">
        <f t="shared" ref="AA307:AG307" si="2">IF(AB307="","",IF(AB307&lt;AD307,"Check!!!",""))</f>
        <v/>
      </c>
      <c r="AB307" s="885" t="str">
        <f t="shared" si="2"/>
        <v/>
      </c>
      <c r="AC307" s="885" t="str">
        <f t="shared" si="2"/>
        <v/>
      </c>
      <c r="AD307" s="885" t="str">
        <f t="shared" si="2"/>
        <v/>
      </c>
      <c r="AE307" s="885" t="str">
        <f t="shared" si="2"/>
        <v/>
      </c>
      <c r="AF307" s="885" t="str">
        <f t="shared" si="2"/>
        <v/>
      </c>
      <c r="AG307" s="885" t="str">
        <f t="shared" si="2"/>
        <v/>
      </c>
    </row>
    <row r="308" spans="1:33" s="204" customFormat="1" ht="10.5" customHeight="1">
      <c r="A308" s="9" t="s">
        <v>123</v>
      </c>
      <c r="B308" s="1526" t="s">
        <v>1505</v>
      </c>
      <c r="D308" s="1532"/>
      <c r="E308" s="1532"/>
      <c r="F308" s="1532"/>
      <c r="G308" s="1532"/>
      <c r="H308" s="1532"/>
      <c r="O308" s="22"/>
      <c r="P308" s="363"/>
      <c r="V308" s="20"/>
      <c r="W308" s="758"/>
      <c r="X308" s="20"/>
      <c r="Z308" s="885"/>
      <c r="AA308" s="885"/>
      <c r="AB308" s="885"/>
      <c r="AC308" s="885"/>
      <c r="AD308" s="885"/>
      <c r="AE308" s="885"/>
      <c r="AF308" s="885"/>
      <c r="AG308" s="885"/>
    </row>
    <row r="309" spans="1:33" s="58" customFormat="1" ht="21.75" customHeight="1">
      <c r="B309" s="1834" t="s">
        <v>1506</v>
      </c>
      <c r="C309" s="1834"/>
      <c r="D309" s="1834"/>
      <c r="E309" s="1834"/>
      <c r="F309" s="1834"/>
      <c r="G309" s="1834"/>
      <c r="H309" s="1834"/>
      <c r="I309" s="1834"/>
      <c r="J309" s="1834"/>
      <c r="K309" s="1834"/>
      <c r="L309" s="1834"/>
      <c r="M309" s="1834"/>
      <c r="N309" s="1834"/>
      <c r="O309" s="113" t="s">
        <v>123</v>
      </c>
      <c r="P309" s="2450" t="s">
        <v>22</v>
      </c>
      <c r="Q309" s="1415"/>
      <c r="AE309" s="368"/>
      <c r="AF309" s="368"/>
    </row>
    <row r="310" spans="1:33" s="58" customFormat="1" ht="11.25" customHeight="1">
      <c r="B310" s="292" t="s">
        <v>1507</v>
      </c>
      <c r="D310" s="292"/>
      <c r="E310" s="292"/>
      <c r="F310" s="292"/>
      <c r="G310" s="292"/>
      <c r="H310" s="292"/>
      <c r="I310" s="292" t="s">
        <v>1508</v>
      </c>
      <c r="J310" s="292"/>
      <c r="K310" s="292"/>
      <c r="L310" s="2563" t="s">
        <v>4661</v>
      </c>
      <c r="M310" s="2564"/>
      <c r="N310" s="2565"/>
      <c r="O310" s="292"/>
      <c r="P310" s="292"/>
      <c r="Q310" s="292"/>
      <c r="R310" s="292"/>
      <c r="AE310" s="368"/>
      <c r="AF310" s="368"/>
    </row>
    <row r="311" spans="1:33" s="310" customFormat="1" ht="44.25" customHeight="1">
      <c r="B311" s="113" t="s">
        <v>1303</v>
      </c>
      <c r="C311" s="1833" t="s">
        <v>1509</v>
      </c>
      <c r="D311" s="1833"/>
      <c r="E311" s="1833"/>
      <c r="F311" s="1833"/>
      <c r="G311" s="1833"/>
      <c r="H311" s="1833"/>
      <c r="I311" s="1833"/>
      <c r="J311" s="1833"/>
      <c r="K311" s="1833"/>
      <c r="L311" s="1833"/>
      <c r="M311" s="1833"/>
      <c r="N311" s="1833"/>
      <c r="O311" s="113" t="s">
        <v>1510</v>
      </c>
      <c r="P311" s="2454" t="s">
        <v>22</v>
      </c>
      <c r="Q311" s="1033"/>
      <c r="AE311" s="367"/>
      <c r="AF311" s="367"/>
    </row>
    <row r="312" spans="1:33" s="310" customFormat="1" ht="11.25" customHeight="1">
      <c r="B312" s="113" t="s">
        <v>1306</v>
      </c>
      <c r="C312" s="1833" t="s">
        <v>1511</v>
      </c>
      <c r="D312" s="1833"/>
      <c r="E312" s="1833"/>
      <c r="F312" s="1833"/>
      <c r="G312" s="1833"/>
      <c r="H312" s="1833"/>
      <c r="I312" s="1833"/>
      <c r="J312" s="1833"/>
      <c r="K312" s="1833"/>
      <c r="L312" s="1833"/>
      <c r="M312" s="1833"/>
      <c r="N312" s="1833"/>
      <c r="O312" s="113" t="s">
        <v>1512</v>
      </c>
      <c r="P312" s="2530" t="s">
        <v>22</v>
      </c>
      <c r="Q312" s="428"/>
      <c r="AE312" s="367"/>
      <c r="AF312" s="367"/>
    </row>
    <row r="313" spans="1:33" s="310" customFormat="1" ht="34.5" customHeight="1">
      <c r="B313" s="113" t="s">
        <v>1308</v>
      </c>
      <c r="C313" s="1833" t="s">
        <v>1513</v>
      </c>
      <c r="D313" s="1833"/>
      <c r="E313" s="1833"/>
      <c r="F313" s="1833"/>
      <c r="G313" s="1833"/>
      <c r="H313" s="1833"/>
      <c r="I313" s="1833"/>
      <c r="J313" s="1833"/>
      <c r="K313" s="1833"/>
      <c r="L313" s="1833"/>
      <c r="M313" s="1833"/>
      <c r="N313" s="1833"/>
      <c r="O313" s="113" t="s">
        <v>1514</v>
      </c>
      <c r="P313" s="2530" t="s">
        <v>22</v>
      </c>
      <c r="Q313" s="428"/>
      <c r="AE313" s="367"/>
      <c r="AF313" s="367"/>
    </row>
    <row r="314" spans="1:33" s="310" customFormat="1" ht="32.25" customHeight="1">
      <c r="B314" s="113" t="s">
        <v>1310</v>
      </c>
      <c r="C314" s="1833" t="s">
        <v>1515</v>
      </c>
      <c r="D314" s="1833"/>
      <c r="E314" s="1833"/>
      <c r="F314" s="1833"/>
      <c r="G314" s="1833"/>
      <c r="H314" s="1833"/>
      <c r="I314" s="1833"/>
      <c r="J314" s="1833"/>
      <c r="K314" s="1833"/>
      <c r="L314" s="1833"/>
      <c r="M314" s="1833"/>
      <c r="N314" s="1833"/>
      <c r="O314" s="113" t="s">
        <v>1516</v>
      </c>
      <c r="P314" s="2477" t="s">
        <v>22</v>
      </c>
      <c r="Q314" s="1051"/>
      <c r="AE314" s="367"/>
      <c r="AF314" s="367"/>
    </row>
    <row r="315" spans="1:33" ht="11.25" customHeight="1">
      <c r="A315" s="102"/>
      <c r="B315" s="99" t="s">
        <v>1274</v>
      </c>
      <c r="C315" s="102"/>
      <c r="D315" s="99"/>
      <c r="E315" s="99"/>
      <c r="F315" s="99"/>
      <c r="G315" s="99"/>
      <c r="H315" s="22"/>
      <c r="I315" s="1529"/>
      <c r="J315" s="1529"/>
      <c r="K315" s="1529"/>
      <c r="L315" s="1524"/>
      <c r="M315" s="1524"/>
      <c r="N315" s="1524"/>
      <c r="O315" s="1524"/>
      <c r="P315" s="1524"/>
      <c r="Q315" s="771"/>
      <c r="R315" s="102"/>
      <c r="S315" s="102"/>
      <c r="T315" s="102"/>
      <c r="U315" s="102"/>
      <c r="V315" s="102"/>
      <c r="W315" s="102"/>
      <c r="X315" s="102"/>
      <c r="Y315" s="102"/>
      <c r="Z315" s="102"/>
      <c r="AA315" s="102"/>
      <c r="AB315" s="102"/>
      <c r="AC315" s="102"/>
      <c r="AD315" s="102"/>
      <c r="AE315" s="366"/>
      <c r="AF315" s="366"/>
      <c r="AG315" s="102"/>
    </row>
    <row r="316" spans="1:33" ht="32.25" customHeight="1">
      <c r="A316" s="2496" t="s">
        <v>4660</v>
      </c>
      <c r="B316" s="2497"/>
      <c r="C316" s="2497"/>
      <c r="D316" s="2497"/>
      <c r="E316" s="2497"/>
      <c r="F316" s="2497"/>
      <c r="G316" s="2497"/>
      <c r="H316" s="2497"/>
      <c r="I316" s="2497"/>
      <c r="J316" s="2497"/>
      <c r="K316" s="2497"/>
      <c r="L316" s="2497"/>
      <c r="M316" s="2497"/>
      <c r="N316" s="2497"/>
      <c r="O316" s="2497"/>
      <c r="P316" s="2497"/>
      <c r="Q316" s="2498"/>
      <c r="R316" s="341" t="s">
        <v>1275</v>
      </c>
      <c r="S316" s="342"/>
      <c r="T316" s="102"/>
      <c r="U316" s="94"/>
      <c r="V316" s="94"/>
      <c r="W316" s="94"/>
      <c r="X316" s="94"/>
      <c r="Y316" s="94"/>
      <c r="Z316" s="94"/>
      <c r="AA316" s="94"/>
      <c r="AB316" s="94"/>
      <c r="AC316" s="94"/>
      <c r="AD316" s="94"/>
      <c r="AE316" s="365"/>
      <c r="AF316" s="366"/>
      <c r="AG316" s="102"/>
    </row>
    <row r="317" spans="1:33" ht="11.25" customHeight="1">
      <c r="A317" s="102"/>
      <c r="B317" s="95" t="s">
        <v>1276</v>
      </c>
      <c r="C317" s="96"/>
      <c r="D317" s="1532"/>
      <c r="E317" s="1532"/>
      <c r="F317" s="1532"/>
      <c r="G317" s="1532"/>
      <c r="H317" s="1532"/>
      <c r="I317" s="1532"/>
      <c r="J317" s="1532"/>
      <c r="K317" s="1532"/>
      <c r="L317" s="1532"/>
      <c r="M317" s="1532"/>
      <c r="N317" s="1532"/>
      <c r="O317" s="1532"/>
      <c r="P317" s="1532"/>
      <c r="Q317" s="1532"/>
      <c r="R317" s="102"/>
      <c r="S317" s="102"/>
      <c r="T317" s="102"/>
      <c r="U317" s="102"/>
      <c r="V317" s="102"/>
      <c r="W317" s="102"/>
      <c r="X317" s="102"/>
      <c r="Y317" s="102"/>
      <c r="Z317" s="102"/>
      <c r="AA317" s="102"/>
      <c r="AB317" s="102"/>
      <c r="AC317" s="102"/>
      <c r="AD317" s="102"/>
      <c r="AE317" s="366"/>
      <c r="AF317" s="366"/>
      <c r="AG317" s="102"/>
    </row>
    <row r="318" spans="1:33" ht="45.75" customHeight="1">
      <c r="A318" s="1835"/>
      <c r="B318" s="1836"/>
      <c r="C318" s="1836"/>
      <c r="D318" s="1836"/>
      <c r="E318" s="1836"/>
      <c r="F318" s="1836"/>
      <c r="G318" s="1836"/>
      <c r="H318" s="1836"/>
      <c r="I318" s="1836"/>
      <c r="J318" s="1836"/>
      <c r="K318" s="1836"/>
      <c r="L318" s="1836"/>
      <c r="M318" s="1836"/>
      <c r="N318" s="1836"/>
      <c r="O318" s="1836"/>
      <c r="P318" s="1836"/>
      <c r="Q318" s="1837"/>
      <c r="R318" s="102"/>
      <c r="S318" s="102"/>
      <c r="T318" s="102"/>
      <c r="U318" s="102"/>
      <c r="V318" s="102"/>
      <c r="W318" s="102"/>
      <c r="X318" s="102"/>
      <c r="Y318" s="102"/>
      <c r="Z318" s="102"/>
      <c r="AA318" s="102"/>
      <c r="AB318" s="102"/>
      <c r="AC318" s="102"/>
      <c r="AD318" s="102"/>
      <c r="AE318" s="366"/>
      <c r="AF318" s="366"/>
      <c r="AG318" s="102"/>
    </row>
    <row r="319" spans="1:33" ht="13.9" customHeight="1">
      <c r="A319" s="1526" t="s">
        <v>1517</v>
      </c>
      <c r="B319" s="6" t="s">
        <v>1518</v>
      </c>
      <c r="C319" s="6"/>
      <c r="D319" s="6"/>
      <c r="E319" s="6"/>
      <c r="F319" s="6"/>
      <c r="G319" s="6"/>
      <c r="H319" s="1532"/>
      <c r="I319" s="1532"/>
      <c r="J319" s="1532"/>
      <c r="K319" s="1532"/>
      <c r="L319" s="1532"/>
      <c r="M319" s="1532"/>
      <c r="N319" s="102"/>
      <c r="O319" s="90" t="s">
        <v>1273</v>
      </c>
      <c r="P319" s="1867"/>
      <c r="Q319" s="1868"/>
      <c r="R319" s="102"/>
      <c r="S319" s="102"/>
      <c r="T319" s="102"/>
      <c r="U319" s="102"/>
      <c r="V319" s="102"/>
      <c r="W319" s="102"/>
      <c r="X319" s="102"/>
      <c r="Y319" s="102"/>
      <c r="Z319" s="102"/>
      <c r="AA319" s="102"/>
      <c r="AB319" s="102"/>
      <c r="AC319" s="102"/>
      <c r="AD319" s="102"/>
      <c r="AE319" s="366"/>
      <c r="AF319" s="366"/>
      <c r="AG319" s="102"/>
    </row>
    <row r="320" spans="1:33" ht="11.45" customHeight="1">
      <c r="A320" s="102"/>
      <c r="B320" s="33" t="s">
        <v>1519</v>
      </c>
      <c r="C320" s="102"/>
      <c r="D320" s="102"/>
      <c r="E320" s="102"/>
      <c r="F320" s="102"/>
      <c r="G320" s="102"/>
      <c r="H320" s="102"/>
      <c r="I320" s="102"/>
      <c r="J320" s="102"/>
      <c r="K320" s="102"/>
      <c r="L320" s="102"/>
      <c r="M320" s="102"/>
      <c r="N320" s="102"/>
      <c r="O320" s="102"/>
      <c r="P320" s="2313" t="s">
        <v>21</v>
      </c>
      <c r="Q320" s="425"/>
      <c r="R320" s="102"/>
      <c r="S320" s="102"/>
      <c r="T320" s="102"/>
      <c r="U320" s="102"/>
      <c r="V320" s="102"/>
      <c r="W320" s="102"/>
      <c r="X320" s="102"/>
      <c r="Y320" s="102"/>
      <c r="Z320" s="102"/>
      <c r="AA320" s="102"/>
      <c r="AB320" s="102"/>
      <c r="AC320" s="102"/>
      <c r="AD320" s="102"/>
      <c r="AE320" s="366"/>
      <c r="AF320" s="366"/>
      <c r="AG320" s="102"/>
    </row>
    <row r="321" spans="1:256 1523:1523" ht="12" customHeight="1">
      <c r="A321" s="102"/>
      <c r="B321" s="752" t="s">
        <v>1520</v>
      </c>
      <c r="C321" s="752"/>
      <c r="D321" s="752"/>
      <c r="E321" s="752"/>
      <c r="F321" s="752"/>
      <c r="G321" s="752"/>
      <c r="H321" s="752"/>
      <c r="I321" s="752"/>
      <c r="J321" s="752"/>
      <c r="K321" s="752"/>
      <c r="L321" s="752"/>
      <c r="M321" s="102"/>
      <c r="N321" s="102"/>
      <c r="O321" s="102"/>
      <c r="P321" s="2312" t="s">
        <v>22</v>
      </c>
      <c r="Q321" s="427"/>
      <c r="R321" s="102"/>
      <c r="S321" s="102"/>
      <c r="T321" s="102"/>
      <c r="U321" s="102"/>
      <c r="V321" s="102"/>
      <c r="W321" s="102"/>
      <c r="X321" s="102"/>
      <c r="Y321" s="102"/>
      <c r="Z321" s="102"/>
      <c r="AA321" s="102"/>
      <c r="AB321" s="102"/>
      <c r="AC321" s="102"/>
      <c r="AD321" s="102"/>
      <c r="AE321" s="366"/>
      <c r="AF321" s="366"/>
      <c r="AG321" s="102"/>
      <c r="AH321" s="102"/>
      <c r="AI321" s="102"/>
      <c r="AJ321" s="102"/>
      <c r="AK321" s="102"/>
      <c r="AL321" s="102"/>
      <c r="AM321" s="102"/>
      <c r="AN321" s="102"/>
      <c r="AO321" s="102"/>
      <c r="AP321" s="102"/>
      <c r="AQ321" s="102"/>
      <c r="AR321" s="102"/>
      <c r="AS321" s="102"/>
      <c r="AT321" s="102"/>
      <c r="AU321" s="102"/>
      <c r="AV321" s="102"/>
      <c r="AW321" s="102"/>
      <c r="AX321" s="102"/>
      <c r="AY321" s="102"/>
      <c r="AZ321" s="102"/>
      <c r="BA321" s="102"/>
      <c r="BB321" s="102"/>
      <c r="BC321" s="102"/>
      <c r="BD321" s="102"/>
      <c r="BE321" s="102"/>
      <c r="BF321" s="102"/>
      <c r="BG321" s="102"/>
      <c r="BH321" s="102"/>
      <c r="BI321" s="102"/>
      <c r="BJ321" s="102"/>
      <c r="BK321" s="102"/>
      <c r="BL321" s="102"/>
      <c r="BM321" s="102"/>
      <c r="BN321" s="102"/>
      <c r="BO321" s="102"/>
      <c r="BP321" s="102"/>
      <c r="BQ321" s="102"/>
      <c r="BR321" s="102"/>
      <c r="BS321" s="102"/>
      <c r="BT321" s="102"/>
      <c r="BU321" s="102"/>
      <c r="BV321" s="102"/>
      <c r="BW321" s="102"/>
      <c r="BX321" s="102"/>
      <c r="BY321" s="102"/>
      <c r="BZ321" s="102"/>
      <c r="CA321" s="102"/>
      <c r="CB321" s="102"/>
      <c r="CC321" s="102"/>
      <c r="CD321" s="102"/>
      <c r="CE321" s="102"/>
      <c r="CF321" s="102"/>
      <c r="CG321" s="102"/>
      <c r="CH321" s="102"/>
      <c r="CI321" s="102"/>
      <c r="CJ321" s="102"/>
      <c r="CK321" s="102"/>
      <c r="CL321" s="102"/>
      <c r="CM321" s="102"/>
      <c r="CN321" s="102"/>
      <c r="CO321" s="102"/>
      <c r="CP321" s="102"/>
      <c r="CQ321" s="102"/>
      <c r="CR321" s="102"/>
      <c r="CS321" s="102"/>
      <c r="CT321" s="102"/>
      <c r="CU321" s="102"/>
      <c r="CV321" s="102"/>
      <c r="CW321" s="102"/>
      <c r="CX321" s="102"/>
      <c r="CY321" s="102"/>
      <c r="CZ321" s="102"/>
      <c r="DA321" s="102"/>
      <c r="DB321" s="102"/>
      <c r="DC321" s="102"/>
      <c r="DD321" s="102"/>
      <c r="DE321" s="102"/>
      <c r="DF321" s="102"/>
      <c r="DG321" s="102"/>
      <c r="DH321" s="102"/>
      <c r="DI321" s="102"/>
      <c r="DJ321" s="102"/>
      <c r="DK321" s="102"/>
      <c r="DL321" s="102"/>
      <c r="DM321" s="102"/>
      <c r="DN321" s="102"/>
      <c r="DO321" s="102"/>
      <c r="DP321" s="102"/>
      <c r="DQ321" s="102"/>
      <c r="DR321" s="102"/>
      <c r="DS321" s="102"/>
      <c r="DT321" s="102"/>
      <c r="DU321" s="102"/>
      <c r="DV321" s="102"/>
      <c r="DW321" s="102"/>
      <c r="DX321" s="102"/>
      <c r="DY321" s="102"/>
      <c r="DZ321" s="102"/>
      <c r="EA321" s="102"/>
      <c r="EB321" s="102"/>
      <c r="EC321" s="102"/>
      <c r="ED321" s="102"/>
      <c r="EE321" s="102"/>
      <c r="EF321" s="102"/>
      <c r="EG321" s="102"/>
      <c r="EH321" s="102"/>
      <c r="EI321" s="102"/>
      <c r="EJ321" s="102"/>
      <c r="EK321" s="102"/>
      <c r="EL321" s="102"/>
      <c r="EM321" s="102"/>
      <c r="EN321" s="102"/>
      <c r="EO321" s="102"/>
      <c r="EP321" s="102"/>
      <c r="EQ321" s="102"/>
      <c r="ER321" s="102"/>
      <c r="ES321" s="102"/>
      <c r="ET321" s="102"/>
      <c r="EU321" s="102"/>
      <c r="EV321" s="102"/>
      <c r="EW321" s="102"/>
      <c r="EX321" s="102"/>
      <c r="EY321" s="102"/>
      <c r="EZ321" s="102"/>
      <c r="FA321" s="102"/>
      <c r="FB321" s="102"/>
      <c r="FC321" s="102"/>
      <c r="FD321" s="102"/>
      <c r="FE321" s="102"/>
      <c r="FF321" s="102"/>
      <c r="FG321" s="102"/>
      <c r="FH321" s="102"/>
      <c r="FI321" s="102"/>
      <c r="FJ321" s="102"/>
      <c r="FK321" s="102"/>
      <c r="FL321" s="102"/>
      <c r="FM321" s="102"/>
      <c r="FN321" s="102"/>
      <c r="FO321" s="102"/>
      <c r="FP321" s="102"/>
      <c r="FQ321" s="102"/>
      <c r="FR321" s="102"/>
      <c r="FS321" s="102"/>
      <c r="FT321" s="102"/>
      <c r="FU321" s="102"/>
      <c r="FV321" s="102"/>
      <c r="FW321" s="102"/>
      <c r="FX321" s="102"/>
      <c r="FY321" s="102"/>
      <c r="FZ321" s="102"/>
      <c r="GA321" s="102"/>
      <c r="GB321" s="102"/>
      <c r="GC321" s="102"/>
      <c r="GD321" s="102"/>
      <c r="GE321" s="102"/>
      <c r="GF321" s="102"/>
      <c r="GG321" s="102"/>
      <c r="GH321" s="102"/>
      <c r="GI321" s="102"/>
      <c r="GJ321" s="102"/>
      <c r="GK321" s="102"/>
      <c r="GL321" s="102"/>
      <c r="GM321" s="102"/>
      <c r="GN321" s="102"/>
      <c r="GO321" s="102"/>
      <c r="GP321" s="102"/>
      <c r="GQ321" s="102"/>
      <c r="GR321" s="102"/>
      <c r="GS321" s="102"/>
      <c r="GT321" s="102"/>
      <c r="GU321" s="102"/>
      <c r="GV321" s="102"/>
      <c r="GW321" s="102"/>
      <c r="GX321" s="102"/>
      <c r="GY321" s="102"/>
      <c r="GZ321" s="102"/>
      <c r="HA321" s="102"/>
      <c r="HB321" s="102"/>
      <c r="HC321" s="102"/>
      <c r="HD321" s="102"/>
      <c r="HE321" s="102"/>
      <c r="HF321" s="102"/>
      <c r="HG321" s="102"/>
      <c r="HH321" s="102"/>
      <c r="HI321" s="102"/>
      <c r="HJ321" s="102"/>
      <c r="HK321" s="102"/>
      <c r="HL321" s="102"/>
      <c r="HM321" s="102"/>
      <c r="HN321" s="102"/>
      <c r="HO321" s="102"/>
      <c r="HP321" s="102"/>
      <c r="HQ321" s="102"/>
      <c r="HR321" s="102"/>
      <c r="HS321" s="102"/>
      <c r="HT321" s="102"/>
      <c r="HU321" s="102"/>
      <c r="HV321" s="102"/>
      <c r="HW321" s="102"/>
      <c r="HX321" s="102"/>
      <c r="HY321" s="102"/>
      <c r="HZ321" s="102"/>
      <c r="IA321" s="102"/>
      <c r="IB321" s="102"/>
      <c r="IC321" s="102"/>
      <c r="ID321" s="102"/>
      <c r="IE321" s="102"/>
      <c r="IF321" s="102"/>
      <c r="IG321" s="102"/>
      <c r="IH321" s="102"/>
      <c r="II321" s="102"/>
      <c r="IJ321" s="102"/>
      <c r="IK321" s="102"/>
      <c r="IL321" s="102"/>
      <c r="IM321" s="102"/>
      <c r="IN321" s="102"/>
      <c r="IO321" s="102"/>
      <c r="IP321" s="102"/>
      <c r="IQ321" s="102"/>
      <c r="IR321" s="102"/>
      <c r="IS321" s="102"/>
      <c r="IT321" s="102"/>
      <c r="IU321" s="102"/>
      <c r="IV321" s="102"/>
      <c r="BFO321" s="102"/>
    </row>
    <row r="322" spans="1:256 1523:1523" ht="11.45" customHeight="1">
      <c r="A322" s="100" t="s">
        <v>110</v>
      </c>
      <c r="B322" s="132" t="s">
        <v>1521</v>
      </c>
      <c r="C322" s="102"/>
      <c r="D322" s="772"/>
      <c r="E322" s="772"/>
      <c r="F322" s="772"/>
      <c r="G322" s="772"/>
      <c r="H322" s="772"/>
      <c r="I322" s="772"/>
      <c r="J322" s="772"/>
      <c r="K322" s="772"/>
      <c r="L322" s="772"/>
      <c r="M322" s="772"/>
      <c r="N322" s="113"/>
      <c r="O322" s="102"/>
      <c r="P322" s="102"/>
      <c r="Q322" s="102"/>
      <c r="R322" s="102"/>
      <c r="S322" s="102"/>
      <c r="T322" s="102"/>
      <c r="U322" s="102"/>
      <c r="V322" s="102"/>
      <c r="W322" s="102"/>
      <c r="X322" s="102"/>
      <c r="Y322" s="102"/>
      <c r="Z322" s="102"/>
      <c r="AA322" s="102"/>
      <c r="AB322" s="102"/>
      <c r="AC322" s="102"/>
      <c r="AD322" s="102"/>
      <c r="AE322" s="366"/>
      <c r="AF322" s="366"/>
      <c r="AG322" s="102"/>
      <c r="AH322" s="102"/>
      <c r="AI322" s="102"/>
      <c r="AJ322" s="102"/>
      <c r="AK322" s="102"/>
      <c r="AL322" s="102"/>
      <c r="AM322" s="102"/>
      <c r="AN322" s="102"/>
      <c r="AO322" s="102"/>
      <c r="AP322" s="102"/>
      <c r="AQ322" s="102"/>
      <c r="AR322" s="102"/>
      <c r="AS322" s="102"/>
      <c r="AT322" s="102"/>
      <c r="AU322" s="102"/>
      <c r="AV322" s="102"/>
      <c r="AW322" s="102"/>
      <c r="AX322" s="102"/>
      <c r="AY322" s="102"/>
      <c r="AZ322" s="102"/>
      <c r="BA322" s="102"/>
      <c r="BB322" s="102"/>
      <c r="BC322" s="102"/>
      <c r="BD322" s="102"/>
      <c r="BE322" s="102"/>
      <c r="BF322" s="102"/>
      <c r="BG322" s="102"/>
      <c r="BH322" s="102"/>
      <c r="BI322" s="102"/>
      <c r="BJ322" s="102"/>
      <c r="BK322" s="102"/>
      <c r="BL322" s="102"/>
      <c r="BM322" s="102"/>
      <c r="BN322" s="102"/>
      <c r="BO322" s="102"/>
      <c r="BP322" s="102"/>
      <c r="BQ322" s="102"/>
      <c r="BR322" s="102"/>
      <c r="BS322" s="102"/>
      <c r="BT322" s="102"/>
      <c r="BU322" s="102"/>
      <c r="BV322" s="102"/>
      <c r="BW322" s="102"/>
      <c r="BX322" s="102"/>
      <c r="BY322" s="102"/>
      <c r="BZ322" s="102"/>
      <c r="CA322" s="102"/>
      <c r="CB322" s="102"/>
      <c r="CC322" s="102"/>
      <c r="CD322" s="102"/>
      <c r="CE322" s="102"/>
      <c r="CF322" s="102"/>
      <c r="CG322" s="102"/>
      <c r="CH322" s="102"/>
      <c r="CI322" s="102"/>
      <c r="CJ322" s="102"/>
      <c r="CK322" s="102"/>
      <c r="CL322" s="102"/>
      <c r="CM322" s="102"/>
      <c r="CN322" s="102"/>
      <c r="CO322" s="102"/>
      <c r="CP322" s="102"/>
      <c r="CQ322" s="102"/>
      <c r="CR322" s="102"/>
      <c r="CS322" s="102"/>
      <c r="CT322" s="102"/>
      <c r="CU322" s="102"/>
      <c r="CV322" s="102"/>
      <c r="CW322" s="102"/>
      <c r="CX322" s="102"/>
      <c r="CY322" s="102"/>
      <c r="CZ322" s="102"/>
      <c r="DA322" s="102"/>
      <c r="DB322" s="102"/>
      <c r="DC322" s="102"/>
      <c r="DD322" s="102"/>
      <c r="DE322" s="102"/>
      <c r="DF322" s="102"/>
      <c r="DG322" s="102"/>
      <c r="DH322" s="102"/>
      <c r="DI322" s="102"/>
      <c r="DJ322" s="102"/>
      <c r="DK322" s="102"/>
      <c r="DL322" s="102"/>
      <c r="DM322" s="102"/>
      <c r="DN322" s="102"/>
      <c r="DO322" s="102"/>
      <c r="DP322" s="102"/>
      <c r="DQ322" s="102"/>
      <c r="DR322" s="102"/>
      <c r="DS322" s="102"/>
      <c r="DT322" s="102"/>
      <c r="DU322" s="102"/>
      <c r="DV322" s="102"/>
      <c r="DW322" s="102"/>
      <c r="DX322" s="102"/>
      <c r="DY322" s="102"/>
      <c r="DZ322" s="102"/>
      <c r="EA322" s="102"/>
      <c r="EB322" s="102"/>
      <c r="EC322" s="102"/>
      <c r="ED322" s="102"/>
      <c r="EE322" s="102"/>
      <c r="EF322" s="102"/>
      <c r="EG322" s="102"/>
      <c r="EH322" s="102"/>
      <c r="EI322" s="102"/>
      <c r="EJ322" s="102"/>
      <c r="EK322" s="102"/>
      <c r="EL322" s="102"/>
      <c r="EM322" s="102"/>
      <c r="EN322" s="102"/>
      <c r="EO322" s="102"/>
      <c r="EP322" s="102"/>
      <c r="EQ322" s="102"/>
      <c r="ER322" s="102"/>
      <c r="ES322" s="102"/>
      <c r="ET322" s="102"/>
      <c r="EU322" s="102"/>
      <c r="EV322" s="102"/>
      <c r="EW322" s="102"/>
      <c r="EX322" s="102"/>
      <c r="EY322" s="102"/>
      <c r="EZ322" s="102"/>
      <c r="FA322" s="102"/>
      <c r="FB322" s="102"/>
      <c r="FC322" s="102"/>
      <c r="FD322" s="102"/>
      <c r="FE322" s="102"/>
      <c r="FF322" s="102"/>
      <c r="FG322" s="102"/>
      <c r="FH322" s="102"/>
      <c r="FI322" s="102"/>
      <c r="FJ322" s="102"/>
      <c r="FK322" s="102"/>
      <c r="FL322" s="102"/>
      <c r="FM322" s="102"/>
      <c r="FN322" s="102"/>
      <c r="FO322" s="102"/>
      <c r="FP322" s="102"/>
      <c r="FQ322" s="102"/>
      <c r="FR322" s="102"/>
      <c r="FS322" s="102"/>
      <c r="FT322" s="102"/>
      <c r="FU322" s="102"/>
      <c r="FV322" s="102"/>
      <c r="FW322" s="102"/>
      <c r="FX322" s="102"/>
      <c r="FY322" s="102"/>
      <c r="FZ322" s="102"/>
      <c r="GA322" s="102"/>
      <c r="GB322" s="102"/>
      <c r="GC322" s="102"/>
      <c r="GD322" s="102"/>
      <c r="GE322" s="102"/>
      <c r="GF322" s="102"/>
      <c r="GG322" s="102"/>
      <c r="GH322" s="102"/>
      <c r="GI322" s="102"/>
      <c r="GJ322" s="102"/>
      <c r="GK322" s="102"/>
      <c r="GL322" s="102"/>
      <c r="GM322" s="102"/>
      <c r="GN322" s="102"/>
      <c r="GO322" s="102"/>
      <c r="GP322" s="102"/>
      <c r="GQ322" s="102"/>
      <c r="GR322" s="102"/>
      <c r="GS322" s="102"/>
      <c r="GT322" s="102"/>
      <c r="GU322" s="102"/>
      <c r="GV322" s="102"/>
      <c r="GW322" s="102"/>
      <c r="GX322" s="102"/>
      <c r="GY322" s="102"/>
      <c r="GZ322" s="102"/>
      <c r="HA322" s="102"/>
      <c r="HB322" s="102"/>
      <c r="HC322" s="102"/>
      <c r="HD322" s="102"/>
      <c r="HE322" s="102"/>
      <c r="HF322" s="102"/>
      <c r="HG322" s="102"/>
      <c r="HH322" s="102"/>
      <c r="HI322" s="102"/>
      <c r="HJ322" s="102"/>
      <c r="HK322" s="102"/>
      <c r="HL322" s="102"/>
      <c r="HM322" s="102"/>
      <c r="HN322" s="102"/>
      <c r="HO322" s="102"/>
      <c r="HP322" s="102"/>
      <c r="HQ322" s="102"/>
      <c r="HR322" s="102"/>
      <c r="HS322" s="102"/>
      <c r="HT322" s="102"/>
      <c r="HU322" s="102"/>
      <c r="HV322" s="102"/>
      <c r="HW322" s="102"/>
      <c r="HX322" s="102"/>
      <c r="HY322" s="102"/>
      <c r="HZ322" s="102"/>
      <c r="IA322" s="102"/>
      <c r="IB322" s="102"/>
      <c r="IC322" s="102"/>
      <c r="ID322" s="102"/>
      <c r="IE322" s="102"/>
      <c r="IF322" s="102"/>
      <c r="IG322" s="102"/>
      <c r="IH322" s="102"/>
      <c r="II322" s="102"/>
      <c r="IJ322" s="102"/>
      <c r="IK322" s="102"/>
      <c r="IL322" s="102"/>
      <c r="IM322" s="102"/>
      <c r="IN322" s="102"/>
      <c r="IO322" s="102"/>
      <c r="IP322" s="102"/>
      <c r="IQ322" s="102"/>
      <c r="IR322" s="102"/>
      <c r="IS322" s="102"/>
      <c r="IT322" s="102"/>
      <c r="IU322" s="102"/>
      <c r="IV322" s="102"/>
      <c r="BFO322" s="102"/>
    </row>
    <row r="323" spans="1:256 1523:1523" ht="22.5" customHeight="1">
      <c r="A323" s="102"/>
      <c r="B323" s="1833" t="s">
        <v>1522</v>
      </c>
      <c r="C323" s="1833"/>
      <c r="D323" s="1833"/>
      <c r="E323" s="1833"/>
      <c r="F323" s="1833"/>
      <c r="G323" s="1833"/>
      <c r="H323" s="1833"/>
      <c r="I323" s="1833"/>
      <c r="J323" s="1833"/>
      <c r="K323" s="1833"/>
      <c r="L323" s="1833"/>
      <c r="M323" s="1833"/>
      <c r="N323" s="1833"/>
      <c r="O323" s="113" t="s">
        <v>110</v>
      </c>
      <c r="P323" s="2450" t="s">
        <v>22</v>
      </c>
      <c r="Q323" s="1415"/>
      <c r="R323" s="102"/>
      <c r="S323" s="102"/>
      <c r="T323" s="102"/>
      <c r="U323" s="102"/>
      <c r="V323" s="102"/>
      <c r="W323" s="102"/>
      <c r="X323" s="102"/>
      <c r="Y323" s="102"/>
      <c r="Z323" s="102"/>
      <c r="AA323" s="102"/>
      <c r="AB323" s="102"/>
      <c r="AC323" s="102"/>
      <c r="AD323" s="102"/>
      <c r="AE323" s="366"/>
      <c r="AF323" s="366"/>
      <c r="AG323" s="102"/>
      <c r="AH323" s="102"/>
      <c r="AI323" s="102"/>
      <c r="AJ323" s="102"/>
      <c r="AK323" s="102"/>
      <c r="AL323" s="102"/>
      <c r="AM323" s="102"/>
      <c r="AN323" s="102"/>
      <c r="AO323" s="102"/>
      <c r="AP323" s="102"/>
      <c r="AQ323" s="102"/>
      <c r="AR323" s="102"/>
      <c r="AS323" s="102"/>
      <c r="AT323" s="102"/>
      <c r="AU323" s="102"/>
      <c r="AV323" s="102"/>
      <c r="AW323" s="102"/>
      <c r="AX323" s="102"/>
      <c r="AY323" s="102"/>
      <c r="AZ323" s="102"/>
      <c r="BA323" s="102"/>
      <c r="BB323" s="102"/>
      <c r="BC323" s="102"/>
      <c r="BD323" s="102"/>
      <c r="BE323" s="102"/>
      <c r="BF323" s="102"/>
      <c r="BG323" s="102"/>
      <c r="BH323" s="102"/>
      <c r="BI323" s="102"/>
      <c r="BJ323" s="102"/>
      <c r="BK323" s="102"/>
      <c r="BL323" s="102"/>
      <c r="BM323" s="102"/>
      <c r="BN323" s="102"/>
      <c r="BO323" s="102"/>
      <c r="BP323" s="102"/>
      <c r="BQ323" s="102"/>
      <c r="BR323" s="102"/>
      <c r="BS323" s="102"/>
      <c r="BT323" s="102"/>
      <c r="BU323" s="102"/>
      <c r="BV323" s="102"/>
      <c r="BW323" s="102"/>
      <c r="BX323" s="102"/>
      <c r="BY323" s="102"/>
      <c r="BZ323" s="102"/>
      <c r="CA323" s="102"/>
      <c r="CB323" s="102"/>
      <c r="CC323" s="102"/>
      <c r="CD323" s="102"/>
      <c r="CE323" s="102"/>
      <c r="CF323" s="102"/>
      <c r="CG323" s="102"/>
      <c r="CH323" s="102"/>
      <c r="CI323" s="102"/>
      <c r="CJ323" s="102"/>
      <c r="CK323" s="102"/>
      <c r="CL323" s="102"/>
      <c r="CM323" s="102"/>
      <c r="CN323" s="102"/>
      <c r="CO323" s="102"/>
      <c r="CP323" s="102"/>
      <c r="CQ323" s="102"/>
      <c r="CR323" s="102"/>
      <c r="CS323" s="102"/>
      <c r="CT323" s="102"/>
      <c r="CU323" s="102"/>
      <c r="CV323" s="102"/>
      <c r="CW323" s="102"/>
      <c r="CX323" s="102"/>
      <c r="CY323" s="102"/>
      <c r="CZ323" s="102"/>
      <c r="DA323" s="102"/>
      <c r="DB323" s="102"/>
      <c r="DC323" s="102"/>
      <c r="DD323" s="102"/>
      <c r="DE323" s="102"/>
      <c r="DF323" s="102"/>
      <c r="DG323" s="102"/>
      <c r="DH323" s="102"/>
      <c r="DI323" s="102"/>
      <c r="DJ323" s="102"/>
      <c r="DK323" s="102"/>
      <c r="DL323" s="102"/>
      <c r="DM323" s="102"/>
      <c r="DN323" s="102"/>
      <c r="DO323" s="102"/>
      <c r="DP323" s="102"/>
      <c r="DQ323" s="102"/>
      <c r="DR323" s="102"/>
      <c r="DS323" s="102"/>
      <c r="DT323" s="102"/>
      <c r="DU323" s="102"/>
      <c r="DV323" s="102"/>
      <c r="DW323" s="102"/>
      <c r="DX323" s="102"/>
      <c r="DY323" s="102"/>
      <c r="DZ323" s="102"/>
      <c r="EA323" s="102"/>
      <c r="EB323" s="102"/>
      <c r="EC323" s="102"/>
      <c r="ED323" s="102"/>
      <c r="EE323" s="102"/>
      <c r="EF323" s="102"/>
      <c r="EG323" s="102"/>
      <c r="EH323" s="102"/>
      <c r="EI323" s="102"/>
      <c r="EJ323" s="102"/>
      <c r="EK323" s="102"/>
      <c r="EL323" s="102"/>
      <c r="EM323" s="102"/>
      <c r="EN323" s="102"/>
      <c r="EO323" s="102"/>
      <c r="EP323" s="102"/>
      <c r="EQ323" s="102"/>
      <c r="ER323" s="102"/>
      <c r="ES323" s="102"/>
      <c r="ET323" s="102"/>
      <c r="EU323" s="102"/>
      <c r="EV323" s="102"/>
      <c r="EW323" s="102"/>
      <c r="EX323" s="102"/>
      <c r="EY323" s="102"/>
      <c r="EZ323" s="102"/>
      <c r="FA323" s="102"/>
      <c r="FB323" s="102"/>
      <c r="FC323" s="102"/>
      <c r="FD323" s="102"/>
      <c r="FE323" s="102"/>
      <c r="FF323" s="102"/>
      <c r="FG323" s="102"/>
      <c r="FH323" s="102"/>
      <c r="FI323" s="102"/>
      <c r="FJ323" s="102"/>
      <c r="FK323" s="102"/>
      <c r="FL323" s="102"/>
      <c r="FM323" s="102"/>
      <c r="FN323" s="102"/>
      <c r="FO323" s="102"/>
      <c r="FP323" s="102"/>
      <c r="FQ323" s="102"/>
      <c r="FR323" s="102"/>
      <c r="FS323" s="102"/>
      <c r="FT323" s="102"/>
      <c r="FU323" s="102"/>
      <c r="FV323" s="102"/>
      <c r="FW323" s="102"/>
      <c r="FX323" s="102"/>
      <c r="FY323" s="102"/>
      <c r="FZ323" s="102"/>
      <c r="GA323" s="102"/>
      <c r="GB323" s="102"/>
      <c r="GC323" s="102"/>
      <c r="GD323" s="102"/>
      <c r="GE323" s="102"/>
      <c r="GF323" s="102"/>
      <c r="GG323" s="102"/>
      <c r="GH323" s="102"/>
      <c r="GI323" s="102"/>
      <c r="GJ323" s="102"/>
      <c r="GK323" s="102"/>
      <c r="GL323" s="102"/>
      <c r="GM323" s="102"/>
      <c r="GN323" s="102"/>
      <c r="GO323" s="102"/>
      <c r="GP323" s="102"/>
      <c r="GQ323" s="102"/>
      <c r="GR323" s="102"/>
      <c r="GS323" s="102"/>
      <c r="GT323" s="102"/>
      <c r="GU323" s="102"/>
      <c r="GV323" s="102"/>
      <c r="GW323" s="102"/>
      <c r="GX323" s="102"/>
      <c r="GY323" s="102"/>
      <c r="GZ323" s="102"/>
      <c r="HA323" s="102"/>
      <c r="HB323" s="102"/>
      <c r="HC323" s="102"/>
      <c r="HD323" s="102"/>
      <c r="HE323" s="102"/>
      <c r="HF323" s="102"/>
      <c r="HG323" s="102"/>
      <c r="HH323" s="102"/>
      <c r="HI323" s="102"/>
      <c r="HJ323" s="102"/>
      <c r="HK323" s="102"/>
      <c r="HL323" s="102"/>
      <c r="HM323" s="102"/>
      <c r="HN323" s="102"/>
      <c r="HO323" s="102"/>
      <c r="HP323" s="102"/>
      <c r="HQ323" s="102"/>
      <c r="HR323" s="102"/>
      <c r="HS323" s="102"/>
      <c r="HT323" s="102"/>
      <c r="HU323" s="102"/>
      <c r="HV323" s="102"/>
      <c r="HW323" s="102"/>
      <c r="HX323" s="102"/>
      <c r="HY323" s="102"/>
      <c r="HZ323" s="102"/>
      <c r="IA323" s="102"/>
      <c r="IB323" s="102"/>
      <c r="IC323" s="102"/>
      <c r="ID323" s="102"/>
      <c r="IE323" s="102"/>
      <c r="IF323" s="102"/>
      <c r="IG323" s="102"/>
      <c r="IH323" s="102"/>
      <c r="II323" s="102"/>
      <c r="IJ323" s="102"/>
      <c r="IK323" s="102"/>
      <c r="IL323" s="102"/>
      <c r="IM323" s="102"/>
      <c r="IN323" s="102"/>
      <c r="IO323" s="102"/>
      <c r="IP323" s="102"/>
      <c r="IQ323" s="102"/>
      <c r="IR323" s="102"/>
      <c r="IS323" s="102"/>
      <c r="IT323" s="102"/>
      <c r="IU323" s="102"/>
      <c r="IV323" s="102"/>
      <c r="BFO323" s="102"/>
    </row>
    <row r="324" spans="1:256 1523:1523" ht="12.6" customHeight="1">
      <c r="A324" s="100" t="s">
        <v>121</v>
      </c>
      <c r="B324" s="156" t="s">
        <v>1523</v>
      </c>
      <c r="C324" s="102"/>
      <c r="D324" s="156"/>
      <c r="E324" s="156"/>
      <c r="F324" s="156"/>
      <c r="G324" s="156"/>
      <c r="H324" s="156"/>
      <c r="I324" s="156"/>
      <c r="J324" s="156"/>
      <c r="K324" s="156"/>
      <c r="L324" s="156"/>
      <c r="M324" s="156"/>
      <c r="N324" s="102"/>
      <c r="O324" s="113" t="s">
        <v>121</v>
      </c>
      <c r="P324" s="1524"/>
      <c r="Q324" s="771"/>
      <c r="R324" s="102"/>
      <c r="S324" s="102"/>
      <c r="T324" s="102"/>
      <c r="U324" s="102"/>
      <c r="V324" s="102"/>
      <c r="W324" s="102"/>
      <c r="X324" s="102"/>
      <c r="Y324" s="102"/>
      <c r="Z324" s="102"/>
      <c r="AA324" s="102"/>
      <c r="AB324" s="102"/>
      <c r="AC324" s="102"/>
      <c r="AD324" s="102"/>
      <c r="AE324" s="366"/>
      <c r="AF324" s="366"/>
      <c r="AG324" s="102"/>
      <c r="AH324" s="102"/>
      <c r="AI324" s="102"/>
      <c r="AJ324" s="102"/>
      <c r="AK324" s="102"/>
      <c r="AL324" s="102"/>
      <c r="AM324" s="102"/>
      <c r="AN324" s="102"/>
      <c r="AO324" s="102"/>
      <c r="AP324" s="102"/>
      <c r="AQ324" s="102"/>
      <c r="AR324" s="102"/>
      <c r="AS324" s="102"/>
      <c r="AT324" s="102"/>
      <c r="AU324" s="102"/>
      <c r="AV324" s="102"/>
      <c r="AW324" s="102"/>
      <c r="AX324" s="102"/>
      <c r="AY324" s="102"/>
      <c r="AZ324" s="102"/>
      <c r="BA324" s="102"/>
      <c r="BB324" s="102"/>
      <c r="BC324" s="102"/>
      <c r="BD324" s="102"/>
      <c r="BE324" s="102"/>
      <c r="BF324" s="102"/>
      <c r="BG324" s="102"/>
      <c r="BH324" s="102"/>
      <c r="BI324" s="102"/>
      <c r="BJ324" s="102"/>
      <c r="BK324" s="102"/>
      <c r="BL324" s="102"/>
      <c r="BM324" s="102"/>
      <c r="BN324" s="102"/>
      <c r="BO324" s="102"/>
      <c r="BP324" s="102"/>
      <c r="BQ324" s="102"/>
      <c r="BR324" s="102"/>
      <c r="BS324" s="102"/>
      <c r="BT324" s="102"/>
      <c r="BU324" s="102"/>
      <c r="BV324" s="102"/>
      <c r="BW324" s="102"/>
      <c r="BX324" s="102"/>
      <c r="BY324" s="102"/>
      <c r="BZ324" s="102"/>
      <c r="CA324" s="102"/>
      <c r="CB324" s="102"/>
      <c r="CC324" s="102"/>
      <c r="CD324" s="102"/>
      <c r="CE324" s="102"/>
      <c r="CF324" s="102"/>
      <c r="CG324" s="102"/>
      <c r="CH324" s="102"/>
      <c r="CI324" s="102"/>
      <c r="CJ324" s="102"/>
      <c r="CK324" s="102"/>
      <c r="CL324" s="102"/>
      <c r="CM324" s="102"/>
      <c r="CN324" s="102"/>
      <c r="CO324" s="102"/>
      <c r="CP324" s="102"/>
      <c r="CQ324" s="102"/>
      <c r="CR324" s="102"/>
      <c r="CS324" s="102"/>
      <c r="CT324" s="102"/>
      <c r="CU324" s="102"/>
      <c r="CV324" s="102"/>
      <c r="CW324" s="102"/>
      <c r="CX324" s="102"/>
      <c r="CY324" s="102"/>
      <c r="CZ324" s="102"/>
      <c r="DA324" s="102"/>
      <c r="DB324" s="102"/>
      <c r="DC324" s="102"/>
      <c r="DD324" s="102"/>
      <c r="DE324" s="102"/>
      <c r="DF324" s="102"/>
      <c r="DG324" s="102"/>
      <c r="DH324" s="102"/>
      <c r="DI324" s="102"/>
      <c r="DJ324" s="102"/>
      <c r="DK324" s="102"/>
      <c r="DL324" s="102"/>
      <c r="DM324" s="102"/>
      <c r="DN324" s="102"/>
      <c r="DO324" s="102"/>
      <c r="DP324" s="102"/>
      <c r="DQ324" s="102"/>
      <c r="DR324" s="102"/>
      <c r="DS324" s="102"/>
      <c r="DT324" s="102"/>
      <c r="DU324" s="102"/>
      <c r="DV324" s="102"/>
      <c r="DW324" s="102"/>
      <c r="DX324" s="102"/>
      <c r="DY324" s="102"/>
      <c r="DZ324" s="102"/>
      <c r="EA324" s="102"/>
      <c r="EB324" s="102"/>
      <c r="EC324" s="102"/>
      <c r="ED324" s="102"/>
      <c r="EE324" s="102"/>
      <c r="EF324" s="102"/>
      <c r="EG324" s="102"/>
      <c r="EH324" s="102"/>
      <c r="EI324" s="102"/>
      <c r="EJ324" s="102"/>
      <c r="EK324" s="102"/>
      <c r="EL324" s="102"/>
      <c r="EM324" s="102"/>
      <c r="EN324" s="102"/>
      <c r="EO324" s="102"/>
      <c r="EP324" s="102"/>
      <c r="EQ324" s="102"/>
      <c r="ER324" s="102"/>
      <c r="ES324" s="102"/>
      <c r="ET324" s="102"/>
      <c r="EU324" s="102"/>
      <c r="EV324" s="102"/>
      <c r="EW324" s="102"/>
      <c r="EX324" s="102"/>
      <c r="EY324" s="102"/>
      <c r="EZ324" s="102"/>
      <c r="FA324" s="102"/>
      <c r="FB324" s="102"/>
      <c r="FC324" s="102"/>
      <c r="FD324" s="102"/>
      <c r="FE324" s="102"/>
      <c r="FF324" s="102"/>
      <c r="FG324" s="102"/>
      <c r="FH324" s="102"/>
      <c r="FI324" s="102"/>
      <c r="FJ324" s="102"/>
      <c r="FK324" s="102"/>
      <c r="FL324" s="102"/>
      <c r="FM324" s="102"/>
      <c r="FN324" s="102"/>
      <c r="FO324" s="102"/>
      <c r="FP324" s="102"/>
      <c r="FQ324" s="102"/>
      <c r="FR324" s="102"/>
      <c r="FS324" s="102"/>
      <c r="FT324" s="102"/>
      <c r="FU324" s="102"/>
      <c r="FV324" s="102"/>
      <c r="FW324" s="102"/>
      <c r="FX324" s="102"/>
      <c r="FY324" s="102"/>
      <c r="FZ324" s="102"/>
      <c r="GA324" s="102"/>
      <c r="GB324" s="102"/>
      <c r="GC324" s="102"/>
      <c r="GD324" s="102"/>
      <c r="GE324" s="102"/>
      <c r="GF324" s="102"/>
      <c r="GG324" s="102"/>
      <c r="GH324" s="102"/>
      <c r="GI324" s="102"/>
      <c r="GJ324" s="102"/>
      <c r="GK324" s="102"/>
      <c r="GL324" s="102"/>
      <c r="GM324" s="102"/>
      <c r="GN324" s="102"/>
      <c r="GO324" s="102"/>
      <c r="GP324" s="102"/>
      <c r="GQ324" s="102"/>
      <c r="GR324" s="102"/>
      <c r="GS324" s="102"/>
      <c r="GT324" s="102"/>
      <c r="GU324" s="102"/>
      <c r="GV324" s="102"/>
      <c r="GW324" s="102"/>
      <c r="GX324" s="102"/>
      <c r="GY324" s="102"/>
      <c r="GZ324" s="102"/>
      <c r="HA324" s="102"/>
      <c r="HB324" s="102"/>
      <c r="HC324" s="102"/>
      <c r="HD324" s="102"/>
      <c r="HE324" s="102"/>
      <c r="HF324" s="102"/>
      <c r="HG324" s="102"/>
      <c r="HH324" s="102"/>
      <c r="HI324" s="102"/>
      <c r="HJ324" s="102"/>
      <c r="HK324" s="102"/>
      <c r="HL324" s="102"/>
      <c r="HM324" s="102"/>
      <c r="HN324" s="102"/>
      <c r="HO324" s="102"/>
      <c r="HP324" s="102"/>
      <c r="HQ324" s="102"/>
      <c r="HR324" s="102"/>
      <c r="HS324" s="102"/>
      <c r="HT324" s="102"/>
      <c r="HU324" s="102"/>
      <c r="HV324" s="102"/>
      <c r="HW324" s="102"/>
      <c r="HX324" s="102"/>
      <c r="HY324" s="102"/>
      <c r="HZ324" s="102"/>
      <c r="IA324" s="102"/>
      <c r="IB324" s="102"/>
      <c r="IC324" s="102"/>
      <c r="ID324" s="102"/>
      <c r="IE324" s="102"/>
      <c r="IF324" s="102"/>
      <c r="IG324" s="102"/>
      <c r="IH324" s="102"/>
      <c r="II324" s="102"/>
      <c r="IJ324" s="102"/>
      <c r="IK324" s="102"/>
      <c r="IL324" s="102"/>
      <c r="IM324" s="102"/>
      <c r="IN324" s="102"/>
      <c r="IO324" s="102"/>
      <c r="IP324" s="102"/>
      <c r="IQ324" s="102"/>
      <c r="IR324" s="102"/>
      <c r="IS324" s="102"/>
      <c r="IT324" s="102"/>
      <c r="IU324" s="102"/>
      <c r="IV324" s="102"/>
      <c r="BFO324" s="102"/>
    </row>
    <row r="325" spans="1:256 1523:1523" ht="34.5" customHeight="1">
      <c r="A325" s="102"/>
      <c r="B325" s="155" t="s">
        <v>1303</v>
      </c>
      <c r="C325" s="98" t="s">
        <v>1524</v>
      </c>
      <c r="D325" s="102"/>
      <c r="E325" s="310"/>
      <c r="F325" s="310"/>
      <c r="G325" s="2566" t="s">
        <v>1716</v>
      </c>
      <c r="H325" s="2567"/>
      <c r="I325" s="2567"/>
      <c r="J325" s="2567"/>
      <c r="K325" s="2567"/>
      <c r="L325" s="2567"/>
      <c r="M325" s="2567"/>
      <c r="N325" s="2568"/>
      <c r="O325" s="157" t="s">
        <v>1303</v>
      </c>
      <c r="P325" s="2454" t="s">
        <v>22</v>
      </c>
      <c r="Q325" s="1033"/>
      <c r="R325" s="102"/>
      <c r="S325" s="102"/>
      <c r="T325" s="102"/>
      <c r="U325" s="102"/>
      <c r="V325" s="102"/>
      <c r="W325" s="102"/>
      <c r="X325" s="102"/>
      <c r="Y325" s="102"/>
      <c r="Z325" s="102"/>
      <c r="AA325" s="102"/>
      <c r="AB325" s="102"/>
      <c r="AC325" s="102"/>
      <c r="AD325" s="102"/>
      <c r="AE325" s="366"/>
      <c r="AF325" s="366"/>
      <c r="AG325" s="102"/>
      <c r="AH325" s="102"/>
      <c r="AI325" s="102"/>
      <c r="AJ325" s="102"/>
      <c r="AK325" s="102"/>
      <c r="AL325" s="102"/>
      <c r="AM325" s="102"/>
      <c r="AN325" s="102"/>
      <c r="AO325" s="102"/>
      <c r="AP325" s="102"/>
      <c r="AQ325" s="102"/>
      <c r="AR325" s="102"/>
      <c r="AS325" s="102"/>
      <c r="AT325" s="102"/>
      <c r="AU325" s="102"/>
      <c r="AV325" s="102"/>
      <c r="AW325" s="102"/>
      <c r="AX325" s="102"/>
      <c r="AY325" s="102"/>
      <c r="AZ325" s="102"/>
      <c r="BA325" s="102"/>
      <c r="BB325" s="102"/>
      <c r="BC325" s="102"/>
      <c r="BD325" s="102"/>
      <c r="BE325" s="102"/>
      <c r="BF325" s="102"/>
      <c r="BG325" s="102"/>
      <c r="BH325" s="102"/>
      <c r="BI325" s="102"/>
      <c r="BJ325" s="102"/>
      <c r="BK325" s="102"/>
      <c r="BL325" s="102"/>
      <c r="BM325" s="102"/>
      <c r="BN325" s="102"/>
      <c r="BO325" s="102"/>
      <c r="BP325" s="102"/>
      <c r="BQ325" s="102"/>
      <c r="BR325" s="102"/>
      <c r="BS325" s="102"/>
      <c r="BT325" s="102"/>
      <c r="BU325" s="102"/>
      <c r="BV325" s="102"/>
      <c r="BW325" s="102"/>
      <c r="BX325" s="102"/>
      <c r="BY325" s="102"/>
      <c r="BZ325" s="102"/>
      <c r="CA325" s="102"/>
      <c r="CB325" s="102"/>
      <c r="CC325" s="102"/>
      <c r="CD325" s="102"/>
      <c r="CE325" s="102"/>
      <c r="CF325" s="102"/>
      <c r="CG325" s="102"/>
      <c r="CH325" s="102"/>
      <c r="CI325" s="102"/>
      <c r="CJ325" s="102"/>
      <c r="CK325" s="102"/>
      <c r="CL325" s="102"/>
      <c r="CM325" s="102"/>
      <c r="CN325" s="102"/>
      <c r="CO325" s="102"/>
      <c r="CP325" s="102"/>
      <c r="CQ325" s="102"/>
      <c r="CR325" s="102"/>
      <c r="CS325" s="102"/>
      <c r="CT325" s="102"/>
      <c r="CU325" s="102"/>
      <c r="CV325" s="102"/>
      <c r="CW325" s="102"/>
      <c r="CX325" s="102"/>
      <c r="CY325" s="102"/>
      <c r="CZ325" s="102"/>
      <c r="DA325" s="102"/>
      <c r="DB325" s="102"/>
      <c r="DC325" s="102"/>
      <c r="DD325" s="102"/>
      <c r="DE325" s="102"/>
      <c r="DF325" s="102"/>
      <c r="DG325" s="102"/>
      <c r="DH325" s="102"/>
      <c r="DI325" s="102"/>
      <c r="DJ325" s="102"/>
      <c r="DK325" s="102"/>
      <c r="DL325" s="102"/>
      <c r="DM325" s="102"/>
      <c r="DN325" s="102"/>
      <c r="DO325" s="102"/>
      <c r="DP325" s="102"/>
      <c r="DQ325" s="102"/>
      <c r="DR325" s="102"/>
      <c r="DS325" s="102"/>
      <c r="DT325" s="102"/>
      <c r="DU325" s="102"/>
      <c r="DV325" s="102"/>
      <c r="DW325" s="102"/>
      <c r="DX325" s="102"/>
      <c r="DY325" s="102"/>
      <c r="DZ325" s="102"/>
      <c r="EA325" s="102"/>
      <c r="EB325" s="102"/>
      <c r="EC325" s="102"/>
      <c r="ED325" s="102"/>
      <c r="EE325" s="102"/>
      <c r="EF325" s="102"/>
      <c r="EG325" s="102"/>
      <c r="EH325" s="102"/>
      <c r="EI325" s="102"/>
      <c r="EJ325" s="102"/>
      <c r="EK325" s="102"/>
      <c r="EL325" s="102"/>
      <c r="EM325" s="102"/>
      <c r="EN325" s="102"/>
      <c r="EO325" s="102"/>
      <c r="EP325" s="102"/>
      <c r="EQ325" s="102"/>
      <c r="ER325" s="102"/>
      <c r="ES325" s="102"/>
      <c r="ET325" s="102"/>
      <c r="EU325" s="102"/>
      <c r="EV325" s="102"/>
      <c r="EW325" s="102"/>
      <c r="EX325" s="102"/>
      <c r="EY325" s="102"/>
      <c r="EZ325" s="102"/>
      <c r="FA325" s="102"/>
      <c r="FB325" s="102"/>
      <c r="FC325" s="102"/>
      <c r="FD325" s="102"/>
      <c r="FE325" s="102"/>
      <c r="FF325" s="102"/>
      <c r="FG325" s="102"/>
      <c r="FH325" s="102"/>
      <c r="FI325" s="102"/>
      <c r="FJ325" s="102"/>
      <c r="FK325" s="102"/>
      <c r="FL325" s="102"/>
      <c r="FM325" s="102"/>
      <c r="FN325" s="102"/>
      <c r="FO325" s="102"/>
      <c r="FP325" s="102"/>
      <c r="FQ325" s="102"/>
      <c r="FR325" s="102"/>
      <c r="FS325" s="102"/>
      <c r="FT325" s="102"/>
      <c r="FU325" s="102"/>
      <c r="FV325" s="102"/>
      <c r="FW325" s="102"/>
      <c r="FX325" s="102"/>
      <c r="FY325" s="102"/>
      <c r="FZ325" s="102"/>
      <c r="GA325" s="102"/>
      <c r="GB325" s="102"/>
      <c r="GC325" s="102"/>
      <c r="GD325" s="102"/>
      <c r="GE325" s="102"/>
      <c r="GF325" s="102"/>
      <c r="GG325" s="102"/>
      <c r="GH325" s="102"/>
      <c r="GI325" s="102"/>
      <c r="GJ325" s="102"/>
      <c r="GK325" s="102"/>
      <c r="GL325" s="102"/>
      <c r="GM325" s="102"/>
      <c r="GN325" s="102"/>
      <c r="GO325" s="102"/>
      <c r="GP325" s="102"/>
      <c r="GQ325" s="102"/>
      <c r="GR325" s="102"/>
      <c r="GS325" s="102"/>
      <c r="GT325" s="102"/>
      <c r="GU325" s="102"/>
      <c r="GV325" s="102"/>
      <c r="GW325" s="102"/>
      <c r="GX325" s="102"/>
      <c r="GY325" s="102"/>
      <c r="GZ325" s="102"/>
      <c r="HA325" s="102"/>
      <c r="HB325" s="102"/>
      <c r="HC325" s="102"/>
      <c r="HD325" s="102"/>
      <c r="HE325" s="102"/>
      <c r="HF325" s="102"/>
      <c r="HG325" s="102"/>
      <c r="HH325" s="102"/>
      <c r="HI325" s="102"/>
      <c r="HJ325" s="102"/>
      <c r="HK325" s="102"/>
      <c r="HL325" s="102"/>
      <c r="HM325" s="102"/>
      <c r="HN325" s="102"/>
      <c r="HO325" s="102"/>
      <c r="HP325" s="102"/>
      <c r="HQ325" s="102"/>
      <c r="HR325" s="102"/>
      <c r="HS325" s="102"/>
      <c r="HT325" s="102"/>
      <c r="HU325" s="102"/>
      <c r="HV325" s="102"/>
      <c r="HW325" s="102"/>
      <c r="HX325" s="102"/>
      <c r="HY325" s="102"/>
      <c r="HZ325" s="102"/>
      <c r="IA325" s="102"/>
      <c r="IB325" s="102"/>
      <c r="IC325" s="102"/>
      <c r="ID325" s="102"/>
      <c r="IE325" s="102"/>
      <c r="IF325" s="102"/>
      <c r="IG325" s="102"/>
      <c r="IH325" s="102"/>
      <c r="II325" s="102"/>
      <c r="IJ325" s="102"/>
      <c r="IK325" s="102"/>
      <c r="IL325" s="102"/>
      <c r="IM325" s="102"/>
      <c r="IN325" s="102"/>
      <c r="IO325" s="102"/>
      <c r="IP325" s="102"/>
      <c r="IQ325" s="102"/>
      <c r="IR325" s="102"/>
      <c r="IS325" s="102"/>
      <c r="IT325" s="102"/>
      <c r="IU325" s="102"/>
      <c r="IV325" s="102"/>
      <c r="BFO325" s="102" t="s">
        <v>1526</v>
      </c>
    </row>
    <row r="326" spans="1:256 1523:1523" ht="23.25" customHeight="1">
      <c r="A326" s="102"/>
      <c r="B326" s="155" t="s">
        <v>1306</v>
      </c>
      <c r="C326" s="1833" t="s">
        <v>1527</v>
      </c>
      <c r="D326" s="1833"/>
      <c r="E326" s="1833"/>
      <c r="F326" s="1840"/>
      <c r="G326" s="2555" t="s">
        <v>1711</v>
      </c>
      <c r="H326" s="2569"/>
      <c r="I326" s="2569"/>
      <c r="J326" s="2569"/>
      <c r="K326" s="2569"/>
      <c r="L326" s="2569"/>
      <c r="M326" s="2569"/>
      <c r="N326" s="2570"/>
      <c r="O326" s="157" t="s">
        <v>1306</v>
      </c>
      <c r="P326" s="2477" t="s">
        <v>22</v>
      </c>
      <c r="Q326" s="1051"/>
      <c r="R326" s="102"/>
      <c r="S326" s="102"/>
      <c r="T326" s="102"/>
      <c r="U326" s="102"/>
      <c r="V326" s="102"/>
      <c r="W326" s="102"/>
      <c r="X326" s="102"/>
      <c r="Y326" s="102"/>
      <c r="Z326" s="102"/>
      <c r="AA326" s="102"/>
      <c r="AB326" s="102"/>
      <c r="AC326" s="102"/>
      <c r="AD326" s="102"/>
      <c r="AE326" s="366"/>
      <c r="AF326" s="366"/>
      <c r="AG326" s="102"/>
      <c r="AH326" s="102"/>
      <c r="AI326" s="102"/>
      <c r="AJ326" s="102"/>
      <c r="AK326" s="102"/>
      <c r="AL326" s="102"/>
      <c r="AM326" s="102"/>
      <c r="AN326" s="102"/>
      <c r="AO326" s="102"/>
      <c r="AP326" s="102"/>
      <c r="AQ326" s="102"/>
      <c r="AR326" s="102"/>
      <c r="AS326" s="102"/>
      <c r="AT326" s="102"/>
      <c r="AU326" s="102"/>
      <c r="AV326" s="102"/>
      <c r="AW326" s="102"/>
      <c r="AX326" s="102"/>
      <c r="AY326" s="102"/>
      <c r="AZ326" s="102"/>
      <c r="BA326" s="102"/>
      <c r="BB326" s="102"/>
      <c r="BC326" s="102"/>
      <c r="BD326" s="102"/>
      <c r="BE326" s="102"/>
      <c r="BF326" s="102"/>
      <c r="BG326" s="102"/>
      <c r="BH326" s="102"/>
      <c r="BI326" s="102"/>
      <c r="BJ326" s="102"/>
      <c r="BK326" s="102"/>
      <c r="BL326" s="102"/>
      <c r="BM326" s="102"/>
      <c r="BN326" s="102"/>
      <c r="BO326" s="102"/>
      <c r="BP326" s="102"/>
      <c r="BQ326" s="102"/>
      <c r="BR326" s="102"/>
      <c r="BS326" s="102"/>
      <c r="BT326" s="102"/>
      <c r="BU326" s="102"/>
      <c r="BV326" s="102"/>
      <c r="BW326" s="102"/>
      <c r="BX326" s="102"/>
      <c r="BY326" s="102"/>
      <c r="BZ326" s="102"/>
      <c r="CA326" s="102"/>
      <c r="CB326" s="102"/>
      <c r="CC326" s="102"/>
      <c r="CD326" s="102"/>
      <c r="CE326" s="102"/>
      <c r="CF326" s="102"/>
      <c r="CG326" s="102"/>
      <c r="CH326" s="102"/>
      <c r="CI326" s="102"/>
      <c r="CJ326" s="102"/>
      <c r="CK326" s="102"/>
      <c r="CL326" s="102"/>
      <c r="CM326" s="102"/>
      <c r="CN326" s="102"/>
      <c r="CO326" s="102"/>
      <c r="CP326" s="102"/>
      <c r="CQ326" s="102"/>
      <c r="CR326" s="102"/>
      <c r="CS326" s="102"/>
      <c r="CT326" s="102"/>
      <c r="CU326" s="102"/>
      <c r="CV326" s="102"/>
      <c r="CW326" s="102"/>
      <c r="CX326" s="102"/>
      <c r="CY326" s="102"/>
      <c r="CZ326" s="102"/>
      <c r="DA326" s="102"/>
      <c r="DB326" s="102"/>
      <c r="DC326" s="102"/>
      <c r="DD326" s="102"/>
      <c r="DE326" s="102"/>
      <c r="DF326" s="102"/>
      <c r="DG326" s="102"/>
      <c r="DH326" s="102"/>
      <c r="DI326" s="102"/>
      <c r="DJ326" s="102"/>
      <c r="DK326" s="102"/>
      <c r="DL326" s="102"/>
      <c r="DM326" s="102"/>
      <c r="DN326" s="102"/>
      <c r="DO326" s="102"/>
      <c r="DP326" s="102"/>
      <c r="DQ326" s="102"/>
      <c r="DR326" s="102"/>
      <c r="DS326" s="102"/>
      <c r="DT326" s="102"/>
      <c r="DU326" s="102"/>
      <c r="DV326" s="102"/>
      <c r="DW326" s="102"/>
      <c r="DX326" s="102"/>
      <c r="DY326" s="102"/>
      <c r="DZ326" s="102"/>
      <c r="EA326" s="102"/>
      <c r="EB326" s="102"/>
      <c r="EC326" s="102"/>
      <c r="ED326" s="102"/>
      <c r="EE326" s="102"/>
      <c r="EF326" s="102"/>
      <c r="EG326" s="102"/>
      <c r="EH326" s="102"/>
      <c r="EI326" s="102"/>
      <c r="EJ326" s="102"/>
      <c r="EK326" s="102"/>
      <c r="EL326" s="102"/>
      <c r="EM326" s="102"/>
      <c r="EN326" s="102"/>
      <c r="EO326" s="102"/>
      <c r="EP326" s="102"/>
      <c r="EQ326" s="102"/>
      <c r="ER326" s="102"/>
      <c r="ES326" s="102"/>
      <c r="ET326" s="102"/>
      <c r="EU326" s="102"/>
      <c r="EV326" s="102"/>
      <c r="EW326" s="102"/>
      <c r="EX326" s="102"/>
      <c r="EY326" s="102"/>
      <c r="EZ326" s="102"/>
      <c r="FA326" s="102"/>
      <c r="FB326" s="102"/>
      <c r="FC326" s="102"/>
      <c r="FD326" s="102"/>
      <c r="FE326" s="102"/>
      <c r="FF326" s="102"/>
      <c r="FG326" s="102"/>
      <c r="FH326" s="102"/>
      <c r="FI326" s="102"/>
      <c r="FJ326" s="102"/>
      <c r="FK326" s="102"/>
      <c r="FL326" s="102"/>
      <c r="FM326" s="102"/>
      <c r="FN326" s="102"/>
      <c r="FO326" s="102"/>
      <c r="FP326" s="102"/>
      <c r="FQ326" s="102"/>
      <c r="FR326" s="102"/>
      <c r="FS326" s="102"/>
      <c r="FT326" s="102"/>
      <c r="FU326" s="102"/>
      <c r="FV326" s="102"/>
      <c r="FW326" s="102"/>
      <c r="FX326" s="102"/>
      <c r="FY326" s="102"/>
      <c r="FZ326" s="102"/>
      <c r="GA326" s="102"/>
      <c r="GB326" s="102"/>
      <c r="GC326" s="102"/>
      <c r="GD326" s="102"/>
      <c r="GE326" s="102"/>
      <c r="GF326" s="102"/>
      <c r="GG326" s="102"/>
      <c r="GH326" s="102"/>
      <c r="GI326" s="102"/>
      <c r="GJ326" s="102"/>
      <c r="GK326" s="102"/>
      <c r="GL326" s="102"/>
      <c r="GM326" s="102"/>
      <c r="GN326" s="102"/>
      <c r="GO326" s="102"/>
      <c r="GP326" s="102"/>
      <c r="GQ326" s="102"/>
      <c r="GR326" s="102"/>
      <c r="GS326" s="102"/>
      <c r="GT326" s="102"/>
      <c r="GU326" s="102"/>
      <c r="GV326" s="102"/>
      <c r="GW326" s="102"/>
      <c r="GX326" s="102"/>
      <c r="GY326" s="102"/>
      <c r="GZ326" s="102"/>
      <c r="HA326" s="102"/>
      <c r="HB326" s="102"/>
      <c r="HC326" s="102"/>
      <c r="HD326" s="102"/>
      <c r="HE326" s="102"/>
      <c r="HF326" s="102"/>
      <c r="HG326" s="102"/>
      <c r="HH326" s="102"/>
      <c r="HI326" s="102"/>
      <c r="HJ326" s="102"/>
      <c r="HK326" s="102"/>
      <c r="HL326" s="102"/>
      <c r="HM326" s="102"/>
      <c r="HN326" s="102"/>
      <c r="HO326" s="102"/>
      <c r="HP326" s="102"/>
      <c r="HQ326" s="102"/>
      <c r="HR326" s="102"/>
      <c r="HS326" s="102"/>
      <c r="HT326" s="102"/>
      <c r="HU326" s="102"/>
      <c r="HV326" s="102"/>
      <c r="HW326" s="102"/>
      <c r="HX326" s="102"/>
      <c r="HY326" s="102"/>
      <c r="HZ326" s="102"/>
      <c r="IA326" s="102"/>
      <c r="IB326" s="102"/>
      <c r="IC326" s="102"/>
      <c r="ID326" s="102"/>
      <c r="IE326" s="102"/>
      <c r="IF326" s="102"/>
      <c r="IG326" s="102"/>
      <c r="IH326" s="102"/>
      <c r="II326" s="102"/>
      <c r="IJ326" s="102"/>
      <c r="IK326" s="102"/>
      <c r="IL326" s="102"/>
      <c r="IM326" s="102"/>
      <c r="IN326" s="102"/>
      <c r="IO326" s="102"/>
      <c r="IP326" s="102"/>
      <c r="IQ326" s="102"/>
      <c r="IR326" s="102"/>
      <c r="IS326" s="102"/>
      <c r="IT326" s="102"/>
      <c r="IU326" s="102"/>
      <c r="IV326" s="102"/>
      <c r="BFO326" s="102"/>
    </row>
    <row r="327" spans="1:256 1523:1523" ht="3" customHeight="1">
      <c r="A327" s="1524"/>
      <c r="B327" s="102"/>
      <c r="C327" s="1524"/>
      <c r="D327" s="1524"/>
      <c r="E327" s="1524"/>
      <c r="F327" s="1524"/>
      <c r="G327" s="1524"/>
      <c r="H327" s="1524"/>
      <c r="I327" s="1524"/>
      <c r="J327" s="1524"/>
      <c r="K327" s="1524"/>
      <c r="L327" s="1524"/>
      <c r="M327" s="1524"/>
      <c r="N327" s="1524"/>
      <c r="O327" s="1524"/>
      <c r="P327" s="1524"/>
      <c r="Q327" s="1524"/>
      <c r="R327" s="1524"/>
      <c r="S327" s="1524"/>
      <c r="T327" s="1524"/>
      <c r="U327" s="1524"/>
      <c r="V327" s="1524"/>
      <c r="W327" s="1524"/>
      <c r="X327" s="1524"/>
      <c r="Y327" s="1524"/>
      <c r="Z327" s="1524"/>
      <c r="AA327" s="1524"/>
      <c r="AB327" s="1524"/>
      <c r="AC327" s="1524"/>
      <c r="AD327" s="1524"/>
      <c r="AE327" s="771"/>
      <c r="AF327" s="771"/>
      <c r="AG327" s="1524"/>
      <c r="AH327" s="1524"/>
      <c r="AI327" s="1524"/>
      <c r="AJ327" s="1524"/>
      <c r="AK327" s="1524"/>
      <c r="AL327" s="1524"/>
      <c r="AM327" s="1524"/>
      <c r="AN327" s="1524"/>
      <c r="AO327" s="1524"/>
      <c r="AP327" s="1524"/>
      <c r="AQ327" s="1524"/>
      <c r="AR327" s="1524"/>
      <c r="AS327" s="1524"/>
      <c r="AT327" s="1524"/>
      <c r="AU327" s="1524"/>
      <c r="AV327" s="1524"/>
      <c r="AW327" s="1524"/>
      <c r="AX327" s="1524"/>
      <c r="AY327" s="1524"/>
      <c r="AZ327" s="1524"/>
      <c r="BA327" s="1524"/>
      <c r="BB327" s="1524"/>
      <c r="BC327" s="1524"/>
      <c r="BD327" s="1524"/>
      <c r="BE327" s="1524"/>
      <c r="BF327" s="1524"/>
      <c r="BG327" s="1524"/>
      <c r="BH327" s="1524"/>
      <c r="BI327" s="1524"/>
      <c r="BJ327" s="1524"/>
      <c r="BK327" s="1524"/>
      <c r="BL327" s="1524"/>
      <c r="BM327" s="1524"/>
      <c r="BN327" s="1524"/>
      <c r="BO327" s="1524"/>
      <c r="BP327" s="1524"/>
      <c r="BQ327" s="1524"/>
      <c r="BR327" s="1524"/>
      <c r="BS327" s="1524"/>
      <c r="BT327" s="1524"/>
      <c r="BU327" s="1524"/>
      <c r="BV327" s="1524"/>
      <c r="BW327" s="1524"/>
      <c r="BX327" s="1524"/>
      <c r="BY327" s="1524"/>
      <c r="BZ327" s="1524"/>
      <c r="CA327" s="1524"/>
      <c r="CB327" s="1524"/>
      <c r="CC327" s="1524"/>
      <c r="CD327" s="1524"/>
      <c r="CE327" s="1524"/>
      <c r="CF327" s="1524"/>
      <c r="CG327" s="1524"/>
      <c r="CH327" s="1524"/>
      <c r="CI327" s="1524"/>
      <c r="CJ327" s="1524"/>
      <c r="CK327" s="1524"/>
      <c r="CL327" s="1524"/>
      <c r="CM327" s="1524"/>
      <c r="CN327" s="1524"/>
      <c r="CO327" s="1524"/>
      <c r="CP327" s="1524"/>
      <c r="CQ327" s="1524"/>
      <c r="CR327" s="1524"/>
      <c r="CS327" s="1524"/>
      <c r="CT327" s="1524"/>
      <c r="CU327" s="1524"/>
      <c r="CV327" s="1524"/>
      <c r="CW327" s="1524"/>
      <c r="CX327" s="1524"/>
      <c r="CY327" s="1524"/>
      <c r="CZ327" s="1524"/>
      <c r="DA327" s="1524"/>
      <c r="DB327" s="1524"/>
      <c r="DC327" s="1524"/>
      <c r="DD327" s="1524"/>
      <c r="DE327" s="1524"/>
      <c r="DF327" s="1524"/>
      <c r="DG327" s="1524"/>
      <c r="DH327" s="1524"/>
      <c r="DI327" s="1524"/>
      <c r="DJ327" s="1524"/>
      <c r="DK327" s="1524"/>
      <c r="DL327" s="1524"/>
      <c r="DM327" s="1524"/>
      <c r="DN327" s="1524"/>
      <c r="DO327" s="1524"/>
      <c r="DP327" s="1524"/>
      <c r="DQ327" s="1524"/>
      <c r="DR327" s="1524"/>
      <c r="DS327" s="1524"/>
      <c r="DT327" s="1524"/>
      <c r="DU327" s="1524"/>
      <c r="DV327" s="1524"/>
      <c r="DW327" s="1524"/>
      <c r="DX327" s="1524"/>
      <c r="DY327" s="1524"/>
      <c r="DZ327" s="1524"/>
      <c r="EA327" s="1524"/>
      <c r="EB327" s="1524"/>
      <c r="EC327" s="1524"/>
      <c r="ED327" s="1524"/>
      <c r="EE327" s="1524"/>
      <c r="EF327" s="1524"/>
      <c r="EG327" s="1524"/>
      <c r="EH327" s="1524"/>
      <c r="EI327" s="1524"/>
      <c r="EJ327" s="1524"/>
      <c r="EK327" s="1524"/>
      <c r="EL327" s="1524"/>
      <c r="EM327" s="1524"/>
      <c r="EN327" s="1524"/>
      <c r="EO327" s="1524"/>
      <c r="EP327" s="1524"/>
      <c r="EQ327" s="1524"/>
      <c r="ER327" s="1524"/>
      <c r="ES327" s="1524"/>
      <c r="ET327" s="1524"/>
      <c r="EU327" s="1524"/>
      <c r="EV327" s="1524"/>
      <c r="EW327" s="1524"/>
      <c r="EX327" s="1524"/>
      <c r="EY327" s="1524"/>
      <c r="EZ327" s="1524"/>
      <c r="FA327" s="1524"/>
      <c r="FB327" s="1524"/>
      <c r="FC327" s="1524"/>
      <c r="FD327" s="1524"/>
      <c r="FE327" s="1524"/>
      <c r="FF327" s="1524"/>
      <c r="FG327" s="1524"/>
      <c r="FH327" s="1524"/>
      <c r="FI327" s="1524"/>
      <c r="FJ327" s="1524"/>
      <c r="FK327" s="1524"/>
      <c r="FL327" s="1524"/>
      <c r="FM327" s="1524"/>
      <c r="FN327" s="1524"/>
      <c r="FO327" s="1524"/>
      <c r="FP327" s="1524"/>
      <c r="FQ327" s="1524"/>
      <c r="FR327" s="1524"/>
      <c r="FS327" s="1524"/>
      <c r="FT327" s="1524"/>
      <c r="FU327" s="1524"/>
      <c r="FV327" s="1524"/>
      <c r="FW327" s="1524"/>
      <c r="FX327" s="1524"/>
      <c r="FY327" s="1524"/>
      <c r="FZ327" s="1524"/>
      <c r="GA327" s="1524"/>
      <c r="GB327" s="1524"/>
      <c r="GC327" s="1524"/>
      <c r="GD327" s="1524"/>
      <c r="GE327" s="1524"/>
      <c r="GF327" s="1524"/>
      <c r="GG327" s="1524"/>
      <c r="GH327" s="1524"/>
      <c r="GI327" s="1524"/>
      <c r="GJ327" s="1524"/>
      <c r="GK327" s="1524"/>
      <c r="GL327" s="1524"/>
      <c r="GM327" s="1524"/>
      <c r="GN327" s="1524"/>
      <c r="GO327" s="1524"/>
      <c r="GP327" s="1524"/>
      <c r="GQ327" s="1524"/>
      <c r="GR327" s="1524"/>
      <c r="GS327" s="1524"/>
      <c r="GT327" s="1524"/>
      <c r="GU327" s="1524"/>
      <c r="GV327" s="1524"/>
      <c r="GW327" s="1524"/>
      <c r="GX327" s="1524"/>
      <c r="GY327" s="1524"/>
      <c r="GZ327" s="1524"/>
      <c r="HA327" s="1524"/>
      <c r="HB327" s="1524"/>
      <c r="HC327" s="1524"/>
      <c r="HD327" s="1524"/>
      <c r="HE327" s="1524"/>
      <c r="HF327" s="1524"/>
      <c r="HG327" s="1524"/>
      <c r="HH327" s="1524"/>
      <c r="HI327" s="1524"/>
      <c r="HJ327" s="1524"/>
      <c r="HK327" s="1524"/>
      <c r="HL327" s="1524"/>
      <c r="HM327" s="1524"/>
      <c r="HN327" s="1524"/>
      <c r="HO327" s="1524"/>
      <c r="HP327" s="1524"/>
      <c r="HQ327" s="1524"/>
      <c r="HR327" s="1524"/>
      <c r="HS327" s="1524"/>
      <c r="HT327" s="1524"/>
      <c r="HU327" s="1524"/>
      <c r="HV327" s="1524"/>
      <c r="HW327" s="1524"/>
      <c r="HX327" s="1524"/>
      <c r="HY327" s="1524"/>
      <c r="HZ327" s="1524"/>
      <c r="IA327" s="1524"/>
      <c r="IB327" s="1524"/>
      <c r="IC327" s="1524"/>
      <c r="ID327" s="1524"/>
      <c r="IE327" s="1524"/>
      <c r="IF327" s="1524"/>
      <c r="IG327" s="1524"/>
      <c r="IH327" s="1524"/>
      <c r="II327" s="1524"/>
      <c r="IJ327" s="1524"/>
      <c r="IK327" s="1524"/>
      <c r="IL327" s="1524"/>
      <c r="IM327" s="1524"/>
      <c r="IN327" s="1524"/>
      <c r="IO327" s="1524"/>
      <c r="IP327" s="1524"/>
      <c r="IQ327" s="1524"/>
      <c r="IR327" s="1524"/>
      <c r="IS327" s="1524"/>
      <c r="IT327" s="1524"/>
      <c r="IU327" s="1524"/>
      <c r="IV327" s="1524"/>
      <c r="BFO327" s="102"/>
    </row>
    <row r="328" spans="1:256 1523:1523" s="91" customFormat="1" ht="22.5" customHeight="1">
      <c r="A328" s="100" t="s">
        <v>123</v>
      </c>
      <c r="B328" s="1841" t="s">
        <v>1529</v>
      </c>
      <c r="C328" s="1841"/>
      <c r="D328" s="1841"/>
      <c r="E328" s="1841"/>
      <c r="F328" s="1841"/>
      <c r="G328" s="1841"/>
      <c r="H328" s="1841"/>
      <c r="I328" s="1841"/>
      <c r="J328" s="1841"/>
      <c r="K328" s="1841"/>
      <c r="L328" s="1841"/>
      <c r="M328" s="1841"/>
      <c r="N328" s="1841"/>
      <c r="O328" s="339" t="s">
        <v>123</v>
      </c>
      <c r="P328" s="1524"/>
      <c r="Q328" s="771"/>
      <c r="R328" s="310"/>
      <c r="S328" s="310"/>
      <c r="T328" s="310"/>
      <c r="U328" s="310"/>
      <c r="V328" s="310"/>
      <c r="W328" s="310"/>
      <c r="X328" s="310"/>
      <c r="Y328" s="310"/>
      <c r="Z328" s="310"/>
      <c r="AA328" s="310"/>
      <c r="AB328" s="310"/>
      <c r="AC328" s="310"/>
      <c r="AD328" s="310"/>
      <c r="AE328" s="367"/>
      <c r="AF328" s="367"/>
      <c r="AG328" s="310"/>
      <c r="AH328" s="310"/>
      <c r="AI328" s="310"/>
      <c r="AJ328" s="310"/>
      <c r="AK328" s="310"/>
      <c r="AL328" s="310"/>
      <c r="AM328" s="310"/>
      <c r="AN328" s="310"/>
      <c r="AO328" s="310"/>
      <c r="AP328" s="310"/>
      <c r="AQ328" s="310"/>
      <c r="AR328" s="310"/>
      <c r="AS328" s="310"/>
      <c r="AT328" s="310"/>
      <c r="AU328" s="310"/>
      <c r="AV328" s="310"/>
      <c r="AW328" s="310"/>
      <c r="AX328" s="310"/>
      <c r="AY328" s="310"/>
      <c r="AZ328" s="310"/>
      <c r="BA328" s="310"/>
      <c r="BB328" s="310"/>
      <c r="BC328" s="310"/>
      <c r="BD328" s="310"/>
      <c r="BE328" s="310"/>
      <c r="BF328" s="310"/>
      <c r="BG328" s="310"/>
      <c r="BH328" s="310"/>
      <c r="BI328" s="310"/>
      <c r="BJ328" s="310"/>
      <c r="BK328" s="310"/>
      <c r="BL328" s="310"/>
      <c r="BM328" s="310"/>
      <c r="BN328" s="310"/>
      <c r="BO328" s="310"/>
      <c r="BP328" s="310"/>
      <c r="BQ328" s="310"/>
      <c r="BR328" s="310"/>
      <c r="BS328" s="310"/>
      <c r="BT328" s="310"/>
      <c r="BU328" s="310"/>
      <c r="BV328" s="310"/>
      <c r="BW328" s="310"/>
      <c r="BX328" s="310"/>
      <c r="BY328" s="310"/>
      <c r="BZ328" s="310"/>
      <c r="CA328" s="310"/>
      <c r="CB328" s="310"/>
      <c r="CC328" s="310"/>
      <c r="CD328" s="310"/>
      <c r="CE328" s="310"/>
      <c r="CF328" s="310"/>
      <c r="CG328" s="310"/>
      <c r="CH328" s="310"/>
      <c r="CI328" s="310"/>
      <c r="CJ328" s="310"/>
      <c r="CK328" s="310"/>
      <c r="CL328" s="310"/>
      <c r="CM328" s="310"/>
      <c r="CN328" s="310"/>
      <c r="CO328" s="310"/>
      <c r="CP328" s="310"/>
      <c r="CQ328" s="310"/>
      <c r="CR328" s="310"/>
      <c r="CS328" s="310"/>
      <c r="CT328" s="310"/>
      <c r="CU328" s="310"/>
      <c r="CV328" s="310"/>
      <c r="CW328" s="310"/>
      <c r="CX328" s="310"/>
      <c r="CY328" s="310"/>
      <c r="CZ328" s="310"/>
      <c r="DA328" s="310"/>
      <c r="DB328" s="310"/>
      <c r="DC328" s="310"/>
      <c r="DD328" s="310"/>
      <c r="DE328" s="310"/>
      <c r="DF328" s="310"/>
      <c r="DG328" s="310"/>
      <c r="DH328" s="310"/>
      <c r="DI328" s="310"/>
      <c r="DJ328" s="310"/>
      <c r="DK328" s="310"/>
      <c r="DL328" s="310"/>
      <c r="DM328" s="310"/>
      <c r="DN328" s="310"/>
      <c r="DO328" s="310"/>
      <c r="DP328" s="310"/>
      <c r="DQ328" s="310"/>
      <c r="DR328" s="310"/>
      <c r="DS328" s="310"/>
      <c r="DT328" s="310"/>
      <c r="DU328" s="310"/>
      <c r="DV328" s="310"/>
      <c r="DW328" s="310"/>
      <c r="DX328" s="310"/>
      <c r="DY328" s="310"/>
      <c r="DZ328" s="310"/>
      <c r="EA328" s="310"/>
      <c r="EB328" s="310"/>
      <c r="EC328" s="310"/>
      <c r="ED328" s="310"/>
      <c r="EE328" s="310"/>
      <c r="EF328" s="310"/>
      <c r="EG328" s="310"/>
      <c r="EH328" s="310"/>
      <c r="EI328" s="310"/>
      <c r="EJ328" s="310"/>
      <c r="EK328" s="310"/>
      <c r="EL328" s="310"/>
      <c r="EM328" s="310"/>
      <c r="EN328" s="310"/>
      <c r="EO328" s="310"/>
      <c r="EP328" s="310"/>
      <c r="EQ328" s="310"/>
      <c r="ER328" s="310"/>
      <c r="ES328" s="310"/>
      <c r="ET328" s="310"/>
      <c r="EU328" s="310"/>
      <c r="EV328" s="310"/>
      <c r="EW328" s="310"/>
      <c r="EX328" s="310"/>
      <c r="EY328" s="310"/>
      <c r="EZ328" s="310"/>
      <c r="FA328" s="310"/>
      <c r="FB328" s="310"/>
      <c r="FC328" s="310"/>
      <c r="FD328" s="310"/>
      <c r="FE328" s="310"/>
      <c r="FF328" s="310"/>
      <c r="FG328" s="310"/>
      <c r="FH328" s="310"/>
      <c r="FI328" s="310"/>
      <c r="FJ328" s="310"/>
      <c r="FK328" s="310"/>
      <c r="FL328" s="310"/>
      <c r="FM328" s="310"/>
      <c r="FN328" s="310"/>
      <c r="FO328" s="310"/>
      <c r="FP328" s="310"/>
      <c r="FQ328" s="310"/>
      <c r="FR328" s="310"/>
      <c r="FS328" s="310"/>
      <c r="FT328" s="310"/>
      <c r="FU328" s="310"/>
      <c r="FV328" s="310"/>
      <c r="FW328" s="310"/>
      <c r="FX328" s="310"/>
      <c r="FY328" s="310"/>
      <c r="FZ328" s="310"/>
      <c r="GA328" s="310"/>
      <c r="GB328" s="310"/>
      <c r="GC328" s="310"/>
      <c r="GD328" s="310"/>
      <c r="GE328" s="310"/>
      <c r="GF328" s="310"/>
      <c r="GG328" s="310"/>
      <c r="GH328" s="310"/>
      <c r="GI328" s="310"/>
      <c r="GJ328" s="310"/>
      <c r="GK328" s="310"/>
      <c r="GL328" s="310"/>
      <c r="GM328" s="310"/>
      <c r="GN328" s="310"/>
      <c r="GO328" s="310"/>
      <c r="GP328" s="310"/>
      <c r="GQ328" s="310"/>
      <c r="GR328" s="310"/>
      <c r="GS328" s="310"/>
      <c r="GT328" s="310"/>
      <c r="GU328" s="310"/>
      <c r="GV328" s="310"/>
      <c r="GW328" s="310"/>
      <c r="GX328" s="310"/>
      <c r="GY328" s="310"/>
      <c r="GZ328" s="310"/>
      <c r="HA328" s="310"/>
      <c r="HB328" s="310"/>
      <c r="HC328" s="310"/>
      <c r="HD328" s="310"/>
      <c r="HE328" s="310"/>
      <c r="HF328" s="310"/>
      <c r="HG328" s="310"/>
      <c r="HH328" s="310"/>
      <c r="HI328" s="310"/>
      <c r="HJ328" s="310"/>
      <c r="HK328" s="310"/>
      <c r="HL328" s="310"/>
      <c r="HM328" s="310"/>
      <c r="HN328" s="310"/>
      <c r="HO328" s="310"/>
      <c r="HP328" s="310"/>
      <c r="HQ328" s="310"/>
      <c r="HR328" s="310"/>
      <c r="HS328" s="310"/>
      <c r="HT328" s="310"/>
      <c r="HU328" s="310"/>
      <c r="HV328" s="310"/>
      <c r="HW328" s="310"/>
      <c r="HX328" s="310"/>
      <c r="HY328" s="310"/>
      <c r="HZ328" s="310"/>
      <c r="IA328" s="310"/>
      <c r="IB328" s="310"/>
      <c r="IC328" s="310"/>
      <c r="ID328" s="310"/>
      <c r="IE328" s="310"/>
      <c r="IF328" s="310"/>
      <c r="IG328" s="310"/>
      <c r="IH328" s="310"/>
      <c r="II328" s="310"/>
      <c r="IJ328" s="310"/>
      <c r="IK328" s="310"/>
      <c r="IL328" s="310"/>
      <c r="IM328" s="310"/>
      <c r="IN328" s="310"/>
      <c r="IO328" s="310"/>
      <c r="IP328" s="310"/>
      <c r="IQ328" s="310"/>
      <c r="IR328" s="310"/>
      <c r="IS328" s="310"/>
      <c r="IT328" s="310"/>
      <c r="IU328" s="310"/>
      <c r="IV328" s="310"/>
      <c r="BFO328" s="310"/>
    </row>
    <row r="329" spans="1:256 1523:1523" s="91" customFormat="1" ht="11.25" customHeight="1">
      <c r="A329" s="101"/>
      <c r="B329" s="155" t="s">
        <v>1303</v>
      </c>
      <c r="C329" s="2552"/>
      <c r="D329" s="2553"/>
      <c r="E329" s="2553"/>
      <c r="F329" s="2553"/>
      <c r="G329" s="2553"/>
      <c r="H329" s="2553"/>
      <c r="I329" s="2553"/>
      <c r="J329" s="2553"/>
      <c r="K329" s="2553"/>
      <c r="L329" s="2553"/>
      <c r="M329" s="2553"/>
      <c r="N329" s="2554"/>
      <c r="O329" s="157" t="s">
        <v>1303</v>
      </c>
      <c r="P329" s="2454"/>
      <c r="Q329" s="1033"/>
      <c r="R329" s="310"/>
      <c r="S329" s="310"/>
      <c r="T329" s="310"/>
      <c r="U329" s="310"/>
      <c r="V329" s="310"/>
      <c r="W329" s="310"/>
      <c r="X329" s="310"/>
      <c r="Y329" s="310"/>
      <c r="Z329" s="310"/>
      <c r="AA329" s="310"/>
      <c r="AB329" s="310"/>
      <c r="AC329" s="310"/>
      <c r="AD329" s="310"/>
      <c r="AE329" s="367"/>
      <c r="AF329" s="367"/>
      <c r="AG329" s="310"/>
      <c r="AH329" s="310"/>
      <c r="AI329" s="310"/>
      <c r="AJ329" s="310"/>
      <c r="AK329" s="310"/>
      <c r="AL329" s="310"/>
      <c r="AM329" s="310"/>
      <c r="AN329" s="310"/>
      <c r="AO329" s="310"/>
      <c r="AP329" s="310"/>
      <c r="AQ329" s="310"/>
      <c r="AR329" s="310"/>
      <c r="AS329" s="310"/>
      <c r="AT329" s="310"/>
      <c r="AU329" s="310"/>
      <c r="AV329" s="310"/>
      <c r="AW329" s="310"/>
      <c r="AX329" s="310"/>
      <c r="AY329" s="310"/>
      <c r="AZ329" s="310"/>
      <c r="BA329" s="310"/>
      <c r="BB329" s="310"/>
      <c r="BC329" s="310"/>
      <c r="BD329" s="310"/>
      <c r="BE329" s="310"/>
      <c r="BF329" s="310"/>
      <c r="BG329" s="310"/>
      <c r="BH329" s="310"/>
      <c r="BI329" s="310"/>
      <c r="BJ329" s="310"/>
      <c r="BK329" s="310"/>
      <c r="BL329" s="310"/>
      <c r="BM329" s="310"/>
      <c r="BN329" s="310"/>
      <c r="BO329" s="310"/>
      <c r="BP329" s="310"/>
      <c r="BQ329" s="310"/>
      <c r="BR329" s="310"/>
      <c r="BS329" s="310"/>
      <c r="BT329" s="310"/>
      <c r="BU329" s="310"/>
      <c r="BV329" s="310"/>
      <c r="BW329" s="310"/>
      <c r="BX329" s="310"/>
      <c r="BY329" s="310"/>
      <c r="BZ329" s="310"/>
      <c r="CA329" s="310"/>
      <c r="CB329" s="310"/>
      <c r="CC329" s="310"/>
      <c r="CD329" s="310"/>
      <c r="CE329" s="310"/>
      <c r="CF329" s="310"/>
      <c r="CG329" s="310"/>
      <c r="CH329" s="310"/>
      <c r="CI329" s="310"/>
      <c r="CJ329" s="310"/>
      <c r="CK329" s="310"/>
      <c r="CL329" s="310"/>
      <c r="CM329" s="310"/>
      <c r="CN329" s="310"/>
      <c r="CO329" s="310"/>
      <c r="CP329" s="310"/>
      <c r="CQ329" s="310"/>
      <c r="CR329" s="310"/>
      <c r="CS329" s="310"/>
      <c r="CT329" s="310"/>
      <c r="CU329" s="310"/>
      <c r="CV329" s="310"/>
      <c r="CW329" s="310"/>
      <c r="CX329" s="310"/>
      <c r="CY329" s="310"/>
      <c r="CZ329" s="310"/>
      <c r="DA329" s="310"/>
      <c r="DB329" s="310"/>
      <c r="DC329" s="310"/>
      <c r="DD329" s="310"/>
      <c r="DE329" s="310"/>
      <c r="DF329" s="310"/>
      <c r="DG329" s="310"/>
      <c r="DH329" s="310"/>
      <c r="DI329" s="310"/>
      <c r="DJ329" s="310"/>
      <c r="DK329" s="310"/>
      <c r="DL329" s="310"/>
      <c r="DM329" s="310"/>
      <c r="DN329" s="310"/>
      <c r="DO329" s="310"/>
      <c r="DP329" s="310"/>
      <c r="DQ329" s="310"/>
      <c r="DR329" s="310"/>
      <c r="DS329" s="310"/>
      <c r="DT329" s="310"/>
      <c r="DU329" s="310"/>
      <c r="DV329" s="310"/>
      <c r="DW329" s="310"/>
      <c r="DX329" s="310"/>
      <c r="DY329" s="310"/>
      <c r="DZ329" s="310"/>
      <c r="EA329" s="310"/>
      <c r="EB329" s="310"/>
      <c r="EC329" s="310"/>
      <c r="ED329" s="310"/>
      <c r="EE329" s="310"/>
      <c r="EF329" s="310"/>
      <c r="EG329" s="310"/>
      <c r="EH329" s="310"/>
      <c r="EI329" s="310"/>
      <c r="EJ329" s="310"/>
      <c r="EK329" s="310"/>
      <c r="EL329" s="310"/>
      <c r="EM329" s="310"/>
      <c r="EN329" s="310"/>
      <c r="EO329" s="310"/>
      <c r="EP329" s="310"/>
      <c r="EQ329" s="310"/>
      <c r="ER329" s="310"/>
      <c r="ES329" s="310"/>
      <c r="ET329" s="310"/>
      <c r="EU329" s="310"/>
      <c r="EV329" s="310"/>
      <c r="EW329" s="310"/>
      <c r="EX329" s="310"/>
      <c r="EY329" s="310"/>
      <c r="EZ329" s="310"/>
      <c r="FA329" s="310"/>
      <c r="FB329" s="310"/>
      <c r="FC329" s="310"/>
      <c r="FD329" s="310"/>
      <c r="FE329" s="310"/>
      <c r="FF329" s="310"/>
      <c r="FG329" s="310"/>
      <c r="FH329" s="310"/>
      <c r="FI329" s="310"/>
      <c r="FJ329" s="310"/>
      <c r="FK329" s="310"/>
      <c r="FL329" s="310"/>
      <c r="FM329" s="310"/>
      <c r="FN329" s="310"/>
      <c r="FO329" s="310"/>
      <c r="FP329" s="310"/>
      <c r="FQ329" s="310"/>
      <c r="FR329" s="310"/>
      <c r="FS329" s="310"/>
      <c r="FT329" s="310"/>
      <c r="FU329" s="310"/>
      <c r="FV329" s="310"/>
      <c r="FW329" s="310"/>
      <c r="FX329" s="310"/>
      <c r="FY329" s="310"/>
      <c r="FZ329" s="310"/>
      <c r="GA329" s="310"/>
      <c r="GB329" s="310"/>
      <c r="GC329" s="310"/>
      <c r="GD329" s="310"/>
      <c r="GE329" s="310"/>
      <c r="GF329" s="310"/>
      <c r="GG329" s="310"/>
      <c r="GH329" s="310"/>
      <c r="GI329" s="310"/>
      <c r="GJ329" s="310"/>
      <c r="GK329" s="310"/>
      <c r="GL329" s="310"/>
      <c r="GM329" s="310"/>
      <c r="GN329" s="310"/>
      <c r="GO329" s="310"/>
      <c r="GP329" s="310"/>
      <c r="GQ329" s="310"/>
      <c r="GR329" s="310"/>
      <c r="GS329" s="310"/>
      <c r="GT329" s="310"/>
      <c r="GU329" s="310"/>
      <c r="GV329" s="310"/>
      <c r="GW329" s="310"/>
      <c r="GX329" s="310"/>
      <c r="GY329" s="310"/>
      <c r="GZ329" s="310"/>
      <c r="HA329" s="310"/>
      <c r="HB329" s="310"/>
      <c r="HC329" s="310"/>
      <c r="HD329" s="310"/>
      <c r="HE329" s="310"/>
      <c r="HF329" s="310"/>
      <c r="HG329" s="310"/>
      <c r="HH329" s="310"/>
      <c r="HI329" s="310"/>
      <c r="HJ329" s="310"/>
      <c r="HK329" s="310"/>
      <c r="HL329" s="310"/>
      <c r="HM329" s="310"/>
      <c r="HN329" s="310"/>
      <c r="HO329" s="310"/>
      <c r="HP329" s="310"/>
      <c r="HQ329" s="310"/>
      <c r="HR329" s="310"/>
      <c r="HS329" s="310"/>
      <c r="HT329" s="310"/>
      <c r="HU329" s="310"/>
      <c r="HV329" s="310"/>
      <c r="HW329" s="310"/>
      <c r="HX329" s="310"/>
      <c r="HY329" s="310"/>
      <c r="HZ329" s="310"/>
      <c r="IA329" s="310"/>
      <c r="IB329" s="310"/>
      <c r="IC329" s="310"/>
      <c r="ID329" s="310"/>
      <c r="IE329" s="310"/>
      <c r="IF329" s="310"/>
      <c r="IG329" s="310"/>
      <c r="IH329" s="310"/>
      <c r="II329" s="310"/>
      <c r="IJ329" s="310"/>
      <c r="IK329" s="310"/>
      <c r="IL329" s="310"/>
      <c r="IM329" s="310"/>
      <c r="IN329" s="310"/>
      <c r="IO329" s="310"/>
      <c r="IP329" s="310"/>
      <c r="IQ329" s="310"/>
      <c r="IR329" s="310"/>
      <c r="IS329" s="310"/>
      <c r="IT329" s="310"/>
      <c r="IU329" s="310"/>
      <c r="IV329" s="310"/>
      <c r="BFO329" s="310"/>
    </row>
    <row r="330" spans="1:256 1523:1523" s="91" customFormat="1" ht="11.25" customHeight="1">
      <c r="A330" s="101"/>
      <c r="B330" s="155" t="s">
        <v>1306</v>
      </c>
      <c r="C330" s="2555"/>
      <c r="D330" s="2556"/>
      <c r="E330" s="2556"/>
      <c r="F330" s="2556"/>
      <c r="G330" s="2556"/>
      <c r="H330" s="2556"/>
      <c r="I330" s="2556"/>
      <c r="J330" s="2556"/>
      <c r="K330" s="2556"/>
      <c r="L330" s="2556"/>
      <c r="M330" s="2556"/>
      <c r="N330" s="2557"/>
      <c r="O330" s="157" t="s">
        <v>1306</v>
      </c>
      <c r="P330" s="2477"/>
      <c r="Q330" s="1051"/>
      <c r="R330" s="310"/>
      <c r="S330" s="310"/>
      <c r="T330" s="310"/>
      <c r="U330" s="310"/>
      <c r="V330" s="310"/>
      <c r="W330" s="310"/>
      <c r="X330" s="310"/>
      <c r="Y330" s="310"/>
      <c r="Z330" s="310"/>
      <c r="AA330" s="310"/>
      <c r="AB330" s="310"/>
      <c r="AC330" s="310"/>
      <c r="AD330" s="310"/>
      <c r="AE330" s="367"/>
      <c r="AF330" s="367"/>
      <c r="AG330" s="310"/>
      <c r="AH330" s="310"/>
      <c r="AI330" s="310"/>
      <c r="AJ330" s="310"/>
      <c r="AK330" s="310"/>
      <c r="AL330" s="310"/>
      <c r="AM330" s="310"/>
      <c r="AN330" s="310"/>
      <c r="AO330" s="310"/>
      <c r="AP330" s="310"/>
      <c r="AQ330" s="310"/>
      <c r="AR330" s="310"/>
      <c r="AS330" s="310"/>
      <c r="AT330" s="310"/>
      <c r="AU330" s="310"/>
      <c r="AV330" s="310"/>
      <c r="AW330" s="310"/>
      <c r="AX330" s="310"/>
      <c r="AY330" s="310"/>
      <c r="AZ330" s="310"/>
      <c r="BA330" s="310"/>
      <c r="BB330" s="310"/>
      <c r="BC330" s="310"/>
      <c r="BD330" s="310"/>
      <c r="BE330" s="310"/>
      <c r="BF330" s="310"/>
      <c r="BG330" s="310"/>
      <c r="BH330" s="310"/>
      <c r="BI330" s="310"/>
      <c r="BJ330" s="310"/>
      <c r="BK330" s="310"/>
      <c r="BL330" s="310"/>
      <c r="BM330" s="310"/>
      <c r="BN330" s="310"/>
      <c r="BO330" s="310"/>
      <c r="BP330" s="310"/>
      <c r="BQ330" s="310"/>
      <c r="BR330" s="310"/>
      <c r="BS330" s="310"/>
      <c r="BT330" s="310"/>
      <c r="BU330" s="310"/>
      <c r="BV330" s="310"/>
      <c r="BW330" s="310"/>
      <c r="BX330" s="310"/>
      <c r="BY330" s="310"/>
      <c r="BZ330" s="310"/>
      <c r="CA330" s="310"/>
      <c r="CB330" s="310"/>
      <c r="CC330" s="310"/>
      <c r="CD330" s="310"/>
      <c r="CE330" s="310"/>
      <c r="CF330" s="310"/>
      <c r="CG330" s="310"/>
      <c r="CH330" s="310"/>
      <c r="CI330" s="310"/>
      <c r="CJ330" s="310"/>
      <c r="CK330" s="310"/>
      <c r="CL330" s="310"/>
      <c r="CM330" s="310"/>
      <c r="CN330" s="310"/>
      <c r="CO330" s="310"/>
      <c r="CP330" s="310"/>
      <c r="CQ330" s="310"/>
      <c r="CR330" s="310"/>
      <c r="CS330" s="310"/>
      <c r="CT330" s="310"/>
      <c r="CU330" s="310"/>
      <c r="CV330" s="310"/>
      <c r="CW330" s="310"/>
      <c r="CX330" s="310"/>
      <c r="CY330" s="310"/>
      <c r="CZ330" s="310"/>
      <c r="DA330" s="310"/>
      <c r="DB330" s="310"/>
      <c r="DC330" s="310"/>
      <c r="DD330" s="310"/>
      <c r="DE330" s="310"/>
      <c r="DF330" s="310"/>
      <c r="DG330" s="310"/>
      <c r="DH330" s="310"/>
      <c r="DI330" s="310"/>
      <c r="DJ330" s="310"/>
      <c r="DK330" s="310"/>
      <c r="DL330" s="310"/>
      <c r="DM330" s="310"/>
      <c r="DN330" s="310"/>
      <c r="DO330" s="310"/>
      <c r="DP330" s="310"/>
      <c r="DQ330" s="310"/>
      <c r="DR330" s="310"/>
      <c r="DS330" s="310"/>
      <c r="DT330" s="310"/>
      <c r="DU330" s="310"/>
      <c r="DV330" s="310"/>
      <c r="DW330" s="310"/>
      <c r="DX330" s="310"/>
      <c r="DY330" s="310"/>
      <c r="DZ330" s="310"/>
      <c r="EA330" s="310"/>
      <c r="EB330" s="310"/>
      <c r="EC330" s="310"/>
      <c r="ED330" s="310"/>
      <c r="EE330" s="310"/>
      <c r="EF330" s="310"/>
      <c r="EG330" s="310"/>
      <c r="EH330" s="310"/>
      <c r="EI330" s="310"/>
      <c r="EJ330" s="310"/>
      <c r="EK330" s="310"/>
      <c r="EL330" s="310"/>
      <c r="EM330" s="310"/>
      <c r="EN330" s="310"/>
      <c r="EO330" s="310"/>
      <c r="EP330" s="310"/>
      <c r="EQ330" s="310"/>
      <c r="ER330" s="310"/>
      <c r="ES330" s="310"/>
      <c r="ET330" s="310"/>
      <c r="EU330" s="310"/>
      <c r="EV330" s="310"/>
      <c r="EW330" s="310"/>
      <c r="EX330" s="310"/>
      <c r="EY330" s="310"/>
      <c r="EZ330" s="310"/>
      <c r="FA330" s="310"/>
      <c r="FB330" s="310"/>
      <c r="FC330" s="310"/>
      <c r="FD330" s="310"/>
      <c r="FE330" s="310"/>
      <c r="FF330" s="310"/>
      <c r="FG330" s="310"/>
      <c r="FH330" s="310"/>
      <c r="FI330" s="310"/>
      <c r="FJ330" s="310"/>
      <c r="FK330" s="310"/>
      <c r="FL330" s="310"/>
      <c r="FM330" s="310"/>
      <c r="FN330" s="310"/>
      <c r="FO330" s="310"/>
      <c r="FP330" s="310"/>
      <c r="FQ330" s="310"/>
      <c r="FR330" s="310"/>
      <c r="FS330" s="310"/>
      <c r="FT330" s="310"/>
      <c r="FU330" s="310"/>
      <c r="FV330" s="310"/>
      <c r="FW330" s="310"/>
      <c r="FX330" s="310"/>
      <c r="FY330" s="310"/>
      <c r="FZ330" s="310"/>
      <c r="GA330" s="310"/>
      <c r="GB330" s="310"/>
      <c r="GC330" s="310"/>
      <c r="GD330" s="310"/>
      <c r="GE330" s="310"/>
      <c r="GF330" s="310"/>
      <c r="GG330" s="310"/>
      <c r="GH330" s="310"/>
      <c r="GI330" s="310"/>
      <c r="GJ330" s="310"/>
      <c r="GK330" s="310"/>
      <c r="GL330" s="310"/>
      <c r="GM330" s="310"/>
      <c r="GN330" s="310"/>
      <c r="GO330" s="310"/>
      <c r="GP330" s="310"/>
      <c r="GQ330" s="310"/>
      <c r="GR330" s="310"/>
      <c r="GS330" s="310"/>
      <c r="GT330" s="310"/>
      <c r="GU330" s="310"/>
      <c r="GV330" s="310"/>
      <c r="GW330" s="310"/>
      <c r="GX330" s="310"/>
      <c r="GY330" s="310"/>
      <c r="GZ330" s="310"/>
      <c r="HA330" s="310"/>
      <c r="HB330" s="310"/>
      <c r="HC330" s="310"/>
      <c r="HD330" s="310"/>
      <c r="HE330" s="310"/>
      <c r="HF330" s="310"/>
      <c r="HG330" s="310"/>
      <c r="HH330" s="310"/>
      <c r="HI330" s="310"/>
      <c r="HJ330" s="310"/>
      <c r="HK330" s="310"/>
      <c r="HL330" s="310"/>
      <c r="HM330" s="310"/>
      <c r="HN330" s="310"/>
      <c r="HO330" s="310"/>
      <c r="HP330" s="310"/>
      <c r="HQ330" s="310"/>
      <c r="HR330" s="310"/>
      <c r="HS330" s="310"/>
      <c r="HT330" s="310"/>
      <c r="HU330" s="310"/>
      <c r="HV330" s="310"/>
      <c r="HW330" s="310"/>
      <c r="HX330" s="310"/>
      <c r="HY330" s="310"/>
      <c r="HZ330" s="310"/>
      <c r="IA330" s="310"/>
      <c r="IB330" s="310"/>
      <c r="IC330" s="310"/>
      <c r="ID330" s="310"/>
      <c r="IE330" s="310"/>
      <c r="IF330" s="310"/>
      <c r="IG330" s="310"/>
      <c r="IH330" s="310"/>
      <c r="II330" s="310"/>
      <c r="IJ330" s="310"/>
      <c r="IK330" s="310"/>
      <c r="IL330" s="310"/>
      <c r="IM330" s="310"/>
      <c r="IN330" s="310"/>
      <c r="IO330" s="310"/>
      <c r="IP330" s="310"/>
      <c r="IQ330" s="310"/>
      <c r="IR330" s="310"/>
      <c r="IS330" s="310"/>
      <c r="IT330" s="310"/>
      <c r="IU330" s="310"/>
      <c r="IV330" s="310"/>
      <c r="BFO330" s="310"/>
    </row>
    <row r="331" spans="1:256 1523:1523" ht="3" customHeight="1">
      <c r="A331" s="1524"/>
      <c r="B331" s="1524"/>
      <c r="C331" s="1524"/>
      <c r="D331" s="1524"/>
      <c r="E331" s="1524"/>
      <c r="F331" s="1524"/>
      <c r="G331" s="1524"/>
      <c r="H331" s="1524"/>
      <c r="I331" s="1524"/>
      <c r="J331" s="1524"/>
      <c r="K331" s="1524"/>
      <c r="L331" s="1524"/>
      <c r="M331" s="1524"/>
      <c r="N331" s="1524"/>
      <c r="O331" s="1524"/>
      <c r="P331" s="1524"/>
      <c r="Q331" s="1524"/>
      <c r="R331" s="1524"/>
      <c r="S331" s="1524"/>
      <c r="T331" s="1524"/>
      <c r="U331" s="1524"/>
      <c r="V331" s="1524"/>
      <c r="W331" s="1524"/>
      <c r="X331" s="1524"/>
      <c r="Y331" s="1524"/>
      <c r="Z331" s="1524"/>
      <c r="AA331" s="1524"/>
      <c r="AB331" s="1524"/>
      <c r="AC331" s="1524"/>
      <c r="AD331" s="1524"/>
      <c r="AE331" s="771"/>
      <c r="AF331" s="771"/>
      <c r="AG331" s="1524"/>
      <c r="AH331" s="1524"/>
      <c r="AI331" s="1524"/>
      <c r="AJ331" s="1524"/>
      <c r="AK331" s="1524"/>
      <c r="AL331" s="1524"/>
      <c r="AM331" s="1524"/>
      <c r="AN331" s="1524"/>
      <c r="AO331" s="1524"/>
      <c r="AP331" s="1524"/>
      <c r="AQ331" s="1524"/>
      <c r="AR331" s="1524"/>
      <c r="AS331" s="1524"/>
      <c r="AT331" s="1524"/>
      <c r="AU331" s="1524"/>
      <c r="AV331" s="1524"/>
      <c r="AW331" s="1524"/>
      <c r="AX331" s="1524"/>
      <c r="AY331" s="1524"/>
      <c r="AZ331" s="1524"/>
      <c r="BA331" s="1524"/>
      <c r="BB331" s="1524"/>
      <c r="BC331" s="1524"/>
      <c r="BD331" s="1524"/>
      <c r="BE331" s="1524"/>
      <c r="BF331" s="1524"/>
      <c r="BG331" s="1524"/>
      <c r="BH331" s="1524"/>
      <c r="BI331" s="1524"/>
      <c r="BJ331" s="1524"/>
      <c r="BK331" s="1524"/>
      <c r="BL331" s="1524"/>
      <c r="BM331" s="1524"/>
      <c r="BN331" s="1524"/>
      <c r="BO331" s="1524"/>
      <c r="BP331" s="1524"/>
      <c r="BQ331" s="1524"/>
      <c r="BR331" s="1524"/>
      <c r="BS331" s="1524"/>
      <c r="BT331" s="1524"/>
      <c r="BU331" s="1524"/>
      <c r="BV331" s="1524"/>
      <c r="BW331" s="1524"/>
      <c r="BX331" s="1524"/>
      <c r="BY331" s="1524"/>
      <c r="BZ331" s="1524"/>
      <c r="CA331" s="1524"/>
      <c r="CB331" s="1524"/>
      <c r="CC331" s="1524"/>
      <c r="CD331" s="1524"/>
      <c r="CE331" s="1524"/>
      <c r="CF331" s="1524"/>
      <c r="CG331" s="1524"/>
      <c r="CH331" s="1524"/>
      <c r="CI331" s="1524"/>
      <c r="CJ331" s="1524"/>
      <c r="CK331" s="1524"/>
      <c r="CL331" s="1524"/>
      <c r="CM331" s="1524"/>
      <c r="CN331" s="1524"/>
      <c r="CO331" s="1524"/>
      <c r="CP331" s="1524"/>
      <c r="CQ331" s="1524"/>
      <c r="CR331" s="1524"/>
      <c r="CS331" s="1524"/>
      <c r="CT331" s="1524"/>
      <c r="CU331" s="1524"/>
      <c r="CV331" s="1524"/>
      <c r="CW331" s="1524"/>
      <c r="CX331" s="1524"/>
      <c r="CY331" s="1524"/>
      <c r="CZ331" s="1524"/>
      <c r="DA331" s="1524"/>
      <c r="DB331" s="1524"/>
      <c r="DC331" s="1524"/>
      <c r="DD331" s="1524"/>
      <c r="DE331" s="1524"/>
      <c r="DF331" s="1524"/>
      <c r="DG331" s="1524"/>
      <c r="DH331" s="1524"/>
      <c r="DI331" s="1524"/>
      <c r="DJ331" s="1524"/>
      <c r="DK331" s="1524"/>
      <c r="DL331" s="1524"/>
      <c r="DM331" s="1524"/>
      <c r="DN331" s="1524"/>
      <c r="DO331" s="1524"/>
      <c r="DP331" s="1524"/>
      <c r="DQ331" s="1524"/>
      <c r="DR331" s="1524"/>
      <c r="DS331" s="1524"/>
      <c r="DT331" s="1524"/>
      <c r="DU331" s="1524"/>
      <c r="DV331" s="1524"/>
      <c r="DW331" s="1524"/>
      <c r="DX331" s="1524"/>
      <c r="DY331" s="1524"/>
      <c r="DZ331" s="1524"/>
      <c r="EA331" s="1524"/>
      <c r="EB331" s="1524"/>
      <c r="EC331" s="1524"/>
      <c r="ED331" s="1524"/>
      <c r="EE331" s="1524"/>
      <c r="EF331" s="1524"/>
      <c r="EG331" s="1524"/>
      <c r="EH331" s="1524"/>
      <c r="EI331" s="1524"/>
      <c r="EJ331" s="1524"/>
      <c r="EK331" s="1524"/>
      <c r="EL331" s="1524"/>
      <c r="EM331" s="1524"/>
      <c r="EN331" s="1524"/>
      <c r="EO331" s="1524"/>
      <c r="EP331" s="1524"/>
      <c r="EQ331" s="1524"/>
      <c r="ER331" s="1524"/>
      <c r="ES331" s="1524"/>
      <c r="ET331" s="1524"/>
      <c r="EU331" s="1524"/>
      <c r="EV331" s="1524"/>
      <c r="EW331" s="1524"/>
      <c r="EX331" s="1524"/>
      <c r="EY331" s="1524"/>
      <c r="EZ331" s="1524"/>
      <c r="FA331" s="1524"/>
      <c r="FB331" s="1524"/>
      <c r="FC331" s="1524"/>
      <c r="FD331" s="1524"/>
      <c r="FE331" s="1524"/>
      <c r="FF331" s="1524"/>
      <c r="FG331" s="1524"/>
      <c r="FH331" s="1524"/>
      <c r="FI331" s="1524"/>
      <c r="FJ331" s="1524"/>
      <c r="FK331" s="1524"/>
      <c r="FL331" s="1524"/>
      <c r="FM331" s="1524"/>
      <c r="FN331" s="1524"/>
      <c r="FO331" s="1524"/>
      <c r="FP331" s="1524"/>
      <c r="FQ331" s="1524"/>
      <c r="FR331" s="1524"/>
      <c r="FS331" s="1524"/>
      <c r="FT331" s="1524"/>
      <c r="FU331" s="1524"/>
      <c r="FV331" s="1524"/>
      <c r="FW331" s="1524"/>
      <c r="FX331" s="1524"/>
      <c r="FY331" s="1524"/>
      <c r="FZ331" s="1524"/>
      <c r="GA331" s="1524"/>
      <c r="GB331" s="1524"/>
      <c r="GC331" s="1524"/>
      <c r="GD331" s="1524"/>
      <c r="GE331" s="1524"/>
      <c r="GF331" s="1524"/>
      <c r="GG331" s="1524"/>
      <c r="GH331" s="1524"/>
      <c r="GI331" s="1524"/>
      <c r="GJ331" s="1524"/>
      <c r="GK331" s="1524"/>
      <c r="GL331" s="1524"/>
      <c r="GM331" s="1524"/>
      <c r="GN331" s="1524"/>
      <c r="GO331" s="1524"/>
      <c r="GP331" s="1524"/>
      <c r="GQ331" s="1524"/>
      <c r="GR331" s="1524"/>
      <c r="GS331" s="1524"/>
      <c r="GT331" s="1524"/>
      <c r="GU331" s="1524"/>
      <c r="GV331" s="1524"/>
      <c r="GW331" s="1524"/>
      <c r="GX331" s="1524"/>
      <c r="GY331" s="1524"/>
      <c r="GZ331" s="1524"/>
      <c r="HA331" s="1524"/>
      <c r="HB331" s="1524"/>
      <c r="HC331" s="1524"/>
      <c r="HD331" s="1524"/>
      <c r="HE331" s="1524"/>
      <c r="HF331" s="1524"/>
      <c r="HG331" s="1524"/>
      <c r="HH331" s="1524"/>
      <c r="HI331" s="1524"/>
      <c r="HJ331" s="1524"/>
      <c r="HK331" s="1524"/>
      <c r="HL331" s="1524"/>
      <c r="HM331" s="1524"/>
      <c r="HN331" s="1524"/>
      <c r="HO331" s="1524"/>
      <c r="HP331" s="1524"/>
      <c r="HQ331" s="1524"/>
      <c r="HR331" s="1524"/>
      <c r="HS331" s="1524"/>
      <c r="HT331" s="1524"/>
      <c r="HU331" s="1524"/>
      <c r="HV331" s="1524"/>
      <c r="HW331" s="1524"/>
      <c r="HX331" s="1524"/>
      <c r="HY331" s="1524"/>
      <c r="HZ331" s="1524"/>
      <c r="IA331" s="1524"/>
      <c r="IB331" s="1524"/>
      <c r="IC331" s="1524"/>
      <c r="ID331" s="1524"/>
      <c r="IE331" s="1524"/>
      <c r="IF331" s="1524"/>
      <c r="IG331" s="1524"/>
      <c r="IH331" s="1524"/>
      <c r="II331" s="1524"/>
      <c r="IJ331" s="1524"/>
      <c r="IK331" s="1524"/>
      <c r="IL331" s="1524"/>
      <c r="IM331" s="1524"/>
      <c r="IN331" s="1524"/>
      <c r="IO331" s="1524"/>
      <c r="IP331" s="1524"/>
      <c r="IQ331" s="1524"/>
      <c r="IR331" s="1524"/>
      <c r="IS331" s="1524"/>
      <c r="IT331" s="1524"/>
      <c r="IU331" s="1524"/>
      <c r="IV331" s="1524"/>
      <c r="BFO331" s="102"/>
    </row>
    <row r="332" spans="1:256 1523:1523" ht="11.25" customHeight="1">
      <c r="A332" s="102"/>
      <c r="B332" s="99" t="s">
        <v>1274</v>
      </c>
      <c r="C332" s="102"/>
      <c r="D332" s="99"/>
      <c r="E332" s="99"/>
      <c r="F332" s="99"/>
      <c r="G332" s="99"/>
      <c r="H332" s="22"/>
      <c r="I332" s="1529"/>
      <c r="J332" s="1529"/>
      <c r="K332" s="1529"/>
      <c r="L332" s="1524"/>
      <c r="M332" s="1524"/>
      <c r="N332" s="1524"/>
      <c r="O332" s="1524"/>
      <c r="P332" s="1524"/>
      <c r="Q332" s="771"/>
      <c r="R332" s="102"/>
      <c r="S332" s="102"/>
      <c r="T332" s="102"/>
      <c r="U332" s="102"/>
      <c r="V332" s="102"/>
      <c r="W332" s="102"/>
      <c r="X332" s="102"/>
      <c r="Y332" s="102"/>
      <c r="Z332" s="102"/>
      <c r="AA332" s="102"/>
      <c r="AB332" s="102"/>
      <c r="AC332" s="102"/>
      <c r="AD332" s="102"/>
      <c r="AE332" s="366"/>
      <c r="AF332" s="366"/>
      <c r="AG332" s="102"/>
      <c r="AH332" s="102"/>
      <c r="AI332" s="102"/>
      <c r="AJ332" s="102"/>
      <c r="AK332" s="102"/>
      <c r="AL332" s="102"/>
      <c r="AM332" s="102"/>
      <c r="AN332" s="102"/>
      <c r="AO332" s="102"/>
      <c r="AP332" s="102"/>
      <c r="AQ332" s="102"/>
      <c r="AR332" s="102"/>
      <c r="AS332" s="102"/>
      <c r="AT332" s="102"/>
      <c r="AU332" s="102"/>
      <c r="AV332" s="102"/>
      <c r="AW332" s="102"/>
      <c r="AX332" s="102"/>
      <c r="AY332" s="102"/>
      <c r="AZ332" s="102"/>
      <c r="BA332" s="102"/>
      <c r="BB332" s="102"/>
      <c r="BC332" s="102"/>
      <c r="BD332" s="102"/>
      <c r="BE332" s="102"/>
      <c r="BF332" s="102"/>
      <c r="BG332" s="102"/>
      <c r="BH332" s="102"/>
      <c r="BI332" s="102"/>
      <c r="BJ332" s="102"/>
      <c r="BK332" s="102"/>
      <c r="BL332" s="102"/>
      <c r="BM332" s="102"/>
      <c r="BN332" s="102"/>
      <c r="BO332" s="102"/>
      <c r="BP332" s="102"/>
      <c r="BQ332" s="102"/>
      <c r="BR332" s="102"/>
      <c r="BS332" s="102"/>
      <c r="BT332" s="102"/>
      <c r="BU332" s="102"/>
      <c r="BV332" s="102"/>
      <c r="BW332" s="102"/>
      <c r="BX332" s="102"/>
      <c r="BY332" s="102"/>
      <c r="BZ332" s="102"/>
      <c r="CA332" s="102"/>
      <c r="CB332" s="102"/>
      <c r="CC332" s="102"/>
      <c r="CD332" s="102"/>
      <c r="CE332" s="102"/>
      <c r="CF332" s="102"/>
      <c r="CG332" s="102"/>
      <c r="CH332" s="102"/>
      <c r="CI332" s="102"/>
      <c r="CJ332" s="102"/>
      <c r="CK332" s="102"/>
      <c r="CL332" s="102"/>
      <c r="CM332" s="102"/>
      <c r="CN332" s="102"/>
      <c r="CO332" s="102"/>
      <c r="CP332" s="102"/>
      <c r="CQ332" s="102"/>
      <c r="CR332" s="102"/>
      <c r="CS332" s="102"/>
      <c r="CT332" s="102"/>
      <c r="CU332" s="102"/>
      <c r="CV332" s="102"/>
      <c r="CW332" s="102"/>
      <c r="CX332" s="102"/>
      <c r="CY332" s="102"/>
      <c r="CZ332" s="102"/>
      <c r="DA332" s="102"/>
      <c r="DB332" s="102"/>
      <c r="DC332" s="102"/>
      <c r="DD332" s="102"/>
      <c r="DE332" s="102"/>
      <c r="DF332" s="102"/>
      <c r="DG332" s="102"/>
      <c r="DH332" s="102"/>
      <c r="DI332" s="102"/>
      <c r="DJ332" s="102"/>
      <c r="DK332" s="102"/>
      <c r="DL332" s="102"/>
      <c r="DM332" s="102"/>
      <c r="DN332" s="102"/>
      <c r="DO332" s="102"/>
      <c r="DP332" s="102"/>
      <c r="DQ332" s="102"/>
      <c r="DR332" s="102"/>
      <c r="DS332" s="102"/>
      <c r="DT332" s="102"/>
      <c r="DU332" s="102"/>
      <c r="DV332" s="102"/>
      <c r="DW332" s="102"/>
      <c r="DX332" s="102"/>
      <c r="DY332" s="102"/>
      <c r="DZ332" s="102"/>
      <c r="EA332" s="102"/>
      <c r="EB332" s="102"/>
      <c r="EC332" s="102"/>
      <c r="ED332" s="102"/>
      <c r="EE332" s="102"/>
      <c r="EF332" s="102"/>
      <c r="EG332" s="102"/>
      <c r="EH332" s="102"/>
      <c r="EI332" s="102"/>
      <c r="EJ332" s="102"/>
      <c r="EK332" s="102"/>
      <c r="EL332" s="102"/>
      <c r="EM332" s="102"/>
      <c r="EN332" s="102"/>
      <c r="EO332" s="102"/>
      <c r="EP332" s="102"/>
      <c r="EQ332" s="102"/>
      <c r="ER332" s="102"/>
      <c r="ES332" s="102"/>
      <c r="ET332" s="102"/>
      <c r="EU332" s="102"/>
      <c r="EV332" s="102"/>
      <c r="EW332" s="102"/>
      <c r="EX332" s="102"/>
      <c r="EY332" s="102"/>
      <c r="EZ332" s="102"/>
      <c r="FA332" s="102"/>
      <c r="FB332" s="102"/>
      <c r="FC332" s="102"/>
      <c r="FD332" s="102"/>
      <c r="FE332" s="102"/>
      <c r="FF332" s="102"/>
      <c r="FG332" s="102"/>
      <c r="FH332" s="102"/>
      <c r="FI332" s="102"/>
      <c r="FJ332" s="102"/>
      <c r="FK332" s="102"/>
      <c r="FL332" s="102"/>
      <c r="FM332" s="102"/>
      <c r="FN332" s="102"/>
      <c r="FO332" s="102"/>
      <c r="FP332" s="102"/>
      <c r="FQ332" s="102"/>
      <c r="FR332" s="102"/>
      <c r="FS332" s="102"/>
      <c r="FT332" s="102"/>
      <c r="FU332" s="102"/>
      <c r="FV332" s="102"/>
      <c r="FW332" s="102"/>
      <c r="FX332" s="102"/>
      <c r="FY332" s="102"/>
      <c r="FZ332" s="102"/>
      <c r="GA332" s="102"/>
      <c r="GB332" s="102"/>
      <c r="GC332" s="102"/>
      <c r="GD332" s="102"/>
      <c r="GE332" s="102"/>
      <c r="GF332" s="102"/>
      <c r="GG332" s="102"/>
      <c r="GH332" s="102"/>
      <c r="GI332" s="102"/>
      <c r="GJ332" s="102"/>
      <c r="GK332" s="102"/>
      <c r="GL332" s="102"/>
      <c r="GM332" s="102"/>
      <c r="GN332" s="102"/>
      <c r="GO332" s="102"/>
      <c r="GP332" s="102"/>
      <c r="GQ332" s="102"/>
      <c r="GR332" s="102"/>
      <c r="GS332" s="102"/>
      <c r="GT332" s="102"/>
      <c r="GU332" s="102"/>
      <c r="GV332" s="102"/>
      <c r="GW332" s="102"/>
      <c r="GX332" s="102"/>
      <c r="GY332" s="102"/>
      <c r="GZ332" s="102"/>
      <c r="HA332" s="102"/>
      <c r="HB332" s="102"/>
      <c r="HC332" s="102"/>
      <c r="HD332" s="102"/>
      <c r="HE332" s="102"/>
      <c r="HF332" s="102"/>
      <c r="HG332" s="102"/>
      <c r="HH332" s="102"/>
      <c r="HI332" s="102"/>
      <c r="HJ332" s="102"/>
      <c r="HK332" s="102"/>
      <c r="HL332" s="102"/>
      <c r="HM332" s="102"/>
      <c r="HN332" s="102"/>
      <c r="HO332" s="102"/>
      <c r="HP332" s="102"/>
      <c r="HQ332" s="102"/>
      <c r="HR332" s="102"/>
      <c r="HS332" s="102"/>
      <c r="HT332" s="102"/>
      <c r="HU332" s="102"/>
      <c r="HV332" s="102"/>
      <c r="HW332" s="102"/>
      <c r="HX332" s="102"/>
      <c r="HY332" s="102"/>
      <c r="HZ332" s="102"/>
      <c r="IA332" s="102"/>
      <c r="IB332" s="102"/>
      <c r="IC332" s="102"/>
      <c r="ID332" s="102"/>
      <c r="IE332" s="102"/>
      <c r="IF332" s="102"/>
      <c r="IG332" s="102"/>
      <c r="IH332" s="102"/>
      <c r="II332" s="102"/>
      <c r="IJ332" s="102"/>
      <c r="IK332" s="102"/>
      <c r="IL332" s="102"/>
      <c r="IM332" s="102"/>
      <c r="IN332" s="102"/>
      <c r="IO332" s="102"/>
      <c r="IP332" s="102"/>
      <c r="IQ332" s="102"/>
      <c r="IR332" s="102"/>
      <c r="IS332" s="102"/>
      <c r="IT332" s="102"/>
      <c r="IU332" s="102"/>
      <c r="IV332" s="102"/>
      <c r="BFO332" s="102"/>
    </row>
    <row r="333" spans="1:256 1523:1523" ht="11.45" customHeight="1">
      <c r="A333" s="2496" t="s">
        <v>4732</v>
      </c>
      <c r="B333" s="2497"/>
      <c r="C333" s="2497"/>
      <c r="D333" s="2497"/>
      <c r="E333" s="2497"/>
      <c r="F333" s="2497"/>
      <c r="G333" s="2497"/>
      <c r="H333" s="2497"/>
      <c r="I333" s="2497"/>
      <c r="J333" s="2497"/>
      <c r="K333" s="2497"/>
      <c r="L333" s="2497"/>
      <c r="M333" s="2497"/>
      <c r="N333" s="2497"/>
      <c r="O333" s="2497"/>
      <c r="P333" s="2497"/>
      <c r="Q333" s="2498"/>
      <c r="R333" s="364" t="s">
        <v>1275</v>
      </c>
      <c r="S333" s="80"/>
      <c r="T333" s="102"/>
      <c r="U333" s="94"/>
      <c r="V333" s="94"/>
      <c r="W333" s="94"/>
      <c r="X333" s="94"/>
      <c r="Y333" s="94"/>
      <c r="Z333" s="94"/>
      <c r="AA333" s="94"/>
      <c r="AB333" s="94"/>
      <c r="AC333" s="94"/>
      <c r="AD333" s="94"/>
      <c r="AE333" s="365"/>
      <c r="AF333" s="366"/>
      <c r="AG333" s="102"/>
      <c r="AH333" s="102"/>
      <c r="AI333" s="102"/>
      <c r="AJ333" s="102"/>
      <c r="AK333" s="102"/>
      <c r="AL333" s="102"/>
      <c r="AM333" s="102"/>
      <c r="AN333" s="102"/>
      <c r="AO333" s="102"/>
      <c r="AP333" s="102"/>
      <c r="AQ333" s="102"/>
      <c r="AR333" s="102"/>
      <c r="AS333" s="102"/>
      <c r="AT333" s="102"/>
      <c r="AU333" s="102"/>
      <c r="AV333" s="102"/>
      <c r="AW333" s="102"/>
      <c r="AX333" s="102"/>
      <c r="AY333" s="102"/>
      <c r="AZ333" s="102"/>
      <c r="BA333" s="102"/>
      <c r="BB333" s="102"/>
      <c r="BC333" s="102"/>
      <c r="BD333" s="102"/>
      <c r="BE333" s="102"/>
      <c r="BF333" s="102"/>
      <c r="BG333" s="102"/>
      <c r="BH333" s="102"/>
      <c r="BI333" s="102"/>
      <c r="BJ333" s="102"/>
      <c r="BK333" s="102"/>
      <c r="BL333" s="102"/>
      <c r="BM333" s="102"/>
      <c r="BN333" s="102"/>
      <c r="BO333" s="102"/>
      <c r="BP333" s="102"/>
      <c r="BQ333" s="102"/>
      <c r="BR333" s="102"/>
      <c r="BS333" s="102"/>
      <c r="BT333" s="102"/>
      <c r="BU333" s="102"/>
      <c r="BV333" s="102"/>
      <c r="BW333" s="102"/>
      <c r="BX333" s="102"/>
      <c r="BY333" s="102"/>
      <c r="BZ333" s="102"/>
      <c r="CA333" s="102"/>
      <c r="CB333" s="102"/>
      <c r="CC333" s="102"/>
      <c r="CD333" s="102"/>
      <c r="CE333" s="102"/>
      <c r="CF333" s="102"/>
      <c r="CG333" s="102"/>
      <c r="CH333" s="102"/>
      <c r="CI333" s="102"/>
      <c r="CJ333" s="102"/>
      <c r="CK333" s="102"/>
      <c r="CL333" s="102"/>
      <c r="CM333" s="102"/>
      <c r="CN333" s="102"/>
      <c r="CO333" s="102"/>
      <c r="CP333" s="102"/>
      <c r="CQ333" s="102"/>
      <c r="CR333" s="102"/>
      <c r="CS333" s="102"/>
      <c r="CT333" s="102"/>
      <c r="CU333" s="102"/>
      <c r="CV333" s="102"/>
      <c r="CW333" s="102"/>
      <c r="CX333" s="102"/>
      <c r="CY333" s="102"/>
      <c r="CZ333" s="102"/>
      <c r="DA333" s="102"/>
      <c r="DB333" s="102"/>
      <c r="DC333" s="102"/>
      <c r="DD333" s="102"/>
      <c r="DE333" s="102"/>
      <c r="DF333" s="102"/>
      <c r="DG333" s="102"/>
      <c r="DH333" s="102"/>
      <c r="DI333" s="102"/>
      <c r="DJ333" s="102"/>
      <c r="DK333" s="102"/>
      <c r="DL333" s="102"/>
      <c r="DM333" s="102"/>
      <c r="DN333" s="102"/>
      <c r="DO333" s="102"/>
      <c r="DP333" s="102"/>
      <c r="DQ333" s="102"/>
      <c r="DR333" s="102"/>
      <c r="DS333" s="102"/>
      <c r="DT333" s="102"/>
      <c r="DU333" s="102"/>
      <c r="DV333" s="102"/>
      <c r="DW333" s="102"/>
      <c r="DX333" s="102"/>
      <c r="DY333" s="102"/>
      <c r="DZ333" s="102"/>
      <c r="EA333" s="102"/>
      <c r="EB333" s="102"/>
      <c r="EC333" s="102"/>
      <c r="ED333" s="102"/>
      <c r="EE333" s="102"/>
      <c r="EF333" s="102"/>
      <c r="EG333" s="102"/>
      <c r="EH333" s="102"/>
      <c r="EI333" s="102"/>
      <c r="EJ333" s="102"/>
      <c r="EK333" s="102"/>
      <c r="EL333" s="102"/>
      <c r="EM333" s="102"/>
      <c r="EN333" s="102"/>
      <c r="EO333" s="102"/>
      <c r="EP333" s="102"/>
      <c r="EQ333" s="102"/>
      <c r="ER333" s="102"/>
      <c r="ES333" s="102"/>
      <c r="ET333" s="102"/>
      <c r="EU333" s="102"/>
      <c r="EV333" s="102"/>
      <c r="EW333" s="102"/>
      <c r="EX333" s="102"/>
      <c r="EY333" s="102"/>
      <c r="EZ333" s="102"/>
      <c r="FA333" s="102"/>
      <c r="FB333" s="102"/>
      <c r="FC333" s="102"/>
      <c r="FD333" s="102"/>
      <c r="FE333" s="102"/>
      <c r="FF333" s="102"/>
      <c r="FG333" s="102"/>
      <c r="FH333" s="102"/>
      <c r="FI333" s="102"/>
      <c r="FJ333" s="102"/>
      <c r="FK333" s="102"/>
      <c r="FL333" s="102"/>
      <c r="FM333" s="102"/>
      <c r="FN333" s="102"/>
      <c r="FO333" s="102"/>
      <c r="FP333" s="102"/>
      <c r="FQ333" s="102"/>
      <c r="FR333" s="102"/>
      <c r="FS333" s="102"/>
      <c r="FT333" s="102"/>
      <c r="FU333" s="102"/>
      <c r="FV333" s="102"/>
      <c r="FW333" s="102"/>
      <c r="FX333" s="102"/>
      <c r="FY333" s="102"/>
      <c r="FZ333" s="102"/>
      <c r="GA333" s="102"/>
      <c r="GB333" s="102"/>
      <c r="GC333" s="102"/>
      <c r="GD333" s="102"/>
      <c r="GE333" s="102"/>
      <c r="GF333" s="102"/>
      <c r="GG333" s="102"/>
      <c r="GH333" s="102"/>
      <c r="GI333" s="102"/>
      <c r="GJ333" s="102"/>
      <c r="GK333" s="102"/>
      <c r="GL333" s="102"/>
      <c r="GM333" s="102"/>
      <c r="GN333" s="102"/>
      <c r="GO333" s="102"/>
      <c r="GP333" s="102"/>
      <c r="GQ333" s="102"/>
      <c r="GR333" s="102"/>
      <c r="GS333" s="102"/>
      <c r="GT333" s="102"/>
      <c r="GU333" s="102"/>
      <c r="GV333" s="102"/>
      <c r="GW333" s="102"/>
      <c r="GX333" s="102"/>
      <c r="GY333" s="102"/>
      <c r="GZ333" s="102"/>
      <c r="HA333" s="102"/>
      <c r="HB333" s="102"/>
      <c r="HC333" s="102"/>
      <c r="HD333" s="102"/>
      <c r="HE333" s="102"/>
      <c r="HF333" s="102"/>
      <c r="HG333" s="102"/>
      <c r="HH333" s="102"/>
      <c r="HI333" s="102"/>
      <c r="HJ333" s="102"/>
      <c r="HK333" s="102"/>
      <c r="HL333" s="102"/>
      <c r="HM333" s="102"/>
      <c r="HN333" s="102"/>
      <c r="HO333" s="102"/>
      <c r="HP333" s="102"/>
      <c r="HQ333" s="102"/>
      <c r="HR333" s="102"/>
      <c r="HS333" s="102"/>
      <c r="HT333" s="102"/>
      <c r="HU333" s="102"/>
      <c r="HV333" s="102"/>
      <c r="HW333" s="102"/>
      <c r="HX333" s="102"/>
      <c r="HY333" s="102"/>
      <c r="HZ333" s="102"/>
      <c r="IA333" s="102"/>
      <c r="IB333" s="102"/>
      <c r="IC333" s="102"/>
      <c r="ID333" s="102"/>
      <c r="IE333" s="102"/>
      <c r="IF333" s="102"/>
      <c r="IG333" s="102"/>
      <c r="IH333" s="102"/>
      <c r="II333" s="102"/>
      <c r="IJ333" s="102"/>
      <c r="IK333" s="102"/>
      <c r="IL333" s="102"/>
      <c r="IM333" s="102"/>
      <c r="IN333" s="102"/>
      <c r="IO333" s="102"/>
      <c r="IP333" s="102"/>
      <c r="IQ333" s="102"/>
      <c r="IR333" s="102"/>
      <c r="IS333" s="102"/>
      <c r="IT333" s="102"/>
      <c r="IU333" s="102"/>
      <c r="IV333" s="102"/>
      <c r="BFO333" s="102"/>
    </row>
    <row r="334" spans="1:256 1523:1523" ht="11.25" customHeight="1">
      <c r="A334" s="102"/>
      <c r="B334" s="95" t="s">
        <v>1276</v>
      </c>
      <c r="C334" s="96"/>
      <c r="D334" s="1532"/>
      <c r="E334" s="1532"/>
      <c r="F334" s="1532"/>
      <c r="G334" s="1532"/>
      <c r="H334" s="1532"/>
      <c r="I334" s="1532"/>
      <c r="J334" s="1532"/>
      <c r="K334" s="1532"/>
      <c r="L334" s="1532"/>
      <c r="M334" s="1532"/>
      <c r="N334" s="1532"/>
      <c r="O334" s="1532"/>
      <c r="P334" s="1532"/>
      <c r="Q334" s="1532"/>
      <c r="R334" s="102"/>
      <c r="S334" s="102"/>
      <c r="T334" s="102"/>
      <c r="U334" s="102"/>
      <c r="V334" s="102"/>
      <c r="W334" s="102"/>
      <c r="X334" s="102"/>
      <c r="Y334" s="102"/>
      <c r="Z334" s="102"/>
      <c r="AA334" s="102"/>
      <c r="AB334" s="102"/>
      <c r="AC334" s="102"/>
      <c r="AD334" s="102"/>
      <c r="AE334" s="366"/>
      <c r="AF334" s="366"/>
      <c r="AG334" s="102"/>
      <c r="AH334" s="102"/>
      <c r="AI334" s="102"/>
      <c r="AJ334" s="102"/>
      <c r="AK334" s="102"/>
      <c r="AL334" s="102"/>
      <c r="AM334" s="102"/>
      <c r="AN334" s="102"/>
      <c r="AO334" s="102"/>
      <c r="AP334" s="102"/>
      <c r="AQ334" s="102"/>
      <c r="AR334" s="102"/>
      <c r="AS334" s="102"/>
      <c r="AT334" s="102"/>
      <c r="AU334" s="102"/>
      <c r="AV334" s="102"/>
      <c r="AW334" s="102"/>
      <c r="AX334" s="102"/>
      <c r="AY334" s="102"/>
      <c r="AZ334" s="102"/>
      <c r="BA334" s="102"/>
      <c r="BB334" s="102"/>
      <c r="BC334" s="102"/>
      <c r="BD334" s="102"/>
      <c r="BE334" s="102"/>
      <c r="BF334" s="102"/>
      <c r="BG334" s="102"/>
      <c r="BH334" s="102"/>
      <c r="BI334" s="102"/>
      <c r="BJ334" s="102"/>
      <c r="BK334" s="102"/>
      <c r="BL334" s="102"/>
      <c r="BM334" s="102"/>
      <c r="BN334" s="102"/>
      <c r="BO334" s="102"/>
      <c r="BP334" s="102"/>
      <c r="BQ334" s="102"/>
      <c r="BR334" s="102"/>
      <c r="BS334" s="102"/>
      <c r="BT334" s="102"/>
      <c r="BU334" s="102"/>
      <c r="BV334" s="102"/>
      <c r="BW334" s="102"/>
      <c r="BX334" s="102"/>
      <c r="BY334" s="102"/>
      <c r="BZ334" s="102"/>
      <c r="CA334" s="102"/>
      <c r="CB334" s="102"/>
      <c r="CC334" s="102"/>
      <c r="CD334" s="102"/>
      <c r="CE334" s="102"/>
      <c r="CF334" s="102"/>
      <c r="CG334" s="102"/>
      <c r="CH334" s="102"/>
      <c r="CI334" s="102"/>
      <c r="CJ334" s="102"/>
      <c r="CK334" s="102"/>
      <c r="CL334" s="102"/>
      <c r="CM334" s="102"/>
      <c r="CN334" s="102"/>
      <c r="CO334" s="102"/>
      <c r="CP334" s="102"/>
      <c r="CQ334" s="102"/>
      <c r="CR334" s="102"/>
      <c r="CS334" s="102"/>
      <c r="CT334" s="102"/>
      <c r="CU334" s="102"/>
      <c r="CV334" s="102"/>
      <c r="CW334" s="102"/>
      <c r="CX334" s="102"/>
      <c r="CY334" s="102"/>
      <c r="CZ334" s="102"/>
      <c r="DA334" s="102"/>
      <c r="DB334" s="102"/>
      <c r="DC334" s="102"/>
      <c r="DD334" s="102"/>
      <c r="DE334" s="102"/>
      <c r="DF334" s="102"/>
      <c r="DG334" s="102"/>
      <c r="DH334" s="102"/>
      <c r="DI334" s="102"/>
      <c r="DJ334" s="102"/>
      <c r="DK334" s="102"/>
      <c r="DL334" s="102"/>
      <c r="DM334" s="102"/>
      <c r="DN334" s="102"/>
      <c r="DO334" s="102"/>
      <c r="DP334" s="102"/>
      <c r="DQ334" s="102"/>
      <c r="DR334" s="102"/>
      <c r="DS334" s="102"/>
      <c r="DT334" s="102"/>
      <c r="DU334" s="102"/>
      <c r="DV334" s="102"/>
      <c r="DW334" s="102"/>
      <c r="DX334" s="102"/>
      <c r="DY334" s="102"/>
      <c r="DZ334" s="102"/>
      <c r="EA334" s="102"/>
      <c r="EB334" s="102"/>
      <c r="EC334" s="102"/>
      <c r="ED334" s="102"/>
      <c r="EE334" s="102"/>
      <c r="EF334" s="102"/>
      <c r="EG334" s="102"/>
      <c r="EH334" s="102"/>
      <c r="EI334" s="102"/>
      <c r="EJ334" s="102"/>
      <c r="EK334" s="102"/>
      <c r="EL334" s="102"/>
      <c r="EM334" s="102"/>
      <c r="EN334" s="102"/>
      <c r="EO334" s="102"/>
      <c r="EP334" s="102"/>
      <c r="EQ334" s="102"/>
      <c r="ER334" s="102"/>
      <c r="ES334" s="102"/>
      <c r="ET334" s="102"/>
      <c r="EU334" s="102"/>
      <c r="EV334" s="102"/>
      <c r="EW334" s="102"/>
      <c r="EX334" s="102"/>
      <c r="EY334" s="102"/>
      <c r="EZ334" s="102"/>
      <c r="FA334" s="102"/>
      <c r="FB334" s="102"/>
      <c r="FC334" s="102"/>
      <c r="FD334" s="102"/>
      <c r="FE334" s="102"/>
      <c r="FF334" s="102"/>
      <c r="FG334" s="102"/>
      <c r="FH334" s="102"/>
      <c r="FI334" s="102"/>
      <c r="FJ334" s="102"/>
      <c r="FK334" s="102"/>
      <c r="FL334" s="102"/>
      <c r="FM334" s="102"/>
      <c r="FN334" s="102"/>
      <c r="FO334" s="102"/>
      <c r="FP334" s="102"/>
      <c r="FQ334" s="102"/>
      <c r="FR334" s="102"/>
      <c r="FS334" s="102"/>
      <c r="FT334" s="102"/>
      <c r="FU334" s="102"/>
      <c r="FV334" s="102"/>
      <c r="FW334" s="102"/>
      <c r="FX334" s="102"/>
      <c r="FY334" s="102"/>
      <c r="FZ334" s="102"/>
      <c r="GA334" s="102"/>
      <c r="GB334" s="102"/>
      <c r="GC334" s="102"/>
      <c r="GD334" s="102"/>
      <c r="GE334" s="102"/>
      <c r="GF334" s="102"/>
      <c r="GG334" s="102"/>
      <c r="GH334" s="102"/>
      <c r="GI334" s="102"/>
      <c r="GJ334" s="102"/>
      <c r="GK334" s="102"/>
      <c r="GL334" s="102"/>
      <c r="GM334" s="102"/>
      <c r="GN334" s="102"/>
      <c r="GO334" s="102"/>
      <c r="GP334" s="102"/>
      <c r="GQ334" s="102"/>
      <c r="GR334" s="102"/>
      <c r="GS334" s="102"/>
      <c r="GT334" s="102"/>
      <c r="GU334" s="102"/>
      <c r="GV334" s="102"/>
      <c r="GW334" s="102"/>
      <c r="GX334" s="102"/>
      <c r="GY334" s="102"/>
      <c r="GZ334" s="102"/>
      <c r="HA334" s="102"/>
      <c r="HB334" s="102"/>
      <c r="HC334" s="102"/>
      <c r="HD334" s="102"/>
      <c r="HE334" s="102"/>
      <c r="HF334" s="102"/>
      <c r="HG334" s="102"/>
      <c r="HH334" s="102"/>
      <c r="HI334" s="102"/>
      <c r="HJ334" s="102"/>
      <c r="HK334" s="102"/>
      <c r="HL334" s="102"/>
      <c r="HM334" s="102"/>
      <c r="HN334" s="102"/>
      <c r="HO334" s="102"/>
      <c r="HP334" s="102"/>
      <c r="HQ334" s="102"/>
      <c r="HR334" s="102"/>
      <c r="HS334" s="102"/>
      <c r="HT334" s="102"/>
      <c r="HU334" s="102"/>
      <c r="HV334" s="102"/>
      <c r="HW334" s="102"/>
      <c r="HX334" s="102"/>
      <c r="HY334" s="102"/>
      <c r="HZ334" s="102"/>
      <c r="IA334" s="102"/>
      <c r="IB334" s="102"/>
      <c r="IC334" s="102"/>
      <c r="ID334" s="102"/>
      <c r="IE334" s="102"/>
      <c r="IF334" s="102"/>
      <c r="IG334" s="102"/>
      <c r="IH334" s="102"/>
      <c r="II334" s="102"/>
      <c r="IJ334" s="102"/>
      <c r="IK334" s="102"/>
      <c r="IL334" s="102"/>
      <c r="IM334" s="102"/>
      <c r="IN334" s="102"/>
      <c r="IO334" s="102"/>
      <c r="IP334" s="102"/>
      <c r="IQ334" s="102"/>
      <c r="IR334" s="102"/>
      <c r="IS334" s="102"/>
      <c r="IT334" s="102"/>
      <c r="IU334" s="102"/>
      <c r="IV334" s="102"/>
      <c r="BFO334" s="102"/>
    </row>
    <row r="335" spans="1:256 1523:1523" ht="11.45" customHeight="1">
      <c r="A335" s="1835"/>
      <c r="B335" s="1836"/>
      <c r="C335" s="1836"/>
      <c r="D335" s="1836"/>
      <c r="E335" s="1836"/>
      <c r="F335" s="1836"/>
      <c r="G335" s="1836"/>
      <c r="H335" s="1836"/>
      <c r="I335" s="1836"/>
      <c r="J335" s="1836"/>
      <c r="K335" s="1836"/>
      <c r="L335" s="1836"/>
      <c r="M335" s="1836"/>
      <c r="N335" s="1836"/>
      <c r="O335" s="1836"/>
      <c r="P335" s="1836"/>
      <c r="Q335" s="1837"/>
      <c r="R335" s="102"/>
      <c r="S335" s="102"/>
      <c r="T335" s="102"/>
      <c r="U335" s="102"/>
      <c r="V335" s="102"/>
      <c r="W335" s="102"/>
      <c r="X335" s="102"/>
      <c r="Y335" s="102"/>
      <c r="Z335" s="102"/>
      <c r="AA335" s="102"/>
      <c r="AB335" s="102"/>
      <c r="AC335" s="102"/>
      <c r="AD335" s="102"/>
      <c r="AE335" s="366"/>
      <c r="AF335" s="366"/>
      <c r="AG335" s="102"/>
      <c r="AH335" s="102"/>
      <c r="AI335" s="102"/>
      <c r="AJ335" s="102"/>
      <c r="AK335" s="102"/>
      <c r="AL335" s="102"/>
      <c r="AM335" s="102"/>
      <c r="AN335" s="102"/>
      <c r="AO335" s="102"/>
      <c r="AP335" s="102"/>
      <c r="AQ335" s="102"/>
      <c r="AR335" s="102"/>
      <c r="AS335" s="102"/>
      <c r="AT335" s="102"/>
      <c r="AU335" s="102"/>
      <c r="AV335" s="102"/>
      <c r="AW335" s="102"/>
      <c r="AX335" s="102"/>
      <c r="AY335" s="102"/>
      <c r="AZ335" s="102"/>
      <c r="BA335" s="102"/>
      <c r="BB335" s="102"/>
      <c r="BC335" s="102"/>
      <c r="BD335" s="102"/>
      <c r="BE335" s="102"/>
      <c r="BF335" s="102"/>
      <c r="BG335" s="102"/>
      <c r="BH335" s="102"/>
      <c r="BI335" s="102"/>
      <c r="BJ335" s="102"/>
      <c r="BK335" s="102"/>
      <c r="BL335" s="102"/>
      <c r="BM335" s="102"/>
      <c r="BN335" s="102"/>
      <c r="BO335" s="102"/>
      <c r="BP335" s="102"/>
      <c r="BQ335" s="102"/>
      <c r="BR335" s="102"/>
      <c r="BS335" s="102"/>
      <c r="BT335" s="102"/>
      <c r="BU335" s="102"/>
      <c r="BV335" s="102"/>
      <c r="BW335" s="102"/>
      <c r="BX335" s="102"/>
      <c r="BY335" s="102"/>
      <c r="BZ335" s="102"/>
      <c r="CA335" s="102"/>
      <c r="CB335" s="102"/>
      <c r="CC335" s="102"/>
      <c r="CD335" s="102"/>
      <c r="CE335" s="102"/>
      <c r="CF335" s="102"/>
      <c r="CG335" s="102"/>
      <c r="CH335" s="102"/>
      <c r="CI335" s="102"/>
      <c r="CJ335" s="102"/>
      <c r="CK335" s="102"/>
      <c r="CL335" s="102"/>
      <c r="CM335" s="102"/>
      <c r="CN335" s="102"/>
      <c r="CO335" s="102"/>
      <c r="CP335" s="102"/>
      <c r="CQ335" s="102"/>
      <c r="CR335" s="102"/>
      <c r="CS335" s="102"/>
      <c r="CT335" s="102"/>
      <c r="CU335" s="102"/>
      <c r="CV335" s="102"/>
      <c r="CW335" s="102"/>
      <c r="CX335" s="102"/>
      <c r="CY335" s="102"/>
      <c r="CZ335" s="102"/>
      <c r="DA335" s="102"/>
      <c r="DB335" s="102"/>
      <c r="DC335" s="102"/>
      <c r="DD335" s="102"/>
      <c r="DE335" s="102"/>
      <c r="DF335" s="102"/>
      <c r="DG335" s="102"/>
      <c r="DH335" s="102"/>
      <c r="DI335" s="102"/>
      <c r="DJ335" s="102"/>
      <c r="DK335" s="102"/>
      <c r="DL335" s="102"/>
      <c r="DM335" s="102"/>
      <c r="DN335" s="102"/>
      <c r="DO335" s="102"/>
      <c r="DP335" s="102"/>
      <c r="DQ335" s="102"/>
      <c r="DR335" s="102"/>
      <c r="DS335" s="102"/>
      <c r="DT335" s="102"/>
      <c r="DU335" s="102"/>
      <c r="DV335" s="102"/>
      <c r="DW335" s="102"/>
      <c r="DX335" s="102"/>
      <c r="DY335" s="102"/>
      <c r="DZ335" s="102"/>
      <c r="EA335" s="102"/>
      <c r="EB335" s="102"/>
      <c r="EC335" s="102"/>
      <c r="ED335" s="102"/>
      <c r="EE335" s="102"/>
      <c r="EF335" s="102"/>
      <c r="EG335" s="102"/>
      <c r="EH335" s="102"/>
      <c r="EI335" s="102"/>
      <c r="EJ335" s="102"/>
      <c r="EK335" s="102"/>
      <c r="EL335" s="102"/>
      <c r="EM335" s="102"/>
      <c r="EN335" s="102"/>
      <c r="EO335" s="102"/>
      <c r="EP335" s="102"/>
      <c r="EQ335" s="102"/>
      <c r="ER335" s="102"/>
      <c r="ES335" s="102"/>
      <c r="ET335" s="102"/>
      <c r="EU335" s="102"/>
      <c r="EV335" s="102"/>
      <c r="EW335" s="102"/>
      <c r="EX335" s="102"/>
      <c r="EY335" s="102"/>
      <c r="EZ335" s="102"/>
      <c r="FA335" s="102"/>
      <c r="FB335" s="102"/>
      <c r="FC335" s="102"/>
      <c r="FD335" s="102"/>
      <c r="FE335" s="102"/>
      <c r="FF335" s="102"/>
      <c r="FG335" s="102"/>
      <c r="FH335" s="102"/>
      <c r="FI335" s="102"/>
      <c r="FJ335" s="102"/>
      <c r="FK335" s="102"/>
      <c r="FL335" s="102"/>
      <c r="FM335" s="102"/>
      <c r="FN335" s="102"/>
      <c r="FO335" s="102"/>
      <c r="FP335" s="102"/>
      <c r="FQ335" s="102"/>
      <c r="FR335" s="102"/>
      <c r="FS335" s="102"/>
      <c r="FT335" s="102"/>
      <c r="FU335" s="102"/>
      <c r="FV335" s="102"/>
      <c r="FW335" s="102"/>
      <c r="FX335" s="102"/>
      <c r="FY335" s="102"/>
      <c r="FZ335" s="102"/>
      <c r="GA335" s="102"/>
      <c r="GB335" s="102"/>
      <c r="GC335" s="102"/>
      <c r="GD335" s="102"/>
      <c r="GE335" s="102"/>
      <c r="GF335" s="102"/>
      <c r="GG335" s="102"/>
      <c r="GH335" s="102"/>
      <c r="GI335" s="102"/>
      <c r="GJ335" s="102"/>
      <c r="GK335" s="102"/>
      <c r="GL335" s="102"/>
      <c r="GM335" s="102"/>
      <c r="GN335" s="102"/>
      <c r="GO335" s="102"/>
      <c r="GP335" s="102"/>
      <c r="GQ335" s="102"/>
      <c r="GR335" s="102"/>
      <c r="GS335" s="102"/>
      <c r="GT335" s="102"/>
      <c r="GU335" s="102"/>
      <c r="GV335" s="102"/>
      <c r="GW335" s="102"/>
      <c r="GX335" s="102"/>
      <c r="GY335" s="102"/>
      <c r="GZ335" s="102"/>
      <c r="HA335" s="102"/>
      <c r="HB335" s="102"/>
      <c r="HC335" s="102"/>
      <c r="HD335" s="102"/>
      <c r="HE335" s="102"/>
      <c r="HF335" s="102"/>
      <c r="HG335" s="102"/>
      <c r="HH335" s="102"/>
      <c r="HI335" s="102"/>
      <c r="HJ335" s="102"/>
      <c r="HK335" s="102"/>
      <c r="HL335" s="102"/>
      <c r="HM335" s="102"/>
      <c r="HN335" s="102"/>
      <c r="HO335" s="102"/>
      <c r="HP335" s="102"/>
      <c r="HQ335" s="102"/>
      <c r="HR335" s="102"/>
      <c r="HS335" s="102"/>
      <c r="HT335" s="102"/>
      <c r="HU335" s="102"/>
      <c r="HV335" s="102"/>
      <c r="HW335" s="102"/>
      <c r="HX335" s="102"/>
      <c r="HY335" s="102"/>
      <c r="HZ335" s="102"/>
      <c r="IA335" s="102"/>
      <c r="IB335" s="102"/>
      <c r="IC335" s="102"/>
      <c r="ID335" s="102"/>
      <c r="IE335" s="102"/>
      <c r="IF335" s="102"/>
      <c r="IG335" s="102"/>
      <c r="IH335" s="102"/>
      <c r="II335" s="102"/>
      <c r="IJ335" s="102"/>
      <c r="IK335" s="102"/>
      <c r="IL335" s="102"/>
      <c r="IM335" s="102"/>
      <c r="IN335" s="102"/>
      <c r="IO335" s="102"/>
      <c r="IP335" s="102"/>
      <c r="IQ335" s="102"/>
      <c r="IR335" s="102"/>
      <c r="IS335" s="102"/>
      <c r="IT335" s="102"/>
      <c r="IU335" s="102"/>
      <c r="IV335" s="102"/>
      <c r="BFO335" s="102"/>
    </row>
    <row r="336" spans="1:256 1523:1523" ht="13.9" customHeight="1">
      <c r="A336" s="1526" t="s">
        <v>1530</v>
      </c>
      <c r="B336" s="1526" t="s">
        <v>1531</v>
      </c>
      <c r="C336" s="1526"/>
      <c r="D336" s="1532"/>
      <c r="E336" s="1532"/>
      <c r="F336" s="1532"/>
      <c r="G336" s="1532"/>
      <c r="H336" s="1532"/>
      <c r="I336" s="102"/>
      <c r="J336" s="102"/>
      <c r="K336" s="102"/>
      <c r="L336" s="102"/>
      <c r="M336" s="102"/>
      <c r="N336" s="102"/>
      <c r="O336" s="90" t="s">
        <v>1273</v>
      </c>
      <c r="P336" s="1838"/>
      <c r="Q336" s="1845"/>
      <c r="R336" s="102"/>
      <c r="S336" s="102"/>
      <c r="T336" s="102"/>
      <c r="U336" s="102"/>
      <c r="V336" s="102"/>
      <c r="W336" s="102"/>
      <c r="X336" s="102"/>
      <c r="Y336" s="102"/>
      <c r="Z336" s="102"/>
      <c r="AA336" s="102"/>
      <c r="AB336" s="102"/>
      <c r="AC336" s="102"/>
      <c r="AD336" s="102"/>
      <c r="AE336" s="366"/>
      <c r="AF336" s="366"/>
      <c r="AG336" s="102"/>
      <c r="AH336" s="102"/>
      <c r="AI336" s="102"/>
      <c r="AJ336" s="102"/>
      <c r="AK336" s="102"/>
      <c r="AL336" s="102"/>
      <c r="AM336" s="102"/>
      <c r="AN336" s="102"/>
      <c r="AO336" s="102"/>
      <c r="AP336" s="102"/>
      <c r="AQ336" s="102"/>
      <c r="AR336" s="102"/>
      <c r="AS336" s="102"/>
      <c r="AT336" s="102"/>
      <c r="AU336" s="102"/>
      <c r="AV336" s="102"/>
      <c r="AW336" s="102"/>
      <c r="AX336" s="102"/>
      <c r="AY336" s="102"/>
      <c r="AZ336" s="102"/>
      <c r="BA336" s="102"/>
      <c r="BB336" s="102"/>
      <c r="BC336" s="102"/>
      <c r="BD336" s="102"/>
      <c r="BE336" s="102"/>
      <c r="BF336" s="102"/>
      <c r="BG336" s="102"/>
      <c r="BH336" s="102"/>
      <c r="BI336" s="102"/>
      <c r="BJ336" s="102"/>
      <c r="BK336" s="102"/>
      <c r="BL336" s="102"/>
      <c r="BM336" s="102"/>
      <c r="BN336" s="102"/>
      <c r="BO336" s="102"/>
      <c r="BP336" s="102"/>
      <c r="BQ336" s="102"/>
      <c r="BR336" s="102"/>
      <c r="BS336" s="102"/>
      <c r="BT336" s="102"/>
      <c r="BU336" s="102"/>
      <c r="BV336" s="102"/>
      <c r="BW336" s="102"/>
      <c r="BX336" s="102"/>
      <c r="BY336" s="102"/>
      <c r="BZ336" s="102"/>
      <c r="CA336" s="102"/>
      <c r="CB336" s="102"/>
      <c r="CC336" s="102"/>
      <c r="CD336" s="102"/>
      <c r="CE336" s="102"/>
      <c r="CF336" s="102"/>
      <c r="CG336" s="102"/>
      <c r="CH336" s="102"/>
      <c r="CI336" s="102"/>
      <c r="CJ336" s="102"/>
      <c r="CK336" s="102"/>
      <c r="CL336" s="102"/>
      <c r="CM336" s="102"/>
      <c r="CN336" s="102"/>
      <c r="CO336" s="102"/>
      <c r="CP336" s="102"/>
      <c r="CQ336" s="102"/>
      <c r="CR336" s="102"/>
      <c r="CS336" s="102"/>
      <c r="CT336" s="102"/>
      <c r="CU336" s="102"/>
      <c r="CV336" s="102"/>
      <c r="CW336" s="102"/>
      <c r="CX336" s="102"/>
      <c r="CY336" s="102"/>
      <c r="CZ336" s="102"/>
      <c r="DA336" s="102"/>
      <c r="DB336" s="102"/>
      <c r="DC336" s="102"/>
      <c r="DD336" s="102"/>
      <c r="DE336" s="102"/>
      <c r="DF336" s="102"/>
      <c r="DG336" s="102"/>
      <c r="DH336" s="102"/>
      <c r="DI336" s="102"/>
      <c r="DJ336" s="102"/>
      <c r="DK336" s="102"/>
      <c r="DL336" s="102"/>
      <c r="DM336" s="102"/>
      <c r="DN336" s="102"/>
      <c r="DO336" s="102"/>
      <c r="DP336" s="102"/>
      <c r="DQ336" s="102"/>
      <c r="DR336" s="102"/>
      <c r="DS336" s="102"/>
      <c r="DT336" s="102"/>
      <c r="DU336" s="102"/>
      <c r="DV336" s="102"/>
      <c r="DW336" s="102"/>
      <c r="DX336" s="102"/>
      <c r="DY336" s="102"/>
      <c r="DZ336" s="102"/>
      <c r="EA336" s="102"/>
      <c r="EB336" s="102"/>
      <c r="EC336" s="102"/>
      <c r="ED336" s="102"/>
      <c r="EE336" s="102"/>
      <c r="EF336" s="102"/>
      <c r="EG336" s="102"/>
      <c r="EH336" s="102"/>
      <c r="EI336" s="102"/>
      <c r="EJ336" s="102"/>
      <c r="EK336" s="102"/>
      <c r="EL336" s="102"/>
      <c r="EM336" s="102"/>
      <c r="EN336" s="102"/>
      <c r="EO336" s="102"/>
      <c r="EP336" s="102"/>
      <c r="EQ336" s="102"/>
      <c r="ER336" s="102"/>
      <c r="ES336" s="102"/>
      <c r="ET336" s="102"/>
      <c r="EU336" s="102"/>
      <c r="EV336" s="102"/>
      <c r="EW336" s="102"/>
      <c r="EX336" s="102"/>
      <c r="EY336" s="102"/>
      <c r="EZ336" s="102"/>
      <c r="FA336" s="102"/>
      <c r="FB336" s="102"/>
      <c r="FC336" s="102"/>
      <c r="FD336" s="102"/>
      <c r="FE336" s="102"/>
      <c r="FF336" s="102"/>
      <c r="FG336" s="102"/>
      <c r="FH336" s="102"/>
      <c r="FI336" s="102"/>
      <c r="FJ336" s="102"/>
      <c r="FK336" s="102"/>
      <c r="FL336" s="102"/>
      <c r="FM336" s="102"/>
      <c r="FN336" s="102"/>
      <c r="FO336" s="102"/>
      <c r="FP336" s="102"/>
      <c r="FQ336" s="102"/>
      <c r="FR336" s="102"/>
      <c r="FS336" s="102"/>
      <c r="FT336" s="102"/>
      <c r="FU336" s="102"/>
      <c r="FV336" s="102"/>
      <c r="FW336" s="102"/>
      <c r="FX336" s="102"/>
      <c r="FY336" s="102"/>
      <c r="FZ336" s="102"/>
      <c r="GA336" s="102"/>
      <c r="GB336" s="102"/>
      <c r="GC336" s="102"/>
      <c r="GD336" s="102"/>
      <c r="GE336" s="102"/>
      <c r="GF336" s="102"/>
      <c r="GG336" s="102"/>
      <c r="GH336" s="102"/>
      <c r="GI336" s="102"/>
      <c r="GJ336" s="102"/>
      <c r="GK336" s="102"/>
      <c r="GL336" s="102"/>
      <c r="GM336" s="102"/>
      <c r="GN336" s="102"/>
      <c r="GO336" s="102"/>
      <c r="GP336" s="102"/>
      <c r="GQ336" s="102"/>
      <c r="GR336" s="102"/>
      <c r="GS336" s="102"/>
      <c r="GT336" s="102"/>
      <c r="GU336" s="102"/>
      <c r="GV336" s="102"/>
      <c r="GW336" s="102"/>
      <c r="GX336" s="102"/>
      <c r="GY336" s="102"/>
      <c r="GZ336" s="102"/>
      <c r="HA336" s="102"/>
      <c r="HB336" s="102"/>
      <c r="HC336" s="102"/>
      <c r="HD336" s="102"/>
      <c r="HE336" s="102"/>
      <c r="HF336" s="102"/>
      <c r="HG336" s="102"/>
      <c r="HH336" s="102"/>
      <c r="HI336" s="102"/>
      <c r="HJ336" s="102"/>
      <c r="HK336" s="102"/>
      <c r="HL336" s="102"/>
      <c r="HM336" s="102"/>
      <c r="HN336" s="102"/>
      <c r="HO336" s="102"/>
      <c r="HP336" s="102"/>
      <c r="HQ336" s="102"/>
      <c r="HR336" s="102"/>
      <c r="HS336" s="102"/>
      <c r="HT336" s="102"/>
      <c r="HU336" s="102"/>
      <c r="HV336" s="102"/>
      <c r="HW336" s="102"/>
      <c r="HX336" s="102"/>
      <c r="HY336" s="102"/>
      <c r="HZ336" s="102"/>
      <c r="IA336" s="102"/>
      <c r="IB336" s="102"/>
      <c r="IC336" s="102"/>
      <c r="ID336" s="102"/>
      <c r="IE336" s="102"/>
      <c r="IF336" s="102"/>
      <c r="IG336" s="102"/>
      <c r="IH336" s="102"/>
      <c r="II336" s="102"/>
      <c r="IJ336" s="102"/>
      <c r="IK336" s="102"/>
      <c r="IL336" s="102"/>
      <c r="IM336" s="102"/>
      <c r="IN336" s="102"/>
      <c r="IO336" s="102"/>
      <c r="IP336" s="102"/>
      <c r="IQ336" s="102"/>
      <c r="IR336" s="102"/>
      <c r="IS336" s="102"/>
      <c r="IT336" s="102"/>
      <c r="IU336" s="102"/>
      <c r="IV336" s="102"/>
      <c r="BFO336" s="102"/>
    </row>
    <row r="337" spans="1:31" ht="11.45" customHeight="1">
      <c r="A337" s="28" t="s">
        <v>110</v>
      </c>
      <c r="B337" s="33" t="s">
        <v>1532</v>
      </c>
      <c r="C337" s="102"/>
      <c r="D337" s="102"/>
      <c r="E337" s="102"/>
      <c r="F337" s="102"/>
      <c r="G337" s="102"/>
      <c r="H337" s="102"/>
      <c r="I337" s="102"/>
      <c r="J337" s="102"/>
      <c r="K337" s="102"/>
      <c r="L337" s="102"/>
      <c r="M337" s="102"/>
      <c r="N337" s="102"/>
      <c r="O337" s="113" t="s">
        <v>110</v>
      </c>
      <c r="P337" s="2383" t="s">
        <v>22</v>
      </c>
      <c r="Q337" s="1411"/>
      <c r="R337" s="102"/>
      <c r="S337" s="102"/>
      <c r="T337" s="102"/>
      <c r="U337" s="102"/>
      <c r="V337" s="102"/>
      <c r="W337" s="102"/>
      <c r="X337" s="102"/>
      <c r="Y337" s="102"/>
      <c r="Z337" s="102"/>
      <c r="AA337" s="102"/>
      <c r="AB337" s="102"/>
      <c r="AC337" s="102"/>
      <c r="AD337" s="102"/>
      <c r="AE337" s="366"/>
    </row>
    <row r="338" spans="1:31" ht="11.45" customHeight="1">
      <c r="A338" s="100" t="s">
        <v>121</v>
      </c>
      <c r="B338" s="33" t="s">
        <v>1533</v>
      </c>
      <c r="C338" s="102"/>
      <c r="D338" s="102"/>
      <c r="E338" s="102"/>
      <c r="F338" s="102"/>
      <c r="G338" s="102"/>
      <c r="H338" s="102"/>
      <c r="I338" s="102"/>
      <c r="J338" s="102"/>
      <c r="K338" s="102"/>
      <c r="L338" s="102"/>
      <c r="M338" s="102"/>
      <c r="N338" s="102"/>
      <c r="O338" s="113" t="s">
        <v>121</v>
      </c>
      <c r="P338" s="2313" t="s">
        <v>22</v>
      </c>
      <c r="Q338" s="425"/>
      <c r="R338" s="102"/>
      <c r="S338" s="102"/>
      <c r="T338" s="102"/>
      <c r="U338" s="102"/>
      <c r="V338" s="102"/>
      <c r="W338" s="102"/>
      <c r="X338" s="102"/>
      <c r="Y338" s="102"/>
      <c r="Z338" s="102"/>
      <c r="AA338" s="102"/>
      <c r="AB338" s="102"/>
      <c r="AC338" s="102"/>
      <c r="AD338" s="102"/>
      <c r="AE338" s="366"/>
    </row>
    <row r="339" spans="1:31" ht="11.45" customHeight="1">
      <c r="A339" s="100" t="s">
        <v>123</v>
      </c>
      <c r="B339" s="33" t="s">
        <v>1534</v>
      </c>
      <c r="C339" s="102"/>
      <c r="D339" s="102"/>
      <c r="E339" s="102"/>
      <c r="F339" s="102"/>
      <c r="G339" s="102"/>
      <c r="H339" s="102"/>
      <c r="I339" s="102"/>
      <c r="J339" s="102"/>
      <c r="K339" s="102"/>
      <c r="L339" s="102"/>
      <c r="M339" s="102"/>
      <c r="N339" s="102"/>
      <c r="O339" s="113" t="s">
        <v>123</v>
      </c>
      <c r="P339" s="2319" t="s">
        <v>21</v>
      </c>
      <c r="Q339" s="426"/>
      <c r="R339" s="102"/>
      <c r="S339" s="102"/>
      <c r="T339" s="102"/>
      <c r="U339" s="102"/>
      <c r="V339" s="102"/>
      <c r="W339" s="102"/>
      <c r="X339" s="102"/>
      <c r="Y339" s="102"/>
      <c r="Z339" s="102"/>
      <c r="AA339" s="102"/>
      <c r="AB339" s="102"/>
      <c r="AC339" s="102"/>
      <c r="AD339" s="102"/>
      <c r="AE339" s="366"/>
    </row>
    <row r="340" spans="1:31" ht="11.45" customHeight="1">
      <c r="A340" s="28" t="s">
        <v>126</v>
      </c>
      <c r="B340" s="33" t="s">
        <v>1535</v>
      </c>
      <c r="C340" s="102"/>
      <c r="D340" s="102"/>
      <c r="E340" s="102"/>
      <c r="F340" s="102"/>
      <c r="G340" s="102"/>
      <c r="H340" s="102"/>
      <c r="I340" s="102"/>
      <c r="J340" s="102"/>
      <c r="K340" s="102"/>
      <c r="L340" s="102"/>
      <c r="M340" s="102"/>
      <c r="N340" s="102"/>
      <c r="O340" s="363" t="s">
        <v>126</v>
      </c>
      <c r="P340" s="2312" t="s">
        <v>21</v>
      </c>
      <c r="Q340" s="427"/>
      <c r="R340" s="102"/>
      <c r="S340" s="102"/>
      <c r="T340" s="102"/>
      <c r="U340" s="102"/>
      <c r="V340" s="102"/>
      <c r="W340" s="102"/>
      <c r="X340" s="102"/>
      <c r="Y340" s="102"/>
      <c r="Z340" s="102"/>
      <c r="AA340" s="102"/>
      <c r="AB340" s="102"/>
      <c r="AC340" s="102"/>
      <c r="AD340" s="102"/>
      <c r="AE340" s="366"/>
    </row>
    <row r="341" spans="1:31" ht="11.45" customHeight="1">
      <c r="A341" s="100" t="s">
        <v>140</v>
      </c>
      <c r="B341" s="33" t="s">
        <v>1536</v>
      </c>
      <c r="C341" s="102"/>
      <c r="D341" s="102"/>
      <c r="E341" s="102"/>
      <c r="F341" s="102"/>
      <c r="G341" s="102"/>
      <c r="H341" s="102"/>
      <c r="I341" s="102"/>
      <c r="J341" s="102"/>
      <c r="K341" s="102"/>
      <c r="L341" s="102"/>
      <c r="M341" s="102"/>
      <c r="N341" s="113" t="s">
        <v>140</v>
      </c>
      <c r="O341" s="2571" t="s">
        <v>1639</v>
      </c>
      <c r="P341" s="2572"/>
      <c r="Q341" s="2573"/>
      <c r="R341" s="102"/>
      <c r="S341" s="102"/>
      <c r="T341" s="102"/>
      <c r="U341" s="102"/>
      <c r="V341" s="102"/>
      <c r="W341" s="102"/>
      <c r="X341" s="102"/>
      <c r="Y341" s="102"/>
      <c r="Z341" s="102"/>
      <c r="AA341" s="102"/>
      <c r="AB341" s="102"/>
      <c r="AC341" s="102"/>
      <c r="AD341" s="102"/>
      <c r="AE341" s="366"/>
    </row>
    <row r="342" spans="1:31" ht="11.45" customHeight="1">
      <c r="A342" s="100" t="s">
        <v>147</v>
      </c>
      <c r="B342" s="307" t="s">
        <v>1537</v>
      </c>
      <c r="C342" s="102"/>
      <c r="D342" s="102"/>
      <c r="E342" s="102"/>
      <c r="F342" s="102"/>
      <c r="G342" s="102"/>
      <c r="H342" s="102"/>
      <c r="I342" s="102"/>
      <c r="J342" s="102"/>
      <c r="K342" s="102"/>
      <c r="L342" s="102"/>
      <c r="M342" s="102"/>
      <c r="N342" s="113" t="s">
        <v>147</v>
      </c>
      <c r="O342" s="1864" t="s">
        <v>263</v>
      </c>
      <c r="P342" s="1865"/>
      <c r="Q342" s="1866"/>
      <c r="R342" s="102"/>
      <c r="S342" s="102"/>
      <c r="T342" s="102"/>
      <c r="U342" s="102"/>
      <c r="V342" s="102"/>
      <c r="W342" s="102"/>
      <c r="X342" s="102"/>
      <c r="Y342" s="102"/>
      <c r="Z342" s="102"/>
      <c r="AA342" s="102"/>
      <c r="AB342" s="102"/>
      <c r="AC342" s="102"/>
      <c r="AD342" s="102"/>
      <c r="AE342" s="366"/>
    </row>
    <row r="343" spans="1:31" ht="11.25" customHeight="1">
      <c r="A343" s="102"/>
      <c r="B343" s="99" t="s">
        <v>1274</v>
      </c>
      <c r="C343" s="102"/>
      <c r="D343" s="99"/>
      <c r="E343" s="99"/>
      <c r="F343" s="99"/>
      <c r="G343" s="99"/>
      <c r="H343" s="22"/>
      <c r="I343" s="1529"/>
      <c r="J343" s="1529"/>
      <c r="K343" s="1529"/>
      <c r="L343" s="1524"/>
      <c r="M343" s="1524"/>
      <c r="N343" s="1524"/>
      <c r="O343" s="1524"/>
      <c r="P343" s="1524"/>
      <c r="Q343" s="771"/>
      <c r="R343" s="102"/>
      <c r="S343" s="102"/>
      <c r="T343" s="102"/>
      <c r="U343" s="102"/>
      <c r="V343" s="102"/>
      <c r="W343" s="102"/>
      <c r="X343" s="102"/>
      <c r="Y343" s="102"/>
      <c r="Z343" s="102"/>
      <c r="AA343" s="102"/>
      <c r="AB343" s="102"/>
      <c r="AC343" s="102"/>
      <c r="AD343" s="102"/>
      <c r="AE343" s="366"/>
    </row>
    <row r="344" spans="1:31" ht="25.5" customHeight="1">
      <c r="A344" s="2496" t="s">
        <v>4733</v>
      </c>
      <c r="B344" s="2497"/>
      <c r="C344" s="2497"/>
      <c r="D344" s="2497"/>
      <c r="E344" s="2497"/>
      <c r="F344" s="2497"/>
      <c r="G344" s="2497"/>
      <c r="H344" s="2497"/>
      <c r="I344" s="2497"/>
      <c r="J344" s="2497"/>
      <c r="K344" s="2497"/>
      <c r="L344" s="2497"/>
      <c r="M344" s="2497"/>
      <c r="N344" s="2497"/>
      <c r="O344" s="2497"/>
      <c r="P344" s="2497"/>
      <c r="Q344" s="2498"/>
      <c r="R344" s="341" t="s">
        <v>1275</v>
      </c>
      <c r="S344" s="342"/>
      <c r="T344" s="102"/>
      <c r="U344" s="94"/>
      <c r="V344" s="94"/>
      <c r="W344" s="94"/>
      <c r="X344" s="94"/>
      <c r="Y344" s="94"/>
      <c r="Z344" s="94"/>
      <c r="AA344" s="94"/>
      <c r="AB344" s="94"/>
      <c r="AC344" s="94"/>
      <c r="AD344" s="94"/>
      <c r="AE344" s="365"/>
    </row>
    <row r="345" spans="1:31" ht="11.25" customHeight="1">
      <c r="A345" s="102"/>
      <c r="B345" s="95" t="s">
        <v>1276</v>
      </c>
      <c r="C345" s="96"/>
      <c r="D345" s="1532"/>
      <c r="E345" s="1532"/>
      <c r="F345" s="1532"/>
      <c r="G345" s="1532"/>
      <c r="H345" s="1532"/>
      <c r="I345" s="1532"/>
      <c r="J345" s="1532"/>
      <c r="K345" s="1532"/>
      <c r="L345" s="1532"/>
      <c r="M345" s="1532"/>
      <c r="N345" s="1532"/>
      <c r="O345" s="1532"/>
      <c r="P345" s="1532"/>
      <c r="Q345" s="1532"/>
      <c r="R345" s="102"/>
      <c r="S345" s="102"/>
      <c r="T345" s="102"/>
      <c r="U345" s="102"/>
      <c r="V345" s="102"/>
      <c r="W345" s="102"/>
      <c r="X345" s="102"/>
      <c r="Y345" s="102"/>
      <c r="Z345" s="102"/>
      <c r="AA345" s="102"/>
      <c r="AB345" s="102"/>
      <c r="AC345" s="102"/>
      <c r="AD345" s="102"/>
      <c r="AE345" s="366"/>
    </row>
    <row r="346" spans="1:31" ht="13.15" customHeight="1">
      <c r="A346" s="1835"/>
      <c r="B346" s="1836"/>
      <c r="C346" s="1836"/>
      <c r="D346" s="1836"/>
      <c r="E346" s="1836"/>
      <c r="F346" s="1836"/>
      <c r="G346" s="1836"/>
      <c r="H346" s="1836"/>
      <c r="I346" s="1836"/>
      <c r="J346" s="1836"/>
      <c r="K346" s="1836"/>
      <c r="L346" s="1836"/>
      <c r="M346" s="1836"/>
      <c r="N346" s="1836"/>
      <c r="O346" s="1836"/>
      <c r="P346" s="1836"/>
      <c r="Q346" s="1837"/>
      <c r="R346" s="102"/>
      <c r="S346" s="102"/>
      <c r="T346" s="102"/>
      <c r="U346" s="102"/>
      <c r="V346" s="102"/>
      <c r="W346" s="102"/>
      <c r="X346" s="102"/>
      <c r="Y346" s="102"/>
      <c r="Z346" s="102"/>
      <c r="AA346" s="102"/>
      <c r="AB346" s="102"/>
      <c r="AC346" s="102"/>
      <c r="AD346" s="102"/>
      <c r="AE346" s="366"/>
    </row>
    <row r="347" spans="1:31" ht="13.9" customHeight="1">
      <c r="A347" s="1526" t="s">
        <v>1538</v>
      </c>
      <c r="B347" s="4" t="s">
        <v>1539</v>
      </c>
      <c r="C347" s="4"/>
      <c r="D347" s="51"/>
      <c r="E347" s="1532"/>
      <c r="F347" s="1532"/>
      <c r="G347" s="1532"/>
      <c r="H347" s="1532"/>
      <c r="I347" s="1532"/>
      <c r="J347" s="1532"/>
      <c r="K347" s="1532"/>
      <c r="L347" s="1532"/>
      <c r="M347" s="1532"/>
      <c r="N347" s="102"/>
      <c r="O347" s="90" t="s">
        <v>1273</v>
      </c>
      <c r="P347" s="1838"/>
      <c r="Q347" s="1845"/>
      <c r="R347" s="102"/>
      <c r="S347" s="102"/>
      <c r="T347" s="102"/>
      <c r="U347" s="102"/>
      <c r="V347" s="102"/>
      <c r="W347" s="102"/>
      <c r="X347" s="102"/>
      <c r="Y347" s="102"/>
      <c r="Z347" s="102"/>
      <c r="AA347" s="102"/>
      <c r="AB347" s="102"/>
      <c r="AC347" s="102"/>
      <c r="AD347" s="102"/>
      <c r="AE347" s="366"/>
    </row>
    <row r="348" spans="1:31" ht="12.75" customHeight="1">
      <c r="A348" s="100" t="s">
        <v>110</v>
      </c>
      <c r="B348" s="98" t="s">
        <v>1540</v>
      </c>
      <c r="C348" s="102"/>
      <c r="D348" s="98"/>
      <c r="E348" s="98"/>
      <c r="F348" s="98"/>
      <c r="G348" s="98"/>
      <c r="H348" s="98"/>
      <c r="I348" s="98"/>
      <c r="J348" s="98"/>
      <c r="K348" s="98"/>
      <c r="L348" s="98"/>
      <c r="M348" s="98"/>
      <c r="N348" s="98"/>
      <c r="O348" s="113" t="s">
        <v>110</v>
      </c>
      <c r="P348" s="2313" t="s">
        <v>22</v>
      </c>
      <c r="Q348" s="425"/>
      <c r="R348" s="102"/>
      <c r="S348" s="102"/>
      <c r="T348" s="102"/>
      <c r="U348" s="102"/>
      <c r="V348" s="102"/>
      <c r="W348" s="102"/>
      <c r="X348" s="102"/>
      <c r="Y348" s="102"/>
      <c r="Z348" s="102"/>
      <c r="AA348" s="102"/>
      <c r="AB348" s="102"/>
      <c r="AC348" s="102"/>
      <c r="AD348" s="102"/>
      <c r="AE348" s="366"/>
    </row>
    <row r="349" spans="1:31" ht="12.75" customHeight="1">
      <c r="A349" s="100" t="s">
        <v>121</v>
      </c>
      <c r="B349" s="98" t="s">
        <v>1541</v>
      </c>
      <c r="C349" s="102"/>
      <c r="D349" s="98"/>
      <c r="E349" s="98"/>
      <c r="F349" s="98"/>
      <c r="G349" s="98"/>
      <c r="H349" s="98"/>
      <c r="I349" s="98"/>
      <c r="J349" s="98"/>
      <c r="K349" s="98"/>
      <c r="L349" s="98"/>
      <c r="M349" s="98"/>
      <c r="N349" s="98"/>
      <c r="O349" s="113" t="s">
        <v>121</v>
      </c>
      <c r="P349" s="2319" t="s">
        <v>21</v>
      </c>
      <c r="Q349" s="426"/>
      <c r="R349" s="102"/>
      <c r="S349" s="102"/>
      <c r="T349" s="102"/>
      <c r="U349" s="102"/>
      <c r="V349" s="102"/>
      <c r="W349" s="102"/>
      <c r="X349" s="102"/>
      <c r="Y349" s="102"/>
      <c r="Z349" s="102"/>
      <c r="AA349" s="102"/>
      <c r="AB349" s="102"/>
      <c r="AC349" s="102"/>
      <c r="AD349" s="102"/>
      <c r="AE349" s="366"/>
    </row>
    <row r="350" spans="1:31" ht="22.5" customHeight="1">
      <c r="A350" s="100" t="s">
        <v>123</v>
      </c>
      <c r="B350" s="1833" t="s">
        <v>1542</v>
      </c>
      <c r="C350" s="1833"/>
      <c r="D350" s="1833"/>
      <c r="E350" s="1833"/>
      <c r="F350" s="1833"/>
      <c r="G350" s="1833"/>
      <c r="H350" s="1833"/>
      <c r="I350" s="1833"/>
      <c r="J350" s="1833"/>
      <c r="K350" s="1833"/>
      <c r="L350" s="1833"/>
      <c r="M350" s="1833"/>
      <c r="N350" s="1833"/>
      <c r="O350" s="113" t="s">
        <v>123</v>
      </c>
      <c r="P350" s="2312" t="s">
        <v>22</v>
      </c>
      <c r="Q350" s="427"/>
      <c r="R350" s="102"/>
      <c r="S350" s="102"/>
      <c r="T350" s="102"/>
      <c r="U350" s="102"/>
      <c r="V350" s="102"/>
      <c r="W350" s="102"/>
      <c r="X350" s="102"/>
      <c r="Y350" s="102"/>
      <c r="Z350" s="102"/>
      <c r="AA350" s="102"/>
      <c r="AB350" s="102"/>
      <c r="AC350" s="102"/>
      <c r="AD350" s="102"/>
      <c r="AE350" s="366"/>
    </row>
    <row r="351" spans="1:31" ht="11.25" customHeight="1">
      <c r="A351" s="102"/>
      <c r="B351" s="99" t="s">
        <v>1274</v>
      </c>
      <c r="C351" s="102"/>
      <c r="D351" s="99"/>
      <c r="E351" s="99"/>
      <c r="F351" s="99"/>
      <c r="G351" s="99"/>
      <c r="H351" s="22"/>
      <c r="I351" s="1529"/>
      <c r="J351" s="1529"/>
      <c r="K351" s="1529"/>
      <c r="L351" s="1524"/>
      <c r="M351" s="1524"/>
      <c r="N351" s="1524"/>
      <c r="O351" s="1524"/>
      <c r="P351" s="1524"/>
      <c r="Q351" s="771"/>
      <c r="R351" s="102"/>
      <c r="S351" s="102"/>
      <c r="T351" s="102"/>
      <c r="U351" s="102"/>
      <c r="V351" s="102"/>
      <c r="W351" s="102"/>
      <c r="X351" s="102"/>
      <c r="Y351" s="102"/>
      <c r="Z351" s="102"/>
      <c r="AA351" s="102"/>
      <c r="AB351" s="102"/>
      <c r="AC351" s="102"/>
      <c r="AD351" s="102"/>
      <c r="AE351" s="366"/>
    </row>
    <row r="352" spans="1:31" ht="11.45" customHeight="1">
      <c r="A352" s="2496" t="s">
        <v>4665</v>
      </c>
      <c r="B352" s="2497"/>
      <c r="C352" s="2497"/>
      <c r="D352" s="2497"/>
      <c r="E352" s="2497"/>
      <c r="F352" s="2497"/>
      <c r="G352" s="2497"/>
      <c r="H352" s="2497"/>
      <c r="I352" s="2497"/>
      <c r="J352" s="2497"/>
      <c r="K352" s="2497"/>
      <c r="L352" s="2497"/>
      <c r="M352" s="2497"/>
      <c r="N352" s="2497"/>
      <c r="O352" s="2497"/>
      <c r="P352" s="2497"/>
      <c r="Q352" s="2498"/>
      <c r="R352" s="102"/>
      <c r="S352" s="102"/>
      <c r="T352" s="102"/>
      <c r="U352" s="94"/>
      <c r="V352" s="94"/>
      <c r="W352" s="94"/>
      <c r="X352" s="94"/>
      <c r="Y352" s="94"/>
      <c r="Z352" s="94"/>
      <c r="AA352" s="94"/>
      <c r="AB352" s="94"/>
      <c r="AC352" s="94"/>
      <c r="AD352" s="94"/>
      <c r="AE352" s="365"/>
    </row>
    <row r="353" spans="1:32" ht="11.25" customHeight="1">
      <c r="A353" s="102"/>
      <c r="B353" s="95" t="s">
        <v>1276</v>
      </c>
      <c r="C353" s="96"/>
      <c r="D353" s="1532"/>
      <c r="E353" s="1532"/>
      <c r="F353" s="1532"/>
      <c r="G353" s="1532"/>
      <c r="H353" s="1532"/>
      <c r="I353" s="1532"/>
      <c r="J353" s="1532"/>
      <c r="K353" s="1532"/>
      <c r="L353" s="1532"/>
      <c r="M353" s="1532"/>
      <c r="N353" s="1532"/>
      <c r="O353" s="1532"/>
      <c r="P353" s="1532"/>
      <c r="Q353" s="1532"/>
      <c r="R353" s="102"/>
      <c r="S353" s="102"/>
      <c r="T353" s="102"/>
      <c r="U353" s="102"/>
      <c r="V353" s="102"/>
      <c r="W353" s="102"/>
      <c r="X353" s="102"/>
      <c r="Y353" s="102"/>
      <c r="Z353" s="102"/>
      <c r="AA353" s="102"/>
      <c r="AB353" s="102"/>
      <c r="AC353" s="102"/>
      <c r="AD353" s="102"/>
      <c r="AE353" s="366"/>
      <c r="AF353" s="366"/>
    </row>
    <row r="354" spans="1:32" ht="11.45" customHeight="1">
      <c r="A354" s="1835"/>
      <c r="B354" s="1836"/>
      <c r="C354" s="1836"/>
      <c r="D354" s="1836"/>
      <c r="E354" s="1836"/>
      <c r="F354" s="1836"/>
      <c r="G354" s="1836"/>
      <c r="H354" s="1836"/>
      <c r="I354" s="1836"/>
      <c r="J354" s="1836"/>
      <c r="K354" s="1836"/>
      <c r="L354" s="1836"/>
      <c r="M354" s="1836"/>
      <c r="N354" s="1836"/>
      <c r="O354" s="1836"/>
      <c r="P354" s="1836"/>
      <c r="Q354" s="1837"/>
      <c r="R354" s="102"/>
      <c r="S354" s="102"/>
      <c r="T354" s="102"/>
      <c r="U354" s="102"/>
      <c r="V354" s="102"/>
      <c r="W354" s="102"/>
      <c r="X354" s="102"/>
      <c r="Y354" s="102"/>
      <c r="Z354" s="102"/>
      <c r="AA354" s="102"/>
      <c r="AB354" s="102"/>
      <c r="AC354" s="102"/>
      <c r="AD354" s="102"/>
      <c r="AE354" s="366"/>
      <c r="AF354" s="366"/>
    </row>
    <row r="355" spans="1:32" ht="2.25" customHeight="1">
      <c r="A355" s="1524"/>
      <c r="B355" s="1529"/>
      <c r="C355" s="1532"/>
      <c r="D355" s="1532"/>
      <c r="E355" s="1532"/>
      <c r="F355" s="1532"/>
      <c r="G355" s="1532"/>
      <c r="H355" s="1532"/>
      <c r="I355" s="1532"/>
      <c r="J355" s="1532"/>
      <c r="K355" s="1532"/>
      <c r="L355" s="1532"/>
      <c r="M355" s="1532"/>
      <c r="N355" s="1532"/>
      <c r="O355" s="1532"/>
      <c r="P355" s="1532"/>
      <c r="Q355" s="771"/>
      <c r="R355" s="102"/>
      <c r="S355" s="102"/>
      <c r="T355" s="102"/>
      <c r="U355" s="102"/>
      <c r="V355" s="102"/>
      <c r="W355" s="102"/>
      <c r="X355" s="102"/>
      <c r="Y355" s="102"/>
      <c r="Z355" s="102"/>
      <c r="AA355" s="102"/>
      <c r="AB355" s="102"/>
      <c r="AC355" s="102"/>
      <c r="AD355" s="102"/>
      <c r="AE355" s="366"/>
      <c r="AF355" s="366"/>
    </row>
    <row r="356" spans="1:32" ht="13.9" customHeight="1">
      <c r="A356" s="1526" t="s">
        <v>1543</v>
      </c>
      <c r="B356" s="4" t="s">
        <v>1544</v>
      </c>
      <c r="C356" s="4"/>
      <c r="D356" s="4"/>
      <c r="E356" s="4"/>
      <c r="F356" s="4"/>
      <c r="G356" s="4"/>
      <c r="H356" s="1532"/>
      <c r="I356" s="1532"/>
      <c r="J356" s="1532"/>
      <c r="K356" s="1532"/>
      <c r="L356" s="1532"/>
      <c r="M356" s="1532"/>
      <c r="N356" s="102"/>
      <c r="O356" s="90" t="s">
        <v>1273</v>
      </c>
      <c r="P356" s="1859"/>
      <c r="Q356" s="1845"/>
      <c r="R356" s="102"/>
      <c r="S356" s="102"/>
      <c r="T356" s="102"/>
      <c r="U356" s="102"/>
      <c r="V356" s="102"/>
      <c r="W356" s="102"/>
      <c r="X356" s="102"/>
      <c r="Y356" s="102"/>
      <c r="Z356" s="102"/>
      <c r="AA356" s="102"/>
      <c r="AB356" s="102"/>
      <c r="AC356" s="102"/>
      <c r="AD356" s="102"/>
      <c r="AE356" s="366"/>
      <c r="AF356" s="366"/>
    </row>
    <row r="357" spans="1:32" ht="10.5" customHeight="1">
      <c r="A357" s="28" t="s">
        <v>110</v>
      </c>
      <c r="B357" s="93" t="s">
        <v>1545</v>
      </c>
      <c r="C357" s="102"/>
      <c r="D357" s="104"/>
      <c r="E357" s="104"/>
      <c r="F357" s="104"/>
      <c r="G357" s="104"/>
      <c r="H357" s="363" t="s">
        <v>110</v>
      </c>
      <c r="I357" s="2511"/>
      <c r="J357" s="2512"/>
      <c r="K357" s="2512"/>
      <c r="L357" s="2512"/>
      <c r="M357" s="2512"/>
      <c r="N357" s="2512"/>
      <c r="O357" s="2512"/>
      <c r="P357" s="2513"/>
      <c r="Q357" s="1411"/>
      <c r="R357" s="102"/>
      <c r="S357" s="102"/>
      <c r="T357" s="102"/>
      <c r="U357" s="102"/>
      <c r="V357" s="102"/>
      <c r="W357" s="102"/>
      <c r="X357" s="102"/>
      <c r="Y357" s="102"/>
      <c r="Z357" s="102"/>
      <c r="AA357" s="102"/>
      <c r="AB357" s="102"/>
      <c r="AC357" s="102"/>
      <c r="AD357" s="102"/>
      <c r="AE357" s="366"/>
      <c r="AF357" s="366"/>
    </row>
    <row r="358" spans="1:32" ht="10.5" customHeight="1">
      <c r="A358" s="100" t="s">
        <v>121</v>
      </c>
      <c r="B358" s="93" t="s">
        <v>1546</v>
      </c>
      <c r="C358" s="102"/>
      <c r="D358" s="104"/>
      <c r="E358" s="104"/>
      <c r="F358" s="104"/>
      <c r="G358" s="104"/>
      <c r="H358" s="113" t="s">
        <v>121</v>
      </c>
      <c r="I358" s="2511"/>
      <c r="J358" s="2512"/>
      <c r="K358" s="2512"/>
      <c r="L358" s="2512"/>
      <c r="M358" s="2512"/>
      <c r="N358" s="2512"/>
      <c r="O358" s="2512"/>
      <c r="P358" s="2513"/>
      <c r="Q358" s="1411"/>
      <c r="R358" s="102"/>
      <c r="S358" s="102"/>
      <c r="T358" s="102"/>
      <c r="U358" s="102"/>
      <c r="V358" s="102"/>
      <c r="W358" s="102"/>
      <c r="X358" s="102"/>
      <c r="Y358" s="102"/>
      <c r="Z358" s="102"/>
      <c r="AA358" s="102"/>
      <c r="AB358" s="102"/>
      <c r="AC358" s="102"/>
      <c r="AD358" s="102"/>
      <c r="AE358" s="366"/>
      <c r="AF358" s="366"/>
    </row>
    <row r="359" spans="1:32" ht="21.75" customHeight="1">
      <c r="A359" s="100" t="s">
        <v>123</v>
      </c>
      <c r="B359" s="1861" t="s">
        <v>1547</v>
      </c>
      <c r="C359" s="1861"/>
      <c r="D359" s="1861"/>
      <c r="E359" s="1861"/>
      <c r="F359" s="1861"/>
      <c r="G359" s="1861"/>
      <c r="H359" s="1861"/>
      <c r="I359" s="1861"/>
      <c r="J359" s="1861"/>
      <c r="K359" s="1861"/>
      <c r="L359" s="1861"/>
      <c r="M359" s="1861"/>
      <c r="N359" s="1861"/>
      <c r="O359" s="113" t="s">
        <v>123</v>
      </c>
      <c r="P359" s="2485"/>
      <c r="Q359" s="1033"/>
      <c r="R359" s="102"/>
      <c r="S359" s="102"/>
      <c r="T359" s="102"/>
      <c r="U359" s="102"/>
      <c r="V359" s="102"/>
      <c r="W359" s="102"/>
      <c r="X359" s="102"/>
      <c r="Y359" s="102"/>
      <c r="Z359" s="102"/>
      <c r="AA359" s="102"/>
      <c r="AB359" s="102"/>
      <c r="AC359" s="102"/>
      <c r="AD359" s="102"/>
      <c r="AE359" s="366"/>
      <c r="AF359" s="366"/>
    </row>
    <row r="360" spans="1:32" ht="21.75" customHeight="1">
      <c r="A360" s="100" t="s">
        <v>126</v>
      </c>
      <c r="B360" s="1833" t="s">
        <v>1548</v>
      </c>
      <c r="C360" s="1833"/>
      <c r="D360" s="1833"/>
      <c r="E360" s="1833"/>
      <c r="F360" s="1833"/>
      <c r="G360" s="1833"/>
      <c r="H360" s="1833"/>
      <c r="I360" s="1833"/>
      <c r="J360" s="1833"/>
      <c r="K360" s="1833"/>
      <c r="L360" s="1833"/>
      <c r="M360" s="1833"/>
      <c r="N360" s="1833"/>
      <c r="O360" s="363" t="s">
        <v>126</v>
      </c>
      <c r="P360" s="2530"/>
      <c r="Q360" s="428"/>
      <c r="R360" s="102"/>
      <c r="S360" s="102"/>
      <c r="T360" s="102"/>
      <c r="U360" s="102"/>
      <c r="V360" s="102"/>
      <c r="W360" s="102"/>
      <c r="X360" s="102"/>
      <c r="Y360" s="102"/>
      <c r="Z360" s="102"/>
      <c r="AA360" s="102"/>
      <c r="AB360" s="102"/>
      <c r="AC360" s="102"/>
      <c r="AD360" s="102"/>
      <c r="AE360" s="366"/>
      <c r="AF360" s="366"/>
    </row>
    <row r="361" spans="1:32" ht="10.5" customHeight="1">
      <c r="A361" s="100" t="s">
        <v>140</v>
      </c>
      <c r="B361" s="31" t="s">
        <v>1549</v>
      </c>
      <c r="C361" s="102"/>
      <c r="D361" s="31"/>
      <c r="E361" s="31"/>
      <c r="F361" s="31"/>
      <c r="G361" s="31"/>
      <c r="H361" s="31"/>
      <c r="I361" s="31"/>
      <c r="J361" s="31"/>
      <c r="K361" s="31"/>
      <c r="L361" s="31"/>
      <c r="M361" s="31"/>
      <c r="N361" s="102"/>
      <c r="O361" s="113" t="s">
        <v>140</v>
      </c>
      <c r="P361" s="2319"/>
      <c r="Q361" s="426"/>
      <c r="R361" s="102"/>
      <c r="S361" s="102"/>
      <c r="T361" s="102"/>
      <c r="U361" s="102"/>
      <c r="V361" s="102"/>
      <c r="W361" s="102"/>
      <c r="X361" s="102"/>
      <c r="Y361" s="102"/>
      <c r="Z361" s="102"/>
      <c r="AA361" s="102"/>
      <c r="AB361" s="102"/>
      <c r="AC361" s="102"/>
      <c r="AD361" s="102"/>
      <c r="AE361" s="366"/>
      <c r="AF361" s="366"/>
    </row>
    <row r="362" spans="1:32" s="91" customFormat="1" ht="21.75" customHeight="1">
      <c r="A362" s="100" t="s">
        <v>147</v>
      </c>
      <c r="B362" s="1833" t="s">
        <v>1550</v>
      </c>
      <c r="C362" s="1833"/>
      <c r="D362" s="1833"/>
      <c r="E362" s="1833"/>
      <c r="F362" s="1833"/>
      <c r="G362" s="1833"/>
      <c r="H362" s="1833"/>
      <c r="I362" s="1833"/>
      <c r="J362" s="1833"/>
      <c r="K362" s="1833"/>
      <c r="L362" s="1833"/>
      <c r="M362" s="1833"/>
      <c r="N362" s="1833"/>
      <c r="O362" s="113" t="s">
        <v>147</v>
      </c>
      <c r="P362" s="2574"/>
      <c r="Q362" s="753"/>
      <c r="R362" s="310"/>
      <c r="S362" s="310"/>
      <c r="T362" s="310"/>
      <c r="U362" s="310"/>
      <c r="V362" s="310"/>
      <c r="W362" s="310"/>
      <c r="X362" s="310"/>
      <c r="Y362" s="310"/>
      <c r="Z362" s="310"/>
      <c r="AA362" s="310"/>
      <c r="AB362" s="310"/>
      <c r="AC362" s="310"/>
      <c r="AD362" s="310"/>
      <c r="AE362" s="367"/>
      <c r="AF362" s="367"/>
    </row>
    <row r="363" spans="1:32" s="91" customFormat="1" ht="10.5" customHeight="1">
      <c r="A363" s="100" t="s">
        <v>1327</v>
      </c>
      <c r="B363" s="98" t="s">
        <v>1551</v>
      </c>
      <c r="C363" s="310"/>
      <c r="D363" s="773"/>
      <c r="E363" s="773"/>
      <c r="F363" s="773"/>
      <c r="G363" s="773"/>
      <c r="H363" s="773"/>
      <c r="I363" s="773"/>
      <c r="J363" s="773"/>
      <c r="K363" s="773"/>
      <c r="L363" s="773"/>
      <c r="M363" s="773"/>
      <c r="N363" s="773"/>
      <c r="O363" s="113" t="s">
        <v>1327</v>
      </c>
      <c r="P363" s="2454"/>
      <c r="Q363" s="1033"/>
      <c r="R363" s="310"/>
      <c r="S363" s="310"/>
      <c r="T363" s="310"/>
      <c r="U363" s="310"/>
      <c r="V363" s="310"/>
      <c r="W363" s="310"/>
      <c r="X363" s="310"/>
      <c r="Y363" s="310"/>
      <c r="Z363" s="310"/>
      <c r="AA363" s="310"/>
      <c r="AB363" s="310"/>
      <c r="AC363" s="310"/>
      <c r="AD363" s="310"/>
      <c r="AE363" s="367"/>
      <c r="AF363" s="367"/>
    </row>
    <row r="364" spans="1:32" s="91" customFormat="1" ht="10.5" customHeight="1">
      <c r="A364" s="310"/>
      <c r="B364" s="310"/>
      <c r="C364" s="752" t="s">
        <v>1552</v>
      </c>
      <c r="D364" s="310"/>
      <c r="E364" s="1532"/>
      <c r="F364" s="1532"/>
      <c r="G364" s="1532"/>
      <c r="H364" s="1532"/>
      <c r="I364" s="1532"/>
      <c r="J364" s="1532"/>
      <c r="K364" s="1532"/>
      <c r="L364" s="1532"/>
      <c r="M364" s="1532"/>
      <c r="N364" s="1532"/>
      <c r="O364" s="310"/>
      <c r="P364" s="2477"/>
      <c r="Q364" s="1051"/>
      <c r="R364" s="310"/>
      <c r="S364" s="310"/>
      <c r="T364" s="310"/>
      <c r="U364" s="310"/>
      <c r="V364" s="310"/>
      <c r="W364" s="310"/>
      <c r="X364" s="310"/>
      <c r="Y364" s="310"/>
      <c r="Z364" s="310"/>
      <c r="AA364" s="310"/>
      <c r="AB364" s="310"/>
      <c r="AC364" s="310"/>
      <c r="AD364" s="310"/>
      <c r="AE364" s="367"/>
      <c r="AF364" s="367"/>
    </row>
    <row r="365" spans="1:32" ht="21.75" customHeight="1">
      <c r="A365" s="100" t="s">
        <v>1329</v>
      </c>
      <c r="B365" s="1833" t="s">
        <v>1553</v>
      </c>
      <c r="C365" s="1833"/>
      <c r="D365" s="1833"/>
      <c r="E365" s="1833"/>
      <c r="F365" s="1833"/>
      <c r="G365" s="1833"/>
      <c r="H365" s="1833"/>
      <c r="I365" s="1833"/>
      <c r="J365" s="1833"/>
      <c r="K365" s="1833"/>
      <c r="L365" s="1833"/>
      <c r="M365" s="1833"/>
      <c r="N365" s="1833"/>
      <c r="O365" s="113" t="s">
        <v>1329</v>
      </c>
      <c r="P365" s="2454"/>
      <c r="Q365" s="1033"/>
      <c r="R365" s="102"/>
      <c r="S365" s="102"/>
      <c r="T365" s="102"/>
      <c r="U365" s="102"/>
      <c r="V365" s="102"/>
      <c r="W365" s="102"/>
      <c r="X365" s="102"/>
      <c r="Y365" s="102"/>
      <c r="Z365" s="102"/>
      <c r="AA365" s="102"/>
      <c r="AB365" s="102"/>
      <c r="AC365" s="102"/>
      <c r="AD365" s="102"/>
      <c r="AE365" s="366"/>
      <c r="AF365" s="366"/>
    </row>
    <row r="366" spans="1:32" ht="33" customHeight="1">
      <c r="A366" s="100" t="s">
        <v>9</v>
      </c>
      <c r="B366" s="1833" t="s">
        <v>1554</v>
      </c>
      <c r="C366" s="1833"/>
      <c r="D366" s="1833"/>
      <c r="E366" s="1833"/>
      <c r="F366" s="1833"/>
      <c r="G366" s="1833"/>
      <c r="H366" s="1833"/>
      <c r="I366" s="1833"/>
      <c r="J366" s="1833"/>
      <c r="K366" s="1833"/>
      <c r="L366" s="1833"/>
      <c r="M366" s="1833"/>
      <c r="N366" s="1833"/>
      <c r="O366" s="113" t="s">
        <v>9</v>
      </c>
      <c r="P366" s="2477"/>
      <c r="Q366" s="1051"/>
      <c r="R366" s="102"/>
      <c r="S366" s="102"/>
      <c r="T366" s="102"/>
      <c r="U366" s="102"/>
      <c r="V366" s="102"/>
      <c r="W366" s="102"/>
      <c r="X366" s="102"/>
      <c r="Y366" s="102"/>
      <c r="Z366" s="102"/>
      <c r="AA366" s="102"/>
      <c r="AB366" s="102"/>
      <c r="AC366" s="102"/>
      <c r="AD366" s="102"/>
      <c r="AE366" s="366"/>
      <c r="AF366" s="366"/>
    </row>
    <row r="367" spans="1:32" ht="10.5" customHeight="1">
      <c r="A367" s="102"/>
      <c r="B367" s="99" t="s">
        <v>1274</v>
      </c>
      <c r="C367" s="102"/>
      <c r="D367" s="99"/>
      <c r="E367" s="99"/>
      <c r="F367" s="99"/>
      <c r="G367" s="99"/>
      <c r="H367" s="22"/>
      <c r="I367" s="1529"/>
      <c r="J367" s="1529"/>
      <c r="K367" s="1529"/>
      <c r="L367" s="1524"/>
      <c r="M367" s="1524"/>
      <c r="N367" s="1524"/>
      <c r="O367" s="1524"/>
      <c r="P367" s="1524"/>
      <c r="Q367" s="771"/>
      <c r="R367" s="102"/>
      <c r="S367" s="102"/>
      <c r="T367" s="102"/>
      <c r="U367" s="102"/>
      <c r="V367" s="102"/>
      <c r="W367" s="102"/>
      <c r="X367" s="102"/>
      <c r="Y367" s="102"/>
      <c r="Z367" s="102"/>
      <c r="AA367" s="102"/>
      <c r="AB367" s="102"/>
      <c r="AC367" s="102"/>
      <c r="AD367" s="102"/>
      <c r="AE367" s="366"/>
      <c r="AF367" s="366"/>
    </row>
    <row r="368" spans="1:32" ht="31.5" customHeight="1">
      <c r="A368" s="2496" t="s">
        <v>4664</v>
      </c>
      <c r="B368" s="2497"/>
      <c r="C368" s="2497"/>
      <c r="D368" s="2497"/>
      <c r="E368" s="2497"/>
      <c r="F368" s="2497"/>
      <c r="G368" s="2497"/>
      <c r="H368" s="2497"/>
      <c r="I368" s="2497"/>
      <c r="J368" s="2497"/>
      <c r="K368" s="2497"/>
      <c r="L368" s="2497"/>
      <c r="M368" s="2497"/>
      <c r="N368" s="2497"/>
      <c r="O368" s="2497"/>
      <c r="P368" s="2497"/>
      <c r="Q368" s="2498"/>
      <c r="R368" s="102"/>
      <c r="S368" s="102"/>
      <c r="T368" s="102"/>
      <c r="U368" s="94"/>
      <c r="V368" s="94"/>
      <c r="W368" s="94"/>
      <c r="X368" s="94"/>
      <c r="Y368" s="94"/>
      <c r="Z368" s="94"/>
      <c r="AA368" s="94"/>
      <c r="AB368" s="94"/>
      <c r="AC368" s="94"/>
      <c r="AD368" s="94"/>
      <c r="AE368" s="365"/>
      <c r="AF368" s="366"/>
    </row>
    <row r="369" spans="1:32" ht="10.5" customHeight="1">
      <c r="A369" s="102"/>
      <c r="B369" s="95" t="s">
        <v>1276</v>
      </c>
      <c r="C369" s="96"/>
      <c r="D369" s="1532"/>
      <c r="E369" s="1532"/>
      <c r="F369" s="1532"/>
      <c r="G369" s="1532"/>
      <c r="H369" s="1532"/>
      <c r="I369" s="1532"/>
      <c r="J369" s="1532"/>
      <c r="K369" s="1532"/>
      <c r="L369" s="1532"/>
      <c r="M369" s="1532"/>
      <c r="N369" s="1532"/>
      <c r="O369" s="1532"/>
      <c r="P369" s="1532"/>
      <c r="Q369" s="1532"/>
      <c r="R369" s="102"/>
      <c r="S369" s="102"/>
      <c r="T369" s="102"/>
      <c r="U369" s="102"/>
      <c r="V369" s="102"/>
      <c r="W369" s="102"/>
      <c r="X369" s="102"/>
      <c r="Y369" s="102"/>
      <c r="Z369" s="102"/>
      <c r="AA369" s="102"/>
      <c r="AB369" s="102"/>
      <c r="AC369" s="102"/>
      <c r="AD369" s="102"/>
      <c r="AE369" s="366"/>
      <c r="AF369" s="366"/>
    </row>
    <row r="370" spans="1:32" ht="31.5" customHeight="1">
      <c r="A370" s="1835"/>
      <c r="B370" s="1836"/>
      <c r="C370" s="1836"/>
      <c r="D370" s="1836"/>
      <c r="E370" s="1836"/>
      <c r="F370" s="1836"/>
      <c r="G370" s="1836"/>
      <c r="H370" s="1836"/>
      <c r="I370" s="1836"/>
      <c r="J370" s="1836"/>
      <c r="K370" s="1836"/>
      <c r="L370" s="1836"/>
      <c r="M370" s="1836"/>
      <c r="N370" s="1836"/>
      <c r="O370" s="1836"/>
      <c r="P370" s="1836"/>
      <c r="Q370" s="1837"/>
      <c r="R370" s="102"/>
      <c r="S370" s="102"/>
      <c r="T370" s="102"/>
      <c r="U370" s="102"/>
      <c r="V370" s="102"/>
      <c r="W370" s="102"/>
      <c r="X370" s="102"/>
      <c r="Y370" s="102"/>
      <c r="Z370" s="102"/>
      <c r="AA370" s="102"/>
      <c r="AB370" s="102"/>
      <c r="AC370" s="102"/>
      <c r="AD370" s="102"/>
      <c r="AE370" s="366"/>
      <c r="AF370" s="366"/>
    </row>
    <row r="371" spans="1:32" ht="3" customHeight="1">
      <c r="A371" s="1524"/>
      <c r="B371" s="1529"/>
      <c r="C371" s="1532"/>
      <c r="D371" s="1532"/>
      <c r="E371" s="1532"/>
      <c r="F371" s="1532"/>
      <c r="G371" s="1532"/>
      <c r="H371" s="1532"/>
      <c r="I371" s="1532"/>
      <c r="J371" s="1532"/>
      <c r="K371" s="1532"/>
      <c r="L371" s="1532"/>
      <c r="M371" s="1532"/>
      <c r="N371" s="102"/>
      <c r="O371" s="102"/>
      <c r="P371" s="102"/>
      <c r="Q371" s="771"/>
      <c r="R371" s="102"/>
      <c r="S371" s="102"/>
      <c r="T371" s="102"/>
      <c r="U371" s="102"/>
      <c r="V371" s="102"/>
      <c r="W371" s="102"/>
      <c r="X371" s="102"/>
      <c r="Y371" s="102"/>
      <c r="Z371" s="102"/>
      <c r="AA371" s="102"/>
      <c r="AB371" s="102"/>
      <c r="AC371" s="102"/>
      <c r="AD371" s="102"/>
      <c r="AE371" s="366"/>
      <c r="AF371" s="366"/>
    </row>
    <row r="372" spans="1:32" ht="13.9" customHeight="1">
      <c r="A372" s="1526" t="s">
        <v>1555</v>
      </c>
      <c r="B372" s="4" t="s">
        <v>1556</v>
      </c>
      <c r="C372" s="4"/>
      <c r="D372" s="4"/>
      <c r="E372" s="4"/>
      <c r="F372" s="4"/>
      <c r="G372" s="4"/>
      <c r="H372" s="1532"/>
      <c r="I372" s="1532"/>
      <c r="J372" s="1532"/>
      <c r="K372" s="102"/>
      <c r="L372" s="102"/>
      <c r="M372" s="102"/>
      <c r="N372" s="102"/>
      <c r="O372" s="90" t="s">
        <v>1273</v>
      </c>
      <c r="P372" s="1838"/>
      <c r="Q372" s="1845"/>
      <c r="R372" s="102"/>
      <c r="S372" s="102"/>
      <c r="T372" s="102"/>
      <c r="U372" s="102"/>
      <c r="V372" s="102"/>
      <c r="W372" s="102"/>
      <c r="X372" s="102"/>
      <c r="Y372" s="102"/>
      <c r="Z372" s="102"/>
      <c r="AA372" s="102"/>
      <c r="AB372" s="102"/>
      <c r="AC372" s="102"/>
      <c r="AD372" s="102"/>
      <c r="AE372" s="366"/>
      <c r="AF372" s="366"/>
    </row>
    <row r="373" spans="1:32" s="24" customFormat="1" ht="10.5" customHeight="1">
      <c r="A373" s="28" t="s">
        <v>110</v>
      </c>
      <c r="B373" s="501" t="s">
        <v>1557</v>
      </c>
      <c r="C373" s="58"/>
      <c r="D373" s="392"/>
      <c r="E373" s="392"/>
      <c r="F373" s="392"/>
      <c r="G373" s="392"/>
      <c r="H373" s="392"/>
      <c r="I373" s="392"/>
      <c r="J373" s="392"/>
      <c r="K373" s="392"/>
      <c r="L373" s="392"/>
      <c r="M373" s="392"/>
      <c r="N373" s="392"/>
      <c r="O373" s="392"/>
      <c r="P373" s="392"/>
      <c r="Q373" s="392"/>
      <c r="R373" s="392"/>
      <c r="S373" s="58"/>
      <c r="T373" s="58"/>
      <c r="U373" s="58"/>
      <c r="V373" s="58"/>
      <c r="W373" s="58"/>
      <c r="X373" s="58"/>
      <c r="Y373" s="58"/>
      <c r="Z373" s="58"/>
      <c r="AA373" s="58"/>
      <c r="AB373" s="58"/>
      <c r="AC373" s="58"/>
      <c r="AD373" s="58"/>
      <c r="AE373" s="368"/>
      <c r="AF373" s="368"/>
    </row>
    <row r="374" spans="1:32" s="24" customFormat="1" ht="10.5" customHeight="1">
      <c r="A374" s="28"/>
      <c r="B374" s="20" t="s">
        <v>1303</v>
      </c>
      <c r="C374" s="1862" t="s">
        <v>1558</v>
      </c>
      <c r="D374" s="1862"/>
      <c r="E374" s="1862"/>
      <c r="F374" s="1863"/>
      <c r="G374" s="2511"/>
      <c r="H374" s="2512"/>
      <c r="I374" s="2513"/>
      <c r="J374" s="1529" t="s">
        <v>1559</v>
      </c>
      <c r="K374" s="2511"/>
      <c r="L374" s="2512"/>
      <c r="M374" s="2513"/>
      <c r="N374" s="1848" t="s">
        <v>1560</v>
      </c>
      <c r="O374" s="1849"/>
      <c r="P374" s="2575"/>
      <c r="Q374" s="2576"/>
      <c r="R374" s="58"/>
      <c r="S374" s="58"/>
      <c r="T374" s="58"/>
      <c r="U374" s="58"/>
      <c r="V374" s="58"/>
      <c r="W374" s="58"/>
      <c r="X374" s="58"/>
      <c r="Y374" s="58"/>
      <c r="Z374" s="58"/>
      <c r="AA374" s="58"/>
      <c r="AB374" s="58"/>
      <c r="AC374" s="58"/>
      <c r="AD374" s="58"/>
      <c r="AE374" s="368"/>
      <c r="AF374" s="368"/>
    </row>
    <row r="375" spans="1:32" s="24" customFormat="1" ht="10.5" customHeight="1">
      <c r="A375" s="58"/>
      <c r="B375" s="20" t="s">
        <v>1306</v>
      </c>
      <c r="C375" s="31" t="s">
        <v>1561</v>
      </c>
      <c r="D375" s="58"/>
      <c r="E375" s="58"/>
      <c r="F375" s="58"/>
      <c r="G375" s="58"/>
      <c r="H375" s="58"/>
      <c r="I375" s="363" t="s">
        <v>1306</v>
      </c>
      <c r="J375" s="2577"/>
      <c r="K375" s="2578"/>
      <c r="L375" s="58"/>
      <c r="M375" s="58"/>
      <c r="N375" s="58"/>
      <c r="O375" s="58"/>
      <c r="P375" s="58"/>
      <c r="Q375" s="58"/>
      <c r="R375" s="58"/>
      <c r="S375" s="58"/>
      <c r="T375" s="58"/>
      <c r="U375" s="58"/>
      <c r="V375" s="58"/>
      <c r="W375" s="58"/>
      <c r="X375" s="58"/>
      <c r="Y375" s="58"/>
      <c r="Z375" s="58"/>
      <c r="AA375" s="58"/>
      <c r="AB375" s="58"/>
      <c r="AC375" s="58"/>
      <c r="AD375" s="58"/>
      <c r="AE375" s="368"/>
      <c r="AF375" s="368"/>
    </row>
    <row r="376" spans="1:32" s="24" customFormat="1" ht="10.5" customHeight="1">
      <c r="A376" s="28"/>
      <c r="B376" s="20" t="s">
        <v>1308</v>
      </c>
      <c r="C376" s="31" t="s">
        <v>1562</v>
      </c>
      <c r="D376" s="45"/>
      <c r="E376" s="92"/>
      <c r="F376" s="1852" t="str">
        <f>'Part I-Project Information'!K40</f>
        <v>Rural</v>
      </c>
      <c r="G376" s="1853"/>
      <c r="H376" s="1535" t="s">
        <v>1563</v>
      </c>
      <c r="I376" s="92"/>
      <c r="J376" s="92"/>
      <c r="K376" s="92"/>
      <c r="L376" s="92"/>
      <c r="M376" s="92"/>
      <c r="N376" s="92"/>
      <c r="O376" s="363" t="s">
        <v>1308</v>
      </c>
      <c r="P376" s="2313"/>
      <c r="Q376" s="425"/>
      <c r="R376" s="58"/>
      <c r="S376" s="58"/>
      <c r="T376" s="58"/>
      <c r="U376" s="58"/>
      <c r="V376" s="58"/>
      <c r="W376" s="58"/>
      <c r="X376" s="58"/>
      <c r="Y376" s="58"/>
      <c r="Z376" s="58"/>
      <c r="AA376" s="58"/>
      <c r="AB376" s="58"/>
      <c r="AC376" s="58"/>
      <c r="AD376" s="58"/>
      <c r="AE376" s="368"/>
      <c r="AF376" s="368"/>
    </row>
    <row r="377" spans="1:32" s="24" customFormat="1" ht="10.5" customHeight="1">
      <c r="A377" s="28"/>
      <c r="B377" s="20" t="s">
        <v>1310</v>
      </c>
      <c r="C377" s="31" t="s">
        <v>1564</v>
      </c>
      <c r="D377" s="58"/>
      <c r="E377" s="92"/>
      <c r="F377" s="92"/>
      <c r="G377" s="92"/>
      <c r="H377" s="92"/>
      <c r="I377" s="92"/>
      <c r="J377" s="2579"/>
      <c r="K377" s="2580"/>
      <c r="L377" s="1854"/>
      <c r="M377" s="1855"/>
      <c r="N377" s="31" t="s">
        <v>1565</v>
      </c>
      <c r="O377" s="363"/>
      <c r="P377" s="2319"/>
      <c r="Q377" s="426"/>
      <c r="R377" s="58"/>
      <c r="S377" s="58"/>
      <c r="T377" s="58"/>
      <c r="U377" s="58"/>
      <c r="V377" s="58"/>
      <c r="W377" s="58"/>
      <c r="X377" s="58"/>
      <c r="Y377" s="58"/>
      <c r="Z377" s="58"/>
      <c r="AA377" s="58"/>
      <c r="AB377" s="58"/>
      <c r="AC377" s="58"/>
      <c r="AD377" s="58"/>
      <c r="AE377" s="368"/>
      <c r="AF377" s="368"/>
    </row>
    <row r="378" spans="1:32" s="24" customFormat="1" ht="10.5" customHeight="1">
      <c r="A378" s="28"/>
      <c r="B378" s="20" t="s">
        <v>1323</v>
      </c>
      <c r="C378" s="31" t="s">
        <v>1566</v>
      </c>
      <c r="D378" s="58"/>
      <c r="E378" s="31"/>
      <c r="F378" s="1850">
        <f>'Part IV-A-Uses of Funds'!J173</f>
        <v>850000</v>
      </c>
      <c r="G378" s="1851"/>
      <c r="H378" s="31" t="s">
        <v>1567</v>
      </c>
      <c r="I378" s="31"/>
      <c r="J378" s="989" t="str">
        <f>IF(F378&gt;'DCA Underwriting Assumptions'!$Q$129, "Request exceeds DCA per project maximum for set aside!!!","")</f>
        <v>Request exceeds DCA per project maximum for set aside!!!</v>
      </c>
      <c r="K378" s="31"/>
      <c r="L378" s="31"/>
      <c r="M378" s="58"/>
      <c r="N378" s="58"/>
      <c r="O378" s="363" t="s">
        <v>1323</v>
      </c>
      <c r="P378" s="2312"/>
      <c r="Q378" s="427"/>
      <c r="R378" s="58"/>
      <c r="S378" s="58"/>
      <c r="T378" s="58"/>
      <c r="U378" s="58"/>
      <c r="V378" s="58"/>
      <c r="W378" s="58"/>
      <c r="X378" s="58"/>
      <c r="Y378" s="58"/>
      <c r="Z378" s="58"/>
      <c r="AA378" s="58"/>
      <c r="AB378" s="58"/>
      <c r="AC378" s="58"/>
      <c r="AD378" s="58"/>
      <c r="AE378" s="368"/>
      <c r="AF378" s="368"/>
    </row>
    <row r="379" spans="1:32" s="24" customFormat="1" ht="10.5" customHeight="1">
      <c r="A379" s="28"/>
      <c r="B379" s="20" t="s">
        <v>1324</v>
      </c>
      <c r="C379" s="31" t="s">
        <v>1568</v>
      </c>
      <c r="D379" s="58"/>
      <c r="E379" s="31"/>
      <c r="F379" s="31"/>
      <c r="G379" s="31"/>
      <c r="H379" s="31" t="s">
        <v>1569</v>
      </c>
      <c r="I379" s="31"/>
      <c r="J379" s="2579"/>
      <c r="K379" s="2580"/>
      <c r="L379" s="31" t="s">
        <v>1570</v>
      </c>
      <c r="M379" s="1854"/>
      <c r="N379" s="1855"/>
      <c r="O379" s="58"/>
      <c r="P379" s="58"/>
      <c r="Q379" s="58"/>
      <c r="R379" s="58"/>
      <c r="S379" s="58"/>
      <c r="T379" s="58"/>
      <c r="U379" s="58"/>
      <c r="V379" s="58"/>
      <c r="W379" s="58"/>
      <c r="X379" s="58"/>
      <c r="Y379" s="58"/>
      <c r="Z379" s="58"/>
      <c r="AA379" s="58"/>
      <c r="AB379" s="58"/>
      <c r="AC379" s="58"/>
      <c r="AD379" s="58"/>
      <c r="AE379" s="368"/>
      <c r="AF379" s="368"/>
    </row>
    <row r="380" spans="1:32" s="24" customFormat="1" ht="10.5" customHeight="1">
      <c r="A380" s="58"/>
      <c r="B380" s="20" t="s">
        <v>1379</v>
      </c>
      <c r="C380" s="31" t="s">
        <v>1571</v>
      </c>
      <c r="D380" s="58"/>
      <c r="E380" s="92"/>
      <c r="F380" s="92"/>
      <c r="G380" s="92"/>
      <c r="H380" s="92"/>
      <c r="I380" s="92"/>
      <c r="J380" s="92"/>
      <c r="K380" s="92"/>
      <c r="L380" s="92"/>
      <c r="M380" s="92"/>
      <c r="N380" s="92"/>
      <c r="O380" s="363" t="s">
        <v>1379</v>
      </c>
      <c r="P380" s="2383"/>
      <c r="Q380" s="1411"/>
      <c r="R380" s="58"/>
      <c r="S380" s="58"/>
      <c r="T380" s="58"/>
      <c r="U380" s="58"/>
      <c r="V380" s="58"/>
      <c r="W380" s="58"/>
      <c r="X380" s="58"/>
      <c r="Y380" s="58"/>
      <c r="Z380" s="58"/>
      <c r="AA380" s="58"/>
      <c r="AB380" s="58"/>
      <c r="AC380" s="58"/>
      <c r="AD380" s="58"/>
      <c r="AE380" s="368"/>
      <c r="AF380" s="368"/>
    </row>
    <row r="381" spans="1:32" s="24" customFormat="1" ht="10.5" customHeight="1">
      <c r="A381" s="58"/>
      <c r="B381" s="92"/>
      <c r="C381" s="58"/>
      <c r="D381" s="92"/>
      <c r="E381" s="92"/>
      <c r="F381" s="92"/>
      <c r="G381" s="92"/>
      <c r="H381" s="92"/>
      <c r="I381" s="92"/>
      <c r="J381" s="92"/>
      <c r="K381" s="92"/>
      <c r="L381" s="92"/>
      <c r="M381" s="92"/>
      <c r="N381" s="92"/>
      <c r="O381" s="92"/>
      <c r="P381" s="92"/>
      <c r="Q381" s="92"/>
      <c r="R381" s="92"/>
      <c r="S381" s="58"/>
      <c r="T381" s="58"/>
      <c r="U381" s="58"/>
      <c r="V381" s="58"/>
      <c r="W381" s="58"/>
      <c r="X381" s="58"/>
      <c r="Y381" s="58"/>
      <c r="Z381" s="58"/>
      <c r="AA381" s="58"/>
      <c r="AB381" s="58"/>
      <c r="AC381" s="58"/>
      <c r="AD381" s="58"/>
      <c r="AE381" s="368"/>
      <c r="AF381" s="368"/>
    </row>
    <row r="382" spans="1:32" s="24" customFormat="1" ht="10.5" customHeight="1">
      <c r="A382" s="28" t="s">
        <v>121</v>
      </c>
      <c r="B382" s="501" t="s">
        <v>1572</v>
      </c>
      <c r="C382" s="58"/>
      <c r="D382" s="92"/>
      <c r="E382" s="92"/>
      <c r="F382" s="92"/>
      <c r="G382" s="92"/>
      <c r="H382" s="92"/>
      <c r="I382" s="58"/>
      <c r="J382" s="1860" t="s">
        <v>1573</v>
      </c>
      <c r="K382" s="1860"/>
      <c r="L382" s="1860"/>
      <c r="M382" s="1860"/>
      <c r="N382" s="1858" t="s">
        <v>1574</v>
      </c>
      <c r="O382" s="1858"/>
      <c r="P382" s="92"/>
      <c r="Q382" s="92"/>
      <c r="R382" s="92"/>
      <c r="S382" s="58"/>
      <c r="T382" s="58"/>
      <c r="U382" s="58"/>
      <c r="V382" s="58"/>
      <c r="W382" s="58"/>
      <c r="X382" s="58"/>
      <c r="Y382" s="58"/>
      <c r="Z382" s="58"/>
      <c r="AA382" s="58"/>
      <c r="AB382" s="58"/>
      <c r="AC382" s="58"/>
      <c r="AD382" s="58"/>
      <c r="AE382" s="368"/>
      <c r="AF382" s="368"/>
    </row>
    <row r="383" spans="1:32" s="24" customFormat="1" ht="10.5" customHeight="1">
      <c r="A383" s="58"/>
      <c r="B383" s="20" t="s">
        <v>1303</v>
      </c>
      <c r="C383" s="772" t="s">
        <v>1575</v>
      </c>
      <c r="D383" s="58"/>
      <c r="E383" s="1535"/>
      <c r="F383" s="1535"/>
      <c r="G383" s="1535"/>
      <c r="H383" s="1535"/>
      <c r="I383" s="58"/>
      <c r="J383" s="2581"/>
      <c r="K383" s="2582"/>
      <c r="L383" s="1856"/>
      <c r="M383" s="1857"/>
      <c r="N383" s="1483" t="str">
        <f>IF(J383="","",J377/J383)</f>
        <v/>
      </c>
      <c r="O383" s="1484" t="str">
        <f>IF(L383="","",L377/L383)</f>
        <v/>
      </c>
      <c r="P383" s="2313"/>
      <c r="Q383" s="425"/>
      <c r="R383" s="58"/>
      <c r="S383" s="58"/>
      <c r="T383" s="58"/>
      <c r="U383" s="58"/>
      <c r="V383" s="58"/>
      <c r="W383" s="58"/>
      <c r="X383" s="58"/>
      <c r="Y383" s="58"/>
      <c r="Z383" s="58"/>
      <c r="AA383" s="58"/>
      <c r="AB383" s="58"/>
      <c r="AC383" s="58"/>
      <c r="AD383" s="58"/>
      <c r="AE383" s="368"/>
      <c r="AF383" s="368"/>
    </row>
    <row r="384" spans="1:32" s="24" customFormat="1" ht="10.5" customHeight="1">
      <c r="A384" s="58"/>
      <c r="B384" s="20" t="s">
        <v>1306</v>
      </c>
      <c r="C384" s="31" t="s">
        <v>1576</v>
      </c>
      <c r="D384" s="58"/>
      <c r="E384" s="92"/>
      <c r="F384" s="92"/>
      <c r="G384" s="92"/>
      <c r="H384" s="92"/>
      <c r="I384" s="58"/>
      <c r="J384" s="58"/>
      <c r="K384" s="58"/>
      <c r="L384" s="58"/>
      <c r="M384" s="58"/>
      <c r="N384" s="92"/>
      <c r="O384" s="363" t="s">
        <v>1306</v>
      </c>
      <c r="P384" s="2583"/>
      <c r="Q384" s="1201"/>
      <c r="R384" s="58"/>
      <c r="S384" s="58"/>
      <c r="T384" s="58"/>
      <c r="U384" s="58"/>
      <c r="V384" s="58"/>
      <c r="W384" s="58"/>
      <c r="X384" s="58"/>
      <c r="Y384" s="58"/>
      <c r="Z384" s="58"/>
      <c r="AA384" s="58"/>
      <c r="AB384" s="58"/>
      <c r="AC384" s="58"/>
      <c r="AD384" s="58"/>
      <c r="AE384" s="368"/>
      <c r="AF384" s="368"/>
    </row>
    <row r="385" spans="1:32" s="24" customFormat="1" ht="10.5" customHeight="1">
      <c r="A385" s="58"/>
      <c r="B385" s="20" t="s">
        <v>1308</v>
      </c>
      <c r="C385" s="31" t="s">
        <v>1577</v>
      </c>
      <c r="D385" s="58"/>
      <c r="E385" s="92"/>
      <c r="F385" s="92"/>
      <c r="G385" s="92"/>
      <c r="H385" s="92"/>
      <c r="I385" s="58"/>
      <c r="J385" s="58"/>
      <c r="K385" s="58"/>
      <c r="L385" s="58"/>
      <c r="M385" s="92"/>
      <c r="N385" s="92"/>
      <c r="O385" s="363" t="s">
        <v>1308</v>
      </c>
      <c r="P385" s="2312"/>
      <c r="Q385" s="427"/>
      <c r="R385" s="58"/>
      <c r="S385" s="58"/>
      <c r="T385" s="58"/>
      <c r="U385" s="58"/>
      <c r="V385" s="58"/>
      <c r="W385" s="58"/>
      <c r="X385" s="58"/>
      <c r="Y385" s="58"/>
      <c r="Z385" s="58"/>
      <c r="AA385" s="58"/>
      <c r="AB385" s="58"/>
      <c r="AC385" s="58"/>
      <c r="AD385" s="58"/>
      <c r="AE385" s="368"/>
      <c r="AF385" s="368"/>
    </row>
    <row r="386" spans="1:32" ht="10.5" customHeight="1">
      <c r="A386" s="102"/>
      <c r="B386" s="99" t="s">
        <v>1274</v>
      </c>
      <c r="C386" s="102"/>
      <c r="D386" s="99"/>
      <c r="E386" s="99"/>
      <c r="F386" s="99"/>
      <c r="G386" s="99"/>
      <c r="H386" s="22"/>
      <c r="I386" s="1529"/>
      <c r="J386" s="1529"/>
      <c r="K386" s="1529"/>
      <c r="L386" s="1524"/>
      <c r="M386" s="1524"/>
      <c r="N386" s="1524"/>
      <c r="O386" s="1524"/>
      <c r="P386" s="1524"/>
      <c r="Q386" s="771"/>
      <c r="R386" s="102"/>
      <c r="S386" s="102"/>
      <c r="T386" s="102"/>
      <c r="U386" s="102"/>
      <c r="V386" s="102"/>
      <c r="W386" s="102"/>
      <c r="X386" s="102"/>
      <c r="Y386" s="102"/>
      <c r="Z386" s="102"/>
      <c r="AA386" s="102"/>
      <c r="AB386" s="102"/>
      <c r="AC386" s="102"/>
      <c r="AD386" s="102"/>
      <c r="AE386" s="366"/>
      <c r="AF386" s="366"/>
    </row>
    <row r="387" spans="1:32" ht="31.5" customHeight="1">
      <c r="A387" s="2496" t="s">
        <v>4666</v>
      </c>
      <c r="B387" s="2497"/>
      <c r="C387" s="2497"/>
      <c r="D387" s="2497"/>
      <c r="E387" s="2497"/>
      <c r="F387" s="2497"/>
      <c r="G387" s="2497"/>
      <c r="H387" s="2497"/>
      <c r="I387" s="2497"/>
      <c r="J387" s="2497"/>
      <c r="K387" s="2497"/>
      <c r="L387" s="2497"/>
      <c r="M387" s="2497"/>
      <c r="N387" s="2497"/>
      <c r="O387" s="2497"/>
      <c r="P387" s="2497"/>
      <c r="Q387" s="2498"/>
      <c r="R387" s="102"/>
      <c r="S387" s="102"/>
      <c r="T387" s="102"/>
      <c r="U387" s="94"/>
      <c r="V387" s="94"/>
      <c r="W387" s="94"/>
      <c r="X387" s="94"/>
      <c r="Y387" s="94"/>
      <c r="Z387" s="94"/>
      <c r="AA387" s="94"/>
      <c r="AB387" s="94"/>
      <c r="AC387" s="94"/>
      <c r="AD387" s="94"/>
      <c r="AE387" s="365"/>
      <c r="AF387" s="366"/>
    </row>
    <row r="388" spans="1:32" ht="11.25" customHeight="1">
      <c r="A388" s="102"/>
      <c r="B388" s="95" t="s">
        <v>1276</v>
      </c>
      <c r="C388" s="96"/>
      <c r="D388" s="1532"/>
      <c r="E388" s="1532"/>
      <c r="F388" s="1532"/>
      <c r="G388" s="1532"/>
      <c r="H388" s="1532"/>
      <c r="I388" s="1532"/>
      <c r="J388" s="1532"/>
      <c r="K388" s="1532"/>
      <c r="L388" s="1532"/>
      <c r="M388" s="1532"/>
      <c r="N388" s="1532"/>
      <c r="O388" s="1532"/>
      <c r="P388" s="1532"/>
      <c r="Q388" s="1532"/>
      <c r="R388" s="102"/>
      <c r="S388" s="102"/>
      <c r="T388" s="102"/>
      <c r="U388" s="102"/>
      <c r="V388" s="102"/>
      <c r="W388" s="102"/>
      <c r="X388" s="102"/>
      <c r="Y388" s="102"/>
      <c r="Z388" s="102"/>
      <c r="AA388" s="102"/>
      <c r="AB388" s="102"/>
      <c r="AC388" s="102"/>
      <c r="AD388" s="102"/>
      <c r="AE388" s="366"/>
      <c r="AF388" s="366"/>
    </row>
    <row r="389" spans="1:32" ht="31.5" customHeight="1">
      <c r="A389" s="1835"/>
      <c r="B389" s="1836"/>
      <c r="C389" s="1836"/>
      <c r="D389" s="1836"/>
      <c r="E389" s="1836"/>
      <c r="F389" s="1836"/>
      <c r="G389" s="1836"/>
      <c r="H389" s="1836"/>
      <c r="I389" s="1836"/>
      <c r="J389" s="1836"/>
      <c r="K389" s="1836"/>
      <c r="L389" s="1836"/>
      <c r="M389" s="1836"/>
      <c r="N389" s="1836"/>
      <c r="O389" s="1836"/>
      <c r="P389" s="1836"/>
      <c r="Q389" s="1837"/>
      <c r="R389" s="102"/>
      <c r="S389" s="102"/>
      <c r="T389" s="102"/>
      <c r="U389" s="102"/>
      <c r="V389" s="102"/>
      <c r="W389" s="102"/>
      <c r="X389" s="102"/>
      <c r="Y389" s="102"/>
      <c r="Z389" s="102"/>
      <c r="AA389" s="102"/>
      <c r="AB389" s="102"/>
      <c r="AC389" s="102"/>
      <c r="AD389" s="102"/>
      <c r="AE389" s="366"/>
      <c r="AF389" s="366"/>
    </row>
    <row r="390" spans="1:32" ht="3.6" customHeight="1">
      <c r="A390" s="1524"/>
      <c r="B390" s="1529"/>
      <c r="C390" s="1532"/>
      <c r="D390" s="1532"/>
      <c r="E390" s="1532"/>
      <c r="F390" s="1532"/>
      <c r="G390" s="1532"/>
      <c r="H390" s="1532"/>
      <c r="I390" s="1532"/>
      <c r="J390" s="1532"/>
      <c r="K390" s="1532"/>
      <c r="L390" s="1532"/>
      <c r="M390" s="1532"/>
      <c r="N390" s="102"/>
      <c r="O390" s="102"/>
      <c r="P390" s="102"/>
      <c r="Q390" s="771"/>
      <c r="R390" s="102"/>
      <c r="S390" s="102"/>
      <c r="T390" s="102"/>
      <c r="U390" s="102"/>
      <c r="V390" s="102"/>
      <c r="W390" s="102"/>
      <c r="X390" s="102"/>
      <c r="Y390" s="102"/>
      <c r="Z390" s="102"/>
      <c r="AA390" s="102"/>
      <c r="AB390" s="102"/>
      <c r="AC390" s="102"/>
      <c r="AD390" s="102"/>
      <c r="AE390" s="366"/>
      <c r="AF390" s="366"/>
    </row>
    <row r="391" spans="1:32" ht="3" customHeight="1">
      <c r="A391" s="1524"/>
      <c r="B391" s="1529"/>
      <c r="C391" s="1532"/>
      <c r="D391" s="1532"/>
      <c r="E391" s="1532"/>
      <c r="F391" s="1532"/>
      <c r="G391" s="1532"/>
      <c r="H391" s="1532"/>
      <c r="I391" s="1532"/>
      <c r="J391" s="1532"/>
      <c r="K391" s="1532"/>
      <c r="L391" s="1532"/>
      <c r="M391" s="1532"/>
      <c r="N391" s="102"/>
      <c r="O391" s="102"/>
      <c r="P391" s="102"/>
      <c r="Q391" s="771"/>
      <c r="R391" s="102"/>
      <c r="S391" s="102"/>
      <c r="T391" s="102"/>
      <c r="U391" s="102"/>
      <c r="V391" s="102"/>
      <c r="W391" s="102"/>
      <c r="X391" s="102"/>
      <c r="Y391" s="102"/>
      <c r="Z391" s="102"/>
      <c r="AA391" s="102"/>
      <c r="AB391" s="102"/>
      <c r="AC391" s="102"/>
      <c r="AD391" s="102"/>
      <c r="AE391" s="366"/>
      <c r="AF391" s="366"/>
    </row>
    <row r="392" spans="1:32" ht="13.9" customHeight="1">
      <c r="A392" s="1526" t="s">
        <v>1578</v>
      </c>
      <c r="B392" s="4" t="s">
        <v>1579</v>
      </c>
      <c r="C392" s="4"/>
      <c r="D392" s="4"/>
      <c r="E392" s="4"/>
      <c r="F392" s="4"/>
      <c r="G392" s="4"/>
      <c r="H392" s="1532"/>
      <c r="I392" s="1532"/>
      <c r="J392" s="1532"/>
      <c r="K392" s="102"/>
      <c r="L392" s="102"/>
      <c r="M392" s="102"/>
      <c r="N392" s="102"/>
      <c r="O392" s="90" t="s">
        <v>1273</v>
      </c>
      <c r="P392" s="1838"/>
      <c r="Q392" s="1845"/>
      <c r="R392" s="102"/>
      <c r="S392" s="102"/>
      <c r="T392" s="102"/>
      <c r="U392" s="102"/>
      <c r="V392" s="102"/>
      <c r="W392" s="102"/>
      <c r="X392" s="102"/>
      <c r="Y392" s="102"/>
      <c r="Z392" s="102"/>
      <c r="AA392" s="102"/>
      <c r="AB392" s="102"/>
      <c r="AC392" s="102"/>
      <c r="AD392" s="102"/>
      <c r="AE392" s="366"/>
      <c r="AF392" s="366"/>
    </row>
    <row r="393" spans="1:32" ht="11.45" customHeight="1">
      <c r="A393" s="28" t="s">
        <v>110</v>
      </c>
      <c r="B393" s="93" t="s">
        <v>1580</v>
      </c>
      <c r="C393" s="102"/>
      <c r="D393" s="102"/>
      <c r="E393" s="2511"/>
      <c r="F393" s="2512"/>
      <c r="G393" s="2512"/>
      <c r="H393" s="2512"/>
      <c r="I393" s="2513"/>
      <c r="J393" s="1848" t="s">
        <v>1581</v>
      </c>
      <c r="K393" s="1924"/>
      <c r="L393" s="1849"/>
      <c r="M393" s="2511"/>
      <c r="N393" s="2512"/>
      <c r="O393" s="2512"/>
      <c r="P393" s="2512"/>
      <c r="Q393" s="2513"/>
      <c r="R393" s="102"/>
      <c r="S393" s="102"/>
      <c r="T393" s="102"/>
      <c r="U393" s="102"/>
      <c r="V393" s="102"/>
      <c r="W393" s="102"/>
      <c r="X393" s="102"/>
      <c r="Y393" s="102"/>
      <c r="Z393" s="102"/>
      <c r="AA393" s="102"/>
      <c r="AB393" s="102"/>
      <c r="AC393" s="102"/>
      <c r="AD393" s="102"/>
      <c r="AE393" s="366"/>
      <c r="AF393" s="366"/>
    </row>
    <row r="394" spans="1:32" ht="11.45" customHeight="1">
      <c r="A394" s="28" t="s">
        <v>121</v>
      </c>
      <c r="B394" s="31" t="s">
        <v>1582</v>
      </c>
      <c r="C394" s="102"/>
      <c r="D394" s="31"/>
      <c r="E394" s="31"/>
      <c r="F394" s="31"/>
      <c r="G394" s="31"/>
      <c r="H394" s="31"/>
      <c r="I394" s="31"/>
      <c r="J394" s="31"/>
      <c r="K394" s="31"/>
      <c r="L394" s="772"/>
      <c r="M394" s="772"/>
      <c r="N394" s="102"/>
      <c r="O394" s="363" t="s">
        <v>121</v>
      </c>
      <c r="P394" s="2313"/>
      <c r="Q394" s="425"/>
      <c r="R394" s="102"/>
      <c r="S394" s="102"/>
      <c r="T394" s="102"/>
      <c r="U394" s="102"/>
      <c r="V394" s="102"/>
      <c r="W394" s="102"/>
      <c r="X394" s="102"/>
      <c r="Y394" s="102"/>
      <c r="Z394" s="102"/>
      <c r="AA394" s="102"/>
      <c r="AB394" s="102"/>
      <c r="AC394" s="102"/>
      <c r="AD394" s="102"/>
      <c r="AE394" s="366"/>
      <c r="AF394" s="366"/>
    </row>
    <row r="395" spans="1:32" ht="22.5" customHeight="1">
      <c r="A395" s="100" t="s">
        <v>123</v>
      </c>
      <c r="B395" s="1833" t="s">
        <v>1583</v>
      </c>
      <c r="C395" s="1833"/>
      <c r="D395" s="1833"/>
      <c r="E395" s="1833"/>
      <c r="F395" s="1833"/>
      <c r="G395" s="1833"/>
      <c r="H395" s="1833"/>
      <c r="I395" s="1833"/>
      <c r="J395" s="1833"/>
      <c r="K395" s="1833"/>
      <c r="L395" s="1833"/>
      <c r="M395" s="1833"/>
      <c r="N395" s="1833"/>
      <c r="O395" s="113" t="s">
        <v>123</v>
      </c>
      <c r="P395" s="2530"/>
      <c r="Q395" s="428"/>
      <c r="R395" s="102"/>
      <c r="S395" s="102"/>
      <c r="T395" s="102"/>
      <c r="U395" s="102"/>
      <c r="V395" s="102"/>
      <c r="W395" s="102"/>
      <c r="X395" s="102"/>
      <c r="Y395" s="102"/>
      <c r="Z395" s="102"/>
      <c r="AA395" s="102"/>
      <c r="AB395" s="102"/>
      <c r="AC395" s="102"/>
      <c r="AD395" s="102"/>
      <c r="AE395" s="366"/>
      <c r="AF395" s="366"/>
    </row>
    <row r="396" spans="1:32">
      <c r="A396" s="28" t="s">
        <v>126</v>
      </c>
      <c r="B396" s="33" t="s">
        <v>1584</v>
      </c>
      <c r="C396" s="102"/>
      <c r="D396" s="102"/>
      <c r="E396" s="102"/>
      <c r="F396" s="102"/>
      <c r="G396" s="1535"/>
      <c r="H396" s="1535"/>
      <c r="I396" s="1535"/>
      <c r="J396" s="772" t="s">
        <v>1585</v>
      </c>
      <c r="K396" s="102"/>
      <c r="L396" s="1535"/>
      <c r="M396" s="1925">
        <f>'Part III-Sources of Funds'!E11</f>
        <v>0</v>
      </c>
      <c r="N396" s="1926"/>
      <c r="O396" s="363" t="s">
        <v>126</v>
      </c>
      <c r="P396" s="2312"/>
      <c r="Q396" s="427"/>
      <c r="R396" s="102"/>
      <c r="S396" s="102"/>
      <c r="T396" s="102"/>
      <c r="U396" s="102"/>
      <c r="V396" s="102"/>
      <c r="W396" s="102"/>
      <c r="X396" s="102"/>
      <c r="Y396" s="102"/>
      <c r="Z396" s="102"/>
      <c r="AA396" s="102"/>
      <c r="AB396" s="102"/>
      <c r="AC396" s="102"/>
      <c r="AD396" s="102"/>
      <c r="AE396" s="366"/>
      <c r="AF396" s="366"/>
    </row>
    <row r="397" spans="1:32" ht="11.25" customHeight="1">
      <c r="A397" s="102"/>
      <c r="B397" s="99" t="s">
        <v>1274</v>
      </c>
      <c r="C397" s="102"/>
      <c r="D397" s="99"/>
      <c r="E397" s="99"/>
      <c r="F397" s="99"/>
      <c r="G397" s="99"/>
      <c r="H397" s="22"/>
      <c r="I397" s="1529"/>
      <c r="J397" s="1529"/>
      <c r="K397" s="1529"/>
      <c r="L397" s="1524"/>
      <c r="M397" s="1524"/>
      <c r="N397" s="1524"/>
      <c r="O397" s="1524"/>
      <c r="P397" s="1524"/>
      <c r="Q397" s="771"/>
      <c r="R397" s="102"/>
      <c r="S397" s="102"/>
      <c r="T397" s="102"/>
      <c r="U397" s="102"/>
      <c r="V397" s="102"/>
      <c r="W397" s="102"/>
      <c r="X397" s="102"/>
      <c r="Y397" s="102"/>
      <c r="Z397" s="102"/>
      <c r="AA397" s="102"/>
      <c r="AB397" s="102"/>
      <c r="AC397" s="102"/>
      <c r="AD397" s="102"/>
      <c r="AE397" s="366"/>
      <c r="AF397" s="366"/>
    </row>
    <row r="398" spans="1:32" ht="11.45" customHeight="1">
      <c r="A398" s="2496" t="s">
        <v>4667</v>
      </c>
      <c r="B398" s="2497"/>
      <c r="C398" s="2497"/>
      <c r="D398" s="2497"/>
      <c r="E398" s="2497"/>
      <c r="F398" s="2497"/>
      <c r="G398" s="2497"/>
      <c r="H398" s="2497"/>
      <c r="I398" s="2497"/>
      <c r="J398" s="2497"/>
      <c r="K398" s="2497"/>
      <c r="L398" s="2497"/>
      <c r="M398" s="2497"/>
      <c r="N398" s="2497"/>
      <c r="O398" s="2497"/>
      <c r="P398" s="2497"/>
      <c r="Q398" s="2498"/>
      <c r="R398" s="102"/>
      <c r="S398" s="102"/>
      <c r="T398" s="102"/>
      <c r="U398" s="94"/>
      <c r="V398" s="94"/>
      <c r="W398" s="94"/>
      <c r="X398" s="94"/>
      <c r="Y398" s="94"/>
      <c r="Z398" s="94"/>
      <c r="AA398" s="94"/>
      <c r="AB398" s="94"/>
      <c r="AC398" s="94"/>
      <c r="AD398" s="94"/>
      <c r="AE398" s="365"/>
      <c r="AF398" s="366"/>
    </row>
    <row r="399" spans="1:32" ht="11.25" customHeight="1">
      <c r="A399" s="102"/>
      <c r="B399" s="95" t="s">
        <v>1276</v>
      </c>
      <c r="C399" s="96"/>
      <c r="D399" s="1532"/>
      <c r="E399" s="1532"/>
      <c r="F399" s="1532"/>
      <c r="G399" s="1532"/>
      <c r="H399" s="1532"/>
      <c r="I399" s="1532"/>
      <c r="J399" s="1532"/>
      <c r="K399" s="1532"/>
      <c r="L399" s="1532"/>
      <c r="M399" s="1532"/>
      <c r="N399" s="1532"/>
      <c r="O399" s="1532"/>
      <c r="P399" s="1532"/>
      <c r="Q399" s="1532"/>
      <c r="R399" s="102"/>
      <c r="S399" s="102"/>
      <c r="T399" s="102"/>
      <c r="U399" s="102"/>
      <c r="V399" s="102"/>
      <c r="W399" s="102"/>
      <c r="X399" s="102"/>
      <c r="Y399" s="102"/>
      <c r="Z399" s="102"/>
      <c r="AA399" s="102"/>
      <c r="AB399" s="102"/>
      <c r="AC399" s="102"/>
      <c r="AD399" s="102"/>
      <c r="AE399" s="366"/>
      <c r="AF399" s="366"/>
    </row>
    <row r="400" spans="1:32" ht="11.45" customHeight="1">
      <c r="A400" s="1835"/>
      <c r="B400" s="1836"/>
      <c r="C400" s="1836"/>
      <c r="D400" s="1836"/>
      <c r="E400" s="1836"/>
      <c r="F400" s="1836"/>
      <c r="G400" s="1836"/>
      <c r="H400" s="1836"/>
      <c r="I400" s="1836"/>
      <c r="J400" s="1836"/>
      <c r="K400" s="1836"/>
      <c r="L400" s="1836"/>
      <c r="M400" s="1836"/>
      <c r="N400" s="1836"/>
      <c r="O400" s="1836"/>
      <c r="P400" s="1836"/>
      <c r="Q400" s="1837"/>
      <c r="R400" s="102"/>
      <c r="S400" s="102"/>
      <c r="T400" s="102"/>
      <c r="U400" s="102"/>
      <c r="V400" s="102"/>
      <c r="W400" s="102"/>
      <c r="X400" s="102"/>
      <c r="Y400" s="102"/>
      <c r="Z400" s="102"/>
      <c r="AA400" s="102"/>
      <c r="AB400" s="102"/>
      <c r="AC400" s="102"/>
      <c r="AD400" s="102"/>
      <c r="AE400" s="366"/>
      <c r="AF400" s="366"/>
    </row>
    <row r="401" spans="1:31" ht="3.6" customHeight="1">
      <c r="A401" s="1524"/>
      <c r="B401" s="1529"/>
      <c r="C401" s="1532"/>
      <c r="D401" s="1532"/>
      <c r="E401" s="1532"/>
      <c r="F401" s="1532"/>
      <c r="G401" s="1532"/>
      <c r="H401" s="1532"/>
      <c r="I401" s="1532"/>
      <c r="J401" s="1532"/>
      <c r="K401" s="1532"/>
      <c r="L401" s="1532"/>
      <c r="M401" s="1532"/>
      <c r="N401" s="102"/>
      <c r="O401" s="102"/>
      <c r="P401" s="102"/>
      <c r="Q401" s="771"/>
      <c r="R401" s="102"/>
      <c r="S401" s="102"/>
      <c r="T401" s="102"/>
      <c r="U401" s="102"/>
      <c r="V401" s="102"/>
      <c r="W401" s="102"/>
      <c r="X401" s="102"/>
      <c r="Y401" s="102"/>
      <c r="Z401" s="102"/>
      <c r="AA401" s="102"/>
      <c r="AB401" s="102"/>
      <c r="AC401" s="102"/>
      <c r="AD401" s="102"/>
      <c r="AE401" s="366"/>
    </row>
    <row r="402" spans="1:31" ht="13.9" customHeight="1">
      <c r="A402" s="1526" t="s">
        <v>1586</v>
      </c>
      <c r="B402" s="4" t="s">
        <v>1587</v>
      </c>
      <c r="C402" s="4"/>
      <c r="D402" s="4"/>
      <c r="E402" s="1532"/>
      <c r="F402" s="102"/>
      <c r="G402" s="98" t="s">
        <v>1588</v>
      </c>
      <c r="H402" s="1532"/>
      <c r="I402" s="1532"/>
      <c r="J402" s="1532"/>
      <c r="K402" s="1532"/>
      <c r="L402" s="1532"/>
      <c r="M402" s="1532"/>
      <c r="N402" s="102"/>
      <c r="O402" s="90" t="s">
        <v>1273</v>
      </c>
      <c r="P402" s="1838"/>
      <c r="Q402" s="1839"/>
      <c r="R402" s="102"/>
      <c r="S402" s="102"/>
      <c r="T402" s="102"/>
      <c r="U402" s="102"/>
      <c r="V402" s="102"/>
      <c r="W402" s="102"/>
      <c r="X402" s="102"/>
      <c r="Y402" s="102"/>
      <c r="Z402" s="102"/>
      <c r="AA402" s="102"/>
      <c r="AB402" s="102"/>
      <c r="AC402" s="102"/>
      <c r="AD402" s="102"/>
      <c r="AE402" s="366"/>
    </row>
    <row r="403" spans="1:31" ht="12" customHeight="1">
      <c r="A403" s="28" t="s">
        <v>110</v>
      </c>
      <c r="B403" s="31" t="s">
        <v>1589</v>
      </c>
      <c r="C403" s="102"/>
      <c r="D403" s="773"/>
      <c r="E403" s="773"/>
      <c r="F403" s="102"/>
      <c r="G403" s="102"/>
      <c r="H403" s="98"/>
      <c r="I403" s="102"/>
      <c r="J403" s="102"/>
      <c r="K403" s="102"/>
      <c r="L403" s="102"/>
      <c r="M403" s="102"/>
      <c r="N403" s="102"/>
      <c r="O403" s="363" t="s">
        <v>110</v>
      </c>
      <c r="P403" s="2313" t="s">
        <v>21</v>
      </c>
      <c r="Q403" s="425"/>
      <c r="R403" s="102"/>
      <c r="S403" s="102"/>
      <c r="T403" s="102"/>
      <c r="U403" s="102"/>
      <c r="V403" s="102"/>
      <c r="W403" s="102"/>
      <c r="X403" s="102"/>
      <c r="Y403" s="102"/>
      <c r="Z403" s="102"/>
      <c r="AA403" s="102"/>
      <c r="AB403" s="102"/>
      <c r="AC403" s="102"/>
      <c r="AD403" s="102"/>
      <c r="AE403" s="366"/>
    </row>
    <row r="404" spans="1:31" ht="12" customHeight="1">
      <c r="A404" s="28" t="s">
        <v>121</v>
      </c>
      <c r="B404" s="31" t="s">
        <v>1590</v>
      </c>
      <c r="C404" s="102"/>
      <c r="D404" s="773"/>
      <c r="E404" s="773"/>
      <c r="F404" s="102"/>
      <c r="G404" s="102"/>
      <c r="H404" s="102"/>
      <c r="I404" s="102"/>
      <c r="J404" s="102"/>
      <c r="K404" s="102"/>
      <c r="L404" s="102"/>
      <c r="M404" s="102"/>
      <c r="N404" s="102"/>
      <c r="O404" s="363" t="s">
        <v>121</v>
      </c>
      <c r="P404" s="2319" t="s">
        <v>21</v>
      </c>
      <c r="Q404" s="426"/>
      <c r="R404" s="102"/>
      <c r="S404" s="102"/>
      <c r="T404" s="102"/>
      <c r="U404" s="102"/>
      <c r="V404" s="102"/>
      <c r="W404" s="102"/>
      <c r="X404" s="102"/>
      <c r="Y404" s="102"/>
      <c r="Z404" s="102"/>
      <c r="AA404" s="102"/>
      <c r="AB404" s="102"/>
      <c r="AC404" s="102"/>
      <c r="AD404" s="102"/>
      <c r="AE404" s="366"/>
    </row>
    <row r="405" spans="1:31" ht="12" customHeight="1">
      <c r="A405" s="28" t="s">
        <v>123</v>
      </c>
      <c r="B405" s="31" t="s">
        <v>1591</v>
      </c>
      <c r="C405" s="102"/>
      <c r="D405" s="773"/>
      <c r="E405" s="773"/>
      <c r="F405" s="102"/>
      <c r="G405" s="102"/>
      <c r="H405" s="102"/>
      <c r="I405" s="102"/>
      <c r="J405" s="102"/>
      <c r="K405" s="102"/>
      <c r="L405" s="102"/>
      <c r="M405" s="102"/>
      <c r="N405" s="102"/>
      <c r="O405" s="363" t="s">
        <v>123</v>
      </c>
      <c r="P405" s="2319" t="s">
        <v>21</v>
      </c>
      <c r="Q405" s="426"/>
      <c r="R405" s="102"/>
      <c r="S405" s="102"/>
      <c r="T405" s="102"/>
      <c r="U405" s="102"/>
      <c r="V405" s="102"/>
      <c r="W405" s="102"/>
      <c r="X405" s="102"/>
      <c r="Y405" s="102"/>
      <c r="Z405" s="102"/>
      <c r="AA405" s="102"/>
      <c r="AB405" s="102"/>
      <c r="AC405" s="102"/>
      <c r="AD405" s="102"/>
      <c r="AE405" s="366"/>
    </row>
    <row r="406" spans="1:31" ht="12" customHeight="1">
      <c r="A406" s="28" t="s">
        <v>126</v>
      </c>
      <c r="B406" s="31" t="s">
        <v>1592</v>
      </c>
      <c r="C406" s="102"/>
      <c r="D406" s="102"/>
      <c r="E406" s="98"/>
      <c r="F406" s="102"/>
      <c r="G406" s="102"/>
      <c r="H406" s="102"/>
      <c r="I406" s="102"/>
      <c r="J406" s="102"/>
      <c r="K406" s="102"/>
      <c r="L406" s="102"/>
      <c r="M406" s="102"/>
      <c r="N406" s="102"/>
      <c r="O406" s="363" t="s">
        <v>126</v>
      </c>
      <c r="P406" s="2319" t="s">
        <v>21</v>
      </c>
      <c r="Q406" s="426"/>
      <c r="R406" s="102"/>
      <c r="S406" s="102"/>
      <c r="T406" s="102"/>
      <c r="U406" s="102"/>
      <c r="V406" s="102"/>
      <c r="W406" s="102"/>
      <c r="X406" s="102"/>
      <c r="Y406" s="102"/>
      <c r="Z406" s="102"/>
      <c r="AA406" s="102"/>
      <c r="AB406" s="102"/>
      <c r="AC406" s="102"/>
      <c r="AD406" s="102"/>
      <c r="AE406" s="366"/>
    </row>
    <row r="407" spans="1:31" ht="12" customHeight="1">
      <c r="A407" s="28" t="s">
        <v>140</v>
      </c>
      <c r="B407" s="31" t="s">
        <v>1593</v>
      </c>
      <c r="C407" s="102"/>
      <c r="D407" s="102"/>
      <c r="E407" s="98"/>
      <c r="F407" s="102"/>
      <c r="G407" s="363" t="s">
        <v>140</v>
      </c>
      <c r="H407" s="2536" t="s">
        <v>64</v>
      </c>
      <c r="I407" s="2537"/>
      <c r="J407" s="2537"/>
      <c r="K407" s="2537"/>
      <c r="L407" s="2537"/>
      <c r="M407" s="2537"/>
      <c r="N407" s="2537"/>
      <c r="O407" s="2538"/>
      <c r="P407" s="2312" t="s">
        <v>21</v>
      </c>
      <c r="Q407" s="427"/>
      <c r="R407" s="102"/>
      <c r="S407" s="102"/>
      <c r="T407" s="102"/>
      <c r="U407" s="102"/>
      <c r="V407" s="102"/>
      <c r="W407" s="102"/>
      <c r="X407" s="102"/>
      <c r="Y407" s="102"/>
      <c r="Z407" s="102"/>
      <c r="AA407" s="102"/>
      <c r="AB407" s="102"/>
      <c r="AC407" s="102"/>
      <c r="AD407" s="102"/>
      <c r="AE407" s="366"/>
    </row>
    <row r="408" spans="1:31" ht="11.25" customHeight="1">
      <c r="A408" s="102"/>
      <c r="B408" s="99" t="s">
        <v>1274</v>
      </c>
      <c r="C408" s="102"/>
      <c r="D408" s="99"/>
      <c r="E408" s="99"/>
      <c r="F408" s="99"/>
      <c r="G408" s="99"/>
      <c r="H408" s="22"/>
      <c r="I408" s="1529"/>
      <c r="J408" s="1529"/>
      <c r="K408" s="1529"/>
      <c r="L408" s="1524"/>
      <c r="M408" s="1524"/>
      <c r="N408" s="1524"/>
      <c r="O408" s="1524"/>
      <c r="P408" s="1524"/>
      <c r="Q408" s="771"/>
      <c r="R408" s="102"/>
      <c r="S408" s="102"/>
      <c r="T408" s="102"/>
      <c r="U408" s="102"/>
      <c r="V408" s="102"/>
      <c r="W408" s="102"/>
      <c r="X408" s="102"/>
      <c r="Y408" s="102"/>
      <c r="Z408" s="102"/>
      <c r="AA408" s="102"/>
      <c r="AB408" s="102"/>
      <c r="AC408" s="102"/>
      <c r="AD408" s="102"/>
      <c r="AE408" s="366"/>
    </row>
    <row r="409" spans="1:31" ht="24" customHeight="1">
      <c r="A409" s="2496" t="s">
        <v>4668</v>
      </c>
      <c r="B409" s="2497"/>
      <c r="C409" s="2497"/>
      <c r="D409" s="2497"/>
      <c r="E409" s="2497"/>
      <c r="F409" s="2497"/>
      <c r="G409" s="2497"/>
      <c r="H409" s="2497"/>
      <c r="I409" s="2497"/>
      <c r="J409" s="2497"/>
      <c r="K409" s="2497"/>
      <c r="L409" s="2497"/>
      <c r="M409" s="2497"/>
      <c r="N409" s="2497"/>
      <c r="O409" s="2497"/>
      <c r="P409" s="2497"/>
      <c r="Q409" s="2498"/>
      <c r="R409" s="102"/>
      <c r="S409" s="102"/>
      <c r="T409" s="102"/>
      <c r="U409" s="94"/>
      <c r="V409" s="94"/>
      <c r="W409" s="94"/>
      <c r="X409" s="94"/>
      <c r="Y409" s="94"/>
      <c r="Z409" s="94"/>
      <c r="AA409" s="94"/>
      <c r="AB409" s="94"/>
      <c r="AC409" s="94"/>
      <c r="AD409" s="94"/>
      <c r="AE409" s="365"/>
    </row>
    <row r="410" spans="1:31" ht="11.25" customHeight="1">
      <c r="A410" s="102"/>
      <c r="B410" s="95" t="s">
        <v>1276</v>
      </c>
      <c r="C410" s="96"/>
      <c r="D410" s="1532"/>
      <c r="E410" s="1532"/>
      <c r="F410" s="1532"/>
      <c r="G410" s="1532"/>
      <c r="H410" s="1532"/>
      <c r="I410" s="1532"/>
      <c r="J410" s="1532"/>
      <c r="K410" s="1532"/>
      <c r="L410" s="1532"/>
      <c r="M410" s="1532"/>
      <c r="N410" s="1532"/>
      <c r="O410" s="1532"/>
      <c r="P410" s="1532"/>
      <c r="Q410" s="1532"/>
      <c r="R410" s="102"/>
      <c r="S410" s="102"/>
      <c r="T410" s="102"/>
      <c r="U410" s="102"/>
      <c r="V410" s="102"/>
      <c r="W410" s="102"/>
      <c r="X410" s="102"/>
      <c r="Y410" s="102"/>
      <c r="Z410" s="102"/>
      <c r="AA410" s="102"/>
      <c r="AB410" s="102"/>
      <c r="AC410" s="102"/>
      <c r="AD410" s="102"/>
      <c r="AE410" s="366"/>
    </row>
    <row r="411" spans="1:31" ht="11.45" customHeight="1">
      <c r="A411" s="1835"/>
      <c r="B411" s="1836"/>
      <c r="C411" s="1836"/>
      <c r="D411" s="1836"/>
      <c r="E411" s="1836"/>
      <c r="F411" s="1836"/>
      <c r="G411" s="1836"/>
      <c r="H411" s="1836"/>
      <c r="I411" s="1836"/>
      <c r="J411" s="1836"/>
      <c r="K411" s="1836"/>
      <c r="L411" s="1836"/>
      <c r="M411" s="1836"/>
      <c r="N411" s="1836"/>
      <c r="O411" s="1836"/>
      <c r="P411" s="1836"/>
      <c r="Q411" s="1837"/>
      <c r="R411" s="102"/>
      <c r="S411" s="102"/>
      <c r="T411" s="102"/>
      <c r="U411" s="102"/>
      <c r="V411" s="102"/>
      <c r="W411" s="102"/>
      <c r="X411" s="102"/>
      <c r="Y411" s="102"/>
      <c r="Z411" s="102"/>
      <c r="AA411" s="102"/>
      <c r="AB411" s="102"/>
      <c r="AC411" s="102"/>
      <c r="AD411" s="102"/>
      <c r="AE411" s="366"/>
    </row>
    <row r="412" spans="1:31" ht="3" customHeight="1">
      <c r="A412" s="1524"/>
      <c r="B412" s="1529"/>
      <c r="C412" s="1532"/>
      <c r="D412" s="1532"/>
      <c r="E412" s="1532"/>
      <c r="F412" s="1532"/>
      <c r="G412" s="1532"/>
      <c r="H412" s="1532"/>
      <c r="I412" s="1532"/>
      <c r="J412" s="1532"/>
      <c r="K412" s="1532"/>
      <c r="L412" s="1532"/>
      <c r="M412" s="1532"/>
      <c r="N412" s="1532"/>
      <c r="O412" s="1532"/>
      <c r="P412" s="1532"/>
      <c r="Q412" s="1524"/>
      <c r="R412" s="102"/>
      <c r="S412" s="102"/>
      <c r="T412" s="102"/>
      <c r="U412" s="102"/>
      <c r="V412" s="102"/>
      <c r="W412" s="102"/>
      <c r="X412" s="102"/>
      <c r="Y412" s="102"/>
      <c r="Z412" s="102"/>
      <c r="AA412" s="102"/>
      <c r="AB412" s="102"/>
      <c r="AC412" s="102"/>
      <c r="AD412" s="102"/>
      <c r="AE412" s="366"/>
    </row>
    <row r="413" spans="1:31" ht="13.9" customHeight="1">
      <c r="A413" s="1526" t="s">
        <v>1594</v>
      </c>
      <c r="B413" s="4" t="s">
        <v>1595</v>
      </c>
      <c r="C413" s="4"/>
      <c r="D413" s="4"/>
      <c r="E413" s="4"/>
      <c r="F413" s="4"/>
      <c r="G413" s="4"/>
      <c r="H413" s="1532"/>
      <c r="I413" s="1532"/>
      <c r="J413" s="1532"/>
      <c r="K413" s="1532"/>
      <c r="L413" s="1532"/>
      <c r="M413" s="1532"/>
      <c r="N413" s="102"/>
      <c r="O413" s="90" t="s">
        <v>1273</v>
      </c>
      <c r="P413" s="1838"/>
      <c r="Q413" s="1839"/>
      <c r="R413" s="102"/>
      <c r="S413" s="102"/>
      <c r="T413" s="102"/>
      <c r="U413" s="102"/>
      <c r="V413" s="102"/>
      <c r="W413" s="102"/>
      <c r="X413" s="102"/>
      <c r="Y413" s="102"/>
      <c r="Z413" s="102"/>
      <c r="AA413" s="102"/>
      <c r="AB413" s="102"/>
      <c r="AC413" s="102"/>
      <c r="AD413" s="102"/>
      <c r="AE413" s="366"/>
    </row>
    <row r="414" spans="1:31" ht="12" customHeight="1">
      <c r="A414" s="28" t="s">
        <v>110</v>
      </c>
      <c r="B414" s="20" t="s">
        <v>1596</v>
      </c>
      <c r="C414" s="102"/>
      <c r="D414" s="58"/>
      <c r="E414" s="58"/>
      <c r="F414" s="58"/>
      <c r="G414" s="58"/>
      <c r="H414" s="58"/>
      <c r="I414" s="58"/>
      <c r="J414" s="58"/>
      <c r="K414" s="58"/>
      <c r="L414" s="58"/>
      <c r="M414" s="58"/>
      <c r="N414" s="58"/>
      <c r="O414" s="363" t="s">
        <v>110</v>
      </c>
      <c r="P414" s="2313" t="s">
        <v>21</v>
      </c>
      <c r="Q414" s="425"/>
      <c r="R414" s="102"/>
      <c r="S414" s="102"/>
      <c r="T414" s="102"/>
      <c r="U414" s="102"/>
      <c r="V414" s="102"/>
      <c r="W414" s="102"/>
      <c r="X414" s="102"/>
      <c r="Y414" s="102"/>
      <c r="Z414" s="102"/>
      <c r="AA414" s="102"/>
      <c r="AB414" s="102"/>
      <c r="AC414" s="102"/>
      <c r="AD414" s="102"/>
      <c r="AE414" s="366"/>
    </row>
    <row r="415" spans="1:31" ht="12" customHeight="1">
      <c r="A415" s="28" t="s">
        <v>121</v>
      </c>
      <c r="B415" s="20" t="s">
        <v>1597</v>
      </c>
      <c r="C415" s="102"/>
      <c r="D415" s="58"/>
      <c r="E415" s="58"/>
      <c r="F415" s="58"/>
      <c r="G415" s="58"/>
      <c r="H415" s="58"/>
      <c r="I415" s="58"/>
      <c r="J415" s="58"/>
      <c r="K415" s="58"/>
      <c r="L415" s="58"/>
      <c r="M415" s="58"/>
      <c r="N415" s="58"/>
      <c r="O415" s="363" t="s">
        <v>1429</v>
      </c>
      <c r="P415" s="2312" t="s">
        <v>21</v>
      </c>
      <c r="Q415" s="427"/>
      <c r="R415" s="102"/>
      <c r="S415" s="102"/>
      <c r="T415" s="102"/>
      <c r="U415" s="102"/>
      <c r="V415" s="102"/>
      <c r="W415" s="102"/>
      <c r="X415" s="102"/>
      <c r="Y415" s="102"/>
      <c r="Z415" s="102"/>
      <c r="AA415" s="102"/>
      <c r="AB415" s="102"/>
      <c r="AC415" s="102"/>
      <c r="AD415" s="102"/>
      <c r="AE415" s="366"/>
    </row>
    <row r="416" spans="1:31" ht="12" customHeight="1">
      <c r="A416" s="28"/>
      <c r="B416" s="31" t="s">
        <v>1598</v>
      </c>
      <c r="C416" s="102"/>
      <c r="D416" s="31"/>
      <c r="E416" s="31"/>
      <c r="F416" s="31"/>
      <c r="G416" s="31"/>
      <c r="H416" s="31"/>
      <c r="I416" s="31"/>
      <c r="J416" s="31"/>
      <c r="K416" s="31"/>
      <c r="L416" s="31"/>
      <c r="M416" s="31"/>
      <c r="N416" s="58"/>
      <c r="O416" s="102"/>
      <c r="P416" s="102"/>
      <c r="Q416" s="102"/>
      <c r="R416" s="102"/>
      <c r="S416" s="102"/>
      <c r="T416" s="102"/>
      <c r="U416" s="102"/>
      <c r="V416" s="102"/>
      <c r="W416" s="102"/>
      <c r="X416" s="102"/>
      <c r="Y416" s="102"/>
      <c r="Z416" s="102"/>
      <c r="AA416" s="102"/>
      <c r="AB416" s="102"/>
      <c r="AC416" s="102"/>
      <c r="AD416" s="102"/>
      <c r="AE416" s="366"/>
    </row>
    <row r="417" spans="1:32" ht="12" customHeight="1">
      <c r="A417" s="28"/>
      <c r="B417" s="31" t="s">
        <v>1306</v>
      </c>
      <c r="C417" s="31" t="s">
        <v>1599</v>
      </c>
      <c r="D417" s="102"/>
      <c r="E417" s="31"/>
      <c r="F417" s="31"/>
      <c r="G417" s="31"/>
      <c r="H417" s="31"/>
      <c r="I417" s="31"/>
      <c r="J417" s="31"/>
      <c r="K417" s="31"/>
      <c r="L417" s="31"/>
      <c r="M417" s="31"/>
      <c r="N417" s="58"/>
      <c r="O417" s="363" t="s">
        <v>1306</v>
      </c>
      <c r="P417" s="2313"/>
      <c r="Q417" s="425"/>
      <c r="R417" s="102"/>
      <c r="S417" s="102"/>
      <c r="T417" s="102"/>
      <c r="U417" s="102"/>
      <c r="V417" s="102"/>
      <c r="W417" s="102"/>
      <c r="X417" s="102"/>
      <c r="Y417" s="102"/>
      <c r="Z417" s="102"/>
      <c r="AA417" s="102"/>
      <c r="AB417" s="102"/>
      <c r="AC417" s="102"/>
      <c r="AD417" s="102"/>
      <c r="AE417" s="366"/>
      <c r="AF417" s="366"/>
    </row>
    <row r="418" spans="1:32" s="102" customFormat="1" ht="12" customHeight="1">
      <c r="A418" s="28"/>
      <c r="B418" s="31" t="s">
        <v>1600</v>
      </c>
      <c r="C418" s="31" t="s">
        <v>1601</v>
      </c>
      <c r="E418" s="31"/>
      <c r="F418" s="31"/>
      <c r="G418" s="31"/>
      <c r="H418" s="31"/>
      <c r="I418" s="31"/>
      <c r="J418" s="31"/>
      <c r="K418" s="31"/>
      <c r="L418" s="31"/>
      <c r="M418" s="31"/>
      <c r="N418" s="58"/>
      <c r="O418" s="363" t="s">
        <v>1308</v>
      </c>
      <c r="P418" s="2319"/>
      <c r="Q418" s="426"/>
      <c r="AE418" s="366"/>
      <c r="AF418" s="366"/>
    </row>
    <row r="419" spans="1:32" ht="12" customHeight="1">
      <c r="A419" s="28" t="s">
        <v>123</v>
      </c>
      <c r="B419" s="31" t="s">
        <v>1602</v>
      </c>
      <c r="C419" s="31"/>
      <c r="D419" s="102"/>
      <c r="E419" s="31"/>
      <c r="F419" s="31"/>
      <c r="G419" s="31"/>
      <c r="H419" s="31"/>
      <c r="I419" s="31"/>
      <c r="J419" s="31"/>
      <c r="K419" s="31"/>
      <c r="L419" s="31"/>
      <c r="M419" s="31"/>
      <c r="N419" s="31"/>
      <c r="O419" s="363" t="s">
        <v>123</v>
      </c>
      <c r="P419" s="2312"/>
      <c r="Q419" s="427"/>
      <c r="R419" s="102"/>
      <c r="S419" s="102"/>
      <c r="T419" s="102"/>
      <c r="U419" s="102"/>
      <c r="V419" s="102"/>
      <c r="W419" s="102"/>
      <c r="X419" s="102"/>
      <c r="Y419" s="102"/>
      <c r="Z419" s="102"/>
      <c r="AA419" s="102"/>
      <c r="AB419" s="102"/>
      <c r="AC419" s="102"/>
      <c r="AD419" s="102"/>
      <c r="AE419" s="366"/>
      <c r="AF419" s="366"/>
    </row>
    <row r="420" spans="1:32" ht="12" customHeight="1">
      <c r="A420" s="28" t="s">
        <v>126</v>
      </c>
      <c r="B420" s="772" t="s">
        <v>1603</v>
      </c>
      <c r="C420" s="772"/>
      <c r="D420" s="102"/>
      <c r="E420" s="772"/>
      <c r="F420" s="772"/>
      <c r="G420" s="772"/>
      <c r="H420" s="772"/>
      <c r="I420" s="772"/>
      <c r="J420" s="772"/>
      <c r="K420" s="772"/>
      <c r="L420" s="772"/>
      <c r="M420" s="772"/>
      <c r="N420" s="58"/>
      <c r="O420" s="363"/>
      <c r="P420" s="58"/>
      <c r="Q420" s="58"/>
      <c r="R420" s="102"/>
      <c r="S420" s="102"/>
      <c r="T420" s="102"/>
      <c r="U420" s="102"/>
      <c r="V420" s="102"/>
      <c r="W420" s="102"/>
      <c r="X420" s="102"/>
      <c r="Y420" s="102"/>
      <c r="Z420" s="102"/>
      <c r="AA420" s="102"/>
      <c r="AB420" s="102"/>
      <c r="AC420" s="102"/>
      <c r="AD420" s="102"/>
      <c r="AE420" s="366"/>
      <c r="AF420" s="366"/>
    </row>
    <row r="421" spans="1:32" ht="12" customHeight="1">
      <c r="A421" s="28"/>
      <c r="B421" s="93" t="s">
        <v>1604</v>
      </c>
      <c r="C421" s="20"/>
      <c r="D421" s="102"/>
      <c r="E421" s="58"/>
      <c r="F421" s="772"/>
      <c r="G421" s="2584"/>
      <c r="H421" s="434"/>
      <c r="I421" s="102"/>
      <c r="J421" s="93" t="s">
        <v>1605</v>
      </c>
      <c r="K421" s="772"/>
      <c r="L421" s="102"/>
      <c r="M421" s="102"/>
      <c r="N421" s="2584"/>
      <c r="O421" s="434"/>
      <c r="P421" s="102"/>
      <c r="Q421" s="102"/>
      <c r="R421" s="102"/>
      <c r="S421" s="102"/>
      <c r="T421" s="102"/>
      <c r="U421" s="102"/>
      <c r="V421" s="102"/>
      <c r="W421" s="102"/>
      <c r="X421" s="102"/>
      <c r="Y421" s="102"/>
      <c r="Z421" s="102"/>
      <c r="AA421" s="102"/>
      <c r="AB421" s="102"/>
      <c r="AC421" s="102"/>
      <c r="AD421" s="102"/>
      <c r="AE421" s="366"/>
      <c r="AF421" s="366"/>
    </row>
    <row r="422" spans="1:32" ht="12" customHeight="1">
      <c r="A422" s="28"/>
      <c r="B422" s="93" t="s">
        <v>1606</v>
      </c>
      <c r="C422" s="20"/>
      <c r="D422" s="102"/>
      <c r="E422" s="58"/>
      <c r="F422" s="772"/>
      <c r="G422" s="2585"/>
      <c r="H422" s="435"/>
      <c r="I422" s="102"/>
      <c r="J422" s="93" t="s">
        <v>1607</v>
      </c>
      <c r="K422" s="772"/>
      <c r="L422" s="102"/>
      <c r="M422" s="102"/>
      <c r="N422" s="2586"/>
      <c r="O422" s="436"/>
      <c r="P422" s="102"/>
      <c r="Q422" s="102"/>
      <c r="R422" s="102"/>
      <c r="S422" s="102"/>
      <c r="T422" s="102"/>
      <c r="U422" s="102"/>
      <c r="V422" s="102"/>
      <c r="W422" s="102"/>
      <c r="X422" s="102"/>
      <c r="Y422" s="102"/>
      <c r="Z422" s="102"/>
      <c r="AA422" s="102"/>
      <c r="AB422" s="102"/>
      <c r="AC422" s="102"/>
      <c r="AD422" s="102"/>
      <c r="AE422" s="366"/>
      <c r="AF422" s="366"/>
    </row>
    <row r="423" spans="1:32" ht="12" customHeight="1">
      <c r="A423" s="28"/>
      <c r="B423" s="93" t="s">
        <v>1608</v>
      </c>
      <c r="C423" s="20"/>
      <c r="D423" s="102"/>
      <c r="E423" s="58"/>
      <c r="F423" s="772"/>
      <c r="G423" s="2586"/>
      <c r="H423" s="436"/>
      <c r="I423" s="102"/>
      <c r="J423" s="102"/>
      <c r="K423" s="772"/>
      <c r="L423" s="772"/>
      <c r="M423" s="772"/>
      <c r="N423" s="58"/>
      <c r="O423" s="363"/>
      <c r="P423" s="102"/>
      <c r="Q423" s="102"/>
      <c r="R423" s="102"/>
      <c r="S423" s="102"/>
      <c r="T423" s="102"/>
      <c r="U423" s="102"/>
      <c r="V423" s="102"/>
      <c r="W423" s="102"/>
      <c r="X423" s="102"/>
      <c r="Y423" s="102"/>
      <c r="Z423" s="102"/>
      <c r="AA423" s="102"/>
      <c r="AB423" s="102"/>
      <c r="AC423" s="102"/>
      <c r="AD423" s="102"/>
      <c r="AE423" s="366"/>
      <c r="AF423" s="366"/>
    </row>
    <row r="424" spans="1:32" ht="12" customHeight="1">
      <c r="A424" s="28" t="s">
        <v>140</v>
      </c>
      <c r="B424" s="772" t="s">
        <v>1609</v>
      </c>
      <c r="C424" s="772"/>
      <c r="D424" s="102"/>
      <c r="E424" s="772"/>
      <c r="F424" s="772"/>
      <c r="G424" s="772"/>
      <c r="H424" s="102"/>
      <c r="I424" s="102"/>
      <c r="J424" s="58"/>
      <c r="K424" s="772"/>
      <c r="L424" s="772"/>
      <c r="M424" s="772"/>
      <c r="N424" s="58"/>
      <c r="O424" s="363"/>
      <c r="P424" s="363"/>
      <c r="Q424" s="363"/>
      <c r="R424" s="102"/>
      <c r="S424" s="102"/>
      <c r="T424" s="102"/>
      <c r="U424" s="102"/>
      <c r="V424" s="102"/>
      <c r="W424" s="102"/>
      <c r="X424" s="102"/>
      <c r="Y424" s="102"/>
      <c r="Z424" s="102"/>
      <c r="AA424" s="102"/>
      <c r="AB424" s="102"/>
      <c r="AC424" s="102"/>
      <c r="AD424" s="102"/>
      <c r="AE424" s="366"/>
      <c r="AF424" s="366"/>
    </row>
    <row r="425" spans="1:32" ht="12" customHeight="1">
      <c r="A425" s="58"/>
      <c r="B425" s="326" t="s">
        <v>1610</v>
      </c>
      <c r="C425" s="772"/>
      <c r="D425" s="102"/>
      <c r="E425" s="772"/>
      <c r="F425" s="772"/>
      <c r="G425" s="2313"/>
      <c r="H425" s="425"/>
      <c r="I425" s="102"/>
      <c r="J425" s="326" t="s">
        <v>1611</v>
      </c>
      <c r="K425" s="772"/>
      <c r="L425" s="102"/>
      <c r="M425" s="102"/>
      <c r="N425" s="2383"/>
      <c r="O425" s="1411"/>
      <c r="P425" s="102"/>
      <c r="Q425" s="102"/>
      <c r="R425" s="102"/>
      <c r="S425" s="102"/>
      <c r="T425" s="102"/>
      <c r="U425" s="102"/>
      <c r="V425" s="102"/>
      <c r="W425" s="102"/>
      <c r="X425" s="102"/>
      <c r="Y425" s="102"/>
      <c r="Z425" s="102"/>
      <c r="AA425" s="102"/>
      <c r="AB425" s="102"/>
      <c r="AC425" s="102"/>
      <c r="AD425" s="102"/>
      <c r="AE425" s="366"/>
      <c r="AF425" s="366"/>
    </row>
    <row r="426" spans="1:32" ht="12" customHeight="1">
      <c r="A426" s="58"/>
      <c r="B426" s="326" t="s">
        <v>1612</v>
      </c>
      <c r="C426" s="772"/>
      <c r="D426" s="102"/>
      <c r="E426" s="772"/>
      <c r="F426" s="772"/>
      <c r="G426" s="2312"/>
      <c r="H426" s="427"/>
      <c r="I426" s="102"/>
      <c r="J426" s="326" t="s">
        <v>1613</v>
      </c>
      <c r="K426" s="102"/>
      <c r="L426" s="102"/>
      <c r="M426" s="102"/>
      <c r="N426" s="2587"/>
      <c r="O426" s="2588"/>
      <c r="P426" s="2588"/>
      <c r="Q426" s="2542"/>
      <c r="R426" s="102"/>
      <c r="S426" s="102"/>
      <c r="T426" s="102"/>
      <c r="U426" s="102"/>
      <c r="V426" s="102"/>
      <c r="W426" s="102"/>
      <c r="X426" s="102"/>
      <c r="Y426" s="102"/>
      <c r="Z426" s="102"/>
      <c r="AA426" s="102"/>
      <c r="AB426" s="102"/>
      <c r="AC426" s="102"/>
      <c r="AD426" s="102"/>
      <c r="AE426" s="366"/>
      <c r="AF426" s="366"/>
    </row>
    <row r="427" spans="1:32" ht="12" customHeight="1">
      <c r="A427" s="102"/>
      <c r="B427" s="99" t="s">
        <v>1274</v>
      </c>
      <c r="C427" s="102"/>
      <c r="D427" s="99"/>
      <c r="E427" s="99"/>
      <c r="F427" s="99"/>
      <c r="G427" s="99"/>
      <c r="H427" s="22"/>
      <c r="I427" s="1529"/>
      <c r="J427" s="1529"/>
      <c r="K427" s="1529"/>
      <c r="L427" s="102"/>
      <c r="M427" s="102"/>
      <c r="N427" s="102"/>
      <c r="O427" s="102"/>
      <c r="P427" s="1524"/>
      <c r="Q427" s="771"/>
      <c r="R427" s="102"/>
      <c r="S427" s="102"/>
      <c r="T427" s="102"/>
      <c r="U427" s="102"/>
      <c r="V427" s="102"/>
      <c r="W427" s="102"/>
      <c r="X427" s="102"/>
      <c r="Y427" s="102"/>
      <c r="Z427" s="102"/>
      <c r="AA427" s="102"/>
      <c r="AB427" s="102"/>
      <c r="AC427" s="102"/>
      <c r="AD427" s="102"/>
      <c r="AE427" s="366"/>
      <c r="AF427" s="366"/>
    </row>
    <row r="428" spans="1:32" ht="23.25" customHeight="1">
      <c r="A428" s="2496" t="s">
        <v>4669</v>
      </c>
      <c r="B428" s="2497"/>
      <c r="C428" s="2497"/>
      <c r="D428" s="2497"/>
      <c r="E428" s="2497"/>
      <c r="F428" s="2497"/>
      <c r="G428" s="2497"/>
      <c r="H428" s="2497"/>
      <c r="I428" s="2497"/>
      <c r="J428" s="2497"/>
      <c r="K428" s="2497"/>
      <c r="L428" s="2497"/>
      <c r="M428" s="2497"/>
      <c r="N428" s="2497"/>
      <c r="O428" s="2497"/>
      <c r="P428" s="2497"/>
      <c r="Q428" s="2498"/>
      <c r="R428" s="102"/>
      <c r="S428" s="102"/>
      <c r="T428" s="102"/>
      <c r="U428" s="94"/>
      <c r="V428" s="94"/>
      <c r="W428" s="94"/>
      <c r="X428" s="94"/>
      <c r="Y428" s="94"/>
      <c r="Z428" s="94"/>
      <c r="AA428" s="94"/>
      <c r="AB428" s="94"/>
      <c r="AC428" s="94"/>
      <c r="AD428" s="94"/>
      <c r="AE428" s="365"/>
      <c r="AF428" s="366"/>
    </row>
    <row r="429" spans="1:32" ht="12" customHeight="1">
      <c r="A429" s="102"/>
      <c r="B429" s="95" t="s">
        <v>1276</v>
      </c>
      <c r="C429" s="96"/>
      <c r="D429" s="1532"/>
      <c r="E429" s="1532"/>
      <c r="F429" s="1532"/>
      <c r="G429" s="1532"/>
      <c r="H429" s="1532"/>
      <c r="I429" s="1532"/>
      <c r="J429" s="1532"/>
      <c r="K429" s="1532"/>
      <c r="L429" s="1532"/>
      <c r="M429" s="1532"/>
      <c r="N429" s="1532"/>
      <c r="O429" s="1532"/>
      <c r="P429" s="1532"/>
      <c r="Q429" s="1532"/>
      <c r="R429" s="102"/>
      <c r="S429" s="102"/>
      <c r="T429" s="102"/>
      <c r="U429" s="102"/>
      <c r="V429" s="102"/>
      <c r="W429" s="102"/>
      <c r="X429" s="102"/>
      <c r="Y429" s="102"/>
      <c r="Z429" s="102"/>
      <c r="AA429" s="102"/>
      <c r="AB429" s="102"/>
      <c r="AC429" s="102"/>
      <c r="AD429" s="102"/>
      <c r="AE429" s="366"/>
      <c r="AF429" s="366"/>
    </row>
    <row r="430" spans="1:32" ht="12" customHeight="1">
      <c r="A430" s="1835"/>
      <c r="B430" s="1836"/>
      <c r="C430" s="1836"/>
      <c r="D430" s="1836"/>
      <c r="E430" s="1836"/>
      <c r="F430" s="1836"/>
      <c r="G430" s="1836"/>
      <c r="H430" s="1836"/>
      <c r="I430" s="1836"/>
      <c r="J430" s="1836"/>
      <c r="K430" s="1836"/>
      <c r="L430" s="1836"/>
      <c r="M430" s="1836"/>
      <c r="N430" s="1836"/>
      <c r="O430" s="1836"/>
      <c r="P430" s="1836"/>
      <c r="Q430" s="1837"/>
      <c r="R430" s="102"/>
      <c r="S430" s="102"/>
      <c r="T430" s="102"/>
      <c r="U430" s="102"/>
      <c r="V430" s="102"/>
      <c r="W430" s="102"/>
      <c r="X430" s="102"/>
      <c r="Y430" s="102"/>
      <c r="Z430" s="102"/>
      <c r="AA430" s="102"/>
      <c r="AB430" s="102"/>
      <c r="AC430" s="102"/>
      <c r="AD430" s="102"/>
      <c r="AE430" s="366"/>
      <c r="AF430" s="366"/>
    </row>
    <row r="431" spans="1:32" ht="3" customHeight="1">
      <c r="A431" s="1524"/>
      <c r="B431" s="1529"/>
      <c r="C431" s="1532"/>
      <c r="D431" s="1532"/>
      <c r="E431" s="1532"/>
      <c r="F431" s="1532"/>
      <c r="G431" s="1532"/>
      <c r="H431" s="1532"/>
      <c r="I431" s="1532"/>
      <c r="J431" s="1532"/>
      <c r="K431" s="1532"/>
      <c r="L431" s="1532"/>
      <c r="M431" s="1532"/>
      <c r="N431" s="102"/>
      <c r="O431" s="102"/>
      <c r="P431" s="102"/>
      <c r="Q431" s="771"/>
      <c r="R431" s="102"/>
      <c r="S431" s="102"/>
      <c r="T431" s="102"/>
      <c r="U431" s="102"/>
      <c r="V431" s="102"/>
      <c r="W431" s="102"/>
      <c r="X431" s="102"/>
      <c r="Y431" s="102"/>
      <c r="Z431" s="102"/>
      <c r="AA431" s="102"/>
      <c r="AB431" s="102"/>
      <c r="AC431" s="102"/>
      <c r="AD431" s="102"/>
      <c r="AE431" s="366"/>
      <c r="AF431" s="366"/>
    </row>
    <row r="432" spans="1:32" ht="13.9" customHeight="1">
      <c r="A432" s="1526" t="s">
        <v>1614</v>
      </c>
      <c r="B432" s="4" t="s">
        <v>1615</v>
      </c>
      <c r="C432" s="4"/>
      <c r="D432" s="51"/>
      <c r="E432" s="1532"/>
      <c r="F432" s="1532"/>
      <c r="G432" s="1532"/>
      <c r="H432" s="1532"/>
      <c r="I432" s="102"/>
      <c r="J432" s="102"/>
      <c r="K432" s="102"/>
      <c r="L432" s="102"/>
      <c r="M432" s="102"/>
      <c r="N432" s="102"/>
      <c r="O432" s="90" t="s">
        <v>1273</v>
      </c>
      <c r="P432" s="1838"/>
      <c r="Q432" s="1845"/>
      <c r="R432" s="102"/>
      <c r="S432" s="102"/>
      <c r="T432" s="102"/>
      <c r="U432" s="102"/>
      <c r="V432" s="102"/>
      <c r="W432" s="102"/>
      <c r="X432" s="102"/>
      <c r="Y432" s="102"/>
      <c r="Z432" s="102"/>
      <c r="AA432" s="102"/>
      <c r="AB432" s="102"/>
      <c r="AC432" s="102"/>
      <c r="AD432" s="102"/>
      <c r="AE432" s="366"/>
      <c r="AF432" s="366"/>
    </row>
    <row r="433" spans="1:32" ht="13.9" customHeight="1">
      <c r="A433" s="102"/>
      <c r="B433" s="51" t="s">
        <v>1616</v>
      </c>
      <c r="C433" s="4"/>
      <c r="D433" s="51"/>
      <c r="E433" s="1532"/>
      <c r="F433" s="1532"/>
      <c r="G433" s="1532"/>
      <c r="H433" s="1532"/>
      <c r="I433" s="102"/>
      <c r="J433" s="102"/>
      <c r="K433" s="102"/>
      <c r="L433" s="102"/>
      <c r="M433" s="102"/>
      <c r="N433" s="102"/>
      <c r="O433" s="102"/>
      <c r="P433" s="102"/>
      <c r="Q433" s="102"/>
      <c r="R433" s="102"/>
      <c r="S433" s="102"/>
      <c r="T433" s="102"/>
      <c r="U433" s="102"/>
      <c r="V433" s="102"/>
      <c r="W433" s="102"/>
      <c r="X433" s="102"/>
      <c r="Y433" s="102"/>
      <c r="Z433" s="102"/>
      <c r="AA433" s="102"/>
      <c r="AB433" s="102"/>
      <c r="AC433" s="102"/>
      <c r="AD433" s="102"/>
      <c r="AE433" s="366"/>
      <c r="AF433" s="366"/>
    </row>
    <row r="434" spans="1:32" s="91" customFormat="1" ht="21.75" customHeight="1">
      <c r="A434" s="100" t="s">
        <v>110</v>
      </c>
      <c r="B434" s="1834" t="s">
        <v>1617</v>
      </c>
      <c r="C434" s="1834"/>
      <c r="D434" s="1834"/>
      <c r="E434" s="1834"/>
      <c r="F434" s="1834"/>
      <c r="G434" s="1834"/>
      <c r="H434" s="1834"/>
      <c r="I434" s="1834"/>
      <c r="J434" s="1834"/>
      <c r="K434" s="1834"/>
      <c r="L434" s="1834"/>
      <c r="M434" s="1834"/>
      <c r="N434" s="1834"/>
      <c r="O434" s="113" t="s">
        <v>110</v>
      </c>
      <c r="P434" s="2454" t="s">
        <v>4621</v>
      </c>
      <c r="Q434" s="1033"/>
      <c r="R434" s="310"/>
      <c r="S434" s="310"/>
      <c r="T434" s="310"/>
      <c r="U434" s="310"/>
      <c r="V434" s="310"/>
      <c r="W434" s="310"/>
      <c r="X434" s="310"/>
      <c r="Y434" s="310"/>
      <c r="Z434" s="310"/>
      <c r="AA434" s="310"/>
      <c r="AB434" s="310"/>
      <c r="AC434" s="310"/>
      <c r="AD434" s="310"/>
      <c r="AE434" s="367"/>
      <c r="AF434" s="367"/>
    </row>
    <row r="435" spans="1:32" s="91" customFormat="1" ht="22.5" customHeight="1">
      <c r="A435" s="100" t="s">
        <v>121</v>
      </c>
      <c r="B435" s="1834" t="s">
        <v>1618</v>
      </c>
      <c r="C435" s="1834"/>
      <c r="D435" s="1834"/>
      <c r="E435" s="1834"/>
      <c r="F435" s="1834"/>
      <c r="G435" s="1834"/>
      <c r="H435" s="1834"/>
      <c r="I435" s="1834"/>
      <c r="J435" s="1834"/>
      <c r="K435" s="1834"/>
      <c r="L435" s="1834"/>
      <c r="M435" s="1834"/>
      <c r="N435" s="1834"/>
      <c r="O435" s="113" t="s">
        <v>121</v>
      </c>
      <c r="P435" s="2530" t="s">
        <v>4621</v>
      </c>
      <c r="Q435" s="428"/>
      <c r="R435" s="310"/>
      <c r="S435" s="310"/>
      <c r="T435" s="310"/>
      <c r="U435" s="310"/>
      <c r="V435" s="310"/>
      <c r="W435" s="310"/>
      <c r="X435" s="310"/>
      <c r="Y435" s="310"/>
      <c r="Z435" s="310"/>
      <c r="AA435" s="310"/>
      <c r="AB435" s="310"/>
      <c r="AC435" s="310"/>
      <c r="AD435" s="310"/>
      <c r="AE435" s="367"/>
      <c r="AF435" s="367"/>
    </row>
    <row r="436" spans="1:32" s="91" customFormat="1" ht="22.5" customHeight="1">
      <c r="A436" s="310"/>
      <c r="B436" s="1834" t="s">
        <v>1619</v>
      </c>
      <c r="C436" s="1834"/>
      <c r="D436" s="1834"/>
      <c r="E436" s="1834"/>
      <c r="F436" s="1834"/>
      <c r="G436" s="1834"/>
      <c r="H436" s="1834"/>
      <c r="I436" s="1834"/>
      <c r="J436" s="1834"/>
      <c r="K436" s="1834"/>
      <c r="L436" s="1834"/>
      <c r="M436" s="1834"/>
      <c r="N436" s="1834"/>
      <c r="O436" s="113" t="s">
        <v>1303</v>
      </c>
      <c r="P436" s="2530" t="s">
        <v>4621</v>
      </c>
      <c r="Q436" s="428"/>
      <c r="R436" s="310"/>
      <c r="S436" s="310"/>
      <c r="T436" s="310"/>
      <c r="U436" s="310"/>
      <c r="V436" s="310"/>
      <c r="W436" s="310"/>
      <c r="X436" s="310"/>
      <c r="Y436" s="310"/>
      <c r="Z436" s="310"/>
      <c r="AA436" s="310"/>
      <c r="AB436" s="310"/>
      <c r="AC436" s="310"/>
      <c r="AD436" s="310"/>
      <c r="AE436" s="367"/>
      <c r="AF436" s="367"/>
    </row>
    <row r="437" spans="1:32" s="91" customFormat="1" ht="12" customHeight="1">
      <c r="A437" s="310"/>
      <c r="B437" s="292" t="s">
        <v>1620</v>
      </c>
      <c r="C437" s="310"/>
      <c r="D437" s="480"/>
      <c r="E437" s="480"/>
      <c r="F437" s="480"/>
      <c r="G437" s="480"/>
      <c r="H437" s="480"/>
      <c r="I437" s="480"/>
      <c r="J437" s="480"/>
      <c r="K437" s="480"/>
      <c r="L437" s="480"/>
      <c r="M437" s="480"/>
      <c r="N437" s="480"/>
      <c r="O437" s="113" t="s">
        <v>1306</v>
      </c>
      <c r="P437" s="2530" t="s">
        <v>4621</v>
      </c>
      <c r="Q437" s="428"/>
      <c r="R437" s="310"/>
      <c r="S437" s="310"/>
      <c r="T437" s="310"/>
      <c r="U437" s="310"/>
      <c r="V437" s="310"/>
      <c r="W437" s="310"/>
      <c r="X437" s="310"/>
      <c r="Y437" s="310"/>
      <c r="Z437" s="310"/>
      <c r="AA437" s="310"/>
      <c r="AB437" s="310"/>
      <c r="AC437" s="310"/>
      <c r="AD437" s="310"/>
      <c r="AE437" s="367"/>
      <c r="AF437" s="367"/>
    </row>
    <row r="438" spans="1:32" s="91" customFormat="1" ht="36" customHeight="1">
      <c r="A438" s="310"/>
      <c r="B438" s="1834" t="s">
        <v>1621</v>
      </c>
      <c r="C438" s="1834"/>
      <c r="D438" s="1834"/>
      <c r="E438" s="1834"/>
      <c r="F438" s="1834"/>
      <c r="G438" s="1834"/>
      <c r="H438" s="1834"/>
      <c r="I438" s="1834"/>
      <c r="J438" s="1834"/>
      <c r="K438" s="1834"/>
      <c r="L438" s="1834"/>
      <c r="M438" s="1834"/>
      <c r="N438" s="1834"/>
      <c r="O438" s="113" t="s">
        <v>1308</v>
      </c>
      <c r="P438" s="2530" t="s">
        <v>4621</v>
      </c>
      <c r="Q438" s="428"/>
      <c r="R438" s="310"/>
      <c r="S438" s="310"/>
      <c r="T438" s="310"/>
      <c r="U438" s="310"/>
      <c r="V438" s="310"/>
      <c r="W438" s="310"/>
      <c r="X438" s="310"/>
      <c r="Y438" s="310"/>
      <c r="Z438" s="310"/>
      <c r="AA438" s="310"/>
      <c r="AB438" s="310"/>
      <c r="AC438" s="310"/>
      <c r="AD438" s="310"/>
      <c r="AE438" s="367"/>
      <c r="AF438" s="367"/>
    </row>
    <row r="439" spans="1:32" s="91" customFormat="1" ht="22.5" customHeight="1">
      <c r="A439" s="310"/>
      <c r="B439" s="1834" t="s">
        <v>1622</v>
      </c>
      <c r="C439" s="1834"/>
      <c r="D439" s="1834"/>
      <c r="E439" s="1834"/>
      <c r="F439" s="1834"/>
      <c r="G439" s="1834"/>
      <c r="H439" s="1834"/>
      <c r="I439" s="1834"/>
      <c r="J439" s="1834"/>
      <c r="K439" s="1834"/>
      <c r="L439" s="1834"/>
      <c r="M439" s="1834"/>
      <c r="N439" s="1834"/>
      <c r="O439" s="113" t="s">
        <v>1310</v>
      </c>
      <c r="P439" s="2530" t="s">
        <v>4621</v>
      </c>
      <c r="Q439" s="428"/>
      <c r="R439" s="310"/>
      <c r="S439" s="310"/>
      <c r="T439" s="310"/>
      <c r="U439" s="310"/>
      <c r="V439" s="310"/>
      <c r="W439" s="310"/>
      <c r="X439" s="310"/>
      <c r="Y439" s="310"/>
      <c r="Z439" s="310"/>
      <c r="AA439" s="310"/>
      <c r="AB439" s="310"/>
      <c r="AC439" s="310"/>
      <c r="AD439" s="310"/>
      <c r="AE439" s="367"/>
      <c r="AF439" s="367"/>
    </row>
    <row r="440" spans="1:32" s="91" customFormat="1" ht="22.5" customHeight="1">
      <c r="A440" s="100" t="s">
        <v>123</v>
      </c>
      <c r="B440" s="1834" t="s">
        <v>1623</v>
      </c>
      <c r="C440" s="1834"/>
      <c r="D440" s="1834"/>
      <c r="E440" s="1834"/>
      <c r="F440" s="1834"/>
      <c r="G440" s="1834"/>
      <c r="H440" s="1834"/>
      <c r="I440" s="1834"/>
      <c r="J440" s="1834"/>
      <c r="K440" s="1834"/>
      <c r="L440" s="1834"/>
      <c r="M440" s="1834"/>
      <c r="N440" s="1834"/>
      <c r="O440" s="113" t="s">
        <v>123</v>
      </c>
      <c r="P440" s="2530" t="s">
        <v>4621</v>
      </c>
      <c r="Q440" s="428"/>
      <c r="R440" s="310"/>
      <c r="S440" s="310"/>
      <c r="T440" s="310"/>
      <c r="U440" s="310"/>
      <c r="V440" s="310"/>
      <c r="W440" s="310"/>
      <c r="X440" s="310"/>
      <c r="Y440" s="310"/>
      <c r="Z440" s="310"/>
      <c r="AA440" s="310"/>
      <c r="AB440" s="310"/>
      <c r="AC440" s="310"/>
      <c r="AD440" s="310"/>
      <c r="AE440" s="367"/>
      <c r="AF440" s="367"/>
    </row>
    <row r="441" spans="1:32" s="91" customFormat="1" ht="22.5" customHeight="1">
      <c r="A441" s="100" t="s">
        <v>126</v>
      </c>
      <c r="B441" s="1834" t="s">
        <v>1624</v>
      </c>
      <c r="C441" s="1834"/>
      <c r="D441" s="1834"/>
      <c r="E441" s="1834"/>
      <c r="F441" s="1834"/>
      <c r="G441" s="1834"/>
      <c r="H441" s="1834"/>
      <c r="I441" s="1834"/>
      <c r="J441" s="1834"/>
      <c r="K441" s="1834"/>
      <c r="L441" s="1834"/>
      <c r="M441" s="1834"/>
      <c r="N441" s="1834"/>
      <c r="O441" s="113" t="s">
        <v>126</v>
      </c>
      <c r="P441" s="2530" t="s">
        <v>4621</v>
      </c>
      <c r="Q441" s="428"/>
      <c r="R441" s="310"/>
      <c r="S441" s="310"/>
      <c r="T441" s="310"/>
      <c r="U441" s="310"/>
      <c r="V441" s="310"/>
      <c r="W441" s="310"/>
      <c r="X441" s="310"/>
      <c r="Y441" s="310"/>
      <c r="Z441" s="310"/>
      <c r="AA441" s="310"/>
      <c r="AB441" s="310"/>
      <c r="AC441" s="310"/>
      <c r="AD441" s="310"/>
      <c r="AE441" s="367"/>
      <c r="AF441" s="367"/>
    </row>
    <row r="442" spans="1:32" s="91" customFormat="1" ht="21.75" customHeight="1">
      <c r="A442" s="100" t="s">
        <v>140</v>
      </c>
      <c r="B442" s="1834" t="s">
        <v>1625</v>
      </c>
      <c r="C442" s="1834"/>
      <c r="D442" s="1834"/>
      <c r="E442" s="1834"/>
      <c r="F442" s="1834"/>
      <c r="G442" s="1834"/>
      <c r="H442" s="1834"/>
      <c r="I442" s="1834"/>
      <c r="J442" s="1834"/>
      <c r="K442" s="1834"/>
      <c r="L442" s="1834"/>
      <c r="M442" s="1834"/>
      <c r="N442" s="1834"/>
      <c r="O442" s="113" t="s">
        <v>140</v>
      </c>
      <c r="P442" s="2530" t="s">
        <v>4621</v>
      </c>
      <c r="Q442" s="428"/>
      <c r="R442" s="310"/>
      <c r="S442" s="310"/>
      <c r="T442" s="310"/>
      <c r="U442" s="310"/>
      <c r="V442" s="310"/>
      <c r="W442" s="310"/>
      <c r="X442" s="310"/>
      <c r="Y442" s="310"/>
      <c r="Z442" s="310"/>
      <c r="AA442" s="310"/>
      <c r="AB442" s="310"/>
      <c r="AC442" s="310"/>
      <c r="AD442" s="310"/>
      <c r="AE442" s="367"/>
      <c r="AF442" s="367"/>
    </row>
    <row r="443" spans="1:32" s="310" customFormat="1" ht="21.75" customHeight="1">
      <c r="A443" s="100" t="s">
        <v>147</v>
      </c>
      <c r="B443" s="1834" t="s">
        <v>1626</v>
      </c>
      <c r="C443" s="1834"/>
      <c r="D443" s="1834"/>
      <c r="E443" s="1834"/>
      <c r="F443" s="1834"/>
      <c r="G443" s="1834"/>
      <c r="H443" s="1834"/>
      <c r="I443" s="1834"/>
      <c r="J443" s="1834"/>
      <c r="K443" s="1834"/>
      <c r="L443" s="1834"/>
      <c r="M443" s="1834"/>
      <c r="N443" s="1834"/>
      <c r="O443" s="113" t="s">
        <v>147</v>
      </c>
      <c r="P443" s="2477" t="s">
        <v>4621</v>
      </c>
      <c r="Q443" s="1051"/>
      <c r="AE443" s="367"/>
      <c r="AF443" s="367"/>
    </row>
    <row r="444" spans="1:32" ht="11.25" customHeight="1">
      <c r="A444" s="102"/>
      <c r="B444" s="99" t="s">
        <v>1274</v>
      </c>
      <c r="C444" s="102"/>
      <c r="D444" s="99"/>
      <c r="E444" s="99"/>
      <c r="F444" s="99"/>
      <c r="G444" s="99"/>
      <c r="H444" s="22"/>
      <c r="I444" s="1529"/>
      <c r="J444" s="1529"/>
      <c r="K444" s="1529"/>
      <c r="L444" s="1524"/>
      <c r="M444" s="1524"/>
      <c r="N444" s="1524"/>
      <c r="O444" s="1524"/>
      <c r="P444" s="1524"/>
      <c r="Q444" s="771"/>
      <c r="R444" s="102"/>
      <c r="S444" s="102"/>
      <c r="T444" s="102"/>
      <c r="U444" s="102"/>
      <c r="V444" s="102"/>
      <c r="W444" s="102"/>
      <c r="X444" s="102"/>
      <c r="Y444" s="102"/>
      <c r="Z444" s="102"/>
      <c r="AA444" s="102"/>
      <c r="AB444" s="102"/>
      <c r="AC444" s="102"/>
      <c r="AD444" s="102"/>
      <c r="AE444" s="366"/>
      <c r="AF444" s="366"/>
    </row>
    <row r="445" spans="1:32" ht="23.25" customHeight="1">
      <c r="A445" s="2496" t="s">
        <v>4670</v>
      </c>
      <c r="B445" s="2497"/>
      <c r="C445" s="2497"/>
      <c r="D445" s="2497"/>
      <c r="E445" s="2497"/>
      <c r="F445" s="2497"/>
      <c r="G445" s="2497"/>
      <c r="H445" s="2497"/>
      <c r="I445" s="2497"/>
      <c r="J445" s="2497"/>
      <c r="K445" s="2497"/>
      <c r="L445" s="2497"/>
      <c r="M445" s="2497"/>
      <c r="N445" s="2497"/>
      <c r="O445" s="2497"/>
      <c r="P445" s="2497"/>
      <c r="Q445" s="2498"/>
      <c r="R445" s="341" t="s">
        <v>1275</v>
      </c>
      <c r="S445" s="342"/>
      <c r="T445" s="102"/>
      <c r="U445" s="94"/>
      <c r="V445" s="94"/>
      <c r="W445" s="94"/>
      <c r="X445" s="94"/>
      <c r="Y445" s="94"/>
      <c r="Z445" s="94"/>
      <c r="AA445" s="94"/>
      <c r="AB445" s="94"/>
      <c r="AC445" s="94"/>
      <c r="AD445" s="94"/>
      <c r="AE445" s="365"/>
      <c r="AF445" s="366"/>
    </row>
    <row r="446" spans="1:32" ht="11.25" customHeight="1">
      <c r="A446" s="102"/>
      <c r="B446" s="95" t="s">
        <v>1276</v>
      </c>
      <c r="C446" s="96"/>
      <c r="D446" s="1532"/>
      <c r="E446" s="1532"/>
      <c r="F446" s="1532"/>
      <c r="G446" s="1532"/>
      <c r="H446" s="1532"/>
      <c r="I446" s="1532"/>
      <c r="J446" s="1532"/>
      <c r="K446" s="1532"/>
      <c r="L446" s="1532"/>
      <c r="M446" s="1532"/>
      <c r="N446" s="1532"/>
      <c r="O446" s="1532"/>
      <c r="P446" s="1532"/>
      <c r="Q446" s="1532"/>
      <c r="R446" s="102"/>
      <c r="S446" s="102"/>
      <c r="T446" s="102"/>
      <c r="U446" s="102"/>
      <c r="V446" s="102"/>
      <c r="W446" s="102"/>
      <c r="X446" s="102"/>
      <c r="Y446" s="102"/>
      <c r="Z446" s="102"/>
      <c r="AA446" s="102"/>
      <c r="AB446" s="102"/>
      <c r="AC446" s="102"/>
      <c r="AD446" s="102"/>
      <c r="AE446" s="366"/>
      <c r="AF446" s="366"/>
    </row>
    <row r="447" spans="1:32" ht="22.5" customHeight="1">
      <c r="A447" s="1835"/>
      <c r="B447" s="1836"/>
      <c r="C447" s="1836"/>
      <c r="D447" s="1836"/>
      <c r="E447" s="1836"/>
      <c r="F447" s="1836"/>
      <c r="G447" s="1836"/>
      <c r="H447" s="1836"/>
      <c r="I447" s="1836"/>
      <c r="J447" s="1836"/>
      <c r="K447" s="1836"/>
      <c r="L447" s="1836"/>
      <c r="M447" s="1836"/>
      <c r="N447" s="1836"/>
      <c r="O447" s="1836"/>
      <c r="P447" s="1836"/>
      <c r="Q447" s="1837"/>
      <c r="R447" s="102"/>
      <c r="S447" s="102"/>
      <c r="T447" s="102"/>
      <c r="U447" s="102"/>
      <c r="V447" s="102"/>
      <c r="W447" s="102"/>
      <c r="X447" s="102"/>
      <c r="Y447" s="102"/>
      <c r="Z447" s="102"/>
      <c r="AA447" s="102"/>
      <c r="AB447" s="102"/>
      <c r="AC447" s="102"/>
      <c r="AD447" s="102"/>
      <c r="AE447" s="366"/>
      <c r="AF447" s="366"/>
    </row>
    <row r="448" spans="1:32" ht="3" customHeight="1">
      <c r="A448" s="1524"/>
      <c r="B448" s="1529"/>
      <c r="C448" s="1532"/>
      <c r="D448" s="1532"/>
      <c r="E448" s="1532"/>
      <c r="F448" s="1532"/>
      <c r="G448" s="1532"/>
      <c r="H448" s="1532"/>
      <c r="I448" s="1532"/>
      <c r="J448" s="1532"/>
      <c r="K448" s="1532"/>
      <c r="L448" s="1532"/>
      <c r="M448" s="1532"/>
      <c r="N448" s="102"/>
      <c r="O448" s="102"/>
      <c r="P448" s="102"/>
      <c r="Q448" s="771"/>
      <c r="R448" s="102"/>
      <c r="S448" s="102"/>
      <c r="T448" s="102"/>
      <c r="U448" s="102"/>
      <c r="V448" s="102"/>
      <c r="W448" s="102"/>
      <c r="X448" s="102"/>
      <c r="Y448" s="102"/>
      <c r="Z448" s="102"/>
      <c r="AA448" s="102"/>
      <c r="AB448" s="102"/>
      <c r="AC448" s="102"/>
      <c r="AD448" s="102"/>
      <c r="AE448" s="366"/>
      <c r="AF448" s="366"/>
    </row>
    <row r="449" spans="1:32" ht="13.9" customHeight="1">
      <c r="A449" s="1526" t="s">
        <v>1627</v>
      </c>
      <c r="B449" s="4" t="s">
        <v>1628</v>
      </c>
      <c r="C449" s="4"/>
      <c r="D449" s="51"/>
      <c r="E449" s="1532"/>
      <c r="F449" s="1532"/>
      <c r="G449" s="1532"/>
      <c r="H449" s="1532"/>
      <c r="I449" s="1532"/>
      <c r="J449" s="1532"/>
      <c r="K449" s="1532"/>
      <c r="L449" s="1532"/>
      <c r="M449" s="1532"/>
      <c r="N449" s="102"/>
      <c r="O449" s="90" t="s">
        <v>1273</v>
      </c>
      <c r="P449" s="1838"/>
      <c r="Q449" s="1845"/>
      <c r="R449" s="102"/>
      <c r="S449" s="102"/>
      <c r="T449" s="102"/>
      <c r="U449" s="102"/>
      <c r="V449" s="102"/>
      <c r="W449" s="102"/>
      <c r="X449" s="102"/>
      <c r="Y449" s="102"/>
      <c r="Z449" s="102"/>
      <c r="AA449" s="102"/>
      <c r="AB449" s="102"/>
      <c r="AC449" s="102"/>
      <c r="AD449" s="102"/>
      <c r="AE449" s="366"/>
      <c r="AF449" s="366"/>
    </row>
    <row r="450" spans="1:32" ht="11.25" customHeight="1">
      <c r="A450" s="1526"/>
      <c r="B450" s="99" t="s">
        <v>1274</v>
      </c>
      <c r="C450" s="102"/>
      <c r="D450" s="99"/>
      <c r="E450" s="99"/>
      <c r="F450" s="99"/>
      <c r="G450" s="99"/>
      <c r="H450" s="22"/>
      <c r="I450" s="1529"/>
      <c r="J450" s="1529"/>
      <c r="K450" s="1529"/>
      <c r="L450" s="1524"/>
      <c r="M450" s="1524"/>
      <c r="N450" s="1524"/>
      <c r="O450" s="1524"/>
      <c r="P450" s="1524"/>
      <c r="Q450" s="771"/>
      <c r="R450" s="102"/>
      <c r="S450" s="102"/>
      <c r="T450" s="102"/>
      <c r="U450" s="102"/>
      <c r="V450" s="102"/>
      <c r="W450" s="102"/>
      <c r="X450" s="102"/>
      <c r="Y450" s="102"/>
      <c r="Z450" s="102"/>
      <c r="AA450" s="102"/>
      <c r="AB450" s="102"/>
      <c r="AC450" s="102"/>
      <c r="AD450" s="102"/>
      <c r="AE450" s="366"/>
      <c r="AF450" s="366"/>
    </row>
    <row r="451" spans="1:32" ht="52.5" customHeight="1">
      <c r="A451" s="2496" t="s">
        <v>4671</v>
      </c>
      <c r="B451" s="2497"/>
      <c r="C451" s="2497"/>
      <c r="D451" s="2497"/>
      <c r="E451" s="2497"/>
      <c r="F451" s="2497"/>
      <c r="G451" s="2497"/>
      <c r="H451" s="2497"/>
      <c r="I451" s="2497"/>
      <c r="J451" s="2497"/>
      <c r="K451" s="2497"/>
      <c r="L451" s="2497"/>
      <c r="M451" s="2497"/>
      <c r="N451" s="2497"/>
      <c r="O451" s="2497"/>
      <c r="P451" s="2497"/>
      <c r="Q451" s="2498"/>
      <c r="R451" s="341" t="s">
        <v>1275</v>
      </c>
      <c r="S451" s="342"/>
      <c r="T451" s="102"/>
      <c r="U451" s="94"/>
      <c r="V451" s="94"/>
      <c r="W451" s="94"/>
      <c r="X451" s="94"/>
      <c r="Y451" s="94"/>
      <c r="Z451" s="94"/>
      <c r="AA451" s="94"/>
      <c r="AB451" s="94"/>
      <c r="AC451" s="94"/>
      <c r="AD451" s="94"/>
      <c r="AE451" s="365"/>
      <c r="AF451" s="366"/>
    </row>
    <row r="452" spans="1:32" ht="11.25" customHeight="1">
      <c r="A452" s="102"/>
      <c r="B452" s="95" t="s">
        <v>1276</v>
      </c>
      <c r="C452" s="96"/>
      <c r="D452" s="1532"/>
      <c r="E452" s="1532"/>
      <c r="F452" s="1532"/>
      <c r="G452" s="1532"/>
      <c r="H452" s="1532"/>
      <c r="I452" s="1532"/>
      <c r="J452" s="1532"/>
      <c r="K452" s="1532"/>
      <c r="L452" s="1532"/>
      <c r="M452" s="1532"/>
      <c r="N452" s="1532"/>
      <c r="O452" s="1532"/>
      <c r="P452" s="1532"/>
      <c r="Q452" s="1532"/>
      <c r="R452" s="102"/>
      <c r="S452" s="102"/>
      <c r="T452" s="102"/>
      <c r="U452" s="102"/>
      <c r="V452" s="102"/>
      <c r="W452" s="102"/>
      <c r="X452" s="102"/>
      <c r="Y452" s="102"/>
      <c r="Z452" s="102"/>
      <c r="AA452" s="102"/>
      <c r="AB452" s="102"/>
      <c r="AC452" s="102"/>
      <c r="AD452" s="102"/>
      <c r="AE452" s="366"/>
      <c r="AF452" s="366"/>
    </row>
    <row r="453" spans="1:32" ht="22.5" customHeight="1">
      <c r="A453" s="1835"/>
      <c r="B453" s="1836"/>
      <c r="C453" s="1836"/>
      <c r="D453" s="1836"/>
      <c r="E453" s="1836"/>
      <c r="F453" s="1836"/>
      <c r="G453" s="1836"/>
      <c r="H453" s="1836"/>
      <c r="I453" s="1836"/>
      <c r="J453" s="1836"/>
      <c r="K453" s="1836"/>
      <c r="L453" s="1836"/>
      <c r="M453" s="1836"/>
      <c r="N453" s="1836"/>
      <c r="O453" s="1836"/>
      <c r="P453" s="1836"/>
      <c r="Q453" s="1837"/>
      <c r="R453" s="102"/>
      <c r="S453" s="102"/>
      <c r="T453" s="102"/>
      <c r="U453" s="102"/>
      <c r="V453" s="102"/>
      <c r="W453" s="102"/>
      <c r="X453" s="102"/>
      <c r="Y453" s="102"/>
      <c r="Z453" s="102"/>
      <c r="AA453" s="102"/>
      <c r="AB453" s="102"/>
      <c r="AC453" s="102"/>
      <c r="AD453" s="102"/>
      <c r="AE453" s="366"/>
      <c r="AF453" s="366"/>
    </row>
    <row r="454" spans="1:32" ht="3" customHeight="1">
      <c r="A454" s="1524"/>
      <c r="B454" s="1529"/>
      <c r="C454" s="1532"/>
      <c r="D454" s="1532"/>
      <c r="E454" s="1532"/>
      <c r="F454" s="1532"/>
      <c r="G454" s="1532"/>
      <c r="H454" s="1532"/>
      <c r="I454" s="1532"/>
      <c r="J454" s="1532"/>
      <c r="K454" s="1532"/>
      <c r="L454" s="1532"/>
      <c r="M454" s="1532"/>
      <c r="N454" s="1532"/>
      <c r="O454" s="1532"/>
      <c r="P454" s="1532"/>
      <c r="Q454" s="1524"/>
      <c r="R454" s="102"/>
      <c r="S454" s="102"/>
      <c r="T454" s="102"/>
      <c r="U454" s="102"/>
      <c r="V454" s="102"/>
      <c r="W454" s="102"/>
      <c r="X454" s="102"/>
      <c r="Y454" s="102"/>
      <c r="Z454" s="102"/>
      <c r="AA454" s="102"/>
      <c r="AB454" s="102"/>
      <c r="AC454" s="102"/>
      <c r="AD454" s="102"/>
      <c r="AE454" s="366"/>
      <c r="AF454" s="366"/>
    </row>
    <row r="455" spans="1:32" s="102" customFormat="1" ht="8.4499999999999993" customHeight="1">
      <c r="A455" s="1524"/>
      <c r="B455" s="1529"/>
      <c r="C455" s="1532"/>
      <c r="D455" s="1532"/>
      <c r="E455" s="1532"/>
      <c r="F455" s="1532"/>
      <c r="G455" s="1532"/>
      <c r="H455" s="1532"/>
      <c r="I455" s="1532"/>
      <c r="J455" s="1532"/>
      <c r="K455" s="1532"/>
      <c r="L455" s="1532"/>
      <c r="M455" s="1532"/>
      <c r="AE455" s="366"/>
      <c r="AF455" s="366"/>
    </row>
    <row r="456" spans="1:32" s="102" customFormat="1" ht="3" customHeight="1">
      <c r="A456" s="1524"/>
      <c r="B456" s="1529"/>
      <c r="C456" s="1532"/>
      <c r="D456" s="1532"/>
      <c r="E456" s="1532"/>
      <c r="F456" s="1532"/>
      <c r="G456" s="1532"/>
      <c r="H456" s="1532"/>
      <c r="I456" s="1532"/>
      <c r="J456" s="1532"/>
      <c r="K456" s="1532"/>
      <c r="L456" s="1532"/>
      <c r="M456" s="1532"/>
      <c r="N456" s="1532"/>
      <c r="O456" s="1532"/>
      <c r="P456" s="1532"/>
      <c r="Q456" s="1524"/>
      <c r="AE456" s="366"/>
      <c r="AF456" s="366"/>
    </row>
    <row r="457" spans="1:32" s="102" customFormat="1" ht="12" customHeight="1">
      <c r="A457" s="506"/>
      <c r="B457" s="506"/>
      <c r="C457" s="506"/>
      <c r="D457" s="506"/>
      <c r="E457" s="506"/>
      <c r="F457" s="506"/>
      <c r="G457" s="506"/>
      <c r="H457" s="506"/>
      <c r="I457" s="506"/>
      <c r="J457" s="506"/>
      <c r="K457" s="506"/>
      <c r="L457" s="506"/>
      <c r="M457" s="506"/>
      <c r="N457" s="506"/>
      <c r="O457" s="506"/>
      <c r="P457" s="506"/>
      <c r="Q457" s="506"/>
      <c r="AE457" s="366"/>
      <c r="AF457" s="366"/>
    </row>
    <row r="458" spans="1:32" s="102" customFormat="1" ht="12" customHeight="1">
      <c r="A458" s="506"/>
      <c r="B458" s="506"/>
      <c r="C458" s="506"/>
      <c r="D458" s="506"/>
      <c r="E458" s="506"/>
      <c r="F458" s="506"/>
      <c r="G458" s="506"/>
      <c r="H458" s="506"/>
      <c r="I458" s="506"/>
      <c r="J458" s="506"/>
      <c r="K458" s="506"/>
      <c r="L458" s="506"/>
      <c r="M458" s="506"/>
      <c r="N458" s="506"/>
      <c r="O458" s="506"/>
      <c r="P458" s="506"/>
      <c r="Q458" s="506"/>
      <c r="AE458" s="366"/>
      <c r="AF458" s="366"/>
    </row>
    <row r="459" spans="1:32" s="102" customFormat="1" ht="12" customHeight="1">
      <c r="A459" s="506"/>
      <c r="B459" s="506"/>
      <c r="C459" s="506"/>
      <c r="D459" s="928" t="s">
        <v>1629</v>
      </c>
      <c r="E459" s="506"/>
      <c r="F459" s="506"/>
      <c r="G459" s="506"/>
      <c r="H459" s="506"/>
      <c r="I459" s="506"/>
      <c r="J459" s="506"/>
      <c r="K459" s="506"/>
      <c r="L459" s="506"/>
      <c r="M459" s="506"/>
      <c r="N459" s="506"/>
      <c r="O459" s="506"/>
      <c r="P459" s="506"/>
      <c r="Q459" s="506"/>
      <c r="AE459" s="366"/>
      <c r="AF459" s="366"/>
    </row>
    <row r="460" spans="1:32" s="102" customFormat="1" ht="12" customHeight="1">
      <c r="A460" s="506"/>
      <c r="B460" s="506"/>
      <c r="C460" s="506"/>
      <c r="D460" s="506"/>
      <c r="E460" s="506"/>
      <c r="F460" s="506"/>
      <c r="G460" s="506"/>
      <c r="H460" s="506"/>
      <c r="I460" s="506"/>
      <c r="J460" s="506"/>
      <c r="K460" s="506"/>
      <c r="L460" s="506"/>
      <c r="M460" s="506"/>
      <c r="N460" s="506"/>
      <c r="O460" s="506"/>
      <c r="P460" s="506"/>
      <c r="Q460" s="506"/>
      <c r="AE460" s="366"/>
      <c r="AF460" s="366"/>
    </row>
    <row r="461" spans="1:32" s="102" customFormat="1" ht="12" customHeight="1">
      <c r="A461" s="506"/>
      <c r="B461" s="506"/>
      <c r="C461" s="506"/>
      <c r="D461" s="506"/>
      <c r="E461" s="506"/>
      <c r="F461" s="506"/>
      <c r="G461" s="506"/>
      <c r="H461" s="506"/>
      <c r="I461" s="506"/>
      <c r="J461" s="506"/>
      <c r="K461" s="506"/>
      <c r="L461" s="506"/>
      <c r="M461" s="506"/>
      <c r="N461" s="506"/>
      <c r="O461" s="506"/>
      <c r="P461" s="506"/>
      <c r="Q461" s="506"/>
      <c r="AE461" s="366"/>
      <c r="AF461" s="366"/>
    </row>
    <row r="462" spans="1:32" s="102" customFormat="1" ht="12" customHeight="1">
      <c r="A462" s="506"/>
      <c r="B462" s="506"/>
      <c r="C462" s="506"/>
      <c r="D462" s="506"/>
      <c r="E462" s="506"/>
      <c r="F462" s="506"/>
      <c r="G462" s="506"/>
      <c r="H462" s="506"/>
      <c r="I462" s="506"/>
      <c r="J462" s="506"/>
      <c r="K462" s="506"/>
      <c r="L462" s="506"/>
      <c r="M462" s="506"/>
      <c r="N462" s="506"/>
      <c r="O462" s="506"/>
      <c r="P462" s="506"/>
      <c r="Q462" s="506"/>
      <c r="AE462" s="366"/>
      <c r="AF462" s="366"/>
    </row>
    <row r="463" spans="1:32" s="102" customFormat="1" ht="12" customHeight="1">
      <c r="A463" s="506"/>
      <c r="B463" s="506"/>
      <c r="C463" s="506"/>
      <c r="D463" s="506"/>
      <c r="E463" s="506"/>
      <c r="F463" s="506"/>
      <c r="G463" s="506"/>
      <c r="H463" s="506"/>
      <c r="I463" s="506"/>
      <c r="J463" s="506"/>
      <c r="K463" s="506"/>
      <c r="L463" s="506"/>
      <c r="M463" s="506"/>
      <c r="N463" s="506"/>
      <c r="O463" s="506"/>
      <c r="P463" s="506"/>
      <c r="Q463" s="506"/>
      <c r="AE463" s="366"/>
      <c r="AF463" s="366"/>
    </row>
    <row r="464" spans="1:32" s="102" customFormat="1" ht="12" customHeight="1">
      <c r="A464" s="506"/>
      <c r="B464" s="506"/>
      <c r="C464" s="506"/>
      <c r="D464" s="506"/>
      <c r="E464" s="506"/>
      <c r="F464" s="506"/>
      <c r="G464" s="506"/>
      <c r="H464" s="506"/>
      <c r="I464" s="506"/>
      <c r="J464" s="506"/>
      <c r="K464" s="506"/>
      <c r="L464" s="506"/>
      <c r="M464" s="506"/>
      <c r="N464" s="506"/>
      <c r="O464" s="506"/>
      <c r="P464" s="506"/>
      <c r="Q464" s="506"/>
      <c r="AE464" s="366"/>
      <c r="AF464" s="366"/>
    </row>
    <row r="465" spans="1:32" s="102" customFormat="1" ht="12" customHeight="1">
      <c r="A465" s="506"/>
      <c r="B465" s="506"/>
      <c r="C465" s="506"/>
      <c r="D465" s="506"/>
      <c r="E465" s="506"/>
      <c r="F465" s="506"/>
      <c r="G465" s="506"/>
      <c r="H465" s="506"/>
      <c r="I465" s="506"/>
      <c r="J465" s="506"/>
      <c r="K465" s="506"/>
      <c r="L465" s="506"/>
      <c r="M465" s="506"/>
      <c r="N465" s="506"/>
      <c r="O465" s="506"/>
      <c r="P465" s="506"/>
      <c r="Q465" s="506"/>
      <c r="AE465" s="366"/>
      <c r="AF465" s="366"/>
    </row>
    <row r="466" spans="1:32" s="102" customFormat="1" ht="12" customHeight="1">
      <c r="A466" s="506"/>
      <c r="B466" s="506"/>
      <c r="C466" s="506"/>
      <c r="D466" s="506"/>
      <c r="E466" s="506"/>
      <c r="F466" s="506"/>
      <c r="G466" s="506"/>
      <c r="H466" s="506"/>
      <c r="I466" s="506"/>
      <c r="J466" s="506"/>
      <c r="K466" s="506"/>
      <c r="L466" s="506"/>
      <c r="M466" s="506"/>
      <c r="N466" s="506"/>
      <c r="O466" s="506"/>
      <c r="P466" s="506"/>
      <c r="Q466" s="506"/>
      <c r="AE466" s="366"/>
      <c r="AF466" s="366"/>
    </row>
    <row r="467" spans="1:32" s="102" customFormat="1" ht="12" customHeight="1">
      <c r="A467" s="506"/>
      <c r="B467" s="506"/>
      <c r="C467" s="506"/>
      <c r="D467" s="506"/>
      <c r="E467" s="506"/>
      <c r="F467" s="506"/>
      <c r="G467" s="506"/>
      <c r="H467" s="506"/>
      <c r="I467" s="506"/>
      <c r="J467" s="506"/>
      <c r="K467" s="506"/>
      <c r="L467" s="506"/>
      <c r="M467" s="506"/>
      <c r="N467" s="506"/>
      <c r="O467" s="506"/>
      <c r="P467" s="506"/>
      <c r="Q467" s="506"/>
      <c r="AE467" s="366"/>
      <c r="AF467" s="366"/>
    </row>
    <row r="468" spans="1:32" s="102" customFormat="1" ht="12" customHeight="1">
      <c r="A468" s="506"/>
      <c r="B468" s="506"/>
      <c r="C468" s="506"/>
      <c r="D468" s="506"/>
      <c r="E468" s="506"/>
      <c r="F468" s="506"/>
      <c r="G468" s="506"/>
      <c r="H468" s="506"/>
      <c r="I468" s="506"/>
      <c r="J468" s="506"/>
      <c r="K468" s="506"/>
      <c r="L468" s="506"/>
      <c r="M468" s="506"/>
      <c r="N468" s="506"/>
      <c r="O468" s="506"/>
      <c r="P468" s="506"/>
      <c r="Q468" s="506"/>
      <c r="AE468" s="366"/>
      <c r="AF468" s="366"/>
    </row>
    <row r="469" spans="1:32" s="102" customFormat="1" ht="12" customHeight="1">
      <c r="A469" s="506"/>
      <c r="B469" s="506"/>
      <c r="C469" s="506"/>
      <c r="D469" s="506"/>
      <c r="E469" s="506"/>
      <c r="F469" s="506"/>
      <c r="G469" s="506"/>
      <c r="H469" s="506"/>
      <c r="I469" s="506"/>
      <c r="J469" s="506"/>
      <c r="K469" s="506"/>
      <c r="L469" s="506"/>
      <c r="M469" s="506"/>
      <c r="N469" s="506"/>
      <c r="O469" s="506"/>
      <c r="P469" s="506"/>
      <c r="Q469" s="506"/>
      <c r="AE469" s="366"/>
      <c r="AF469" s="366"/>
    </row>
    <row r="470" spans="1:32" s="102" customFormat="1" ht="12" customHeight="1">
      <c r="A470" s="506"/>
      <c r="B470" s="506"/>
      <c r="C470" s="506"/>
      <c r="D470" s="506"/>
      <c r="E470" s="506"/>
      <c r="F470" s="506"/>
      <c r="G470" s="506"/>
      <c r="H470" s="506"/>
      <c r="I470" s="506"/>
      <c r="J470" s="506"/>
      <c r="K470" s="506"/>
      <c r="L470" s="506"/>
      <c r="M470" s="506"/>
      <c r="N470" s="506"/>
      <c r="O470" s="506"/>
      <c r="P470" s="506"/>
      <c r="Q470" s="506"/>
      <c r="AE470" s="366"/>
      <c r="AF470" s="366"/>
    </row>
    <row r="471" spans="1:32" s="102" customFormat="1" ht="12" customHeight="1">
      <c r="A471" s="506"/>
      <c r="B471" s="506"/>
      <c r="C471" s="506"/>
      <c r="D471" s="506"/>
      <c r="E471" s="506"/>
      <c r="F471" s="506"/>
      <c r="G471" s="506"/>
      <c r="H471" s="506"/>
      <c r="I471" s="506"/>
      <c r="J471" s="506"/>
      <c r="K471" s="506"/>
      <c r="L471" s="506"/>
      <c r="M471" s="506"/>
      <c r="N471" s="506"/>
      <c r="O471" s="506"/>
      <c r="P471" s="506"/>
      <c r="Q471" s="506"/>
      <c r="AE471" s="366"/>
      <c r="AF471" s="366"/>
    </row>
    <row r="472" spans="1:32" s="102" customFormat="1">
      <c r="AE472" s="366"/>
      <c r="AF472" s="366"/>
    </row>
    <row r="473" spans="1:32" s="111" customFormat="1">
      <c r="N473" s="79"/>
      <c r="O473" s="1521"/>
      <c r="P473" s="1521"/>
      <c r="AE473" s="369"/>
      <c r="AF473" s="369"/>
    </row>
    <row r="474" spans="1:32" s="326" customFormat="1" ht="11.25">
      <c r="C474" s="931" t="s">
        <v>1630</v>
      </c>
      <c r="D474" s="931"/>
      <c r="E474" s="931"/>
      <c r="F474" s="931"/>
      <c r="G474" s="931"/>
      <c r="H474" s="931"/>
      <c r="I474" s="931"/>
      <c r="J474" s="931" t="s">
        <v>1631</v>
      </c>
      <c r="K474" s="931"/>
      <c r="L474" s="932"/>
      <c r="M474" s="932"/>
      <c r="N474" s="933"/>
      <c r="O474" s="932" t="s">
        <v>263</v>
      </c>
      <c r="P474" s="934"/>
      <c r="Q474" s="932"/>
      <c r="R474" s="932"/>
      <c r="AE474" s="334"/>
      <c r="AF474" s="334"/>
    </row>
    <row r="475" spans="1:32" s="326" customFormat="1" ht="11.25">
      <c r="C475" s="932" t="s">
        <v>1632</v>
      </c>
      <c r="D475" s="932"/>
      <c r="E475" s="932"/>
      <c r="F475" s="932"/>
      <c r="G475" s="932"/>
      <c r="H475" s="932"/>
      <c r="I475" s="932"/>
      <c r="J475" s="932" t="s">
        <v>781</v>
      </c>
      <c r="K475" s="932"/>
      <c r="L475" s="932"/>
      <c r="M475" s="932"/>
      <c r="N475" s="933"/>
      <c r="O475" s="932" t="s">
        <v>1633</v>
      </c>
      <c r="P475" s="934"/>
      <c r="Q475" s="932"/>
      <c r="R475" s="932"/>
      <c r="AE475" s="334"/>
      <c r="AF475" s="334"/>
    </row>
    <row r="476" spans="1:32" s="326" customFormat="1" ht="11.25">
      <c r="C476" s="931" t="s">
        <v>1634</v>
      </c>
      <c r="D476" s="931"/>
      <c r="E476" s="931"/>
      <c r="F476" s="931"/>
      <c r="G476" s="931"/>
      <c r="H476" s="931"/>
      <c r="I476" s="931"/>
      <c r="J476" s="935" t="s">
        <v>1635</v>
      </c>
      <c r="K476" s="931"/>
      <c r="L476" s="932"/>
      <c r="M476" s="932"/>
      <c r="N476" s="933"/>
      <c r="O476" s="932" t="s">
        <v>1636</v>
      </c>
      <c r="P476" s="934"/>
      <c r="Q476" s="932"/>
      <c r="R476" s="932"/>
      <c r="AE476" s="334"/>
      <c r="AF476" s="334"/>
    </row>
    <row r="477" spans="1:32" s="326" customFormat="1" ht="11.25">
      <c r="C477" s="931" t="s">
        <v>1637</v>
      </c>
      <c r="D477" s="931"/>
      <c r="E477" s="931"/>
      <c r="F477" s="931"/>
      <c r="G477" s="931"/>
      <c r="H477" s="931"/>
      <c r="I477" s="931"/>
      <c r="J477" s="935" t="s">
        <v>1638</v>
      </c>
      <c r="K477" s="931"/>
      <c r="L477" s="932"/>
      <c r="M477" s="932"/>
      <c r="N477" s="933"/>
      <c r="O477" s="932" t="s">
        <v>1639</v>
      </c>
      <c r="P477" s="934"/>
      <c r="Q477" s="932"/>
      <c r="R477" s="932"/>
      <c r="AE477" s="334"/>
      <c r="AF477" s="334"/>
    </row>
    <row r="478" spans="1:32" s="326" customFormat="1" ht="11.25">
      <c r="C478" s="931" t="s">
        <v>1640</v>
      </c>
      <c r="D478" s="931"/>
      <c r="E478" s="931"/>
      <c r="F478" s="931"/>
      <c r="G478" s="931"/>
      <c r="H478" s="931"/>
      <c r="I478" s="931"/>
      <c r="J478" s="932" t="s">
        <v>1641</v>
      </c>
      <c r="K478" s="931"/>
      <c r="L478" s="932"/>
      <c r="M478" s="932"/>
      <c r="N478" s="933"/>
      <c r="O478" s="932" t="s">
        <v>1642</v>
      </c>
      <c r="P478" s="934"/>
      <c r="Q478" s="932"/>
      <c r="R478" s="932"/>
      <c r="AE478" s="334"/>
      <c r="AF478" s="334"/>
    </row>
    <row r="479" spans="1:32" s="326" customFormat="1" ht="11.25">
      <c r="C479" s="941" t="s">
        <v>1643</v>
      </c>
      <c r="D479" s="931"/>
      <c r="E479" s="931"/>
      <c r="F479" s="931"/>
      <c r="G479" s="931"/>
      <c r="H479" s="931"/>
      <c r="I479" s="931"/>
      <c r="J479" s="936" t="s">
        <v>1644</v>
      </c>
      <c r="K479" s="931"/>
      <c r="L479" s="932"/>
      <c r="M479" s="932"/>
      <c r="N479" s="933"/>
      <c r="O479" s="932" t="s">
        <v>1645</v>
      </c>
      <c r="P479" s="934"/>
      <c r="Q479" s="932"/>
      <c r="R479" s="932"/>
      <c r="AE479" s="334"/>
      <c r="AF479" s="334"/>
    </row>
    <row r="480" spans="1:32" s="326" customFormat="1" ht="11.25">
      <c r="C480" s="941" t="s">
        <v>1646</v>
      </c>
      <c r="D480" s="931"/>
      <c r="E480" s="931"/>
      <c r="F480" s="931"/>
      <c r="G480" s="931"/>
      <c r="H480" s="931"/>
      <c r="I480" s="931"/>
      <c r="J480" s="935" t="s">
        <v>1647</v>
      </c>
      <c r="K480" s="931"/>
      <c r="L480" s="932"/>
      <c r="M480" s="932"/>
      <c r="N480" s="933"/>
      <c r="O480" s="932" t="s">
        <v>1648</v>
      </c>
      <c r="P480" s="934"/>
      <c r="Q480" s="932"/>
      <c r="R480" s="932"/>
      <c r="AE480" s="334"/>
      <c r="AF480" s="334"/>
    </row>
    <row r="481" spans="3:32" s="326" customFormat="1" ht="11.25">
      <c r="C481" s="941"/>
      <c r="D481" s="931"/>
      <c r="E481" s="931"/>
      <c r="F481" s="931"/>
      <c r="G481" s="931"/>
      <c r="H481" s="931"/>
      <c r="I481" s="931"/>
      <c r="J481" s="935" t="s">
        <v>1649</v>
      </c>
      <c r="K481" s="931"/>
      <c r="L481" s="932"/>
      <c r="M481" s="932"/>
      <c r="N481" s="933"/>
      <c r="O481" s="932" t="s">
        <v>1650</v>
      </c>
      <c r="P481" s="934"/>
      <c r="Q481" s="932"/>
      <c r="R481" s="932"/>
      <c r="AE481" s="334"/>
      <c r="AF481" s="334"/>
    </row>
    <row r="482" spans="3:32" s="326" customFormat="1" ht="11.25">
      <c r="C482" s="932" t="s">
        <v>781</v>
      </c>
      <c r="D482" s="931"/>
      <c r="E482" s="931"/>
      <c r="F482" s="931"/>
      <c r="G482" s="931"/>
      <c r="H482" s="931"/>
      <c r="I482" s="931"/>
      <c r="J482" s="935" t="s">
        <v>1651</v>
      </c>
      <c r="K482" s="931"/>
      <c r="L482" s="932"/>
      <c r="M482" s="932"/>
      <c r="N482" s="933"/>
      <c r="O482" s="932" t="s">
        <v>1652</v>
      </c>
      <c r="P482" s="934"/>
      <c r="Q482" s="932"/>
      <c r="R482" s="932"/>
      <c r="AE482" s="334"/>
      <c r="AF482" s="334"/>
    </row>
    <row r="483" spans="3:32" s="326" customFormat="1" ht="11.25">
      <c r="C483" s="937" t="s">
        <v>1653</v>
      </c>
      <c r="D483" s="931"/>
      <c r="E483" s="931"/>
      <c r="F483" s="931"/>
      <c r="G483" s="931"/>
      <c r="H483" s="931"/>
      <c r="I483" s="931"/>
      <c r="J483" s="935" t="s">
        <v>1654</v>
      </c>
      <c r="K483" s="931"/>
      <c r="L483" s="932"/>
      <c r="M483" s="932"/>
      <c r="N483" s="933"/>
      <c r="O483" s="932" t="s">
        <v>1655</v>
      </c>
      <c r="P483" s="934"/>
      <c r="Q483" s="932"/>
      <c r="R483" s="932"/>
      <c r="AE483" s="334"/>
      <c r="AF483" s="334"/>
    </row>
    <row r="484" spans="3:32" s="326" customFormat="1" ht="11.25">
      <c r="C484" s="937" t="s">
        <v>1656</v>
      </c>
      <c r="D484" s="931"/>
      <c r="E484" s="931"/>
      <c r="F484" s="931"/>
      <c r="G484" s="931"/>
      <c r="H484" s="931"/>
      <c r="I484" s="931"/>
      <c r="J484" s="935" t="s">
        <v>1657</v>
      </c>
      <c r="K484" s="931"/>
      <c r="L484" s="932"/>
      <c r="M484" s="932"/>
      <c r="N484" s="933"/>
      <c r="O484" s="934"/>
      <c r="P484" s="934"/>
      <c r="Q484" s="932"/>
      <c r="R484" s="932"/>
      <c r="AE484" s="334"/>
      <c r="AF484" s="334"/>
    </row>
    <row r="485" spans="3:32" s="326" customFormat="1" ht="11.25">
      <c r="C485" s="942" t="s">
        <v>1658</v>
      </c>
      <c r="D485" s="931"/>
      <c r="E485" s="931"/>
      <c r="F485" s="931"/>
      <c r="G485" s="931"/>
      <c r="H485" s="931"/>
      <c r="I485" s="931"/>
      <c r="J485" s="935" t="s">
        <v>1659</v>
      </c>
      <c r="K485" s="931"/>
      <c r="L485" s="932"/>
      <c r="M485" s="932"/>
      <c r="N485" s="933"/>
      <c r="O485" s="934"/>
      <c r="P485" s="934"/>
      <c r="Q485" s="932"/>
      <c r="R485" s="932"/>
      <c r="AE485" s="334"/>
      <c r="AF485" s="334"/>
    </row>
    <row r="486" spans="3:32" s="326" customFormat="1" ht="11.25">
      <c r="C486" s="942" t="s">
        <v>1660</v>
      </c>
      <c r="D486" s="931"/>
      <c r="E486" s="931"/>
      <c r="F486" s="931"/>
      <c r="G486" s="931"/>
      <c r="H486" s="931"/>
      <c r="I486" s="931"/>
      <c r="J486" s="935" t="s">
        <v>1661</v>
      </c>
      <c r="K486" s="931"/>
      <c r="L486" s="932"/>
      <c r="M486" s="932"/>
      <c r="N486" s="933"/>
      <c r="O486" s="934"/>
      <c r="P486" s="934"/>
      <c r="Q486" s="932"/>
      <c r="R486" s="932"/>
      <c r="AE486" s="334"/>
      <c r="AF486" s="334"/>
    </row>
    <row r="487" spans="3:32" s="326" customFormat="1" ht="11.25">
      <c r="C487" s="942" t="s">
        <v>1662</v>
      </c>
      <c r="D487" s="931"/>
      <c r="E487" s="931"/>
      <c r="F487" s="931"/>
      <c r="G487" s="931"/>
      <c r="H487" s="931"/>
      <c r="I487" s="931"/>
      <c r="J487" s="935" t="s">
        <v>1663</v>
      </c>
      <c r="K487" s="931"/>
      <c r="L487" s="932"/>
      <c r="M487" s="932"/>
      <c r="N487" s="933"/>
      <c r="O487" s="934"/>
      <c r="P487" s="934"/>
      <c r="Q487" s="932"/>
      <c r="R487" s="932"/>
      <c r="AE487" s="334"/>
      <c r="AF487" s="334"/>
    </row>
    <row r="488" spans="3:32" s="326" customFormat="1" ht="11.25">
      <c r="C488" s="937" t="s">
        <v>1664</v>
      </c>
      <c r="D488" s="931"/>
      <c r="E488" s="931"/>
      <c r="F488" s="931"/>
      <c r="G488" s="931"/>
      <c r="H488" s="931"/>
      <c r="I488" s="931"/>
      <c r="J488" s="935" t="s">
        <v>1665</v>
      </c>
      <c r="K488" s="931"/>
      <c r="L488" s="932"/>
      <c r="M488" s="932"/>
      <c r="N488" s="933"/>
      <c r="O488" s="934"/>
      <c r="P488" s="934"/>
      <c r="Q488" s="932"/>
      <c r="R488" s="932"/>
      <c r="AE488" s="334"/>
      <c r="AF488" s="334"/>
    </row>
    <row r="489" spans="3:32" s="326" customFormat="1" ht="11.25">
      <c r="C489" s="937" t="s">
        <v>1666</v>
      </c>
      <c r="D489" s="931"/>
      <c r="E489" s="931"/>
      <c r="F489" s="931"/>
      <c r="G489" s="931"/>
      <c r="H489" s="931"/>
      <c r="I489" s="931"/>
      <c r="J489" s="935" t="s">
        <v>1667</v>
      </c>
      <c r="K489" s="932"/>
      <c r="L489" s="932"/>
      <c r="M489" s="932"/>
      <c r="N489" s="933"/>
      <c r="O489" s="934"/>
      <c r="P489" s="934"/>
      <c r="Q489" s="932"/>
      <c r="R489" s="932"/>
      <c r="AE489" s="334"/>
      <c r="AF489" s="334"/>
    </row>
    <row r="490" spans="3:32" s="326" customFormat="1" ht="11.25">
      <c r="C490" s="937" t="s">
        <v>1668</v>
      </c>
      <c r="D490" s="932"/>
      <c r="E490" s="932"/>
      <c r="F490" s="932"/>
      <c r="G490" s="932"/>
      <c r="H490" s="932"/>
      <c r="I490" s="932"/>
      <c r="J490" s="935" t="s">
        <v>1669</v>
      </c>
      <c r="K490" s="932"/>
      <c r="L490" s="932"/>
      <c r="M490" s="932"/>
      <c r="N490" s="933"/>
      <c r="O490" s="934"/>
      <c r="P490" s="934"/>
      <c r="Q490" s="932"/>
      <c r="R490" s="932"/>
      <c r="AE490" s="334"/>
      <c r="AF490" s="334"/>
    </row>
    <row r="491" spans="3:32" s="326" customFormat="1" ht="11.25">
      <c r="C491" s="937" t="s">
        <v>1670</v>
      </c>
      <c r="D491" s="932"/>
      <c r="E491" s="932"/>
      <c r="F491" s="932"/>
      <c r="G491" s="932"/>
      <c r="H491" s="932"/>
      <c r="I491" s="932"/>
      <c r="J491" s="935" t="s">
        <v>1671</v>
      </c>
      <c r="K491" s="932"/>
      <c r="L491" s="932"/>
      <c r="M491" s="932"/>
      <c r="N491" s="933"/>
      <c r="O491" s="934"/>
      <c r="P491" s="934"/>
      <c r="Q491" s="932"/>
      <c r="R491" s="932"/>
      <c r="AE491" s="334"/>
      <c r="AF491" s="334"/>
    </row>
    <row r="492" spans="3:32" s="326" customFormat="1" ht="11.25">
      <c r="C492" s="937" t="s">
        <v>1672</v>
      </c>
      <c r="D492" s="932"/>
      <c r="E492" s="932"/>
      <c r="F492" s="932"/>
      <c r="G492" s="932"/>
      <c r="H492" s="932"/>
      <c r="I492" s="932"/>
      <c r="J492" s="935" t="s">
        <v>1673</v>
      </c>
      <c r="K492" s="932"/>
      <c r="L492" s="932"/>
      <c r="M492" s="932"/>
      <c r="N492" s="933"/>
      <c r="O492" s="934"/>
      <c r="P492" s="934"/>
      <c r="Q492" s="932"/>
      <c r="R492" s="932"/>
      <c r="AE492" s="334"/>
      <c r="AF492" s="334"/>
    </row>
    <row r="493" spans="3:32" s="326" customFormat="1" ht="11.25">
      <c r="C493" s="937" t="s">
        <v>1674</v>
      </c>
      <c r="D493" s="932"/>
      <c r="E493" s="932"/>
      <c r="F493" s="932"/>
      <c r="G493" s="932"/>
      <c r="H493" s="932"/>
      <c r="I493" s="932"/>
      <c r="J493" s="935" t="s">
        <v>1675</v>
      </c>
      <c r="K493" s="932"/>
      <c r="L493" s="932"/>
      <c r="M493" s="932"/>
      <c r="N493" s="933"/>
      <c r="O493" s="934"/>
      <c r="P493" s="934"/>
      <c r="Q493" s="932"/>
      <c r="R493" s="932"/>
      <c r="AE493" s="334"/>
      <c r="AF493" s="334"/>
    </row>
    <row r="494" spans="3:32" s="326" customFormat="1" ht="11.25">
      <c r="C494" s="937" t="s">
        <v>1676</v>
      </c>
      <c r="D494" s="932"/>
      <c r="E494" s="932"/>
      <c r="F494" s="932"/>
      <c r="G494" s="932"/>
      <c r="H494" s="932"/>
      <c r="I494" s="932"/>
      <c r="J494" s="932"/>
      <c r="K494" s="932"/>
      <c r="L494" s="932"/>
      <c r="M494" s="932"/>
      <c r="N494" s="933"/>
      <c r="O494" s="934"/>
      <c r="P494" s="934"/>
      <c r="Q494" s="932"/>
      <c r="R494" s="932"/>
      <c r="AE494" s="334"/>
      <c r="AF494" s="334"/>
    </row>
    <row r="495" spans="3:32" s="326" customFormat="1" ht="11.25">
      <c r="C495" s="932"/>
      <c r="D495" s="932"/>
      <c r="E495" s="932"/>
      <c r="F495" s="932"/>
      <c r="G495" s="932"/>
      <c r="H495" s="932"/>
      <c r="I495" s="932"/>
      <c r="J495" s="932"/>
      <c r="K495" s="932"/>
      <c r="L495" s="932"/>
      <c r="M495" s="932"/>
      <c r="N495" s="933"/>
      <c r="O495" s="934"/>
      <c r="P495" s="934"/>
      <c r="Q495" s="932"/>
      <c r="R495" s="932"/>
      <c r="AE495" s="334"/>
      <c r="AF495" s="334"/>
    </row>
    <row r="496" spans="3:32" s="33" customFormat="1" ht="11.25">
      <c r="C496" s="939" t="s">
        <v>1677</v>
      </c>
      <c r="D496" s="931"/>
      <c r="E496" s="931"/>
      <c r="F496" s="931"/>
      <c r="G496" s="931"/>
      <c r="H496" s="931"/>
      <c r="I496" s="931"/>
      <c r="J496" s="931"/>
      <c r="K496" s="931"/>
      <c r="L496" s="931"/>
      <c r="M496" s="931"/>
      <c r="N496" s="931"/>
      <c r="O496" s="934"/>
      <c r="P496" s="931"/>
      <c r="Q496" s="931"/>
      <c r="R496" s="931"/>
      <c r="AE496" s="311"/>
      <c r="AF496" s="311"/>
    </row>
    <row r="497" spans="3:32" s="33" customFormat="1" ht="11.25">
      <c r="C497" s="931" t="s">
        <v>781</v>
      </c>
      <c r="D497" s="931"/>
      <c r="E497" s="931"/>
      <c r="F497" s="931"/>
      <c r="G497" s="931"/>
      <c r="H497" s="931"/>
      <c r="I497" s="931"/>
      <c r="J497" s="931"/>
      <c r="K497" s="931"/>
      <c r="L497" s="931"/>
      <c r="M497" s="931"/>
      <c r="N497" s="931"/>
      <c r="O497" s="931"/>
      <c r="P497" s="931"/>
      <c r="Q497" s="931"/>
      <c r="R497" s="931"/>
      <c r="AE497" s="311"/>
      <c r="AF497" s="311"/>
    </row>
    <row r="498" spans="3:32" s="33" customFormat="1" ht="11.25">
      <c r="C498" s="931" t="s">
        <v>1632</v>
      </c>
      <c r="D498" s="931"/>
      <c r="E498" s="932"/>
      <c r="F498" s="932"/>
      <c r="G498" s="932"/>
      <c r="H498" s="932"/>
      <c r="I498" s="932"/>
      <c r="J498" s="932"/>
      <c r="K498" s="932"/>
      <c r="L498" s="932"/>
      <c r="M498" s="932"/>
      <c r="N498" s="931"/>
      <c r="O498" s="931"/>
      <c r="P498" s="931"/>
      <c r="Q498" s="931"/>
      <c r="R498" s="931"/>
      <c r="AE498" s="311"/>
      <c r="AF498" s="311"/>
    </row>
    <row r="499" spans="3:32" s="33" customFormat="1" ht="11.25">
      <c r="C499" s="931" t="s">
        <v>1634</v>
      </c>
      <c r="D499" s="932"/>
      <c r="E499" s="932"/>
      <c r="F499" s="932"/>
      <c r="G499" s="932"/>
      <c r="H499" s="931"/>
      <c r="I499" s="932"/>
      <c r="J499" s="932"/>
      <c r="K499" s="932"/>
      <c r="L499" s="932"/>
      <c r="M499" s="932"/>
      <c r="N499" s="931"/>
      <c r="O499" s="931"/>
      <c r="P499" s="931"/>
      <c r="Q499" s="931"/>
      <c r="R499" s="931"/>
      <c r="AE499" s="311"/>
      <c r="AF499" s="311"/>
    </row>
    <row r="500" spans="3:32" s="33" customFormat="1" ht="11.25">
      <c r="C500" s="931" t="s">
        <v>1637</v>
      </c>
      <c r="D500" s="932"/>
      <c r="E500" s="932"/>
      <c r="F500" s="932"/>
      <c r="G500" s="932"/>
      <c r="H500" s="932"/>
      <c r="I500" s="932"/>
      <c r="J500" s="932"/>
      <c r="K500" s="932"/>
      <c r="L500" s="932"/>
      <c r="M500" s="932"/>
      <c r="N500" s="931"/>
      <c r="O500" s="931"/>
      <c r="P500" s="931"/>
      <c r="Q500" s="931"/>
      <c r="R500" s="931"/>
      <c r="AE500" s="311"/>
      <c r="AF500" s="311"/>
    </row>
    <row r="501" spans="3:32" s="33" customFormat="1" ht="11.25">
      <c r="C501" s="931" t="s">
        <v>1678</v>
      </c>
      <c r="D501" s="932"/>
      <c r="E501" s="932"/>
      <c r="F501" s="932"/>
      <c r="G501" s="932"/>
      <c r="H501" s="931"/>
      <c r="I501" s="932"/>
      <c r="J501" s="932"/>
      <c r="K501" s="932"/>
      <c r="L501" s="932"/>
      <c r="M501" s="932"/>
      <c r="N501" s="931"/>
      <c r="O501" s="931"/>
      <c r="P501" s="931"/>
      <c r="Q501" s="931"/>
      <c r="R501" s="931"/>
      <c r="AE501" s="311"/>
      <c r="AF501" s="311"/>
    </row>
    <row r="502" spans="3:32" s="33" customFormat="1" ht="11.25">
      <c r="C502" s="941" t="s">
        <v>1679</v>
      </c>
      <c r="D502" s="932"/>
      <c r="E502" s="932"/>
      <c r="F502" s="932"/>
      <c r="G502" s="932"/>
      <c r="H502" s="931"/>
      <c r="I502" s="932"/>
      <c r="J502" s="932"/>
      <c r="K502" s="932"/>
      <c r="L502" s="932"/>
      <c r="M502" s="932"/>
      <c r="N502" s="931"/>
      <c r="O502" s="931"/>
      <c r="P502" s="931"/>
      <c r="Q502" s="931"/>
      <c r="R502" s="931"/>
      <c r="AE502" s="311"/>
      <c r="AF502" s="311"/>
    </row>
    <row r="503" spans="3:32" s="33" customFormat="1" ht="11.25">
      <c r="C503" s="931" t="s">
        <v>1638</v>
      </c>
      <c r="D503" s="932"/>
      <c r="E503" s="932"/>
      <c r="F503" s="932"/>
      <c r="G503" s="932"/>
      <c r="H503" s="931"/>
      <c r="I503" s="932"/>
      <c r="J503" s="931"/>
      <c r="K503" s="932"/>
      <c r="L503" s="932"/>
      <c r="M503" s="932"/>
      <c r="N503" s="931"/>
      <c r="O503" s="931"/>
      <c r="P503" s="931"/>
      <c r="Q503" s="931"/>
      <c r="R503" s="931"/>
      <c r="AE503" s="311"/>
      <c r="AF503" s="311"/>
    </row>
    <row r="504" spans="3:32" s="33" customFormat="1" ht="11.25">
      <c r="C504" s="931" t="s">
        <v>1657</v>
      </c>
      <c r="D504" s="932"/>
      <c r="E504" s="932"/>
      <c r="F504" s="932"/>
      <c r="G504" s="932"/>
      <c r="H504" s="931"/>
      <c r="I504" s="932"/>
      <c r="J504" s="931"/>
      <c r="K504" s="932"/>
      <c r="L504" s="932"/>
      <c r="M504" s="932"/>
      <c r="N504" s="931"/>
      <c r="O504" s="931"/>
      <c r="P504" s="931"/>
      <c r="Q504" s="931"/>
      <c r="R504" s="931"/>
      <c r="AE504" s="311"/>
      <c r="AF504" s="311"/>
    </row>
    <row r="505" spans="3:32" s="33" customFormat="1" ht="11.25">
      <c r="C505" s="931" t="s">
        <v>1673</v>
      </c>
      <c r="D505" s="932"/>
      <c r="E505" s="932"/>
      <c r="F505" s="932"/>
      <c r="G505" s="932"/>
      <c r="H505" s="931"/>
      <c r="I505" s="932"/>
      <c r="J505" s="931"/>
      <c r="K505" s="932"/>
      <c r="L505" s="932"/>
      <c r="M505" s="932"/>
      <c r="N505" s="931"/>
      <c r="O505" s="931"/>
      <c r="P505" s="931"/>
      <c r="Q505" s="931"/>
      <c r="R505" s="931"/>
      <c r="AE505" s="311"/>
      <c r="AF505" s="311"/>
    </row>
    <row r="506" spans="3:32" s="33" customFormat="1" ht="11.25">
      <c r="C506" s="931" t="s">
        <v>1680</v>
      </c>
      <c r="D506" s="932"/>
      <c r="E506" s="932"/>
      <c r="F506" s="932"/>
      <c r="G506" s="932"/>
      <c r="H506" s="932"/>
      <c r="I506" s="932"/>
      <c r="J506" s="932"/>
      <c r="K506" s="932"/>
      <c r="L506" s="932"/>
      <c r="M506" s="932"/>
      <c r="N506" s="931"/>
      <c r="O506" s="931"/>
      <c r="P506" s="931"/>
      <c r="Q506" s="931"/>
      <c r="R506" s="931"/>
      <c r="AE506" s="311"/>
      <c r="AF506" s="311"/>
    </row>
    <row r="507" spans="3:32" s="33" customFormat="1" ht="11.25">
      <c r="C507" s="931" t="s">
        <v>1681</v>
      </c>
      <c r="D507" s="932"/>
      <c r="E507" s="932"/>
      <c r="F507" s="932"/>
      <c r="G507" s="932"/>
      <c r="H507" s="932"/>
      <c r="I507" s="932"/>
      <c r="J507" s="932"/>
      <c r="K507" s="932"/>
      <c r="L507" s="932"/>
      <c r="M507" s="932"/>
      <c r="N507" s="931"/>
      <c r="O507" s="931"/>
      <c r="P507" s="931"/>
      <c r="Q507" s="931"/>
      <c r="R507" s="931"/>
      <c r="AE507" s="311"/>
      <c r="AF507" s="311"/>
    </row>
    <row r="508" spans="3:32" s="33" customFormat="1" ht="11.25">
      <c r="C508" s="931" t="s">
        <v>1682</v>
      </c>
      <c r="D508" s="932"/>
      <c r="E508" s="932"/>
      <c r="F508" s="932"/>
      <c r="G508" s="932"/>
      <c r="H508" s="932"/>
      <c r="I508" s="932"/>
      <c r="J508" s="932"/>
      <c r="K508" s="932"/>
      <c r="L508" s="932"/>
      <c r="M508" s="932"/>
      <c r="N508" s="931"/>
      <c r="O508" s="931"/>
      <c r="P508" s="931"/>
      <c r="Q508" s="931"/>
      <c r="R508" s="931"/>
      <c r="AE508" s="311"/>
      <c r="AF508" s="311"/>
    </row>
    <row r="509" spans="3:32" s="33" customFormat="1" ht="11.25">
      <c r="C509" s="931" t="s">
        <v>1683</v>
      </c>
      <c r="D509" s="932"/>
      <c r="E509" s="932"/>
      <c r="F509" s="932"/>
      <c r="G509" s="932"/>
      <c r="H509" s="932"/>
      <c r="I509" s="932"/>
      <c r="J509" s="932"/>
      <c r="K509" s="932"/>
      <c r="L509" s="932"/>
      <c r="M509" s="932"/>
      <c r="N509" s="931"/>
      <c r="O509" s="931"/>
      <c r="P509" s="931"/>
      <c r="Q509" s="931"/>
      <c r="R509" s="931"/>
      <c r="AE509" s="311"/>
      <c r="AF509" s="311"/>
    </row>
    <row r="510" spans="3:32" s="33" customFormat="1" ht="11.25">
      <c r="C510" s="931" t="s">
        <v>1684</v>
      </c>
      <c r="D510" s="932"/>
      <c r="E510" s="932"/>
      <c r="F510" s="932"/>
      <c r="G510" s="932"/>
      <c r="H510" s="932"/>
      <c r="I510" s="932"/>
      <c r="J510" s="932"/>
      <c r="K510" s="932"/>
      <c r="L510" s="932"/>
      <c r="M510" s="932"/>
      <c r="N510" s="931" t="s">
        <v>1685</v>
      </c>
      <c r="O510" s="931"/>
      <c r="P510" s="931"/>
      <c r="Q510" s="931"/>
      <c r="R510" s="931"/>
      <c r="AE510" s="311"/>
      <c r="AF510" s="311"/>
    </row>
    <row r="511" spans="3:32" s="33" customFormat="1" ht="11.25">
      <c r="C511" s="931" t="s">
        <v>1663</v>
      </c>
      <c r="D511" s="932"/>
      <c r="E511" s="932"/>
      <c r="F511" s="932"/>
      <c r="G511" s="932"/>
      <c r="H511" s="932"/>
      <c r="I511" s="932"/>
      <c r="J511" s="932"/>
      <c r="K511" s="932"/>
      <c r="L511" s="932"/>
      <c r="M511" s="932"/>
      <c r="N511" s="931"/>
      <c r="O511" s="931"/>
      <c r="P511" s="931"/>
      <c r="Q511" s="931"/>
      <c r="R511" s="931"/>
      <c r="AE511" s="311"/>
      <c r="AF511" s="311"/>
    </row>
    <row r="512" spans="3:32" s="33" customFormat="1" ht="11.25">
      <c r="C512" s="931" t="s">
        <v>1651</v>
      </c>
      <c r="D512" s="932"/>
      <c r="E512" s="932"/>
      <c r="F512" s="932"/>
      <c r="G512" s="932"/>
      <c r="H512" s="932"/>
      <c r="I512" s="932"/>
      <c r="J512" s="932"/>
      <c r="K512" s="932"/>
      <c r="L512" s="932"/>
      <c r="M512" s="932"/>
      <c r="N512" s="931"/>
      <c r="O512" s="931"/>
      <c r="P512" s="931"/>
      <c r="Q512" s="931"/>
      <c r="R512" s="931"/>
      <c r="AE512" s="311"/>
      <c r="AF512" s="311"/>
    </row>
    <row r="513" spans="3:32" s="33" customFormat="1" ht="11.25">
      <c r="C513" s="931" t="s">
        <v>1661</v>
      </c>
      <c r="D513" s="932"/>
      <c r="E513" s="932"/>
      <c r="F513" s="932"/>
      <c r="G513" s="932"/>
      <c r="H513" s="932"/>
      <c r="I513" s="932"/>
      <c r="J513" s="932"/>
      <c r="K513" s="932"/>
      <c r="L513" s="932"/>
      <c r="M513" s="932"/>
      <c r="N513" s="931"/>
      <c r="O513" s="931"/>
      <c r="P513" s="931"/>
      <c r="Q513" s="931"/>
      <c r="R513" s="931"/>
      <c r="AE513" s="311"/>
      <c r="AF513" s="311"/>
    </row>
    <row r="514" spans="3:32" s="33" customFormat="1" ht="11.25">
      <c r="C514" s="931" t="s">
        <v>1686</v>
      </c>
      <c r="D514" s="932"/>
      <c r="E514" s="932"/>
      <c r="F514" s="932"/>
      <c r="G514" s="932"/>
      <c r="H514" s="932"/>
      <c r="I514" s="932"/>
      <c r="J514" s="932"/>
      <c r="K514" s="932"/>
      <c r="L514" s="932"/>
      <c r="M514" s="932"/>
      <c r="N514" s="931"/>
      <c r="O514" s="931"/>
      <c r="P514" s="931"/>
      <c r="Q514" s="931"/>
      <c r="R514" s="931"/>
      <c r="AE514" s="311"/>
      <c r="AF514" s="311"/>
    </row>
    <row r="515" spans="3:32" s="33" customFormat="1" ht="11.25">
      <c r="C515" s="931" t="s">
        <v>1687</v>
      </c>
      <c r="D515" s="932"/>
      <c r="E515" s="932"/>
      <c r="F515" s="932"/>
      <c r="G515" s="932"/>
      <c r="H515" s="932"/>
      <c r="I515" s="932"/>
      <c r="J515" s="932"/>
      <c r="K515" s="932"/>
      <c r="L515" s="932"/>
      <c r="M515" s="932"/>
      <c r="N515" s="931"/>
      <c r="O515" s="931"/>
      <c r="P515" s="931"/>
      <c r="Q515" s="931"/>
      <c r="R515" s="931"/>
      <c r="AE515" s="311"/>
      <c r="AF515" s="311"/>
    </row>
    <row r="516" spans="3:32" s="33" customFormat="1" ht="11.25">
      <c r="C516" s="931" t="s">
        <v>1688</v>
      </c>
      <c r="D516" s="932"/>
      <c r="E516" s="932"/>
      <c r="F516" s="932"/>
      <c r="G516" s="932"/>
      <c r="H516" s="932"/>
      <c r="I516" s="932"/>
      <c r="J516" s="932"/>
      <c r="K516" s="932"/>
      <c r="L516" s="932"/>
      <c r="M516" s="932"/>
      <c r="N516" s="931"/>
      <c r="O516" s="931"/>
      <c r="P516" s="931"/>
      <c r="Q516" s="931"/>
      <c r="R516" s="931"/>
      <c r="AE516" s="311"/>
      <c r="AF516" s="311"/>
    </row>
    <row r="517" spans="3:32" s="33" customFormat="1" ht="11.25">
      <c r="C517" s="931"/>
      <c r="D517" s="931"/>
      <c r="E517" s="931"/>
      <c r="F517" s="931"/>
      <c r="G517" s="931"/>
      <c r="H517" s="931"/>
      <c r="I517" s="931"/>
      <c r="J517" s="931"/>
      <c r="K517" s="931"/>
      <c r="L517" s="931"/>
      <c r="M517" s="931"/>
      <c r="N517" s="931"/>
      <c r="O517" s="931"/>
      <c r="P517" s="931"/>
      <c r="Q517" s="931"/>
      <c r="R517" s="931"/>
      <c r="AE517" s="311"/>
      <c r="AF517" s="311"/>
    </row>
    <row r="518" spans="3:32" s="33" customFormat="1" ht="11.25">
      <c r="C518" s="939" t="s">
        <v>1689</v>
      </c>
      <c r="D518" s="931"/>
      <c r="E518" s="931"/>
      <c r="F518" s="931"/>
      <c r="G518" s="931"/>
      <c r="H518" s="931"/>
      <c r="I518" s="931"/>
      <c r="J518" s="931"/>
      <c r="K518" s="931"/>
      <c r="L518" s="931"/>
      <c r="M518" s="931"/>
      <c r="N518" s="931"/>
      <c r="O518" s="931"/>
      <c r="P518" s="931"/>
      <c r="Q518" s="931"/>
      <c r="R518" s="931"/>
      <c r="AE518" s="311"/>
      <c r="AF518" s="311"/>
    </row>
    <row r="519" spans="3:32" s="33" customFormat="1" ht="11.25">
      <c r="C519" s="931" t="s">
        <v>1690</v>
      </c>
      <c r="D519" s="931"/>
      <c r="E519" s="931"/>
      <c r="F519" s="931"/>
      <c r="G519" s="931"/>
      <c r="H519" s="931"/>
      <c r="I519" s="931"/>
      <c r="J519" s="931"/>
      <c r="K519" s="931"/>
      <c r="L519" s="931"/>
      <c r="M519" s="931"/>
      <c r="N519" s="931"/>
      <c r="O519" s="931"/>
      <c r="P519" s="931"/>
      <c r="Q519" s="931"/>
      <c r="R519" s="931"/>
      <c r="AE519" s="311"/>
      <c r="AF519" s="311"/>
    </row>
    <row r="520" spans="3:32" s="33" customFormat="1" ht="11.25">
      <c r="C520" s="937" t="s">
        <v>1691</v>
      </c>
      <c r="D520" s="931"/>
      <c r="E520" s="931"/>
      <c r="F520" s="931"/>
      <c r="G520" s="931"/>
      <c r="H520" s="931"/>
      <c r="I520" s="931"/>
      <c r="J520" s="931"/>
      <c r="K520" s="931"/>
      <c r="L520" s="931"/>
      <c r="M520" s="931"/>
      <c r="N520" s="931"/>
      <c r="O520" s="931"/>
      <c r="P520" s="931"/>
      <c r="Q520" s="931"/>
      <c r="R520" s="931"/>
      <c r="AE520" s="311"/>
      <c r="AF520" s="311"/>
    </row>
    <row r="521" spans="3:32" s="33" customFormat="1" ht="11.25">
      <c r="C521" s="937" t="s">
        <v>1692</v>
      </c>
      <c r="D521" s="931"/>
      <c r="E521" s="931"/>
      <c r="F521" s="931"/>
      <c r="G521" s="931"/>
      <c r="H521" s="931"/>
      <c r="I521" s="931"/>
      <c r="J521" s="931"/>
      <c r="K521" s="931"/>
      <c r="L521" s="937"/>
      <c r="M521" s="931"/>
      <c r="N521" s="931"/>
      <c r="O521" s="931"/>
      <c r="P521" s="931"/>
      <c r="Q521" s="931"/>
      <c r="R521" s="931"/>
      <c r="AE521" s="311"/>
      <c r="AF521" s="311"/>
    </row>
    <row r="522" spans="3:32" s="33" customFormat="1" ht="11.25">
      <c r="C522" s="937" t="s">
        <v>1693</v>
      </c>
      <c r="D522" s="931"/>
      <c r="E522" s="931"/>
      <c r="F522" s="931"/>
      <c r="G522" s="931"/>
      <c r="H522" s="931"/>
      <c r="I522" s="931"/>
      <c r="J522" s="931"/>
      <c r="K522" s="931"/>
      <c r="L522" s="937"/>
      <c r="M522" s="931"/>
      <c r="N522" s="931"/>
      <c r="O522" s="931"/>
      <c r="P522" s="931"/>
      <c r="Q522" s="931"/>
      <c r="R522" s="931"/>
      <c r="AE522" s="311"/>
      <c r="AF522" s="311"/>
    </row>
    <row r="523" spans="3:32" s="33" customFormat="1" ht="11.25">
      <c r="C523" s="937" t="s">
        <v>1694</v>
      </c>
      <c r="D523" s="931"/>
      <c r="E523" s="931"/>
      <c r="F523" s="931"/>
      <c r="G523" s="931"/>
      <c r="H523" s="931"/>
      <c r="I523" s="931"/>
      <c r="J523" s="931"/>
      <c r="K523" s="931"/>
      <c r="L523" s="937"/>
      <c r="M523" s="931"/>
      <c r="N523" s="931"/>
      <c r="O523" s="931"/>
      <c r="P523" s="931"/>
      <c r="Q523" s="931"/>
      <c r="R523" s="931"/>
      <c r="AE523" s="311"/>
      <c r="AF523" s="311"/>
    </row>
    <row r="524" spans="3:32" s="33" customFormat="1" ht="11.25">
      <c r="C524" s="937" t="s">
        <v>1695</v>
      </c>
      <c r="D524" s="931"/>
      <c r="E524" s="931"/>
      <c r="F524" s="931"/>
      <c r="G524" s="931"/>
      <c r="H524" s="931"/>
      <c r="I524" s="931"/>
      <c r="J524" s="931"/>
      <c r="K524" s="931"/>
      <c r="L524" s="937"/>
      <c r="M524" s="931"/>
      <c r="N524" s="931"/>
      <c r="O524" s="931"/>
      <c r="P524" s="931"/>
      <c r="Q524" s="931"/>
      <c r="R524" s="931"/>
      <c r="AE524" s="311"/>
      <c r="AF524" s="311"/>
    </row>
    <row r="525" spans="3:32" s="33" customFormat="1" ht="11.25">
      <c r="C525" s="943" t="s">
        <v>1696</v>
      </c>
      <c r="D525" s="931"/>
      <c r="E525" s="931"/>
      <c r="F525" s="931"/>
      <c r="G525" s="931"/>
      <c r="H525" s="931"/>
      <c r="I525" s="931"/>
      <c r="J525" s="931"/>
      <c r="K525" s="931"/>
      <c r="L525" s="937"/>
      <c r="M525" s="931"/>
      <c r="N525" s="931"/>
      <c r="O525" s="931"/>
      <c r="P525" s="931"/>
      <c r="Q525" s="931"/>
      <c r="R525" s="931"/>
      <c r="AE525" s="311"/>
      <c r="AF525" s="311"/>
    </row>
    <row r="526" spans="3:32" s="33" customFormat="1" ht="11.25">
      <c r="C526" s="943" t="s">
        <v>1697</v>
      </c>
      <c r="D526" s="931"/>
      <c r="E526" s="931"/>
      <c r="F526" s="931"/>
      <c r="G526" s="931"/>
      <c r="H526" s="931"/>
      <c r="I526" s="931"/>
      <c r="J526" s="931"/>
      <c r="K526" s="931"/>
      <c r="L526" s="931"/>
      <c r="M526" s="931"/>
      <c r="N526" s="931"/>
      <c r="O526" s="931"/>
      <c r="P526" s="931"/>
      <c r="Q526" s="931"/>
      <c r="R526" s="931"/>
      <c r="AE526" s="311"/>
      <c r="AF526" s="311"/>
    </row>
    <row r="527" spans="3:32" s="33" customFormat="1" ht="11.25">
      <c r="C527" s="937" t="s">
        <v>1698</v>
      </c>
      <c r="D527" s="931"/>
      <c r="E527" s="931"/>
      <c r="F527" s="931"/>
      <c r="G527" s="931"/>
      <c r="H527" s="931"/>
      <c r="I527" s="931"/>
      <c r="J527" s="931"/>
      <c r="K527" s="931"/>
      <c r="L527" s="937"/>
      <c r="M527" s="931"/>
      <c r="N527" s="931"/>
      <c r="O527" s="931"/>
      <c r="P527" s="931"/>
      <c r="Q527" s="931"/>
      <c r="R527" s="931"/>
      <c r="AE527" s="311"/>
      <c r="AF527" s="311"/>
    </row>
    <row r="528" spans="3:32" s="33" customFormat="1" ht="11.25">
      <c r="C528" s="943" t="s">
        <v>1699</v>
      </c>
      <c r="D528" s="931"/>
      <c r="E528" s="931"/>
      <c r="F528" s="931"/>
      <c r="G528" s="931"/>
      <c r="H528" s="931"/>
      <c r="I528" s="931"/>
      <c r="J528" s="931"/>
      <c r="K528" s="931"/>
      <c r="L528" s="937"/>
      <c r="M528" s="931"/>
      <c r="N528" s="931"/>
      <c r="O528" s="931"/>
      <c r="P528" s="931"/>
      <c r="Q528" s="931"/>
      <c r="R528" s="931"/>
      <c r="AE528" s="311"/>
      <c r="AF528" s="311"/>
    </row>
    <row r="529" spans="3:32" s="33" customFormat="1" ht="11.25">
      <c r="C529" s="943" t="s">
        <v>1695</v>
      </c>
      <c r="D529" s="931"/>
      <c r="E529" s="931"/>
      <c r="F529" s="931"/>
      <c r="G529" s="931"/>
      <c r="H529" s="931"/>
      <c r="I529" s="931"/>
      <c r="J529" s="931"/>
      <c r="K529" s="931"/>
      <c r="L529" s="937"/>
      <c r="M529" s="931"/>
      <c r="N529" s="931"/>
      <c r="O529" s="931"/>
      <c r="P529" s="931"/>
      <c r="Q529" s="931"/>
      <c r="R529" s="931"/>
      <c r="AE529" s="311"/>
      <c r="AF529" s="311"/>
    </row>
    <row r="530" spans="3:32" s="33" customFormat="1" ht="11.25">
      <c r="C530" s="943" t="s">
        <v>1700</v>
      </c>
      <c r="D530" s="931"/>
      <c r="E530" s="931"/>
      <c r="F530" s="931"/>
      <c r="G530" s="931"/>
      <c r="H530" s="931"/>
      <c r="I530" s="931"/>
      <c r="J530" s="931"/>
      <c r="K530" s="931"/>
      <c r="L530" s="937"/>
      <c r="M530" s="931"/>
      <c r="N530" s="931"/>
      <c r="O530" s="931"/>
      <c r="P530" s="931"/>
      <c r="Q530" s="931"/>
      <c r="R530" s="931"/>
      <c r="AE530" s="311"/>
      <c r="AF530" s="311"/>
    </row>
    <row r="531" spans="3:32" s="33" customFormat="1" ht="11.25">
      <c r="C531" s="943" t="s">
        <v>1701</v>
      </c>
      <c r="D531" s="931"/>
      <c r="E531" s="931"/>
      <c r="F531" s="931"/>
      <c r="G531" s="931"/>
      <c r="H531" s="931"/>
      <c r="I531" s="931"/>
      <c r="J531" s="931"/>
      <c r="K531" s="931"/>
      <c r="L531" s="931"/>
      <c r="M531" s="931"/>
      <c r="N531" s="931"/>
      <c r="O531" s="931"/>
      <c r="P531" s="931"/>
      <c r="Q531" s="931"/>
      <c r="R531" s="931"/>
      <c r="AE531" s="311"/>
      <c r="AF531" s="311"/>
    </row>
    <row r="532" spans="3:32" s="33" customFormat="1" ht="11.25">
      <c r="C532" s="937" t="s">
        <v>1702</v>
      </c>
      <c r="D532" s="931"/>
      <c r="E532" s="931"/>
      <c r="F532" s="931"/>
      <c r="G532" s="931"/>
      <c r="H532" s="931"/>
      <c r="I532" s="931"/>
      <c r="J532" s="931"/>
      <c r="K532" s="931"/>
      <c r="L532" s="937"/>
      <c r="M532" s="931"/>
      <c r="N532" s="931"/>
      <c r="O532" s="931"/>
      <c r="P532" s="931"/>
      <c r="Q532" s="931"/>
      <c r="R532" s="931"/>
      <c r="AE532" s="311"/>
      <c r="AF532" s="311"/>
    </row>
    <row r="533" spans="3:32" s="33" customFormat="1" ht="11.25">
      <c r="C533" s="943" t="s">
        <v>1703</v>
      </c>
      <c r="D533" s="931"/>
      <c r="E533" s="931"/>
      <c r="F533" s="931"/>
      <c r="G533" s="931"/>
      <c r="H533" s="931"/>
      <c r="I533" s="931"/>
      <c r="J533" s="931"/>
      <c r="K533" s="931"/>
      <c r="L533" s="937"/>
      <c r="M533" s="931"/>
      <c r="N533" s="931"/>
      <c r="O533" s="931"/>
      <c r="P533" s="931"/>
      <c r="Q533" s="931"/>
      <c r="R533" s="931"/>
      <c r="AE533" s="311"/>
      <c r="AF533" s="311"/>
    </row>
    <row r="534" spans="3:32" s="33" customFormat="1" ht="11.25">
      <c r="C534" s="943" t="s">
        <v>1704</v>
      </c>
      <c r="D534" s="931"/>
      <c r="E534" s="931"/>
      <c r="F534" s="931"/>
      <c r="G534" s="931"/>
      <c r="H534" s="931"/>
      <c r="I534" s="931"/>
      <c r="J534" s="931"/>
      <c r="K534" s="931"/>
      <c r="L534" s="937"/>
      <c r="M534" s="931"/>
      <c r="N534" s="931"/>
      <c r="O534" s="931"/>
      <c r="P534" s="931"/>
      <c r="Q534" s="931"/>
      <c r="R534" s="931"/>
      <c r="AE534" s="311"/>
      <c r="AF534" s="311"/>
    </row>
    <row r="535" spans="3:32" s="33" customFormat="1" ht="11.25">
      <c r="C535" s="943" t="s">
        <v>1705</v>
      </c>
      <c r="D535" s="931"/>
      <c r="E535" s="931"/>
      <c r="F535" s="931"/>
      <c r="G535" s="931"/>
      <c r="H535" s="931"/>
      <c r="I535" s="931"/>
      <c r="J535" s="931"/>
      <c r="K535" s="938" t="s">
        <v>1706</v>
      </c>
      <c r="L535" s="937"/>
      <c r="M535" s="931"/>
      <c r="N535" s="931"/>
      <c r="O535" s="931"/>
      <c r="P535" s="931"/>
      <c r="Q535" s="931"/>
      <c r="R535" s="931"/>
      <c r="AE535" s="311"/>
      <c r="AF535" s="311"/>
    </row>
    <row r="536" spans="3:32" s="33" customFormat="1" ht="11.25">
      <c r="C536" s="943" t="s">
        <v>1707</v>
      </c>
      <c r="D536" s="931"/>
      <c r="E536" s="931"/>
      <c r="F536" s="931"/>
      <c r="G536" s="931"/>
      <c r="H536" s="931"/>
      <c r="I536" s="931"/>
      <c r="J536" s="931"/>
      <c r="K536" s="931" t="s">
        <v>1528</v>
      </c>
      <c r="L536" s="937"/>
      <c r="M536" s="931"/>
      <c r="N536" s="931"/>
      <c r="O536" s="931"/>
      <c r="P536" s="931"/>
      <c r="Q536" s="931"/>
      <c r="R536" s="931"/>
      <c r="AE536" s="311"/>
      <c r="AF536" s="311"/>
    </row>
    <row r="537" spans="3:32" s="33" customFormat="1" ht="11.25">
      <c r="C537" s="943" t="s">
        <v>1708</v>
      </c>
      <c r="D537" s="931"/>
      <c r="E537" s="931"/>
      <c r="F537" s="931"/>
      <c r="G537" s="931"/>
      <c r="H537" s="931"/>
      <c r="I537" s="931"/>
      <c r="J537" s="931"/>
      <c r="K537" s="931" t="s">
        <v>1709</v>
      </c>
      <c r="L537" s="931"/>
      <c r="M537" s="931"/>
      <c r="N537" s="931"/>
      <c r="O537" s="931"/>
      <c r="P537" s="931"/>
      <c r="Q537" s="931"/>
      <c r="R537" s="931"/>
      <c r="AE537" s="311"/>
      <c r="AF537" s="311"/>
    </row>
    <row r="538" spans="3:32" s="33" customFormat="1" ht="11.25">
      <c r="C538" s="937" t="s">
        <v>1710</v>
      </c>
      <c r="D538" s="931"/>
      <c r="E538" s="931"/>
      <c r="F538" s="931"/>
      <c r="G538" s="931"/>
      <c r="H538" s="931"/>
      <c r="I538" s="931"/>
      <c r="J538" s="931"/>
      <c r="K538" s="931" t="s">
        <v>1711</v>
      </c>
      <c r="L538" s="931"/>
      <c r="M538" s="931"/>
      <c r="N538" s="931"/>
      <c r="O538" s="931"/>
      <c r="P538" s="931"/>
      <c r="Q538" s="931"/>
      <c r="R538" s="931"/>
      <c r="AE538" s="311"/>
      <c r="AF538" s="311"/>
    </row>
    <row r="539" spans="3:32" s="33" customFormat="1" ht="11.25">
      <c r="C539" s="931"/>
      <c r="D539" s="931"/>
      <c r="E539" s="931"/>
      <c r="F539" s="931"/>
      <c r="G539" s="931"/>
      <c r="H539" s="931"/>
      <c r="I539" s="931"/>
      <c r="J539" s="931"/>
      <c r="K539" s="931"/>
      <c r="L539" s="931"/>
      <c r="M539" s="931"/>
      <c r="N539" s="931"/>
      <c r="O539" s="931"/>
      <c r="P539" s="931"/>
      <c r="Q539" s="931"/>
      <c r="R539" s="931"/>
      <c r="AE539" s="311"/>
      <c r="AF539" s="311"/>
    </row>
    <row r="540" spans="3:32" s="33" customFormat="1" ht="11.25">
      <c r="C540" s="939" t="s">
        <v>1712</v>
      </c>
      <c r="D540" s="931"/>
      <c r="E540" s="931"/>
      <c r="F540" s="931"/>
      <c r="G540" s="931"/>
      <c r="H540" s="931"/>
      <c r="I540" s="931"/>
      <c r="J540" s="931"/>
      <c r="K540" s="938" t="s">
        <v>1713</v>
      </c>
      <c r="L540" s="931"/>
      <c r="M540" s="931"/>
      <c r="N540" s="931"/>
      <c r="O540" s="931"/>
      <c r="P540" s="931"/>
      <c r="Q540" s="931"/>
      <c r="R540" s="931"/>
      <c r="AE540" s="311"/>
      <c r="AF540" s="311"/>
    </row>
    <row r="541" spans="3:32" s="33" customFormat="1" ht="11.25">
      <c r="C541" s="931" t="s">
        <v>1714</v>
      </c>
      <c r="D541" s="931"/>
      <c r="E541" s="931"/>
      <c r="F541" s="931"/>
      <c r="G541" s="931"/>
      <c r="H541" s="931"/>
      <c r="I541" s="931"/>
      <c r="J541" s="931"/>
      <c r="K541" s="931" t="s">
        <v>1525</v>
      </c>
      <c r="L541" s="931"/>
      <c r="M541" s="931"/>
      <c r="N541" s="931"/>
      <c r="O541" s="931"/>
      <c r="P541" s="931"/>
      <c r="Q541" s="931"/>
      <c r="R541" s="931"/>
      <c r="AE541" s="311"/>
      <c r="AF541" s="311"/>
    </row>
    <row r="542" spans="3:32" s="33" customFormat="1" ht="11.25">
      <c r="C542" s="931" t="s">
        <v>1715</v>
      </c>
      <c r="D542" s="931"/>
      <c r="E542" s="931"/>
      <c r="F542" s="931"/>
      <c r="G542" s="931"/>
      <c r="H542" s="931"/>
      <c r="I542" s="931"/>
      <c r="J542" s="931"/>
      <c r="K542" s="931" t="s">
        <v>1716</v>
      </c>
      <c r="L542" s="931"/>
      <c r="M542" s="931"/>
      <c r="N542" s="931"/>
      <c r="O542" s="931"/>
      <c r="P542" s="931"/>
      <c r="Q542" s="931"/>
      <c r="R542" s="931"/>
      <c r="AE542" s="311"/>
      <c r="AF542" s="311"/>
    </row>
    <row r="543" spans="3:32" s="33" customFormat="1" ht="11.25">
      <c r="C543" s="931" t="s">
        <v>1717</v>
      </c>
      <c r="D543" s="931"/>
      <c r="E543" s="931"/>
      <c r="F543" s="931"/>
      <c r="G543" s="931"/>
      <c r="H543" s="931"/>
      <c r="I543" s="931"/>
      <c r="J543" s="931"/>
      <c r="K543" s="931" t="s">
        <v>1718</v>
      </c>
      <c r="L543" s="931"/>
      <c r="M543" s="931"/>
      <c r="N543" s="931"/>
      <c r="O543" s="931"/>
      <c r="P543" s="931"/>
      <c r="Q543" s="931"/>
      <c r="R543" s="931"/>
      <c r="AE543" s="311"/>
      <c r="AF543" s="311"/>
    </row>
    <row r="544" spans="3:32" s="33" customFormat="1" ht="11.25">
      <c r="C544" s="931" t="s">
        <v>1719</v>
      </c>
      <c r="D544" s="931"/>
      <c r="E544" s="931"/>
      <c r="F544" s="931"/>
      <c r="G544" s="931"/>
      <c r="H544" s="931"/>
      <c r="I544" s="931"/>
      <c r="J544" s="931"/>
      <c r="K544" s="931" t="s">
        <v>1720</v>
      </c>
      <c r="L544" s="931"/>
      <c r="M544" s="931"/>
      <c r="N544" s="931"/>
      <c r="O544" s="931"/>
      <c r="P544" s="931"/>
      <c r="Q544" s="931"/>
      <c r="R544" s="931"/>
      <c r="AE544" s="311"/>
      <c r="AF544" s="311"/>
    </row>
    <row r="545" spans="3:32" s="33" customFormat="1" ht="11.25">
      <c r="C545" s="931" t="s">
        <v>1721</v>
      </c>
      <c r="D545" s="931"/>
      <c r="E545" s="931"/>
      <c r="F545" s="931"/>
      <c r="G545" s="931"/>
      <c r="H545" s="931"/>
      <c r="I545" s="931"/>
      <c r="J545" s="931"/>
      <c r="K545" s="931" t="s">
        <v>1722</v>
      </c>
      <c r="L545" s="931"/>
      <c r="M545" s="931"/>
      <c r="N545" s="931"/>
      <c r="O545" s="931"/>
      <c r="P545" s="931"/>
      <c r="Q545" s="931"/>
      <c r="R545" s="931"/>
      <c r="AE545" s="311"/>
      <c r="AF545" s="311"/>
    </row>
    <row r="546" spans="3:32" s="33" customFormat="1" ht="11.25">
      <c r="C546" s="931"/>
      <c r="D546" s="931"/>
      <c r="E546" s="931"/>
      <c r="F546" s="931"/>
      <c r="G546" s="931"/>
      <c r="H546" s="931"/>
      <c r="I546" s="931"/>
      <c r="J546" s="931"/>
      <c r="K546" s="938" t="s">
        <v>1723</v>
      </c>
      <c r="L546" s="931"/>
      <c r="M546" s="931"/>
      <c r="N546" s="931"/>
      <c r="O546" s="931"/>
      <c r="P546" s="931"/>
      <c r="Q546" s="931"/>
      <c r="R546" s="931"/>
      <c r="AE546" s="311"/>
      <c r="AF546" s="311"/>
    </row>
    <row r="547" spans="3:32" s="33" customFormat="1" ht="11.25">
      <c r="C547" s="931"/>
      <c r="D547" s="931"/>
      <c r="E547" s="931"/>
      <c r="F547" s="931"/>
      <c r="G547" s="931"/>
      <c r="H547" s="931"/>
      <c r="I547" s="931"/>
      <c r="J547" s="931"/>
      <c r="K547" s="931" t="s">
        <v>1724</v>
      </c>
      <c r="L547" s="931"/>
      <c r="M547" s="931"/>
      <c r="N547" s="931"/>
      <c r="O547" s="931"/>
      <c r="P547" s="931"/>
      <c r="Q547" s="931"/>
      <c r="R547" s="931"/>
      <c r="AE547" s="311"/>
      <c r="AF547" s="311"/>
    </row>
    <row r="548" spans="3:32" s="33" customFormat="1" ht="11.25">
      <c r="C548" s="931"/>
      <c r="D548" s="931"/>
      <c r="E548" s="931"/>
      <c r="F548" s="931"/>
      <c r="G548" s="931"/>
      <c r="H548" s="931"/>
      <c r="I548" s="931"/>
      <c r="J548" s="931"/>
      <c r="K548" s="931" t="s">
        <v>1725</v>
      </c>
      <c r="L548" s="931"/>
      <c r="M548" s="931"/>
      <c r="N548" s="931"/>
      <c r="O548" s="931"/>
      <c r="P548" s="931"/>
      <c r="Q548" s="931"/>
      <c r="R548" s="931"/>
      <c r="AE548" s="311"/>
      <c r="AF548" s="311"/>
    </row>
    <row r="549" spans="3:32" s="33" customFormat="1" ht="11.25">
      <c r="C549" s="931"/>
      <c r="D549" s="931"/>
      <c r="E549" s="931"/>
      <c r="F549" s="931"/>
      <c r="G549" s="931"/>
      <c r="H549" s="931"/>
      <c r="I549" s="931"/>
      <c r="J549" s="931"/>
      <c r="K549" s="931" t="s">
        <v>1726</v>
      </c>
      <c r="L549" s="931"/>
      <c r="M549" s="931"/>
      <c r="N549" s="931"/>
      <c r="O549" s="931"/>
      <c r="P549" s="931"/>
      <c r="Q549" s="931"/>
      <c r="R549" s="931"/>
      <c r="AE549" s="311"/>
      <c r="AF549" s="311"/>
    </row>
    <row r="550" spans="3:32" s="33" customFormat="1" ht="11.25">
      <c r="C550" s="931"/>
      <c r="D550" s="931"/>
      <c r="E550" s="931"/>
      <c r="F550" s="931"/>
      <c r="G550" s="931"/>
      <c r="H550" s="931"/>
      <c r="I550" s="931"/>
      <c r="J550" s="931"/>
      <c r="K550" s="931" t="s">
        <v>1727</v>
      </c>
      <c r="L550" s="931"/>
      <c r="M550" s="931"/>
      <c r="N550" s="931"/>
      <c r="O550" s="931"/>
      <c r="P550" s="931"/>
      <c r="Q550" s="931"/>
      <c r="R550" s="931"/>
      <c r="AE550" s="311"/>
      <c r="AF550" s="311"/>
    </row>
    <row r="551" spans="3:32" s="33" customFormat="1" ht="11.25">
      <c r="C551" s="931"/>
      <c r="D551" s="931"/>
      <c r="E551" s="931"/>
      <c r="F551" s="931"/>
      <c r="G551" s="931"/>
      <c r="H551" s="931"/>
      <c r="I551" s="931"/>
      <c r="J551" s="931"/>
      <c r="K551" s="931" t="s">
        <v>1728</v>
      </c>
      <c r="L551" s="931"/>
      <c r="M551" s="931"/>
      <c r="N551" s="931"/>
      <c r="O551" s="931"/>
      <c r="P551" s="931"/>
      <c r="Q551" s="931"/>
      <c r="R551" s="931"/>
      <c r="AE551" s="311"/>
      <c r="AF551" s="311"/>
    </row>
    <row r="552" spans="3:32" s="33" customFormat="1" ht="11.25">
      <c r="C552" s="931"/>
      <c r="D552" s="931"/>
      <c r="E552" s="931"/>
      <c r="F552" s="931"/>
      <c r="G552" s="931"/>
      <c r="H552" s="931"/>
      <c r="I552" s="931"/>
      <c r="J552" s="931"/>
      <c r="K552" s="931"/>
      <c r="L552" s="931"/>
      <c r="M552" s="931"/>
      <c r="N552" s="931"/>
      <c r="O552" s="931"/>
      <c r="P552" s="931"/>
      <c r="Q552" s="931"/>
      <c r="R552" s="931"/>
      <c r="AE552" s="311"/>
      <c r="AF552" s="311"/>
    </row>
    <row r="553" spans="3:32" s="33" customFormat="1" ht="11.25">
      <c r="C553" s="939" t="s">
        <v>1729</v>
      </c>
      <c r="D553" s="931"/>
      <c r="E553" s="931"/>
      <c r="F553" s="931"/>
      <c r="G553" s="931"/>
      <c r="H553" s="931"/>
      <c r="I553" s="931"/>
      <c r="J553" s="931"/>
      <c r="K553" s="939" t="s">
        <v>1730</v>
      </c>
      <c r="L553" s="931"/>
      <c r="M553" s="931"/>
      <c r="N553" s="931"/>
      <c r="O553" s="931"/>
      <c r="P553" s="931"/>
      <c r="Q553" s="931"/>
      <c r="R553" s="931"/>
      <c r="AE553" s="311"/>
      <c r="AF553" s="311"/>
    </row>
    <row r="554" spans="3:32" s="33" customFormat="1" ht="11.25">
      <c r="C554" s="931" t="s">
        <v>1631</v>
      </c>
      <c r="D554" s="931"/>
      <c r="E554" s="931"/>
      <c r="F554" s="931"/>
      <c r="G554" s="931"/>
      <c r="H554" s="931"/>
      <c r="I554" s="931"/>
      <c r="J554" s="931"/>
      <c r="K554" s="931" t="s">
        <v>1631</v>
      </c>
      <c r="L554" s="931"/>
      <c r="M554" s="931"/>
      <c r="N554" s="931"/>
      <c r="O554" s="931"/>
      <c r="P554" s="931"/>
      <c r="Q554" s="931"/>
      <c r="R554" s="931"/>
      <c r="AE554" s="311"/>
      <c r="AF554" s="311"/>
    </row>
    <row r="555" spans="3:32" s="33" customFormat="1" ht="11.25">
      <c r="C555" s="931" t="s">
        <v>1632</v>
      </c>
      <c r="D555" s="931"/>
      <c r="E555" s="931"/>
      <c r="F555" s="931"/>
      <c r="G555" s="931"/>
      <c r="H555" s="931"/>
      <c r="I555" s="931"/>
      <c r="J555" s="931"/>
      <c r="K555" s="931" t="s">
        <v>1638</v>
      </c>
      <c r="L555" s="931"/>
      <c r="M555" s="931"/>
      <c r="N555" s="931"/>
      <c r="O555" s="931"/>
      <c r="P555" s="931"/>
      <c r="Q555" s="931"/>
      <c r="R555" s="931"/>
      <c r="AE555" s="311"/>
      <c r="AF555" s="311"/>
    </row>
    <row r="556" spans="3:32" s="33" customFormat="1" ht="11.25">
      <c r="C556" s="931" t="s">
        <v>1634</v>
      </c>
      <c r="D556" s="931"/>
      <c r="E556" s="931"/>
      <c r="F556" s="931"/>
      <c r="G556" s="931"/>
      <c r="H556" s="931"/>
      <c r="I556" s="931"/>
      <c r="J556" s="931"/>
      <c r="K556" s="931" t="s">
        <v>1731</v>
      </c>
      <c r="L556" s="931"/>
      <c r="M556" s="931"/>
      <c r="N556" s="931"/>
      <c r="O556" s="931"/>
      <c r="P556" s="931"/>
      <c r="Q556" s="931"/>
      <c r="R556" s="931"/>
      <c r="AE556" s="311"/>
      <c r="AF556" s="311"/>
    </row>
    <row r="557" spans="3:32" s="33" customFormat="1" ht="11.25">
      <c r="C557" s="931" t="s">
        <v>1637</v>
      </c>
      <c r="D557" s="931"/>
      <c r="E557" s="931"/>
      <c r="F557" s="931"/>
      <c r="G557" s="931"/>
      <c r="H557" s="931"/>
      <c r="I557" s="931"/>
      <c r="J557" s="931"/>
      <c r="K557" s="931" t="s">
        <v>1680</v>
      </c>
      <c r="L557" s="931"/>
      <c r="M557" s="931"/>
      <c r="N557" s="931"/>
      <c r="O557" s="931"/>
      <c r="P557" s="931"/>
      <c r="Q557" s="931"/>
      <c r="R557" s="931"/>
      <c r="AE557" s="311"/>
      <c r="AF557" s="311"/>
    </row>
    <row r="558" spans="3:32" s="33" customFormat="1" ht="11.25">
      <c r="C558" s="931" t="s">
        <v>1732</v>
      </c>
      <c r="D558" s="931"/>
      <c r="E558" s="931"/>
      <c r="F558" s="931"/>
      <c r="G558" s="931"/>
      <c r="H558" s="931"/>
      <c r="I558" s="931"/>
      <c r="J558" s="931"/>
      <c r="K558" s="931" t="s">
        <v>1733</v>
      </c>
      <c r="L558" s="931"/>
      <c r="M558" s="931"/>
      <c r="N558" s="931"/>
      <c r="O558" s="931"/>
      <c r="P558" s="931"/>
      <c r="Q558" s="931"/>
      <c r="R558" s="931"/>
      <c r="AE558" s="311"/>
      <c r="AF558" s="311"/>
    </row>
    <row r="559" spans="3:32" s="33" customFormat="1" ht="11.25">
      <c r="C559" s="931" t="s">
        <v>1734</v>
      </c>
      <c r="D559" s="931"/>
      <c r="E559" s="931"/>
      <c r="F559" s="931"/>
      <c r="G559" s="931"/>
      <c r="H559" s="931"/>
      <c r="I559" s="931"/>
      <c r="J559" s="931"/>
      <c r="K559" s="931" t="s">
        <v>1735</v>
      </c>
      <c r="L559" s="931"/>
      <c r="M559" s="931"/>
      <c r="N559" s="931"/>
      <c r="O559" s="931"/>
      <c r="P559" s="931"/>
      <c r="Q559" s="931"/>
      <c r="R559" s="931"/>
      <c r="AE559" s="311"/>
      <c r="AF559" s="311"/>
    </row>
    <row r="560" spans="3:32" s="33" customFormat="1" ht="11.25">
      <c r="C560" s="931" t="s">
        <v>1736</v>
      </c>
      <c r="D560" s="931"/>
      <c r="E560" s="931"/>
      <c r="F560" s="931"/>
      <c r="G560" s="931"/>
      <c r="H560" s="931"/>
      <c r="I560" s="931"/>
      <c r="J560" s="931"/>
      <c r="K560" s="931" t="s">
        <v>1737</v>
      </c>
      <c r="L560" s="931"/>
      <c r="M560" s="931"/>
      <c r="N560" s="931"/>
      <c r="O560" s="931"/>
      <c r="P560" s="931"/>
      <c r="Q560" s="931"/>
      <c r="R560" s="931"/>
      <c r="AE560" s="311"/>
      <c r="AF560" s="311"/>
    </row>
    <row r="561" spans="1:32" s="33" customFormat="1" ht="11.25">
      <c r="C561" s="941" t="s">
        <v>1738</v>
      </c>
      <c r="D561" s="931"/>
      <c r="E561" s="931"/>
      <c r="F561" s="931"/>
      <c r="G561" s="931"/>
      <c r="H561" s="931"/>
      <c r="I561" s="931"/>
      <c r="J561" s="931"/>
      <c r="K561" s="931" t="s">
        <v>1739</v>
      </c>
      <c r="L561" s="931"/>
      <c r="M561" s="931"/>
      <c r="N561" s="931"/>
      <c r="O561" s="931"/>
      <c r="P561" s="931"/>
      <c r="Q561" s="931"/>
      <c r="R561" s="931"/>
      <c r="AE561" s="311"/>
      <c r="AF561" s="311"/>
    </row>
    <row r="562" spans="1:32" s="33" customFormat="1" ht="11.25">
      <c r="C562" s="931"/>
      <c r="D562" s="931"/>
      <c r="E562" s="931"/>
      <c r="F562" s="931"/>
      <c r="G562" s="931"/>
      <c r="H562" s="931"/>
      <c r="I562" s="931"/>
      <c r="J562" s="931"/>
      <c r="K562" s="931" t="s">
        <v>1683</v>
      </c>
      <c r="L562" s="931"/>
      <c r="M562" s="931"/>
      <c r="N562" s="931"/>
      <c r="O562" s="931"/>
      <c r="P562" s="931"/>
      <c r="Q562" s="931"/>
      <c r="R562" s="931"/>
      <c r="AE562" s="311"/>
      <c r="AF562" s="311"/>
    </row>
    <row r="563" spans="1:32" s="33" customFormat="1" ht="11.25">
      <c r="C563" s="931"/>
      <c r="D563" s="931"/>
      <c r="E563" s="931"/>
      <c r="F563" s="931"/>
      <c r="G563" s="931"/>
      <c r="H563" s="931"/>
      <c r="I563" s="931"/>
      <c r="J563" s="931"/>
      <c r="K563" s="931" t="s">
        <v>1740</v>
      </c>
      <c r="L563" s="931"/>
      <c r="M563" s="931"/>
      <c r="N563" s="931"/>
      <c r="O563" s="931"/>
      <c r="P563" s="931"/>
      <c r="Q563" s="931"/>
      <c r="R563" s="931"/>
      <c r="AE563" s="311"/>
      <c r="AF563" s="311"/>
    </row>
    <row r="564" spans="1:32" s="33" customFormat="1" ht="11.25">
      <c r="C564" s="931"/>
      <c r="D564" s="931"/>
      <c r="E564" s="931"/>
      <c r="F564" s="931"/>
      <c r="G564" s="931"/>
      <c r="H564" s="931"/>
      <c r="I564" s="931"/>
      <c r="J564" s="931"/>
      <c r="K564" s="931" t="s">
        <v>1741</v>
      </c>
      <c r="L564" s="931"/>
      <c r="M564" s="931"/>
      <c r="N564" s="931"/>
      <c r="O564" s="931"/>
      <c r="P564" s="931"/>
      <c r="Q564" s="931"/>
      <c r="R564" s="931"/>
      <c r="AE564" s="311"/>
      <c r="AF564" s="311"/>
    </row>
    <row r="565" spans="1:32" s="33" customFormat="1" ht="11.25">
      <c r="C565" s="931"/>
      <c r="D565" s="931"/>
      <c r="E565" s="931"/>
      <c r="F565" s="931"/>
      <c r="G565" s="931"/>
      <c r="H565" s="931"/>
      <c r="I565" s="931"/>
      <c r="J565" s="931"/>
      <c r="K565" s="931" t="s">
        <v>1742</v>
      </c>
      <c r="L565" s="931"/>
      <c r="M565" s="931"/>
      <c r="N565" s="931"/>
      <c r="O565" s="931"/>
      <c r="P565" s="931"/>
      <c r="Q565" s="931"/>
      <c r="R565" s="931"/>
      <c r="AE565" s="311"/>
      <c r="AF565" s="311"/>
    </row>
    <row r="566" spans="1:32" s="33" customFormat="1" ht="11.25">
      <c r="C566" s="931"/>
      <c r="D566" s="931"/>
      <c r="E566" s="931"/>
      <c r="F566" s="931"/>
      <c r="G566" s="931"/>
      <c r="H566" s="931"/>
      <c r="I566" s="931"/>
      <c r="J566" s="931"/>
      <c r="K566" s="931" t="s">
        <v>1687</v>
      </c>
      <c r="L566" s="931"/>
      <c r="M566" s="931"/>
      <c r="N566" s="931"/>
      <c r="O566" s="931"/>
      <c r="P566" s="931"/>
      <c r="Q566" s="931"/>
      <c r="R566" s="931"/>
      <c r="AE566" s="311"/>
      <c r="AF566" s="311"/>
    </row>
    <row r="567" spans="1:32" s="33" customFormat="1" ht="11.25">
      <c r="C567" s="931"/>
      <c r="D567" s="931"/>
      <c r="E567" s="931"/>
      <c r="F567" s="931"/>
      <c r="G567" s="931"/>
      <c r="H567" s="931"/>
      <c r="I567" s="931"/>
      <c r="J567" s="931"/>
      <c r="K567" s="931" t="s">
        <v>1661</v>
      </c>
      <c r="L567" s="931"/>
      <c r="M567" s="931"/>
      <c r="N567" s="931"/>
      <c r="O567" s="931"/>
      <c r="P567" s="931"/>
      <c r="Q567" s="931"/>
      <c r="R567" s="931"/>
      <c r="AE567" s="311"/>
      <c r="AF567" s="311"/>
    </row>
    <row r="568" spans="1:32" s="33" customFormat="1" ht="11.25">
      <c r="C568" s="931"/>
      <c r="D568" s="931"/>
      <c r="E568" s="931"/>
      <c r="F568" s="931"/>
      <c r="G568" s="931"/>
      <c r="H568" s="931"/>
      <c r="I568" s="931"/>
      <c r="J568" s="931"/>
      <c r="K568" s="931" t="s">
        <v>1688</v>
      </c>
      <c r="L568" s="931"/>
      <c r="M568" s="931"/>
      <c r="N568" s="931"/>
      <c r="O568" s="931"/>
      <c r="P568" s="931"/>
      <c r="Q568" s="931"/>
      <c r="R568" s="931"/>
      <c r="AE568" s="311"/>
      <c r="AF568" s="311"/>
    </row>
    <row r="569" spans="1:32" s="33" customFormat="1" ht="11.25">
      <c r="C569" s="931"/>
      <c r="D569" s="931"/>
      <c r="E569" s="931"/>
      <c r="F569" s="931"/>
      <c r="G569" s="931"/>
      <c r="H569" s="931"/>
      <c r="I569" s="931"/>
      <c r="J569" s="931"/>
      <c r="K569" s="931"/>
      <c r="L569" s="931"/>
      <c r="M569" s="931"/>
      <c r="N569" s="931"/>
      <c r="O569" s="931"/>
      <c r="P569" s="931"/>
      <c r="Q569" s="931"/>
      <c r="R569" s="931"/>
      <c r="AE569" s="311"/>
      <c r="AF569" s="311"/>
    </row>
    <row r="570" spans="1:32" s="33" customFormat="1" ht="11.25">
      <c r="C570" s="931"/>
      <c r="D570" s="940" t="s">
        <v>1743</v>
      </c>
      <c r="E570" s="931"/>
      <c r="F570" s="931"/>
      <c r="G570" s="931"/>
      <c r="H570" s="931"/>
      <c r="I570" s="931"/>
      <c r="J570" s="931"/>
      <c r="K570" s="931"/>
      <c r="L570" s="931"/>
      <c r="M570" s="931"/>
      <c r="N570" s="931"/>
      <c r="O570" s="931"/>
      <c r="P570" s="931"/>
      <c r="Q570" s="931"/>
      <c r="R570" s="931"/>
      <c r="AE570" s="311"/>
      <c r="AF570" s="311"/>
    </row>
    <row r="571" spans="1:32" s="33" customFormat="1" ht="11.25">
      <c r="C571" s="931"/>
      <c r="D571" s="931"/>
      <c r="E571" s="931"/>
      <c r="F571" s="931"/>
      <c r="G571" s="931"/>
      <c r="H571" s="931"/>
      <c r="I571" s="931"/>
      <c r="J571" s="931"/>
      <c r="K571" s="931"/>
      <c r="L571" s="931"/>
      <c r="M571" s="931"/>
      <c r="N571" s="931"/>
      <c r="O571" s="931"/>
      <c r="P571" s="931"/>
      <c r="Q571" s="931"/>
      <c r="R571" s="931"/>
      <c r="AE571" s="311"/>
      <c r="AF571" s="311"/>
    </row>
    <row r="572" spans="1:32" s="102" customFormat="1">
      <c r="C572" s="344"/>
      <c r="D572" s="344"/>
      <c r="E572" s="344"/>
      <c r="F572" s="344"/>
      <c r="G572" s="344"/>
      <c r="H572" s="344"/>
      <c r="I572" s="344"/>
      <c r="J572" s="344"/>
      <c r="K572" s="344"/>
      <c r="L572" s="344"/>
      <c r="M572" s="344"/>
      <c r="N572" s="344"/>
      <c r="O572" s="931"/>
      <c r="P572" s="344"/>
      <c r="Q572" s="344"/>
      <c r="R572" s="344"/>
      <c r="AE572" s="366"/>
      <c r="AF572" s="366"/>
    </row>
    <row r="573" spans="1:32">
      <c r="A573" s="102"/>
      <c r="B573" s="102"/>
      <c r="C573" s="344"/>
      <c r="D573" s="344"/>
      <c r="E573" s="344"/>
      <c r="F573" s="344"/>
      <c r="G573" s="344"/>
      <c r="H573" s="344"/>
      <c r="I573" s="344"/>
      <c r="J573" s="344"/>
      <c r="K573" s="344"/>
      <c r="L573" s="344"/>
      <c r="M573" s="344"/>
      <c r="N573" s="344"/>
      <c r="O573" s="344"/>
      <c r="P573" s="344"/>
      <c r="Q573" s="344"/>
      <c r="R573" s="344"/>
      <c r="S573" s="102"/>
      <c r="T573" s="102"/>
      <c r="U573" s="102"/>
      <c r="V573" s="102"/>
      <c r="W573" s="102"/>
      <c r="X573" s="102"/>
      <c r="Y573" s="102"/>
      <c r="Z573" s="102"/>
      <c r="AA573" s="102"/>
      <c r="AB573" s="102"/>
      <c r="AC573" s="102"/>
      <c r="AD573" s="102"/>
      <c r="AE573" s="366"/>
      <c r="AF573" s="366"/>
    </row>
    <row r="574" spans="1:32">
      <c r="A574" s="102"/>
      <c r="B574" s="102"/>
      <c r="C574" s="344"/>
      <c r="D574" s="344"/>
      <c r="E574" s="344"/>
      <c r="F574" s="344"/>
      <c r="G574" s="344"/>
      <c r="H574" s="344"/>
      <c r="I574" s="344"/>
      <c r="J574" s="344"/>
      <c r="K574" s="344"/>
      <c r="L574" s="344"/>
      <c r="M574" s="344"/>
      <c r="N574" s="344"/>
      <c r="O574" s="344"/>
      <c r="P574" s="344"/>
      <c r="Q574" s="344"/>
      <c r="R574" s="344"/>
      <c r="S574" s="102"/>
      <c r="T574" s="102"/>
      <c r="U574" s="102"/>
      <c r="V574" s="102"/>
      <c r="W574" s="102"/>
      <c r="X574" s="102"/>
      <c r="Y574" s="102"/>
      <c r="Z574" s="102"/>
      <c r="AA574" s="102"/>
      <c r="AB574" s="102"/>
      <c r="AC574" s="102"/>
      <c r="AD574" s="102"/>
      <c r="AE574" s="366"/>
      <c r="AF574" s="366"/>
    </row>
    <row r="575" spans="1:32">
      <c r="A575" s="102"/>
      <c r="B575" s="102"/>
      <c r="C575" s="344"/>
      <c r="D575" s="344"/>
      <c r="E575" s="344"/>
      <c r="F575" s="344"/>
      <c r="G575" s="344"/>
      <c r="H575" s="344"/>
      <c r="I575" s="344"/>
      <c r="J575" s="344"/>
      <c r="K575" s="344"/>
      <c r="L575" s="344"/>
      <c r="M575" s="344"/>
      <c r="N575" s="344"/>
      <c r="O575" s="344"/>
      <c r="P575" s="344"/>
      <c r="Q575" s="344"/>
      <c r="R575" s="344"/>
      <c r="S575" s="102"/>
      <c r="T575" s="102"/>
      <c r="U575" s="102"/>
      <c r="V575" s="102"/>
      <c r="W575" s="102"/>
      <c r="X575" s="102"/>
      <c r="Y575" s="102"/>
      <c r="Z575" s="102"/>
      <c r="AA575" s="102"/>
      <c r="AB575" s="102"/>
      <c r="AC575" s="102"/>
      <c r="AD575" s="102"/>
      <c r="AE575" s="366"/>
      <c r="AF575" s="366"/>
    </row>
    <row r="576" spans="1:32">
      <c r="A576" s="102"/>
      <c r="B576" s="102"/>
      <c r="C576" s="344"/>
      <c r="D576" s="344"/>
      <c r="E576" s="344"/>
      <c r="F576" s="344"/>
      <c r="G576" s="344"/>
      <c r="H576" s="344"/>
      <c r="I576" s="344"/>
      <c r="J576" s="344"/>
      <c r="K576" s="344"/>
      <c r="L576" s="344"/>
      <c r="M576" s="344"/>
      <c r="N576" s="344"/>
      <c r="O576" s="344"/>
      <c r="P576" s="344"/>
      <c r="Q576" s="344"/>
      <c r="R576" s="344"/>
      <c r="S576" s="102"/>
      <c r="T576" s="102"/>
      <c r="U576" s="102"/>
      <c r="V576" s="102"/>
      <c r="W576" s="102"/>
      <c r="X576" s="102"/>
      <c r="Y576" s="102"/>
      <c r="Z576" s="102"/>
      <c r="AA576" s="102"/>
      <c r="AB576" s="102"/>
      <c r="AC576" s="102"/>
      <c r="AD576" s="102"/>
      <c r="AE576" s="366"/>
      <c r="AF576" s="366"/>
    </row>
    <row r="577" spans="1:21">
      <c r="A577" s="102"/>
      <c r="B577" s="102"/>
      <c r="C577" s="344"/>
      <c r="D577" s="344"/>
      <c r="E577" s="344"/>
      <c r="F577" s="344"/>
      <c r="G577" s="344"/>
      <c r="H577" s="344"/>
      <c r="I577" s="344"/>
      <c r="J577" s="344"/>
      <c r="K577" s="344"/>
      <c r="L577" s="344"/>
      <c r="M577" s="344"/>
      <c r="N577" s="344"/>
      <c r="O577" s="344"/>
      <c r="P577" s="344"/>
      <c r="Q577" s="344"/>
      <c r="R577" s="344"/>
      <c r="S577" s="102"/>
      <c r="T577" s="102"/>
      <c r="U577" s="102"/>
    </row>
    <row r="578" spans="1:21">
      <c r="A578" s="102"/>
      <c r="B578" s="102"/>
      <c r="C578" s="344"/>
      <c r="D578" s="344"/>
      <c r="E578" s="344"/>
      <c r="F578" s="344"/>
      <c r="G578" s="344"/>
      <c r="H578" s="344"/>
      <c r="I578" s="344"/>
      <c r="J578" s="344"/>
      <c r="K578" s="344"/>
      <c r="L578" s="344"/>
      <c r="M578" s="344"/>
      <c r="N578" s="344"/>
      <c r="O578" s="344"/>
      <c r="P578" s="344"/>
      <c r="Q578" s="344"/>
      <c r="R578" s="344"/>
      <c r="S578" s="102"/>
      <c r="T578" s="102"/>
      <c r="U578" s="102"/>
    </row>
    <row r="579" spans="1:21">
      <c r="A579" s="102"/>
      <c r="B579" s="102"/>
      <c r="C579" s="344"/>
      <c r="D579" s="344"/>
      <c r="E579" s="344"/>
      <c r="F579" s="344"/>
      <c r="G579" s="344"/>
      <c r="H579" s="344"/>
      <c r="I579" s="344"/>
      <c r="J579" s="344"/>
      <c r="K579" s="344"/>
      <c r="L579" s="344"/>
      <c r="M579" s="344"/>
      <c r="N579" s="344"/>
      <c r="O579" s="344"/>
      <c r="P579" s="344"/>
      <c r="Q579" s="344"/>
      <c r="R579" s="344"/>
      <c r="S579" s="102"/>
      <c r="T579" s="102"/>
      <c r="U579" s="102"/>
    </row>
    <row r="580" spans="1:21">
      <c r="A580" s="102"/>
      <c r="B580" s="102"/>
      <c r="C580" s="344"/>
      <c r="D580" s="344"/>
      <c r="E580" s="344"/>
      <c r="F580" s="344"/>
      <c r="G580" s="344"/>
      <c r="H580" s="344"/>
      <c r="I580" s="344"/>
      <c r="J580" s="344"/>
      <c r="K580" s="344"/>
      <c r="L580" s="344"/>
      <c r="M580" s="344"/>
      <c r="N580" s="344"/>
      <c r="O580" s="344"/>
      <c r="P580" s="344"/>
      <c r="Q580" s="344"/>
      <c r="R580" s="344"/>
      <c r="S580" s="102"/>
      <c r="T580" s="102"/>
      <c r="U580" s="102"/>
    </row>
    <row r="581" spans="1:21">
      <c r="A581" s="102"/>
      <c r="B581" s="102"/>
      <c r="C581" s="344"/>
      <c r="D581" s="344"/>
      <c r="E581" s="344"/>
      <c r="F581" s="344"/>
      <c r="G581" s="344"/>
      <c r="H581" s="344"/>
      <c r="I581" s="344"/>
      <c r="J581" s="344"/>
      <c r="K581" s="344"/>
      <c r="L581" s="344"/>
      <c r="M581" s="344"/>
      <c r="N581" s="344"/>
      <c r="O581" s="344"/>
      <c r="P581" s="344"/>
      <c r="Q581" s="344"/>
      <c r="R581" s="344"/>
      <c r="S581" s="102"/>
      <c r="T581" s="102"/>
      <c r="U581" s="102"/>
    </row>
    <row r="582" spans="1:21">
      <c r="A582" s="102"/>
      <c r="B582" s="102"/>
      <c r="C582" s="344"/>
      <c r="D582" s="344"/>
      <c r="E582" s="344"/>
      <c r="F582" s="344"/>
      <c r="G582" s="344"/>
      <c r="H582" s="344"/>
      <c r="I582" s="344"/>
      <c r="J582" s="344"/>
      <c r="K582" s="344"/>
      <c r="L582" s="344"/>
      <c r="M582" s="344"/>
      <c r="N582" s="344"/>
      <c r="O582" s="344"/>
      <c r="P582" s="344"/>
      <c r="Q582" s="344"/>
      <c r="R582" s="344"/>
      <c r="S582" s="102"/>
      <c r="T582" s="102"/>
      <c r="U582" s="102"/>
    </row>
    <row r="583" spans="1:21">
      <c r="A583" s="102"/>
      <c r="B583" s="102"/>
      <c r="C583" s="344"/>
      <c r="D583" s="344"/>
      <c r="E583" s="344"/>
      <c r="F583" s="344"/>
      <c r="G583" s="344"/>
      <c r="H583" s="344"/>
      <c r="I583" s="344"/>
      <c r="J583" s="344"/>
      <c r="K583" s="344"/>
      <c r="L583" s="344"/>
      <c r="M583" s="344"/>
      <c r="N583" s="344"/>
      <c r="O583" s="344"/>
      <c r="P583" s="344"/>
      <c r="Q583" s="344"/>
      <c r="R583" s="344"/>
      <c r="S583" s="102"/>
      <c r="T583" s="102"/>
      <c r="U583" s="102"/>
    </row>
    <row r="584" spans="1:21">
      <c r="A584" s="102"/>
      <c r="B584" s="102"/>
      <c r="C584" s="344"/>
      <c r="D584" s="344"/>
      <c r="E584" s="344"/>
      <c r="F584" s="344"/>
      <c r="G584" s="344"/>
      <c r="H584" s="344"/>
      <c r="I584" s="344"/>
      <c r="J584" s="344"/>
      <c r="K584" s="344"/>
      <c r="L584" s="344"/>
      <c r="M584" s="344"/>
      <c r="N584" s="344"/>
      <c r="O584" s="344"/>
      <c r="P584" s="344"/>
      <c r="Q584" s="344"/>
      <c r="R584" s="344"/>
      <c r="S584" s="102"/>
      <c r="T584" s="102"/>
      <c r="U584" s="102"/>
    </row>
    <row r="585" spans="1:21">
      <c r="A585" s="102"/>
      <c r="B585" s="102"/>
      <c r="C585" s="344"/>
      <c r="D585" s="344"/>
      <c r="E585" s="344"/>
      <c r="F585" s="344"/>
      <c r="G585" s="344"/>
      <c r="H585" s="344"/>
      <c r="I585" s="344"/>
      <c r="J585" s="344"/>
      <c r="K585" s="344"/>
      <c r="L585" s="344"/>
      <c r="M585" s="344"/>
      <c r="N585" s="344"/>
      <c r="O585" s="344"/>
      <c r="P585" s="344"/>
      <c r="Q585" s="344"/>
      <c r="R585" s="344"/>
      <c r="S585" s="102"/>
      <c r="T585" s="102"/>
      <c r="U585" s="102"/>
    </row>
    <row r="586" spans="1:21">
      <c r="A586" s="102"/>
      <c r="B586" s="102"/>
      <c r="C586" s="344"/>
      <c r="D586" s="344"/>
      <c r="E586" s="344"/>
      <c r="F586" s="344"/>
      <c r="G586" s="344"/>
      <c r="H586" s="344"/>
      <c r="I586" s="344"/>
      <c r="J586" s="344"/>
      <c r="K586" s="344"/>
      <c r="L586" s="344"/>
      <c r="M586" s="344"/>
      <c r="N586" s="344"/>
      <c r="O586" s="344"/>
      <c r="P586" s="344"/>
      <c r="Q586" s="344"/>
      <c r="R586" s="344"/>
      <c r="S586" s="102"/>
      <c r="T586" s="102"/>
      <c r="U586" s="102"/>
    </row>
    <row r="587" spans="1:21">
      <c r="A587" s="102"/>
      <c r="B587" s="102"/>
      <c r="C587" s="344"/>
      <c r="D587" s="344"/>
      <c r="E587" s="344"/>
      <c r="F587" s="344"/>
      <c r="G587" s="344"/>
      <c r="H587" s="344"/>
      <c r="I587" s="344"/>
      <c r="J587" s="344"/>
      <c r="K587" s="344"/>
      <c r="L587" s="344"/>
      <c r="M587" s="344"/>
      <c r="N587" s="344"/>
      <c r="O587" s="344"/>
      <c r="P587" s="344"/>
      <c r="Q587" s="344"/>
      <c r="R587" s="344"/>
      <c r="S587" s="102"/>
      <c r="T587" s="102"/>
      <c r="U587" s="102"/>
    </row>
    <row r="588" spans="1:21">
      <c r="A588" s="102"/>
      <c r="B588" s="102"/>
      <c r="C588" s="344"/>
      <c r="D588" s="344"/>
      <c r="E588" s="344"/>
      <c r="F588" s="344"/>
      <c r="G588" s="344"/>
      <c r="H588" s="344"/>
      <c r="I588" s="344"/>
      <c r="J588" s="344"/>
      <c r="K588" s="344"/>
      <c r="L588" s="344"/>
      <c r="M588" s="344"/>
      <c r="N588" s="344"/>
      <c r="O588" s="344"/>
      <c r="P588" s="344"/>
      <c r="Q588" s="344"/>
      <c r="R588" s="344"/>
      <c r="S588" s="102"/>
      <c r="T588" s="102"/>
      <c r="U588" s="102"/>
    </row>
    <row r="589" spans="1:21">
      <c r="A589" s="102"/>
      <c r="B589" s="102"/>
      <c r="C589" s="344"/>
      <c r="D589" s="344"/>
      <c r="E589" s="344"/>
      <c r="F589" s="344"/>
      <c r="G589" s="344"/>
      <c r="H589" s="344"/>
      <c r="I589" s="344"/>
      <c r="J589" s="344"/>
      <c r="K589" s="344"/>
      <c r="L589" s="344"/>
      <c r="M589" s="344"/>
      <c r="N589" s="344"/>
      <c r="O589" s="344"/>
      <c r="P589" s="344"/>
      <c r="Q589" s="344"/>
      <c r="R589" s="344"/>
      <c r="S589" s="102"/>
      <c r="T589" s="102"/>
      <c r="U589" s="102"/>
    </row>
    <row r="590" spans="1:21">
      <c r="A590" s="102"/>
      <c r="B590" s="102"/>
      <c r="C590" s="344"/>
      <c r="D590" s="344"/>
      <c r="E590" s="344"/>
      <c r="F590" s="344"/>
      <c r="G590" s="344"/>
      <c r="H590" s="344"/>
      <c r="I590" s="344"/>
      <c r="J590" s="344"/>
      <c r="K590" s="344"/>
      <c r="L590" s="344"/>
      <c r="M590" s="344"/>
      <c r="N590" s="344"/>
      <c r="O590" s="344"/>
      <c r="P590" s="344"/>
      <c r="Q590" s="344"/>
      <c r="R590" s="344"/>
      <c r="S590" s="102"/>
      <c r="T590" s="102"/>
      <c r="U590" s="102"/>
    </row>
    <row r="591" spans="1:21">
      <c r="A591" s="102"/>
      <c r="B591" s="102"/>
      <c r="C591" s="344"/>
      <c r="D591" s="344"/>
      <c r="E591" s="344"/>
      <c r="F591" s="344"/>
      <c r="G591" s="344"/>
      <c r="H591" s="344"/>
      <c r="I591" s="344"/>
      <c r="J591" s="344"/>
      <c r="K591" s="344"/>
      <c r="L591" s="344"/>
      <c r="M591" s="344"/>
      <c r="N591" s="344"/>
      <c r="O591" s="344"/>
      <c r="P591" s="344"/>
      <c r="Q591" s="344"/>
      <c r="R591" s="344"/>
      <c r="S591" s="102"/>
      <c r="T591" s="102"/>
      <c r="U591" s="102"/>
    </row>
    <row r="592" spans="1:21">
      <c r="A592" s="102"/>
      <c r="B592" s="102"/>
      <c r="C592" s="344"/>
      <c r="D592" s="344"/>
      <c r="E592" s="344"/>
      <c r="F592" s="344"/>
      <c r="G592" s="344"/>
      <c r="H592" s="344"/>
      <c r="I592" s="344"/>
      <c r="J592" s="344"/>
      <c r="K592" s="344"/>
      <c r="L592" s="344"/>
      <c r="M592" s="344"/>
      <c r="N592" s="344"/>
      <c r="O592" s="344"/>
      <c r="P592" s="344"/>
      <c r="Q592" s="344"/>
      <c r="R592" s="344"/>
      <c r="S592" s="102"/>
      <c r="T592" s="102"/>
      <c r="U592" s="102"/>
    </row>
    <row r="593" spans="1:21">
      <c r="A593" s="102"/>
      <c r="B593" s="102"/>
      <c r="C593" s="344"/>
      <c r="D593" s="344"/>
      <c r="E593" s="344"/>
      <c r="F593" s="344"/>
      <c r="G593" s="344"/>
      <c r="H593" s="344"/>
      <c r="I593" s="344"/>
      <c r="J593" s="344"/>
      <c r="K593" s="344"/>
      <c r="L593" s="344"/>
      <c r="M593" s="344"/>
      <c r="N593" s="344"/>
      <c r="O593" s="344"/>
      <c r="P593" s="344"/>
      <c r="Q593" s="344"/>
      <c r="R593" s="344"/>
      <c r="S593" s="102"/>
      <c r="T593" s="102"/>
      <c r="U593" s="102"/>
    </row>
    <row r="594" spans="1:21">
      <c r="A594" s="102"/>
      <c r="B594" s="102"/>
      <c r="C594" s="344"/>
      <c r="D594" s="344"/>
      <c r="E594" s="344"/>
      <c r="F594" s="344"/>
      <c r="G594" s="344"/>
      <c r="H594" s="344"/>
      <c r="I594" s="344"/>
      <c r="J594" s="344"/>
      <c r="K594" s="344"/>
      <c r="L594" s="344"/>
      <c r="M594" s="344"/>
      <c r="N594" s="344"/>
      <c r="O594" s="344"/>
      <c r="P594" s="344"/>
      <c r="Q594" s="344"/>
      <c r="R594" s="344"/>
      <c r="S594" s="102"/>
      <c r="T594" s="102"/>
      <c r="U594" s="102"/>
    </row>
    <row r="595" spans="1:21">
      <c r="A595" s="102"/>
      <c r="B595" s="102"/>
      <c r="C595" s="344"/>
      <c r="D595" s="344"/>
      <c r="E595" s="344"/>
      <c r="F595" s="344"/>
      <c r="G595" s="344"/>
      <c r="H595" s="344"/>
      <c r="I595" s="344"/>
      <c r="J595" s="344"/>
      <c r="K595" s="344"/>
      <c r="L595" s="344"/>
      <c r="M595" s="344"/>
      <c r="N595" s="344"/>
      <c r="O595" s="344"/>
      <c r="P595" s="344"/>
      <c r="Q595" s="344"/>
      <c r="R595" s="344"/>
      <c r="S595" s="102"/>
      <c r="T595" s="102"/>
      <c r="U595" s="102"/>
    </row>
    <row r="596" spans="1:21">
      <c r="A596" s="102"/>
      <c r="B596" s="102"/>
      <c r="C596" s="344"/>
      <c r="D596" s="344"/>
      <c r="E596" s="344"/>
      <c r="F596" s="344"/>
      <c r="G596" s="344"/>
      <c r="H596" s="344"/>
      <c r="I596" s="344"/>
      <c r="J596" s="344"/>
      <c r="K596" s="344"/>
      <c r="L596" s="344"/>
      <c r="M596" s="344"/>
      <c r="N596" s="344"/>
      <c r="O596" s="344"/>
      <c r="P596" s="344"/>
      <c r="Q596" s="344"/>
      <c r="R596" s="344"/>
      <c r="S596" s="102"/>
      <c r="T596" s="102"/>
      <c r="U596" s="102"/>
    </row>
    <row r="597" spans="1:21">
      <c r="A597" s="102"/>
      <c r="B597" s="102"/>
      <c r="C597" s="344"/>
      <c r="D597" s="344"/>
      <c r="E597" s="344"/>
      <c r="F597" s="344"/>
      <c r="G597" s="344"/>
      <c r="H597" s="344"/>
      <c r="I597" s="344"/>
      <c r="J597" s="344"/>
      <c r="K597" s="344"/>
      <c r="L597" s="344"/>
      <c r="M597" s="344"/>
      <c r="N597" s="344"/>
      <c r="O597" s="344"/>
      <c r="P597" s="344"/>
      <c r="Q597" s="344"/>
      <c r="R597" s="344"/>
      <c r="S597" s="102"/>
      <c r="T597" s="102"/>
      <c r="U597" s="102"/>
    </row>
    <row r="598" spans="1:21">
      <c r="A598" s="102"/>
      <c r="B598" s="102"/>
      <c r="C598" s="344"/>
      <c r="D598" s="344"/>
      <c r="E598" s="344"/>
      <c r="F598" s="344"/>
      <c r="G598" s="344"/>
      <c r="H598" s="344"/>
      <c r="I598" s="344"/>
      <c r="J598" s="344"/>
      <c r="K598" s="344"/>
      <c r="L598" s="344"/>
      <c r="M598" s="344"/>
      <c r="N598" s="344"/>
      <c r="O598" s="344"/>
      <c r="P598" s="344"/>
      <c r="Q598" s="344"/>
      <c r="R598" s="344"/>
      <c r="S598" s="102"/>
      <c r="T598" s="102"/>
      <c r="U598" s="102"/>
    </row>
    <row r="599" spans="1:21">
      <c r="A599" s="102"/>
      <c r="B599" s="102"/>
      <c r="C599" s="344"/>
      <c r="D599" s="344"/>
      <c r="E599" s="344"/>
      <c r="F599" s="344"/>
      <c r="G599" s="344"/>
      <c r="H599" s="344"/>
      <c r="I599" s="344"/>
      <c r="J599" s="344"/>
      <c r="K599" s="344"/>
      <c r="L599" s="344"/>
      <c r="M599" s="344"/>
      <c r="N599" s="344"/>
      <c r="O599" s="344"/>
      <c r="P599" s="344"/>
      <c r="Q599" s="344"/>
      <c r="R599" s="344"/>
      <c r="S599" s="102"/>
      <c r="T599" s="102"/>
      <c r="U599" s="102"/>
    </row>
    <row r="600" spans="1:21">
      <c r="A600" s="102"/>
      <c r="B600" s="102"/>
      <c r="C600" s="344"/>
      <c r="D600" s="344"/>
      <c r="E600" s="344"/>
      <c r="F600" s="344"/>
      <c r="G600" s="344"/>
      <c r="H600" s="344"/>
      <c r="I600" s="344"/>
      <c r="J600" s="344"/>
      <c r="K600" s="344"/>
      <c r="L600" s="344"/>
      <c r="M600" s="344"/>
      <c r="N600" s="344"/>
      <c r="O600" s="344"/>
      <c r="P600" s="344"/>
      <c r="Q600" s="344"/>
      <c r="R600" s="344"/>
      <c r="S600" s="102"/>
      <c r="T600" s="102"/>
      <c r="U600" s="102"/>
    </row>
    <row r="601" spans="1:21">
      <c r="A601" s="102"/>
      <c r="B601" s="102"/>
      <c r="C601" s="344"/>
      <c r="D601" s="344"/>
      <c r="E601" s="344"/>
      <c r="F601" s="344"/>
      <c r="G601" s="344"/>
      <c r="H601" s="344"/>
      <c r="I601" s="344"/>
      <c r="J601" s="344"/>
      <c r="K601" s="344"/>
      <c r="L601" s="344"/>
      <c r="M601" s="344"/>
      <c r="N601" s="344"/>
      <c r="O601" s="344"/>
      <c r="P601" s="344"/>
      <c r="Q601" s="344"/>
      <c r="R601" s="344"/>
      <c r="S601" s="102"/>
      <c r="T601" s="102"/>
      <c r="U601" s="102"/>
    </row>
    <row r="602" spans="1:21">
      <c r="A602" s="102"/>
      <c r="B602" s="102"/>
      <c r="C602" s="344"/>
      <c r="D602" s="344"/>
      <c r="E602" s="344"/>
      <c r="F602" s="344"/>
      <c r="G602" s="344"/>
      <c r="H602" s="344"/>
      <c r="I602" s="344"/>
      <c r="J602" s="344"/>
      <c r="K602" s="344"/>
      <c r="L602" s="344"/>
      <c r="M602" s="344"/>
      <c r="N602" s="344"/>
      <c r="O602" s="344"/>
      <c r="P602" s="344"/>
      <c r="Q602" s="344"/>
      <c r="R602" s="344"/>
      <c r="S602" s="102"/>
      <c r="T602" s="102"/>
      <c r="U602" s="102"/>
    </row>
    <row r="603" spans="1:21">
      <c r="A603" s="102"/>
      <c r="B603" s="102"/>
      <c r="C603" s="344"/>
      <c r="D603" s="344"/>
      <c r="E603" s="344"/>
      <c r="F603" s="344"/>
      <c r="G603" s="344"/>
      <c r="H603" s="344"/>
      <c r="I603" s="344"/>
      <c r="J603" s="344"/>
      <c r="K603" s="344"/>
      <c r="L603" s="344"/>
      <c r="M603" s="344"/>
      <c r="N603" s="344"/>
      <c r="O603" s="344"/>
      <c r="P603" s="344"/>
      <c r="Q603" s="344"/>
      <c r="R603" s="344"/>
      <c r="S603" s="102"/>
      <c r="T603" s="102"/>
      <c r="U603" s="102"/>
    </row>
    <row r="604" spans="1:21">
      <c r="A604" s="102"/>
      <c r="B604" s="102"/>
      <c r="C604" s="344"/>
      <c r="D604" s="344"/>
      <c r="E604" s="344"/>
      <c r="F604" s="344"/>
      <c r="G604" s="344"/>
      <c r="H604" s="344"/>
      <c r="I604" s="344"/>
      <c r="J604" s="344"/>
      <c r="K604" s="344"/>
      <c r="L604" s="344"/>
      <c r="M604" s="344"/>
      <c r="N604" s="344"/>
      <c r="O604" s="344"/>
      <c r="P604" s="344"/>
      <c r="Q604" s="344"/>
      <c r="R604" s="344"/>
      <c r="S604" s="102"/>
      <c r="T604" s="102"/>
      <c r="U604" s="102"/>
    </row>
    <row r="605" spans="1:21">
      <c r="A605" s="102"/>
      <c r="B605" s="102"/>
      <c r="C605" s="344"/>
      <c r="D605" s="344"/>
      <c r="E605" s="344"/>
      <c r="F605" s="344"/>
      <c r="G605" s="344"/>
      <c r="H605" s="344"/>
      <c r="I605" s="344"/>
      <c r="J605" s="344"/>
      <c r="K605" s="344"/>
      <c r="L605" s="344"/>
      <c r="M605" s="344"/>
      <c r="N605" s="344"/>
      <c r="O605" s="344"/>
      <c r="P605" s="344"/>
      <c r="Q605" s="344"/>
      <c r="R605" s="344"/>
      <c r="S605" s="102"/>
      <c r="T605" s="102"/>
      <c r="U605" s="102"/>
    </row>
    <row r="606" spans="1:21">
      <c r="A606" s="102"/>
      <c r="B606" s="102"/>
      <c r="C606" s="344"/>
      <c r="D606" s="344"/>
      <c r="E606" s="344"/>
      <c r="F606" s="344"/>
      <c r="G606" s="344"/>
      <c r="H606" s="344"/>
      <c r="I606" s="344"/>
      <c r="J606" s="344"/>
      <c r="K606" s="344"/>
      <c r="L606" s="344"/>
      <c r="M606" s="344"/>
      <c r="N606" s="344"/>
      <c r="O606" s="344"/>
      <c r="P606" s="344"/>
      <c r="Q606" s="344"/>
      <c r="R606" s="344"/>
      <c r="S606" s="102"/>
      <c r="T606" s="102"/>
      <c r="U606" s="102"/>
    </row>
    <row r="607" spans="1:21">
      <c r="A607" s="102"/>
      <c r="B607" s="102"/>
      <c r="C607" s="344"/>
      <c r="D607" s="344"/>
      <c r="E607" s="344"/>
      <c r="F607" s="344"/>
      <c r="G607" s="344"/>
      <c r="H607" s="344"/>
      <c r="I607" s="344"/>
      <c r="J607" s="344"/>
      <c r="K607" s="344"/>
      <c r="L607" s="344"/>
      <c r="M607" s="344"/>
      <c r="N607" s="344"/>
      <c r="O607" s="344"/>
      <c r="P607" s="344"/>
      <c r="Q607" s="344"/>
      <c r="R607" s="344"/>
      <c r="S607" s="102"/>
      <c r="T607" s="102"/>
      <c r="U607" s="102"/>
    </row>
    <row r="608" spans="1:21">
      <c r="A608" s="102"/>
      <c r="B608" s="102"/>
      <c r="C608" s="344"/>
      <c r="D608" s="344"/>
      <c r="E608" s="344"/>
      <c r="F608" s="344"/>
      <c r="G608" s="344"/>
      <c r="H608" s="344"/>
      <c r="I608" s="344"/>
      <c r="J608" s="344"/>
      <c r="K608" s="344"/>
      <c r="L608" s="344"/>
      <c r="M608" s="344"/>
      <c r="N608" s="344"/>
      <c r="O608" s="344"/>
      <c r="P608" s="344"/>
      <c r="Q608" s="344"/>
      <c r="R608" s="344"/>
      <c r="S608" s="102"/>
      <c r="T608" s="102"/>
      <c r="U608" s="102"/>
    </row>
    <row r="609" spans="1:21">
      <c r="A609" s="102"/>
      <c r="B609" s="102"/>
      <c r="C609" s="344"/>
      <c r="D609" s="344"/>
      <c r="E609" s="344"/>
      <c r="F609" s="344"/>
      <c r="G609" s="344"/>
      <c r="H609" s="344"/>
      <c r="I609" s="344"/>
      <c r="J609" s="344"/>
      <c r="K609" s="344"/>
      <c r="L609" s="344"/>
      <c r="M609" s="344"/>
      <c r="N609" s="344"/>
      <c r="O609" s="344"/>
      <c r="P609" s="344"/>
      <c r="Q609" s="344"/>
      <c r="R609" s="344"/>
      <c r="S609" s="102"/>
      <c r="T609" s="102"/>
      <c r="U609" s="102"/>
    </row>
    <row r="610" spans="1:21">
      <c r="A610" s="102"/>
      <c r="B610" s="102"/>
      <c r="C610" s="344"/>
      <c r="D610" s="344"/>
      <c r="E610" s="344"/>
      <c r="F610" s="344"/>
      <c r="G610" s="344"/>
      <c r="H610" s="344"/>
      <c r="I610" s="344"/>
      <c r="J610" s="344"/>
      <c r="K610" s="344"/>
      <c r="L610" s="344"/>
      <c r="M610" s="344"/>
      <c r="N610" s="344"/>
      <c r="O610" s="344"/>
      <c r="P610" s="344"/>
      <c r="Q610" s="344"/>
      <c r="R610" s="344"/>
      <c r="S610" s="102"/>
      <c r="T610" s="102"/>
      <c r="U610" s="102"/>
    </row>
    <row r="611" spans="1:21">
      <c r="A611" s="102"/>
      <c r="B611" s="102"/>
      <c r="C611" s="344"/>
      <c r="D611" s="344"/>
      <c r="E611" s="344"/>
      <c r="F611" s="344"/>
      <c r="G611" s="344"/>
      <c r="H611" s="344"/>
      <c r="I611" s="344"/>
      <c r="J611" s="344"/>
      <c r="K611" s="344"/>
      <c r="L611" s="344"/>
      <c r="M611" s="344"/>
      <c r="N611" s="344"/>
      <c r="O611" s="344"/>
      <c r="P611" s="344"/>
      <c r="Q611" s="344"/>
      <c r="R611" s="344"/>
      <c r="S611" s="102"/>
      <c r="T611" s="102"/>
      <c r="U611" s="102"/>
    </row>
    <row r="612" spans="1:21">
      <c r="A612" s="102"/>
      <c r="B612" s="102"/>
      <c r="C612" s="344"/>
      <c r="D612" s="344"/>
      <c r="E612" s="344"/>
      <c r="F612" s="344"/>
      <c r="G612" s="344"/>
      <c r="H612" s="344"/>
      <c r="I612" s="344"/>
      <c r="J612" s="344"/>
      <c r="K612" s="344"/>
      <c r="L612" s="344"/>
      <c r="M612" s="344"/>
      <c r="N612" s="344"/>
      <c r="O612" s="344"/>
      <c r="P612" s="344"/>
      <c r="Q612" s="344"/>
      <c r="R612" s="344"/>
      <c r="S612" s="102"/>
      <c r="T612" s="102"/>
      <c r="U612" s="102"/>
    </row>
    <row r="613" spans="1:21">
      <c r="A613" s="102"/>
      <c r="B613" s="102"/>
      <c r="C613" s="344"/>
      <c r="D613" s="344"/>
      <c r="E613" s="344"/>
      <c r="F613" s="344"/>
      <c r="G613" s="344"/>
      <c r="H613" s="344"/>
      <c r="I613" s="344"/>
      <c r="J613" s="344"/>
      <c r="K613" s="344"/>
      <c r="L613" s="344"/>
      <c r="M613" s="344"/>
      <c r="N613" s="344"/>
      <c r="O613" s="344"/>
      <c r="P613" s="344"/>
      <c r="Q613" s="344"/>
      <c r="R613" s="344"/>
      <c r="S613" s="102"/>
      <c r="T613" s="102"/>
      <c r="U613" s="102"/>
    </row>
    <row r="614" spans="1:21">
      <c r="A614" s="102"/>
      <c r="B614" s="102"/>
      <c r="C614" s="344"/>
      <c r="D614" s="344"/>
      <c r="E614" s="344"/>
      <c r="F614" s="344"/>
      <c r="G614" s="344"/>
      <c r="H614" s="344"/>
      <c r="I614" s="344"/>
      <c r="J614" s="344"/>
      <c r="K614" s="344"/>
      <c r="L614" s="344"/>
      <c r="M614" s="344"/>
      <c r="N614" s="344"/>
      <c r="O614" s="344"/>
      <c r="P614" s="344"/>
      <c r="Q614" s="344"/>
      <c r="R614" s="344"/>
      <c r="S614" s="102"/>
      <c r="T614" s="102"/>
      <c r="U614" s="102"/>
    </row>
    <row r="615" spans="1:21">
      <c r="A615" s="102"/>
      <c r="B615" s="102"/>
      <c r="C615" s="344"/>
      <c r="D615" s="344"/>
      <c r="E615" s="344"/>
      <c r="F615" s="344"/>
      <c r="G615" s="344"/>
      <c r="H615" s="344"/>
      <c r="I615" s="344"/>
      <c r="J615" s="344"/>
      <c r="K615" s="344"/>
      <c r="L615" s="344"/>
      <c r="M615" s="344"/>
      <c r="N615" s="344"/>
      <c r="O615" s="344"/>
      <c r="P615" s="344"/>
      <c r="Q615" s="344"/>
      <c r="R615" s="344"/>
      <c r="S615" s="102"/>
      <c r="T615" s="102"/>
      <c r="U615" s="102"/>
    </row>
    <row r="616" spans="1:21">
      <c r="A616" s="102"/>
      <c r="B616" s="102"/>
      <c r="C616" s="344"/>
      <c r="D616" s="344"/>
      <c r="E616" s="344"/>
      <c r="F616" s="344"/>
      <c r="G616" s="344"/>
      <c r="H616" s="344"/>
      <c r="I616" s="344"/>
      <c r="J616" s="344"/>
      <c r="K616" s="344"/>
      <c r="L616" s="344"/>
      <c r="M616" s="344"/>
      <c r="N616" s="344"/>
      <c r="O616" s="344"/>
      <c r="P616" s="344"/>
      <c r="Q616" s="344"/>
      <c r="R616" s="344"/>
      <c r="S616" s="102"/>
      <c r="T616" s="102"/>
      <c r="U616" s="102"/>
    </row>
    <row r="617" spans="1:21">
      <c r="A617" s="102"/>
      <c r="B617" s="102"/>
      <c r="C617" s="344"/>
      <c r="D617" s="344"/>
      <c r="E617" s="344"/>
      <c r="F617" s="344"/>
      <c r="G617" s="344"/>
      <c r="H617" s="344"/>
      <c r="I617" s="344"/>
      <c r="J617" s="344"/>
      <c r="K617" s="344"/>
      <c r="L617" s="344"/>
      <c r="M617" s="344"/>
      <c r="N617" s="344"/>
      <c r="O617" s="344"/>
      <c r="P617" s="344"/>
      <c r="Q617" s="344"/>
      <c r="R617" s="344"/>
      <c r="S617" s="102"/>
      <c r="T617" s="102"/>
      <c r="U617" s="102"/>
    </row>
    <row r="618" spans="1:21">
      <c r="A618" s="102"/>
      <c r="B618" s="102"/>
      <c r="C618" s="344"/>
      <c r="D618" s="344"/>
      <c r="E618" s="344"/>
      <c r="F618" s="344"/>
      <c r="G618" s="344"/>
      <c r="H618" s="344"/>
      <c r="I618" s="344"/>
      <c r="J618" s="344"/>
      <c r="K618" s="344"/>
      <c r="L618" s="344"/>
      <c r="M618" s="344"/>
      <c r="N618" s="344"/>
      <c r="O618" s="344"/>
      <c r="P618" s="344"/>
      <c r="Q618" s="344"/>
      <c r="R618" s="344"/>
      <c r="S618" s="102"/>
      <c r="T618" s="102"/>
      <c r="U618" s="102"/>
    </row>
    <row r="619" spans="1:21">
      <c r="A619" s="102"/>
      <c r="B619" s="102"/>
      <c r="C619" s="344"/>
      <c r="D619" s="344"/>
      <c r="E619" s="344"/>
      <c r="F619" s="344"/>
      <c r="G619" s="344"/>
      <c r="H619" s="344"/>
      <c r="I619" s="344"/>
      <c r="J619" s="344"/>
      <c r="K619" s="344"/>
      <c r="L619" s="344"/>
      <c r="M619" s="344"/>
      <c r="N619" s="344"/>
      <c r="O619" s="344"/>
      <c r="P619" s="344"/>
      <c r="Q619" s="344"/>
      <c r="R619" s="344"/>
      <c r="S619" s="102"/>
      <c r="T619" s="102"/>
      <c r="U619" s="102"/>
    </row>
    <row r="620" spans="1:21">
      <c r="A620" s="102"/>
      <c r="B620" s="102"/>
      <c r="C620" s="344"/>
      <c r="D620" s="344"/>
      <c r="E620" s="344"/>
      <c r="F620" s="344"/>
      <c r="G620" s="344"/>
      <c r="H620" s="344"/>
      <c r="I620" s="344"/>
      <c r="J620" s="344"/>
      <c r="K620" s="344"/>
      <c r="L620" s="344"/>
      <c r="M620" s="344"/>
      <c r="N620" s="344"/>
      <c r="O620" s="344"/>
      <c r="P620" s="344"/>
      <c r="Q620" s="344"/>
      <c r="R620" s="344"/>
      <c r="S620" s="102"/>
      <c r="T620" s="102"/>
      <c r="U620" s="102"/>
    </row>
    <row r="621" spans="1:21">
      <c r="A621" s="102"/>
      <c r="B621" s="102"/>
      <c r="C621" s="344"/>
      <c r="D621" s="344"/>
      <c r="E621" s="344"/>
      <c r="F621" s="344"/>
      <c r="G621" s="344"/>
      <c r="H621" s="344"/>
      <c r="I621" s="344"/>
      <c r="J621" s="344"/>
      <c r="K621" s="344"/>
      <c r="L621" s="344"/>
      <c r="M621" s="344"/>
      <c r="N621" s="344"/>
      <c r="O621" s="344"/>
      <c r="P621" s="344"/>
      <c r="Q621" s="344"/>
      <c r="R621" s="344"/>
      <c r="S621" s="102"/>
      <c r="T621" s="102"/>
      <c r="U621" s="102"/>
    </row>
    <row r="622" spans="1:21">
      <c r="A622" s="102"/>
      <c r="B622" s="102"/>
      <c r="C622" s="344"/>
      <c r="D622" s="344"/>
      <c r="E622" s="344"/>
      <c r="F622" s="344"/>
      <c r="G622" s="344"/>
      <c r="H622" s="344"/>
      <c r="I622" s="344"/>
      <c r="J622" s="344"/>
      <c r="K622" s="344"/>
      <c r="L622" s="344"/>
      <c r="M622" s="344"/>
      <c r="N622" s="344"/>
      <c r="O622" s="344"/>
      <c r="P622" s="344"/>
      <c r="Q622" s="344"/>
      <c r="R622" s="344"/>
      <c r="S622" s="102"/>
      <c r="T622" s="102"/>
      <c r="U622" s="102"/>
    </row>
    <row r="623" spans="1:21">
      <c r="A623" s="102"/>
      <c r="B623" s="102"/>
      <c r="C623" s="344"/>
      <c r="D623" s="344"/>
      <c r="E623" s="344"/>
      <c r="F623" s="344"/>
      <c r="G623" s="344"/>
      <c r="H623" s="344"/>
      <c r="I623" s="344"/>
      <c r="J623" s="344"/>
      <c r="K623" s="344"/>
      <c r="L623" s="344"/>
      <c r="M623" s="344"/>
      <c r="N623" s="344"/>
      <c r="O623" s="344"/>
      <c r="P623" s="344"/>
      <c r="Q623" s="344"/>
      <c r="R623" s="344"/>
      <c r="S623" s="102"/>
      <c r="T623" s="102"/>
      <c r="U623" s="102"/>
    </row>
    <row r="624" spans="1:21">
      <c r="A624" s="102"/>
      <c r="B624" s="102"/>
      <c r="C624" s="344"/>
      <c r="D624" s="344"/>
      <c r="E624" s="344"/>
      <c r="F624" s="344"/>
      <c r="G624" s="344"/>
      <c r="H624" s="344"/>
      <c r="I624" s="344"/>
      <c r="J624" s="344"/>
      <c r="K624" s="344"/>
      <c r="L624" s="344"/>
      <c r="M624" s="344"/>
      <c r="N624" s="344"/>
      <c r="O624" s="344"/>
      <c r="P624" s="344"/>
      <c r="Q624" s="344"/>
      <c r="R624" s="344"/>
      <c r="S624" s="102"/>
      <c r="T624" s="102"/>
      <c r="U624" s="102"/>
    </row>
    <row r="625" spans="1:21">
      <c r="A625" s="102"/>
      <c r="B625" s="102"/>
      <c r="C625" s="344"/>
      <c r="D625" s="344"/>
      <c r="E625" s="344"/>
      <c r="F625" s="344"/>
      <c r="G625" s="344"/>
      <c r="H625" s="344"/>
      <c r="I625" s="344"/>
      <c r="J625" s="344"/>
      <c r="K625" s="344"/>
      <c r="L625" s="344"/>
      <c r="M625" s="344"/>
      <c r="N625" s="344"/>
      <c r="O625" s="344"/>
      <c r="P625" s="344"/>
      <c r="Q625" s="344"/>
      <c r="R625" s="344"/>
      <c r="S625" s="102"/>
      <c r="T625" s="102"/>
      <c r="U625" s="102"/>
    </row>
    <row r="626" spans="1:21">
      <c r="A626" s="102"/>
      <c r="B626" s="102"/>
      <c r="C626" s="344"/>
      <c r="D626" s="344"/>
      <c r="E626" s="344"/>
      <c r="F626" s="344"/>
      <c r="G626" s="344"/>
      <c r="H626" s="344"/>
      <c r="I626" s="344"/>
      <c r="J626" s="344"/>
      <c r="K626" s="344"/>
      <c r="L626" s="344"/>
      <c r="M626" s="344"/>
      <c r="N626" s="344"/>
      <c r="O626" s="344"/>
      <c r="P626" s="344"/>
      <c r="Q626" s="344"/>
      <c r="R626" s="344"/>
      <c r="S626" s="102"/>
      <c r="T626" s="102"/>
      <c r="U626" s="102"/>
    </row>
    <row r="627" spans="1:21">
      <c r="A627" s="102"/>
      <c r="B627" s="102"/>
      <c r="C627" s="344"/>
      <c r="D627" s="344"/>
      <c r="E627" s="344"/>
      <c r="F627" s="344"/>
      <c r="G627" s="344"/>
      <c r="H627" s="344"/>
      <c r="I627" s="344"/>
      <c r="J627" s="344"/>
      <c r="K627" s="344"/>
      <c r="L627" s="344"/>
      <c r="M627" s="344"/>
      <c r="N627" s="344"/>
      <c r="O627" s="344"/>
      <c r="P627" s="344"/>
      <c r="Q627" s="344"/>
      <c r="R627" s="344"/>
      <c r="S627" s="102"/>
      <c r="T627" s="102"/>
      <c r="U627" s="102"/>
    </row>
    <row r="628" spans="1:21">
      <c r="A628" s="102"/>
      <c r="B628" s="102"/>
      <c r="C628" s="344"/>
      <c r="D628" s="344"/>
      <c r="E628" s="344"/>
      <c r="F628" s="344"/>
      <c r="G628" s="344"/>
      <c r="H628" s="344"/>
      <c r="I628" s="344"/>
      <c r="J628" s="344"/>
      <c r="K628" s="344"/>
      <c r="L628" s="344"/>
      <c r="M628" s="344"/>
      <c r="N628" s="344"/>
      <c r="O628" s="344"/>
      <c r="P628" s="344"/>
      <c r="Q628" s="344"/>
      <c r="R628" s="344"/>
      <c r="S628" s="102"/>
      <c r="T628" s="102"/>
      <c r="U628" s="102"/>
    </row>
    <row r="629" spans="1:21">
      <c r="A629" s="102"/>
      <c r="B629" s="102"/>
      <c r="C629" s="344"/>
      <c r="D629" s="344"/>
      <c r="E629" s="344"/>
      <c r="F629" s="344"/>
      <c r="G629" s="344"/>
      <c r="H629" s="344"/>
      <c r="I629" s="344"/>
      <c r="J629" s="344"/>
      <c r="K629" s="344"/>
      <c r="L629" s="344"/>
      <c r="M629" s="344"/>
      <c r="N629" s="344"/>
      <c r="O629" s="344"/>
      <c r="P629" s="344"/>
      <c r="Q629" s="344"/>
      <c r="R629" s="344"/>
      <c r="S629" s="102"/>
      <c r="T629" s="102"/>
      <c r="U629" s="102"/>
    </row>
    <row r="630" spans="1:21">
      <c r="A630" s="102"/>
      <c r="B630" s="102"/>
      <c r="C630" s="344"/>
      <c r="D630" s="344"/>
      <c r="E630" s="344"/>
      <c r="F630" s="344"/>
      <c r="G630" s="344"/>
      <c r="H630" s="344"/>
      <c r="I630" s="344"/>
      <c r="J630" s="344"/>
      <c r="K630" s="344"/>
      <c r="L630" s="344"/>
      <c r="M630" s="344"/>
      <c r="N630" s="344"/>
      <c r="O630" s="344"/>
      <c r="P630" s="344"/>
      <c r="Q630" s="344"/>
      <c r="R630" s="344"/>
      <c r="S630" s="102"/>
      <c r="T630" s="102"/>
      <c r="U630" s="102"/>
    </row>
    <row r="631" spans="1:21">
      <c r="A631" s="102"/>
      <c r="B631" s="102"/>
      <c r="C631" s="344"/>
      <c r="D631" s="344"/>
      <c r="E631" s="344"/>
      <c r="F631" s="344"/>
      <c r="G631" s="344"/>
      <c r="H631" s="344"/>
      <c r="I631" s="344"/>
      <c r="J631" s="344"/>
      <c r="K631" s="344"/>
      <c r="L631" s="344"/>
      <c r="M631" s="344"/>
      <c r="N631" s="344"/>
      <c r="O631" s="344"/>
      <c r="P631" s="344"/>
      <c r="Q631" s="344"/>
      <c r="R631" s="344"/>
      <c r="S631" s="102"/>
      <c r="T631" s="102"/>
      <c r="U631" s="102"/>
    </row>
    <row r="632" spans="1:21">
      <c r="A632" s="102"/>
      <c r="B632" s="102"/>
      <c r="C632" s="344"/>
      <c r="D632" s="344"/>
      <c r="E632" s="344"/>
      <c r="F632" s="344"/>
      <c r="G632" s="344"/>
      <c r="H632" s="344"/>
      <c r="I632" s="344"/>
      <c r="J632" s="344"/>
      <c r="K632" s="344"/>
      <c r="L632" s="344"/>
      <c r="M632" s="344"/>
      <c r="N632" s="344"/>
      <c r="O632" s="344"/>
      <c r="P632" s="344"/>
      <c r="Q632" s="344"/>
      <c r="R632" s="344"/>
      <c r="S632" s="102"/>
      <c r="T632" s="102"/>
      <c r="U632" s="102"/>
    </row>
    <row r="633" spans="1:21">
      <c r="A633" s="102"/>
      <c r="B633" s="102"/>
      <c r="C633" s="344"/>
      <c r="D633" s="344"/>
      <c r="E633" s="344"/>
      <c r="F633" s="344"/>
      <c r="G633" s="344"/>
      <c r="H633" s="344"/>
      <c r="I633" s="344"/>
      <c r="J633" s="344"/>
      <c r="K633" s="344"/>
      <c r="L633" s="344"/>
      <c r="M633" s="344"/>
      <c r="N633" s="344"/>
      <c r="O633" s="344"/>
      <c r="P633" s="344"/>
      <c r="Q633" s="344"/>
      <c r="R633" s="344"/>
      <c r="S633" s="102"/>
      <c r="T633" s="102"/>
      <c r="U633" s="102"/>
    </row>
    <row r="634" spans="1:21">
      <c r="A634" s="102"/>
      <c r="B634" s="102"/>
      <c r="C634" s="344"/>
      <c r="D634" s="344"/>
      <c r="E634" s="344"/>
      <c r="F634" s="344"/>
      <c r="G634" s="344"/>
      <c r="H634" s="344"/>
      <c r="I634" s="344"/>
      <c r="J634" s="344"/>
      <c r="K634" s="344"/>
      <c r="L634" s="344"/>
      <c r="M634" s="344"/>
      <c r="N634" s="344"/>
      <c r="O634" s="344"/>
      <c r="P634" s="344"/>
      <c r="Q634" s="344"/>
      <c r="R634" s="344"/>
      <c r="S634" s="102"/>
      <c r="T634" s="102"/>
      <c r="U634" s="102"/>
    </row>
    <row r="635" spans="1:21">
      <c r="A635" s="102"/>
      <c r="B635" s="102"/>
      <c r="C635" s="344"/>
      <c r="D635" s="344"/>
      <c r="E635" s="344"/>
      <c r="F635" s="344"/>
      <c r="G635" s="344"/>
      <c r="H635" s="344"/>
      <c r="I635" s="344"/>
      <c r="J635" s="344"/>
      <c r="K635" s="344"/>
      <c r="L635" s="344"/>
      <c r="M635" s="344"/>
      <c r="N635" s="344"/>
      <c r="O635" s="344"/>
      <c r="P635" s="344"/>
      <c r="Q635" s="344"/>
      <c r="R635" s="344"/>
      <c r="S635" s="102"/>
      <c r="T635" s="102"/>
      <c r="U635" s="102"/>
    </row>
    <row r="636" spans="1:21">
      <c r="A636" s="102"/>
      <c r="B636" s="102"/>
      <c r="C636" s="344"/>
      <c r="D636" s="344"/>
      <c r="E636" s="344"/>
      <c r="F636" s="344"/>
      <c r="G636" s="344"/>
      <c r="H636" s="344"/>
      <c r="I636" s="344"/>
      <c r="J636" s="344"/>
      <c r="K636" s="344"/>
      <c r="L636" s="344"/>
      <c r="M636" s="344"/>
      <c r="N636" s="344"/>
      <c r="O636" s="344"/>
      <c r="P636" s="344"/>
      <c r="Q636" s="344"/>
      <c r="R636" s="344"/>
      <c r="S636" s="102"/>
      <c r="T636" s="102"/>
      <c r="U636" s="102"/>
    </row>
    <row r="637" spans="1:21">
      <c r="A637" s="102"/>
      <c r="B637" s="102"/>
      <c r="C637" s="344"/>
      <c r="D637" s="344"/>
      <c r="E637" s="344"/>
      <c r="F637" s="344"/>
      <c r="G637" s="344"/>
      <c r="H637" s="344"/>
      <c r="I637" s="344"/>
      <c r="J637" s="344"/>
      <c r="K637" s="344"/>
      <c r="L637" s="344"/>
      <c r="M637" s="344"/>
      <c r="N637" s="344"/>
      <c r="O637" s="344"/>
      <c r="P637" s="344"/>
      <c r="Q637" s="344"/>
      <c r="R637" s="344"/>
      <c r="S637" s="102"/>
      <c r="T637" s="102"/>
      <c r="U637" s="102"/>
    </row>
    <row r="638" spans="1:21">
      <c r="A638" s="102"/>
      <c r="B638" s="102"/>
      <c r="C638" s="344"/>
      <c r="D638" s="344"/>
      <c r="E638" s="344"/>
      <c r="F638" s="344"/>
      <c r="G638" s="344"/>
      <c r="H638" s="344"/>
      <c r="I638" s="344"/>
      <c r="J638" s="344"/>
      <c r="K638" s="344"/>
      <c r="L638" s="344"/>
      <c r="M638" s="344"/>
      <c r="N638" s="344"/>
      <c r="O638" s="344"/>
      <c r="P638" s="344"/>
      <c r="Q638" s="344"/>
      <c r="R638" s="344"/>
      <c r="S638" s="102"/>
      <c r="T638" s="102"/>
      <c r="U638" s="102"/>
    </row>
    <row r="639" spans="1:21">
      <c r="A639" s="102"/>
      <c r="B639" s="102"/>
      <c r="C639" s="344"/>
      <c r="D639" s="344"/>
      <c r="E639" s="344"/>
      <c r="F639" s="344"/>
      <c r="G639" s="344"/>
      <c r="H639" s="344"/>
      <c r="I639" s="344"/>
      <c r="J639" s="344"/>
      <c r="K639" s="344"/>
      <c r="L639" s="344"/>
      <c r="M639" s="344"/>
      <c r="N639" s="344"/>
      <c r="O639" s="344"/>
      <c r="P639" s="344"/>
      <c r="Q639" s="344"/>
      <c r="R639" s="344"/>
      <c r="S639" s="102"/>
      <c r="T639" s="102"/>
      <c r="U639" s="102"/>
    </row>
    <row r="640" spans="1:21">
      <c r="A640" s="102"/>
      <c r="B640" s="102"/>
      <c r="C640" s="344"/>
      <c r="D640" s="344"/>
      <c r="E640" s="344"/>
      <c r="F640" s="344"/>
      <c r="G640" s="344"/>
      <c r="H640" s="344"/>
      <c r="I640" s="344"/>
      <c r="J640" s="344"/>
      <c r="K640" s="344"/>
      <c r="L640" s="344"/>
      <c r="M640" s="344"/>
      <c r="N640" s="344"/>
      <c r="O640" s="344"/>
      <c r="P640" s="344"/>
      <c r="Q640" s="344"/>
      <c r="R640" s="344"/>
      <c r="S640" s="102"/>
      <c r="T640" s="102"/>
      <c r="U640" s="102"/>
    </row>
    <row r="641" spans="1:21">
      <c r="A641" s="102"/>
      <c r="B641" s="102"/>
      <c r="C641" s="344"/>
      <c r="D641" s="344"/>
      <c r="E641" s="344"/>
      <c r="F641" s="344"/>
      <c r="G641" s="344"/>
      <c r="H641" s="344"/>
      <c r="I641" s="344"/>
      <c r="J641" s="344"/>
      <c r="K641" s="344"/>
      <c r="L641" s="344"/>
      <c r="M641" s="344"/>
      <c r="N641" s="344"/>
      <c r="O641" s="344"/>
      <c r="P641" s="344"/>
      <c r="Q641" s="344"/>
      <c r="R641" s="344"/>
      <c r="S641" s="102"/>
      <c r="T641" s="102"/>
      <c r="U641" s="102"/>
    </row>
    <row r="642" spans="1:21">
      <c r="A642" s="102"/>
      <c r="B642" s="102"/>
      <c r="C642" s="344"/>
      <c r="D642" s="344"/>
      <c r="E642" s="344"/>
      <c r="F642" s="344"/>
      <c r="G642" s="344"/>
      <c r="H642" s="344"/>
      <c r="I642" s="344"/>
      <c r="J642" s="344"/>
      <c r="K642" s="344"/>
      <c r="L642" s="344"/>
      <c r="M642" s="344"/>
      <c r="N642" s="344"/>
      <c r="O642" s="344"/>
      <c r="P642" s="344"/>
      <c r="Q642" s="344"/>
      <c r="R642" s="344"/>
      <c r="S642" s="102"/>
      <c r="T642" s="102"/>
      <c r="U642" s="102"/>
    </row>
    <row r="643" spans="1:21">
      <c r="A643" s="102"/>
      <c r="B643" s="102"/>
      <c r="C643" s="344"/>
      <c r="D643" s="344"/>
      <c r="E643" s="344"/>
      <c r="F643" s="344"/>
      <c r="G643" s="344"/>
      <c r="H643" s="344"/>
      <c r="I643" s="344"/>
      <c r="J643" s="344"/>
      <c r="K643" s="344"/>
      <c r="L643" s="344"/>
      <c r="M643" s="344"/>
      <c r="N643" s="344"/>
      <c r="O643" s="344"/>
      <c r="P643" s="344"/>
      <c r="Q643" s="344"/>
      <c r="R643" s="344"/>
      <c r="S643" s="102"/>
      <c r="T643" s="102"/>
      <c r="U643" s="102"/>
    </row>
    <row r="644" spans="1:21">
      <c r="A644" s="102"/>
      <c r="B644" s="102"/>
      <c r="C644" s="344"/>
      <c r="D644" s="344"/>
      <c r="E644" s="344"/>
      <c r="F644" s="344"/>
      <c r="G644" s="344"/>
      <c r="H644" s="344"/>
      <c r="I644" s="344"/>
      <c r="J644" s="344"/>
      <c r="K644" s="344"/>
      <c r="L644" s="344"/>
      <c r="M644" s="344"/>
      <c r="N644" s="344"/>
      <c r="O644" s="344"/>
      <c r="P644" s="344"/>
      <c r="Q644" s="344"/>
      <c r="R644" s="344"/>
      <c r="S644" s="102"/>
      <c r="T644" s="102"/>
      <c r="U644" s="102"/>
    </row>
    <row r="645" spans="1:21">
      <c r="A645" s="102"/>
      <c r="B645" s="102"/>
      <c r="C645" s="344"/>
      <c r="D645" s="344"/>
      <c r="E645" s="344"/>
      <c r="F645" s="344"/>
      <c r="G645" s="344"/>
      <c r="H645" s="344"/>
      <c r="I645" s="344"/>
      <c r="J645" s="344"/>
      <c r="K645" s="344"/>
      <c r="L645" s="344"/>
      <c r="M645" s="344"/>
      <c r="N645" s="344"/>
      <c r="O645" s="344"/>
      <c r="P645" s="344"/>
      <c r="Q645" s="344"/>
      <c r="R645" s="344"/>
      <c r="S645" s="102"/>
      <c r="T645" s="102"/>
      <c r="U645" s="102"/>
    </row>
    <row r="646" spans="1:21">
      <c r="A646" s="102"/>
      <c r="B646" s="102"/>
      <c r="C646" s="344"/>
      <c r="D646" s="344"/>
      <c r="E646" s="344"/>
      <c r="F646" s="344"/>
      <c r="G646" s="344"/>
      <c r="H646" s="344"/>
      <c r="I646" s="344"/>
      <c r="J646" s="344"/>
      <c r="K646" s="344"/>
      <c r="L646" s="344"/>
      <c r="M646" s="344"/>
      <c r="N646" s="344"/>
      <c r="O646" s="344"/>
      <c r="P646" s="344"/>
      <c r="Q646" s="344"/>
      <c r="R646" s="344"/>
      <c r="S646" s="102"/>
      <c r="T646" s="102"/>
      <c r="U646" s="102"/>
    </row>
    <row r="647" spans="1:21">
      <c r="A647" s="102"/>
      <c r="B647" s="102"/>
      <c r="C647" s="344"/>
      <c r="D647" s="344"/>
      <c r="E647" s="344"/>
      <c r="F647" s="344"/>
      <c r="G647" s="344"/>
      <c r="H647" s="344"/>
      <c r="I647" s="344"/>
      <c r="J647" s="344"/>
      <c r="K647" s="344"/>
      <c r="L647" s="344"/>
      <c r="M647" s="344"/>
      <c r="N647" s="344"/>
      <c r="O647" s="344"/>
      <c r="P647" s="344"/>
      <c r="Q647" s="344"/>
      <c r="R647" s="344"/>
      <c r="S647" s="102"/>
      <c r="T647" s="102"/>
      <c r="U647" s="102"/>
    </row>
    <row r="648" spans="1:21">
      <c r="A648" s="102"/>
      <c r="B648" s="102"/>
      <c r="C648" s="344"/>
      <c r="D648" s="344"/>
      <c r="E648" s="344"/>
      <c r="F648" s="344"/>
      <c r="G648" s="344"/>
      <c r="H648" s="344"/>
      <c r="I648" s="344"/>
      <c r="J648" s="344"/>
      <c r="K648" s="344"/>
      <c r="L648" s="344"/>
      <c r="M648" s="344"/>
      <c r="N648" s="344"/>
      <c r="O648" s="344"/>
      <c r="P648" s="344"/>
      <c r="Q648" s="344"/>
      <c r="R648" s="344"/>
      <c r="S648" s="102"/>
      <c r="T648" s="102"/>
      <c r="U648" s="102"/>
    </row>
    <row r="649" spans="1:21">
      <c r="A649" s="102"/>
      <c r="B649" s="102"/>
      <c r="C649" s="344"/>
      <c r="D649" s="344"/>
      <c r="E649" s="344"/>
      <c r="F649" s="344"/>
      <c r="G649" s="344"/>
      <c r="H649" s="344"/>
      <c r="I649" s="344"/>
      <c r="J649" s="344"/>
      <c r="K649" s="344"/>
      <c r="L649" s="344"/>
      <c r="M649" s="344"/>
      <c r="N649" s="344"/>
      <c r="O649" s="344"/>
      <c r="P649" s="344"/>
      <c r="Q649" s="344"/>
      <c r="R649" s="344"/>
      <c r="S649" s="102"/>
      <c r="T649" s="102"/>
      <c r="U649" s="102"/>
    </row>
    <row r="650" spans="1:21">
      <c r="A650" s="102"/>
      <c r="B650" s="102"/>
      <c r="C650" s="344"/>
      <c r="D650" s="344"/>
      <c r="E650" s="344"/>
      <c r="F650" s="344"/>
      <c r="G650" s="344"/>
      <c r="H650" s="344"/>
      <c r="I650" s="344"/>
      <c r="J650" s="344"/>
      <c r="K650" s="344"/>
      <c r="L650" s="344"/>
      <c r="M650" s="344"/>
      <c r="N650" s="344"/>
      <c r="O650" s="344"/>
      <c r="P650" s="344"/>
      <c r="Q650" s="344"/>
      <c r="R650" s="344"/>
      <c r="S650" s="102"/>
      <c r="T650" s="102"/>
      <c r="U650" s="102"/>
    </row>
    <row r="651" spans="1:21">
      <c r="A651" s="102"/>
      <c r="B651" s="102"/>
      <c r="C651" s="344"/>
      <c r="D651" s="344"/>
      <c r="E651" s="344"/>
      <c r="F651" s="344"/>
      <c r="G651" s="344"/>
      <c r="H651" s="344"/>
      <c r="I651" s="344"/>
      <c r="J651" s="344"/>
      <c r="K651" s="344"/>
      <c r="L651" s="344"/>
      <c r="M651" s="344"/>
      <c r="N651" s="344"/>
      <c r="O651" s="344"/>
      <c r="P651" s="344"/>
      <c r="Q651" s="344"/>
      <c r="R651" s="344"/>
      <c r="S651" s="102"/>
      <c r="T651" s="102"/>
      <c r="U651" s="102"/>
    </row>
    <row r="652" spans="1:21">
      <c r="A652" s="102"/>
      <c r="B652" s="102"/>
      <c r="C652" s="344"/>
      <c r="D652" s="344"/>
      <c r="E652" s="344"/>
      <c r="F652" s="344"/>
      <c r="G652" s="344"/>
      <c r="H652" s="344"/>
      <c r="I652" s="344"/>
      <c r="J652" s="344"/>
      <c r="K652" s="344"/>
      <c r="L652" s="344"/>
      <c r="M652" s="344"/>
      <c r="N652" s="344"/>
      <c r="O652" s="344"/>
      <c r="P652" s="344"/>
      <c r="Q652" s="344"/>
      <c r="R652" s="344"/>
      <c r="S652" s="102"/>
      <c r="T652" s="102"/>
      <c r="U652" s="102"/>
    </row>
    <row r="653" spans="1:21">
      <c r="A653" s="102"/>
      <c r="B653" s="102"/>
      <c r="C653" s="344"/>
      <c r="D653" s="344"/>
      <c r="E653" s="344"/>
      <c r="F653" s="344"/>
      <c r="G653" s="344"/>
      <c r="H653" s="344"/>
      <c r="I653" s="344"/>
      <c r="J653" s="344"/>
      <c r="K653" s="344"/>
      <c r="L653" s="344"/>
      <c r="M653" s="344"/>
      <c r="N653" s="344"/>
      <c r="O653" s="344"/>
      <c r="P653" s="344"/>
      <c r="Q653" s="344"/>
      <c r="R653" s="344"/>
      <c r="S653" s="102"/>
      <c r="T653" s="102"/>
      <c r="U653" s="102"/>
    </row>
    <row r="654" spans="1:21">
      <c r="A654" s="102"/>
      <c r="B654" s="102"/>
      <c r="C654" s="344"/>
      <c r="D654" s="344"/>
      <c r="E654" s="344"/>
      <c r="F654" s="344"/>
      <c r="G654" s="344"/>
      <c r="H654" s="344"/>
      <c r="I654" s="344"/>
      <c r="J654" s="344"/>
      <c r="K654" s="344"/>
      <c r="L654" s="344"/>
      <c r="M654" s="344"/>
      <c r="N654" s="344"/>
      <c r="O654" s="344"/>
      <c r="P654" s="344"/>
      <c r="Q654" s="344"/>
      <c r="R654" s="344"/>
      <c r="S654" s="102"/>
      <c r="T654" s="102"/>
      <c r="U654" s="102"/>
    </row>
    <row r="655" spans="1:21">
      <c r="A655" s="102"/>
      <c r="B655" s="102"/>
      <c r="C655" s="344"/>
      <c r="D655" s="344"/>
      <c r="E655" s="344"/>
      <c r="F655" s="344"/>
      <c r="G655" s="344"/>
      <c r="H655" s="344"/>
      <c r="I655" s="344"/>
      <c r="J655" s="344"/>
      <c r="K655" s="344"/>
      <c r="L655" s="344"/>
      <c r="M655" s="344"/>
      <c r="N655" s="344"/>
      <c r="O655" s="344"/>
      <c r="P655" s="344"/>
      <c r="Q655" s="344"/>
      <c r="R655" s="344"/>
      <c r="S655" s="102"/>
      <c r="T655" s="102"/>
      <c r="U655" s="102"/>
    </row>
    <row r="656" spans="1:21">
      <c r="A656" s="102"/>
      <c r="B656" s="102"/>
      <c r="C656" s="344"/>
      <c r="D656" s="344"/>
      <c r="E656" s="344"/>
      <c r="F656" s="344"/>
      <c r="G656" s="344"/>
      <c r="H656" s="344"/>
      <c r="I656" s="344"/>
      <c r="J656" s="344"/>
      <c r="K656" s="344"/>
      <c r="L656" s="344"/>
      <c r="M656" s="344"/>
      <c r="N656" s="344"/>
      <c r="O656" s="344"/>
      <c r="P656" s="344"/>
      <c r="Q656" s="344"/>
      <c r="R656" s="344"/>
      <c r="S656" s="102"/>
      <c r="T656" s="102"/>
      <c r="U656" s="102"/>
    </row>
    <row r="657" spans="1:18">
      <c r="A657" s="102"/>
      <c r="B657" s="102"/>
      <c r="C657" s="344"/>
      <c r="D657" s="344"/>
      <c r="E657" s="344"/>
      <c r="F657" s="344"/>
      <c r="G657" s="344"/>
      <c r="H657" s="344"/>
      <c r="I657" s="344"/>
      <c r="J657" s="344"/>
      <c r="K657" s="344"/>
      <c r="L657" s="344"/>
      <c r="M657" s="344"/>
      <c r="N657" s="344"/>
      <c r="O657" s="344"/>
      <c r="P657" s="344"/>
      <c r="Q657" s="344"/>
      <c r="R657" s="344"/>
    </row>
    <row r="658" spans="1:18">
      <c r="A658" s="102"/>
      <c r="B658" s="102"/>
      <c r="C658" s="344"/>
      <c r="D658" s="344"/>
      <c r="E658" s="344"/>
      <c r="F658" s="344"/>
      <c r="G658" s="344"/>
      <c r="H658" s="344"/>
      <c r="I658" s="344"/>
      <c r="J658" s="344"/>
      <c r="K658" s="344"/>
      <c r="L658" s="344"/>
      <c r="M658" s="344"/>
      <c r="N658" s="344"/>
      <c r="O658" s="344"/>
      <c r="P658" s="344"/>
      <c r="Q658" s="344"/>
      <c r="R658" s="344"/>
    </row>
    <row r="659" spans="1:18">
      <c r="A659" s="102"/>
      <c r="B659" s="102"/>
      <c r="C659" s="344"/>
      <c r="D659" s="344"/>
      <c r="E659" s="344"/>
      <c r="F659" s="344"/>
      <c r="G659" s="344"/>
      <c r="H659" s="344"/>
      <c r="I659" s="344"/>
      <c r="J659" s="344"/>
      <c r="K659" s="344"/>
      <c r="L659" s="344"/>
      <c r="M659" s="344"/>
      <c r="N659" s="344"/>
      <c r="O659" s="344"/>
      <c r="P659" s="344"/>
      <c r="Q659" s="344"/>
      <c r="R659" s="344"/>
    </row>
    <row r="660" spans="1:18">
      <c r="A660" s="102"/>
      <c r="B660" s="102"/>
      <c r="C660" s="344"/>
      <c r="D660" s="344"/>
      <c r="E660" s="344"/>
      <c r="F660" s="344"/>
      <c r="G660" s="344"/>
      <c r="H660" s="344"/>
      <c r="I660" s="344"/>
      <c r="J660" s="344"/>
      <c r="K660" s="344"/>
      <c r="L660" s="344"/>
      <c r="M660" s="344"/>
      <c r="N660" s="344"/>
      <c r="O660" s="344"/>
      <c r="P660" s="344"/>
      <c r="Q660" s="344"/>
      <c r="R660" s="344"/>
    </row>
    <row r="661" spans="1:18">
      <c r="A661" s="102"/>
      <c r="B661" s="102"/>
      <c r="C661" s="344"/>
      <c r="D661" s="344"/>
      <c r="E661" s="344"/>
      <c r="F661" s="344"/>
      <c r="G661" s="344"/>
      <c r="H661" s="344"/>
      <c r="I661" s="344"/>
      <c r="J661" s="344"/>
      <c r="K661" s="344"/>
      <c r="L661" s="344"/>
      <c r="M661" s="344"/>
      <c r="N661" s="344"/>
      <c r="O661" s="344"/>
      <c r="P661" s="344"/>
      <c r="Q661" s="344"/>
      <c r="R661" s="344"/>
    </row>
    <row r="662" spans="1:18">
      <c r="A662" s="102"/>
      <c r="B662" s="102"/>
      <c r="C662" s="344"/>
      <c r="D662" s="344"/>
      <c r="E662" s="344"/>
      <c r="F662" s="344"/>
      <c r="G662" s="344"/>
      <c r="H662" s="344"/>
      <c r="I662" s="344"/>
      <c r="J662" s="344"/>
      <c r="K662" s="344"/>
      <c r="L662" s="344"/>
      <c r="M662" s="344"/>
      <c r="N662" s="344"/>
      <c r="O662" s="344"/>
      <c r="P662" s="344"/>
      <c r="Q662" s="344"/>
      <c r="R662" s="344"/>
    </row>
    <row r="663" spans="1:18">
      <c r="A663" s="102"/>
      <c r="B663" s="102"/>
      <c r="C663" s="344"/>
      <c r="D663" s="344"/>
      <c r="E663" s="344"/>
      <c r="F663" s="344"/>
      <c r="G663" s="344"/>
      <c r="H663" s="344"/>
      <c r="I663" s="344"/>
      <c r="J663" s="344"/>
      <c r="K663" s="344"/>
      <c r="L663" s="344"/>
      <c r="M663" s="344"/>
      <c r="N663" s="344"/>
      <c r="O663" s="344"/>
      <c r="P663" s="344"/>
      <c r="Q663" s="344"/>
      <c r="R663" s="344"/>
    </row>
    <row r="664" spans="1:18">
      <c r="A664" s="102"/>
      <c r="B664" s="102"/>
      <c r="C664" s="344"/>
      <c r="D664" s="344"/>
      <c r="E664" s="344"/>
      <c r="F664" s="344"/>
      <c r="G664" s="344"/>
      <c r="H664" s="344"/>
      <c r="I664" s="344"/>
      <c r="J664" s="344"/>
      <c r="K664" s="344"/>
      <c r="L664" s="344"/>
      <c r="M664" s="344"/>
      <c r="N664" s="344"/>
      <c r="O664" s="344"/>
      <c r="P664" s="344"/>
      <c r="Q664" s="344"/>
      <c r="R664" s="344"/>
    </row>
    <row r="665" spans="1:18">
      <c r="A665" s="102"/>
      <c r="B665" s="102"/>
      <c r="C665" s="344"/>
      <c r="D665" s="344"/>
      <c r="E665" s="344"/>
      <c r="F665" s="344"/>
      <c r="G665" s="344"/>
      <c r="H665" s="344"/>
      <c r="I665" s="344"/>
      <c r="J665" s="344"/>
      <c r="K665" s="344"/>
      <c r="L665" s="344"/>
      <c r="M665" s="344"/>
      <c r="N665" s="344"/>
      <c r="O665" s="344"/>
      <c r="P665" s="344"/>
      <c r="Q665" s="344"/>
      <c r="R665" s="344"/>
    </row>
    <row r="666" spans="1:18">
      <c r="A666" s="102"/>
      <c r="B666" s="102"/>
      <c r="C666" s="344"/>
      <c r="D666" s="344"/>
      <c r="E666" s="344"/>
      <c r="F666" s="344"/>
      <c r="G666" s="344"/>
      <c r="H666" s="344"/>
      <c r="I666" s="344"/>
      <c r="J666" s="344"/>
      <c r="K666" s="344"/>
      <c r="L666" s="344"/>
      <c r="M666" s="344"/>
      <c r="N666" s="344"/>
      <c r="O666" s="344"/>
      <c r="P666" s="344"/>
      <c r="Q666" s="344"/>
      <c r="R666" s="344"/>
    </row>
    <row r="667" spans="1:18">
      <c r="A667" s="102"/>
      <c r="B667" s="102"/>
      <c r="C667" s="344"/>
      <c r="D667" s="344"/>
      <c r="E667" s="344"/>
      <c r="F667" s="344"/>
      <c r="G667" s="344"/>
      <c r="H667" s="344"/>
      <c r="I667" s="344"/>
      <c r="J667" s="344"/>
      <c r="K667" s="344"/>
      <c r="L667" s="344"/>
      <c r="M667" s="344"/>
      <c r="N667" s="344"/>
      <c r="O667" s="344"/>
      <c r="P667" s="344"/>
      <c r="Q667" s="344"/>
      <c r="R667" s="344"/>
    </row>
    <row r="668" spans="1:18">
      <c r="A668" s="102"/>
      <c r="B668" s="102"/>
      <c r="C668" s="344"/>
      <c r="D668" s="344"/>
      <c r="E668" s="344"/>
      <c r="F668" s="344"/>
      <c r="G668" s="344"/>
      <c r="H668" s="344"/>
      <c r="I668" s="344"/>
      <c r="J668" s="344"/>
      <c r="K668" s="344"/>
      <c r="L668" s="344"/>
      <c r="M668" s="344"/>
      <c r="N668" s="344"/>
      <c r="O668" s="344"/>
      <c r="P668" s="344"/>
      <c r="Q668" s="344"/>
      <c r="R668" s="344"/>
    </row>
    <row r="669" spans="1:18">
      <c r="A669" s="102"/>
      <c r="B669" s="102"/>
      <c r="C669" s="344"/>
      <c r="D669" s="344"/>
      <c r="E669" s="344"/>
      <c r="F669" s="344"/>
      <c r="G669" s="344"/>
      <c r="H669" s="344"/>
      <c r="I669" s="344"/>
      <c r="J669" s="344"/>
      <c r="K669" s="344"/>
      <c r="L669" s="344"/>
      <c r="M669" s="344"/>
      <c r="N669" s="344"/>
      <c r="O669" s="344"/>
      <c r="P669" s="344"/>
      <c r="Q669" s="344"/>
      <c r="R669" s="344"/>
    </row>
    <row r="670" spans="1:18">
      <c r="A670" s="102"/>
      <c r="B670" s="102"/>
      <c r="C670" s="344"/>
      <c r="D670" s="344"/>
      <c r="E670" s="344"/>
      <c r="F670" s="344"/>
      <c r="G670" s="344"/>
      <c r="H670" s="344"/>
      <c r="I670" s="344"/>
      <c r="J670" s="344"/>
      <c r="K670" s="344"/>
      <c r="L670" s="344"/>
      <c r="M670" s="344"/>
      <c r="N670" s="344"/>
      <c r="O670" s="344"/>
      <c r="P670" s="344"/>
      <c r="Q670" s="344"/>
      <c r="R670" s="344"/>
    </row>
    <row r="671" spans="1:18">
      <c r="A671" s="102"/>
      <c r="B671" s="102"/>
      <c r="C671" s="344"/>
      <c r="D671" s="344"/>
      <c r="E671" s="344"/>
      <c r="F671" s="344"/>
      <c r="G671" s="344"/>
      <c r="H671" s="344"/>
      <c r="I671" s="344"/>
      <c r="J671" s="344"/>
      <c r="K671" s="344"/>
      <c r="L671" s="344"/>
      <c r="M671" s="344"/>
      <c r="N671" s="344"/>
      <c r="O671" s="344"/>
      <c r="P671" s="344"/>
      <c r="Q671" s="344"/>
      <c r="R671" s="344"/>
    </row>
    <row r="672" spans="1:18">
      <c r="A672" s="102"/>
      <c r="B672" s="102"/>
      <c r="C672" s="344"/>
      <c r="D672" s="344"/>
      <c r="E672" s="344"/>
      <c r="F672" s="344"/>
      <c r="G672" s="344"/>
      <c r="H672" s="344"/>
      <c r="I672" s="344"/>
      <c r="J672" s="344"/>
      <c r="K672" s="344"/>
      <c r="L672" s="344"/>
      <c r="M672" s="344"/>
      <c r="N672" s="344"/>
      <c r="O672" s="344"/>
      <c r="P672" s="344"/>
      <c r="Q672" s="344"/>
      <c r="R672" s="344"/>
    </row>
    <row r="673" spans="1:18">
      <c r="A673" s="102"/>
      <c r="B673" s="102"/>
      <c r="C673" s="344"/>
      <c r="D673" s="344"/>
      <c r="E673" s="344"/>
      <c r="F673" s="344"/>
      <c r="G673" s="344"/>
      <c r="H673" s="344"/>
      <c r="I673" s="344"/>
      <c r="J673" s="344"/>
      <c r="K673" s="344"/>
      <c r="L673" s="344"/>
      <c r="M673" s="344"/>
      <c r="N673" s="344"/>
      <c r="O673" s="344"/>
      <c r="P673" s="344"/>
      <c r="Q673" s="344"/>
      <c r="R673" s="344"/>
    </row>
    <row r="674" spans="1:18">
      <c r="A674" s="102"/>
      <c r="B674" s="102"/>
      <c r="C674" s="344"/>
      <c r="D674" s="344"/>
      <c r="E674" s="344"/>
      <c r="F674" s="344"/>
      <c r="G674" s="344"/>
      <c r="H674" s="344"/>
      <c r="I674" s="344"/>
      <c r="J674" s="344"/>
      <c r="K674" s="344"/>
      <c r="L674" s="344"/>
      <c r="M674" s="344"/>
      <c r="N674" s="344"/>
      <c r="O674" s="344"/>
      <c r="P674" s="344"/>
      <c r="Q674" s="344"/>
      <c r="R674" s="344"/>
    </row>
    <row r="675" spans="1:18">
      <c r="A675" s="102"/>
      <c r="B675" s="102"/>
      <c r="C675" s="344"/>
      <c r="D675" s="344"/>
      <c r="E675" s="344"/>
      <c r="F675" s="344"/>
      <c r="G675" s="344"/>
      <c r="H675" s="344"/>
      <c r="I675" s="344"/>
      <c r="J675" s="344"/>
      <c r="K675" s="344"/>
      <c r="L675" s="344"/>
      <c r="M675" s="344"/>
      <c r="N675" s="344"/>
      <c r="O675" s="344"/>
      <c r="P675" s="344"/>
      <c r="Q675" s="344"/>
      <c r="R675" s="344"/>
    </row>
    <row r="676" spans="1:18">
      <c r="A676" s="102"/>
      <c r="B676" s="102"/>
      <c r="C676" s="344"/>
      <c r="D676" s="344"/>
      <c r="E676" s="344"/>
      <c r="F676" s="344"/>
      <c r="G676" s="344"/>
      <c r="H676" s="344"/>
      <c r="I676" s="344"/>
      <c r="J676" s="344"/>
      <c r="K676" s="344"/>
      <c r="L676" s="344"/>
      <c r="M676" s="344"/>
      <c r="N676" s="344"/>
      <c r="O676" s="344"/>
      <c r="P676" s="344"/>
      <c r="Q676" s="344"/>
      <c r="R676" s="344"/>
    </row>
    <row r="677" spans="1:18">
      <c r="A677" s="102"/>
      <c r="B677" s="102"/>
      <c r="C677" s="344"/>
      <c r="D677" s="344"/>
      <c r="E677" s="344"/>
      <c r="F677" s="344"/>
      <c r="G677" s="344"/>
      <c r="H677" s="344"/>
      <c r="I677" s="344"/>
      <c r="J677" s="344"/>
      <c r="K677" s="344"/>
      <c r="L677" s="344"/>
      <c r="M677" s="344"/>
      <c r="N677" s="344"/>
      <c r="O677" s="344"/>
      <c r="P677" s="344"/>
      <c r="Q677" s="344"/>
      <c r="R677" s="344"/>
    </row>
    <row r="678" spans="1:18">
      <c r="A678" s="102"/>
      <c r="B678" s="102"/>
      <c r="C678" s="344"/>
      <c r="D678" s="344"/>
      <c r="E678" s="344"/>
      <c r="F678" s="344"/>
      <c r="G678" s="344"/>
      <c r="H678" s="344"/>
      <c r="I678" s="344"/>
      <c r="J678" s="344"/>
      <c r="K678" s="344"/>
      <c r="L678" s="344"/>
      <c r="M678" s="344"/>
      <c r="N678" s="344"/>
      <c r="O678" s="344"/>
      <c r="P678" s="344"/>
      <c r="Q678" s="344"/>
      <c r="R678" s="344"/>
    </row>
    <row r="679" spans="1:18">
      <c r="A679" s="102"/>
      <c r="B679" s="102"/>
      <c r="C679" s="344"/>
      <c r="D679" s="344"/>
      <c r="E679" s="344"/>
      <c r="F679" s="344"/>
      <c r="G679" s="344"/>
      <c r="H679" s="344"/>
      <c r="I679" s="344"/>
      <c r="J679" s="344"/>
      <c r="K679" s="344"/>
      <c r="L679" s="344"/>
      <c r="M679" s="344"/>
      <c r="N679" s="344"/>
      <c r="O679" s="344"/>
      <c r="P679" s="344"/>
      <c r="Q679" s="344"/>
      <c r="R679" s="344"/>
    </row>
    <row r="680" spans="1:18">
      <c r="A680" s="102"/>
      <c r="B680" s="102"/>
      <c r="C680" s="344"/>
      <c r="D680" s="344"/>
      <c r="E680" s="344"/>
      <c r="F680" s="344"/>
      <c r="G680" s="344"/>
      <c r="H680" s="344"/>
      <c r="I680" s="344"/>
      <c r="J680" s="344"/>
      <c r="K680" s="344"/>
      <c r="L680" s="344"/>
      <c r="M680" s="344"/>
      <c r="N680" s="344"/>
      <c r="O680" s="344"/>
      <c r="P680" s="344"/>
      <c r="Q680" s="344"/>
      <c r="R680" s="344"/>
    </row>
    <row r="681" spans="1:18">
      <c r="A681" s="102"/>
      <c r="B681" s="102"/>
      <c r="C681" s="344"/>
      <c r="D681" s="344"/>
      <c r="E681" s="344"/>
      <c r="F681" s="344"/>
      <c r="G681" s="344"/>
      <c r="H681" s="344"/>
      <c r="I681" s="344"/>
      <c r="J681" s="344"/>
      <c r="K681" s="344"/>
      <c r="L681" s="344"/>
      <c r="M681" s="344"/>
      <c r="N681" s="344"/>
      <c r="O681" s="344"/>
      <c r="P681" s="344"/>
      <c r="Q681" s="344"/>
      <c r="R681" s="344"/>
    </row>
    <row r="682" spans="1:18">
      <c r="A682" s="102"/>
      <c r="B682" s="102"/>
      <c r="C682" s="344"/>
      <c r="D682" s="344"/>
      <c r="E682" s="344"/>
      <c r="F682" s="344"/>
      <c r="G682" s="344"/>
      <c r="H682" s="344"/>
      <c r="I682" s="344"/>
      <c r="J682" s="344"/>
      <c r="K682" s="344"/>
      <c r="L682" s="344"/>
      <c r="M682" s="344"/>
      <c r="N682" s="344"/>
      <c r="O682" s="344"/>
      <c r="P682" s="344"/>
      <c r="Q682" s="344"/>
      <c r="R682" s="344"/>
    </row>
    <row r="683" spans="1:18">
      <c r="A683" s="102"/>
      <c r="B683" s="102"/>
      <c r="C683" s="344"/>
      <c r="D683" s="344"/>
      <c r="E683" s="344"/>
      <c r="F683" s="344"/>
      <c r="G683" s="344"/>
      <c r="H683" s="344"/>
      <c r="I683" s="344"/>
      <c r="J683" s="344"/>
      <c r="K683" s="344"/>
      <c r="L683" s="344"/>
      <c r="M683" s="344"/>
      <c r="N683" s="344"/>
      <c r="O683" s="344"/>
      <c r="P683" s="344"/>
      <c r="Q683" s="344"/>
      <c r="R683" s="344"/>
    </row>
    <row r="684" spans="1:18">
      <c r="A684" s="102"/>
      <c r="B684" s="102"/>
      <c r="C684" s="344"/>
      <c r="D684" s="344"/>
      <c r="E684" s="344"/>
      <c r="F684" s="344"/>
      <c r="G684" s="344"/>
      <c r="H684" s="344"/>
      <c r="I684" s="344"/>
      <c r="J684" s="344"/>
      <c r="K684" s="344"/>
      <c r="L684" s="344"/>
      <c r="M684" s="344"/>
      <c r="N684" s="344"/>
      <c r="O684" s="344"/>
      <c r="P684" s="344"/>
      <c r="Q684" s="344"/>
      <c r="R684" s="344"/>
    </row>
    <row r="685" spans="1:18">
      <c r="A685" s="102"/>
      <c r="B685" s="102"/>
      <c r="C685" s="344"/>
      <c r="D685" s="344"/>
      <c r="E685" s="344"/>
      <c r="F685" s="344"/>
      <c r="G685" s="344"/>
      <c r="H685" s="344"/>
      <c r="I685" s="344"/>
      <c r="J685" s="344"/>
      <c r="K685" s="344"/>
      <c r="L685" s="344"/>
      <c r="M685" s="344"/>
      <c r="N685" s="344"/>
      <c r="O685" s="344"/>
      <c r="P685" s="344"/>
      <c r="Q685" s="344"/>
      <c r="R685" s="344"/>
    </row>
    <row r="686" spans="1:18">
      <c r="A686" s="102"/>
      <c r="B686" s="102"/>
      <c r="C686" s="344"/>
      <c r="D686" s="344"/>
      <c r="E686" s="344"/>
      <c r="F686" s="344"/>
      <c r="G686" s="344"/>
      <c r="H686" s="344"/>
      <c r="I686" s="344"/>
      <c r="J686" s="344"/>
      <c r="K686" s="344"/>
      <c r="L686" s="344"/>
      <c r="M686" s="344"/>
      <c r="N686" s="344"/>
      <c r="O686" s="344"/>
      <c r="P686" s="344"/>
      <c r="Q686" s="344"/>
      <c r="R686" s="344"/>
    </row>
    <row r="687" spans="1:18">
      <c r="A687" s="102"/>
      <c r="B687" s="102"/>
      <c r="C687" s="344"/>
      <c r="D687" s="344"/>
      <c r="E687" s="344"/>
      <c r="F687" s="344"/>
      <c r="G687" s="344"/>
      <c r="H687" s="344"/>
      <c r="I687" s="344"/>
      <c r="J687" s="344"/>
      <c r="K687" s="344"/>
      <c r="L687" s="344"/>
      <c r="M687" s="344"/>
      <c r="N687" s="344"/>
      <c r="O687" s="344"/>
      <c r="P687" s="344"/>
      <c r="Q687" s="344"/>
      <c r="R687" s="344"/>
    </row>
    <row r="688" spans="1:18">
      <c r="A688" s="102"/>
      <c r="B688" s="102"/>
      <c r="C688" s="344"/>
      <c r="D688" s="344"/>
      <c r="E688" s="344"/>
      <c r="F688" s="344"/>
      <c r="G688" s="344"/>
      <c r="H688" s="344"/>
      <c r="I688" s="344"/>
      <c r="J688" s="344"/>
      <c r="K688" s="344"/>
      <c r="L688" s="344"/>
      <c r="M688" s="344"/>
      <c r="N688" s="344"/>
      <c r="O688" s="344"/>
      <c r="P688" s="344"/>
      <c r="Q688" s="344"/>
      <c r="R688" s="344"/>
    </row>
    <row r="689" spans="1:18">
      <c r="A689" s="102"/>
      <c r="B689" s="102"/>
      <c r="C689" s="344"/>
      <c r="D689" s="344"/>
      <c r="E689" s="344"/>
      <c r="F689" s="344"/>
      <c r="G689" s="344"/>
      <c r="H689" s="344"/>
      <c r="I689" s="344"/>
      <c r="J689" s="344"/>
      <c r="K689" s="344"/>
      <c r="L689" s="344"/>
      <c r="M689" s="344"/>
      <c r="N689" s="344"/>
      <c r="O689" s="344"/>
      <c r="P689" s="344"/>
      <c r="Q689" s="344"/>
      <c r="R689" s="344"/>
    </row>
    <row r="690" spans="1:18">
      <c r="A690" s="102"/>
      <c r="B690" s="102"/>
      <c r="C690" s="344"/>
      <c r="D690" s="344"/>
      <c r="E690" s="344"/>
      <c r="F690" s="344"/>
      <c r="G690" s="344"/>
      <c r="H690" s="344"/>
      <c r="I690" s="344"/>
      <c r="J690" s="344"/>
      <c r="K690" s="344"/>
      <c r="L690" s="344"/>
      <c r="M690" s="344"/>
      <c r="N690" s="344"/>
      <c r="O690" s="344"/>
      <c r="P690" s="344"/>
      <c r="Q690" s="344"/>
      <c r="R690" s="344"/>
    </row>
    <row r="691" spans="1:18">
      <c r="A691" s="102"/>
      <c r="B691" s="102"/>
      <c r="C691" s="344"/>
      <c r="D691" s="344"/>
      <c r="E691" s="344"/>
      <c r="F691" s="344"/>
      <c r="G691" s="344"/>
      <c r="H691" s="344"/>
      <c r="I691" s="344"/>
      <c r="J691" s="344"/>
      <c r="K691" s="344"/>
      <c r="L691" s="344"/>
      <c r="M691" s="344"/>
      <c r="N691" s="344"/>
      <c r="O691" s="344"/>
      <c r="P691" s="344"/>
      <c r="Q691" s="344"/>
      <c r="R691" s="344"/>
    </row>
    <row r="692" spans="1:18">
      <c r="A692" s="102"/>
      <c r="B692" s="102"/>
      <c r="C692" s="344"/>
      <c r="D692" s="344"/>
      <c r="E692" s="344"/>
      <c r="F692" s="344"/>
      <c r="G692" s="344"/>
      <c r="H692" s="344"/>
      <c r="I692" s="344"/>
      <c r="J692" s="344"/>
      <c r="K692" s="344"/>
      <c r="L692" s="344"/>
      <c r="M692" s="344"/>
      <c r="N692" s="344"/>
      <c r="O692" s="344"/>
      <c r="P692" s="344"/>
      <c r="Q692" s="344"/>
      <c r="R692" s="344"/>
    </row>
    <row r="693" spans="1:18">
      <c r="A693" s="102"/>
      <c r="B693" s="102"/>
      <c r="C693" s="344"/>
      <c r="D693" s="344"/>
      <c r="E693" s="344"/>
      <c r="F693" s="344"/>
      <c r="G693" s="344"/>
      <c r="H693" s="344"/>
      <c r="I693" s="344"/>
      <c r="J693" s="344"/>
      <c r="K693" s="344"/>
      <c r="L693" s="344"/>
      <c r="M693" s="344"/>
      <c r="N693" s="344"/>
      <c r="O693" s="344"/>
      <c r="P693" s="344"/>
      <c r="Q693" s="344"/>
      <c r="R693" s="344"/>
    </row>
    <row r="694" spans="1:18">
      <c r="A694" s="102"/>
      <c r="B694" s="102"/>
      <c r="C694" s="344"/>
      <c r="D694" s="344"/>
      <c r="E694" s="344"/>
      <c r="F694" s="344"/>
      <c r="G694" s="344"/>
      <c r="H694" s="344"/>
      <c r="I694" s="344"/>
      <c r="J694" s="344"/>
      <c r="K694" s="344"/>
      <c r="L694" s="344"/>
      <c r="M694" s="344"/>
      <c r="N694" s="344"/>
      <c r="O694" s="344"/>
      <c r="P694" s="344"/>
      <c r="Q694" s="344"/>
      <c r="R694" s="344"/>
    </row>
    <row r="695" spans="1:18">
      <c r="A695" s="102"/>
      <c r="B695" s="102"/>
      <c r="C695" s="344"/>
      <c r="D695" s="344"/>
      <c r="E695" s="344"/>
      <c r="F695" s="344"/>
      <c r="G695" s="344"/>
      <c r="H695" s="344"/>
      <c r="I695" s="344"/>
      <c r="J695" s="344"/>
      <c r="K695" s="344"/>
      <c r="L695" s="344"/>
      <c r="M695" s="344"/>
      <c r="N695" s="344"/>
      <c r="O695" s="344"/>
      <c r="P695" s="344"/>
      <c r="Q695" s="344"/>
      <c r="R695" s="344"/>
    </row>
    <row r="696" spans="1:18">
      <c r="A696" s="102"/>
      <c r="B696" s="102"/>
      <c r="C696" s="344"/>
      <c r="D696" s="344"/>
      <c r="E696" s="344"/>
      <c r="F696" s="344"/>
      <c r="G696" s="344"/>
      <c r="H696" s="344"/>
      <c r="I696" s="344"/>
      <c r="J696" s="344"/>
      <c r="K696" s="344"/>
      <c r="L696" s="344"/>
      <c r="M696" s="344"/>
      <c r="N696" s="344"/>
      <c r="O696" s="344"/>
      <c r="P696" s="344"/>
      <c r="Q696" s="344"/>
      <c r="R696" s="344"/>
    </row>
    <row r="697" spans="1:18">
      <c r="A697" s="102"/>
      <c r="B697" s="102"/>
      <c r="C697" s="102"/>
      <c r="D697" s="102"/>
      <c r="E697" s="102"/>
      <c r="F697" s="102"/>
      <c r="G697" s="102"/>
      <c r="H697" s="102"/>
      <c r="I697" s="102"/>
      <c r="J697" s="102"/>
      <c r="K697" s="102"/>
      <c r="L697" s="102"/>
      <c r="M697" s="102"/>
      <c r="N697" s="102"/>
      <c r="O697" s="102"/>
      <c r="P697" s="102"/>
      <c r="Q697" s="102"/>
      <c r="R697" s="102"/>
    </row>
    <row r="698" spans="1:18">
      <c r="A698" s="102"/>
      <c r="B698" s="102"/>
      <c r="C698" s="102"/>
      <c r="D698" s="102"/>
      <c r="E698" s="102"/>
      <c r="F698" s="102"/>
      <c r="G698" s="102"/>
      <c r="H698" s="102"/>
      <c r="I698" s="102"/>
      <c r="J698" s="102"/>
      <c r="K698" s="102"/>
      <c r="L698" s="102"/>
      <c r="M698" s="102"/>
      <c r="N698" s="102"/>
      <c r="O698" s="102"/>
      <c r="P698" s="102"/>
      <c r="Q698" s="102"/>
      <c r="R698" s="102"/>
    </row>
    <row r="699" spans="1:18">
      <c r="A699" s="102"/>
      <c r="B699" s="102"/>
      <c r="C699" s="102"/>
      <c r="D699" s="102"/>
      <c r="E699" s="102"/>
      <c r="F699" s="102"/>
      <c r="G699" s="102"/>
      <c r="H699" s="102"/>
      <c r="I699" s="102"/>
      <c r="J699" s="102"/>
      <c r="K699" s="102"/>
      <c r="L699" s="102"/>
      <c r="M699" s="102"/>
      <c r="N699" s="102"/>
      <c r="O699" s="102"/>
      <c r="P699" s="102"/>
      <c r="Q699" s="102"/>
      <c r="R699" s="102"/>
    </row>
    <row r="700" spans="1:18">
      <c r="A700" s="102"/>
      <c r="B700" s="102"/>
      <c r="C700" s="102"/>
      <c r="D700" s="102"/>
      <c r="E700" s="102"/>
      <c r="F700" s="102"/>
      <c r="G700" s="102"/>
      <c r="H700" s="102"/>
      <c r="I700" s="102"/>
      <c r="J700" s="102"/>
      <c r="K700" s="102"/>
      <c r="L700" s="102"/>
      <c r="M700" s="102"/>
      <c r="N700" s="102"/>
      <c r="O700" s="102"/>
      <c r="P700" s="102"/>
      <c r="Q700" s="102"/>
      <c r="R700" s="102"/>
    </row>
    <row r="701" spans="1:18">
      <c r="A701" s="102"/>
      <c r="B701" s="102"/>
      <c r="C701" s="102"/>
      <c r="D701" s="102"/>
      <c r="E701" s="102"/>
      <c r="F701" s="102"/>
      <c r="G701" s="102"/>
      <c r="H701" s="102"/>
      <c r="I701" s="102"/>
      <c r="J701" s="102"/>
      <c r="K701" s="102"/>
      <c r="L701" s="102"/>
      <c r="M701" s="102"/>
      <c r="N701" s="102"/>
      <c r="O701" s="102"/>
      <c r="P701" s="102"/>
      <c r="Q701" s="102"/>
      <c r="R701" s="102"/>
    </row>
    <row r="702" spans="1:18">
      <c r="A702" s="102"/>
      <c r="B702" s="102"/>
      <c r="C702" s="102"/>
      <c r="D702" s="102"/>
      <c r="E702" s="102"/>
      <c r="F702" s="102"/>
      <c r="G702" s="102"/>
      <c r="H702" s="102"/>
      <c r="I702" s="102"/>
      <c r="J702" s="102"/>
      <c r="K702" s="102"/>
      <c r="L702" s="102"/>
      <c r="M702" s="102"/>
      <c r="N702" s="102"/>
      <c r="O702" s="102"/>
      <c r="P702" s="102"/>
      <c r="Q702" s="102"/>
      <c r="R702" s="102"/>
    </row>
    <row r="703" spans="1:18">
      <c r="A703" s="102"/>
      <c r="B703" s="102"/>
      <c r="C703" s="102"/>
      <c r="D703" s="102"/>
      <c r="E703" s="102"/>
      <c r="F703" s="102"/>
      <c r="G703" s="102"/>
      <c r="H703" s="102"/>
      <c r="I703" s="102"/>
      <c r="J703" s="102"/>
      <c r="K703" s="102"/>
      <c r="L703" s="102"/>
      <c r="M703" s="102"/>
      <c r="N703" s="102"/>
      <c r="O703" s="102"/>
      <c r="P703" s="102"/>
      <c r="Q703" s="102"/>
      <c r="R703" s="102"/>
    </row>
    <row r="704" spans="1:18">
      <c r="A704" s="102"/>
      <c r="B704" s="102"/>
      <c r="C704" s="102"/>
      <c r="D704" s="102"/>
      <c r="E704" s="102"/>
      <c r="F704" s="102"/>
      <c r="G704" s="102"/>
      <c r="H704" s="102"/>
      <c r="I704" s="102"/>
      <c r="J704" s="102"/>
      <c r="K704" s="102"/>
      <c r="L704" s="102"/>
      <c r="M704" s="102"/>
      <c r="N704" s="102"/>
      <c r="O704" s="102"/>
      <c r="P704" s="102"/>
      <c r="Q704" s="102"/>
      <c r="R704" s="102"/>
    </row>
    <row r="705" spans="1:18">
      <c r="A705" s="102"/>
      <c r="B705" s="102"/>
      <c r="C705" s="102"/>
      <c r="D705" s="102"/>
      <c r="E705" s="102"/>
      <c r="F705" s="102"/>
      <c r="G705" s="102"/>
      <c r="H705" s="102"/>
      <c r="I705" s="102"/>
      <c r="J705" s="102"/>
      <c r="K705" s="102"/>
      <c r="L705" s="102"/>
      <c r="M705" s="102"/>
      <c r="N705" s="102"/>
      <c r="O705" s="102"/>
      <c r="P705" s="102"/>
      <c r="Q705" s="102"/>
      <c r="R705" s="102"/>
    </row>
    <row r="706" spans="1:18">
      <c r="A706" s="102"/>
      <c r="B706" s="102"/>
      <c r="C706" s="102"/>
      <c r="D706" s="102"/>
      <c r="E706" s="102"/>
      <c r="F706" s="102"/>
      <c r="G706" s="102"/>
      <c r="H706" s="102"/>
      <c r="I706" s="102"/>
      <c r="J706" s="102"/>
      <c r="K706" s="102"/>
      <c r="L706" s="102"/>
      <c r="M706" s="102"/>
      <c r="N706" s="102"/>
      <c r="O706" s="102"/>
      <c r="P706" s="102"/>
      <c r="Q706" s="102"/>
      <c r="R706" s="102"/>
    </row>
    <row r="707" spans="1:18">
      <c r="A707" s="102"/>
      <c r="B707" s="102"/>
      <c r="C707" s="102"/>
      <c r="D707" s="102"/>
      <c r="E707" s="102"/>
      <c r="F707" s="102"/>
      <c r="G707" s="102"/>
      <c r="H707" s="102"/>
      <c r="I707" s="102"/>
      <c r="J707" s="102"/>
      <c r="K707" s="102"/>
      <c r="L707" s="102"/>
      <c r="M707" s="102"/>
      <c r="N707" s="102"/>
      <c r="O707" s="102"/>
      <c r="P707" s="102"/>
      <c r="Q707" s="102"/>
      <c r="R707" s="102"/>
    </row>
    <row r="708" spans="1:18">
      <c r="A708" s="102"/>
      <c r="B708" s="102"/>
      <c r="C708" s="102"/>
      <c r="D708" s="102"/>
      <c r="E708" s="102"/>
      <c r="F708" s="102"/>
      <c r="G708" s="102"/>
      <c r="H708" s="102"/>
      <c r="I708" s="102"/>
      <c r="J708" s="102"/>
      <c r="K708" s="102"/>
      <c r="L708" s="102"/>
      <c r="M708" s="102"/>
      <c r="N708" s="102"/>
      <c r="O708" s="102"/>
      <c r="P708" s="102"/>
      <c r="Q708" s="102"/>
      <c r="R708" s="102"/>
    </row>
    <row r="709" spans="1:18">
      <c r="A709" s="102"/>
      <c r="B709" s="102"/>
      <c r="C709" s="102"/>
      <c r="D709" s="102"/>
      <c r="E709" s="102"/>
      <c r="F709" s="102"/>
      <c r="G709" s="102"/>
      <c r="H709" s="102"/>
      <c r="I709" s="102"/>
      <c r="J709" s="102"/>
      <c r="K709" s="102"/>
      <c r="L709" s="102"/>
      <c r="M709" s="102"/>
      <c r="N709" s="102"/>
      <c r="O709" s="102"/>
      <c r="P709" s="102"/>
      <c r="Q709" s="102"/>
      <c r="R709" s="102"/>
    </row>
    <row r="710" spans="1:18">
      <c r="A710" s="102"/>
      <c r="B710" s="102"/>
      <c r="C710" s="102"/>
      <c r="D710" s="102"/>
      <c r="E710" s="102"/>
      <c r="F710" s="102"/>
      <c r="G710" s="102"/>
      <c r="H710" s="102"/>
      <c r="I710" s="102"/>
      <c r="J710" s="102"/>
      <c r="K710" s="102"/>
      <c r="L710" s="102"/>
      <c r="M710" s="102"/>
      <c r="N710" s="102"/>
      <c r="O710" s="102"/>
      <c r="P710" s="102"/>
      <c r="Q710" s="102"/>
      <c r="R710" s="102"/>
    </row>
    <row r="711" spans="1:18">
      <c r="A711" s="102"/>
      <c r="B711" s="102"/>
      <c r="C711" s="102"/>
      <c r="D711" s="102"/>
      <c r="E711" s="102"/>
      <c r="F711" s="102"/>
      <c r="G711" s="102"/>
      <c r="H711" s="102"/>
      <c r="I711" s="102"/>
      <c r="J711" s="102"/>
      <c r="K711" s="102"/>
      <c r="L711" s="102"/>
      <c r="M711" s="102"/>
      <c r="N711" s="102"/>
      <c r="O711" s="102"/>
      <c r="P711" s="102"/>
      <c r="Q711" s="102"/>
      <c r="R711" s="102"/>
    </row>
    <row r="712" spans="1:18">
      <c r="A712" s="102"/>
      <c r="B712" s="102"/>
      <c r="C712" s="102"/>
      <c r="D712" s="102"/>
      <c r="E712" s="102"/>
      <c r="F712" s="102"/>
      <c r="G712" s="102"/>
      <c r="H712" s="102"/>
      <c r="I712" s="102"/>
      <c r="J712" s="102"/>
      <c r="K712" s="102"/>
      <c r="L712" s="102"/>
      <c r="M712" s="102"/>
      <c r="N712" s="102"/>
      <c r="O712" s="102"/>
      <c r="P712" s="102"/>
      <c r="Q712" s="102"/>
      <c r="R712" s="102"/>
    </row>
    <row r="713" spans="1:18">
      <c r="A713" s="102"/>
      <c r="B713" s="102"/>
      <c r="C713" s="102"/>
      <c r="D713" s="102"/>
      <c r="E713" s="102"/>
      <c r="F713" s="102"/>
      <c r="G713" s="102"/>
      <c r="H713" s="102"/>
      <c r="I713" s="102"/>
      <c r="J713" s="102"/>
      <c r="K713" s="102"/>
      <c r="L713" s="102"/>
      <c r="M713" s="102"/>
      <c r="N713" s="102"/>
      <c r="O713" s="102"/>
      <c r="P713" s="102"/>
      <c r="Q713" s="102"/>
      <c r="R713" s="102"/>
    </row>
    <row r="714" spans="1:18">
      <c r="A714" s="102"/>
      <c r="B714" s="102"/>
      <c r="C714" s="102"/>
      <c r="D714" s="102"/>
      <c r="E714" s="102"/>
      <c r="F714" s="102"/>
      <c r="G714" s="102"/>
      <c r="H714" s="102"/>
      <c r="I714" s="102"/>
      <c r="J714" s="102"/>
      <c r="K714" s="102"/>
      <c r="L714" s="102"/>
      <c r="M714" s="102"/>
      <c r="N714" s="102"/>
      <c r="O714" s="102"/>
      <c r="P714" s="102"/>
      <c r="Q714" s="102"/>
      <c r="R714" s="102"/>
    </row>
    <row r="715" spans="1:18">
      <c r="A715" s="102"/>
      <c r="B715" s="102"/>
      <c r="C715" s="102"/>
      <c r="D715" s="102"/>
      <c r="E715" s="102"/>
      <c r="F715" s="102"/>
      <c r="G715" s="102"/>
      <c r="H715" s="102"/>
      <c r="I715" s="102"/>
      <c r="J715" s="102"/>
      <c r="K715" s="102"/>
      <c r="L715" s="102"/>
      <c r="M715" s="102"/>
      <c r="N715" s="102"/>
      <c r="O715" s="102"/>
      <c r="P715" s="102"/>
      <c r="Q715" s="102"/>
      <c r="R715" s="102"/>
    </row>
    <row r="716" spans="1:18">
      <c r="A716" s="102"/>
      <c r="B716" s="102"/>
      <c r="C716" s="102"/>
      <c r="D716" s="102"/>
      <c r="E716" s="102"/>
      <c r="F716" s="102"/>
      <c r="G716" s="102"/>
      <c r="H716" s="102"/>
      <c r="I716" s="102"/>
      <c r="J716" s="102"/>
      <c r="K716" s="102"/>
      <c r="L716" s="102"/>
      <c r="M716" s="102"/>
      <c r="N716" s="102"/>
      <c r="O716" s="102"/>
      <c r="P716" s="102"/>
      <c r="Q716" s="102"/>
      <c r="R716" s="102"/>
    </row>
    <row r="717" spans="1:18">
      <c r="A717" s="102"/>
      <c r="B717" s="102"/>
      <c r="C717" s="102"/>
      <c r="D717" s="102"/>
      <c r="E717" s="102"/>
      <c r="F717" s="102"/>
      <c r="G717" s="102"/>
      <c r="H717" s="102"/>
      <c r="I717" s="102"/>
      <c r="J717" s="102"/>
      <c r="K717" s="102"/>
      <c r="L717" s="102"/>
      <c r="M717" s="102"/>
      <c r="N717" s="102"/>
      <c r="O717" s="102"/>
      <c r="P717" s="102"/>
      <c r="Q717" s="102"/>
      <c r="R717" s="102"/>
    </row>
    <row r="718" spans="1:18">
      <c r="A718" s="102"/>
      <c r="B718" s="102"/>
      <c r="C718" s="102"/>
      <c r="D718" s="102"/>
      <c r="E718" s="102"/>
      <c r="F718" s="102"/>
      <c r="G718" s="102"/>
      <c r="H718" s="102"/>
      <c r="I718" s="102"/>
      <c r="J718" s="102"/>
      <c r="K718" s="102"/>
      <c r="L718" s="102"/>
      <c r="M718" s="102"/>
      <c r="N718" s="102"/>
      <c r="O718" s="102"/>
      <c r="P718" s="102"/>
      <c r="Q718" s="102"/>
      <c r="R718" s="102"/>
    </row>
    <row r="719" spans="1:18">
      <c r="A719" s="102"/>
      <c r="B719" s="102"/>
      <c r="C719" s="102"/>
      <c r="D719" s="102"/>
      <c r="E719" s="102"/>
      <c r="F719" s="102"/>
      <c r="G719" s="102"/>
      <c r="H719" s="102"/>
      <c r="I719" s="102"/>
      <c r="J719" s="102"/>
      <c r="K719" s="102"/>
      <c r="L719" s="102"/>
      <c r="M719" s="102"/>
      <c r="N719" s="102"/>
      <c r="O719" s="102"/>
      <c r="P719" s="102"/>
      <c r="Q719" s="102"/>
      <c r="R719" s="102"/>
    </row>
    <row r="720" spans="1:18">
      <c r="A720" s="102"/>
      <c r="B720" s="102"/>
      <c r="C720" s="102"/>
      <c r="D720" s="102"/>
      <c r="E720" s="102"/>
      <c r="F720" s="102"/>
      <c r="G720" s="102"/>
      <c r="H720" s="102"/>
      <c r="I720" s="102"/>
      <c r="J720" s="102"/>
      <c r="K720" s="102"/>
      <c r="L720" s="102"/>
      <c r="M720" s="102"/>
      <c r="N720" s="102"/>
      <c r="O720" s="102"/>
      <c r="P720" s="102"/>
      <c r="Q720" s="102"/>
      <c r="R720" s="102"/>
    </row>
    <row r="721" spans="1:32">
      <c r="A721" s="102"/>
      <c r="B721" s="102"/>
      <c r="C721" s="102"/>
      <c r="D721" s="102"/>
      <c r="E721" s="102"/>
      <c r="F721" s="102"/>
      <c r="G721" s="102"/>
      <c r="H721" s="102"/>
      <c r="I721" s="102"/>
      <c r="J721" s="102"/>
      <c r="K721" s="102"/>
      <c r="L721" s="102"/>
      <c r="M721" s="102"/>
      <c r="N721" s="102"/>
      <c r="O721" s="102"/>
      <c r="P721" s="102"/>
      <c r="Q721" s="102"/>
      <c r="R721" s="102"/>
      <c r="S721" s="102"/>
      <c r="T721" s="102"/>
      <c r="U721" s="102"/>
      <c r="V721" s="102"/>
      <c r="W721" s="102"/>
      <c r="X721" s="102"/>
      <c r="Y721" s="102"/>
      <c r="Z721" s="102"/>
      <c r="AA721" s="102"/>
      <c r="AB721" s="102"/>
      <c r="AC721" s="102"/>
      <c r="AD721" s="102"/>
      <c r="AE721" s="366"/>
      <c r="AF721" s="366"/>
    </row>
    <row r="722" spans="1:32">
      <c r="A722" s="102"/>
      <c r="B722" s="102"/>
      <c r="C722" s="102"/>
      <c r="D722" s="102"/>
      <c r="E722" s="102"/>
      <c r="F722" s="102"/>
      <c r="G722" s="102"/>
      <c r="H722" s="102"/>
      <c r="I722" s="102"/>
      <c r="J722" s="102"/>
      <c r="K722" s="102"/>
      <c r="L722" s="102"/>
      <c r="M722" s="102"/>
      <c r="N722" s="102"/>
      <c r="O722" s="102"/>
      <c r="P722" s="102"/>
      <c r="Q722" s="102"/>
      <c r="R722" s="102"/>
      <c r="S722" s="102"/>
      <c r="T722" s="102"/>
      <c r="U722" s="102"/>
      <c r="V722" s="102"/>
      <c r="W722" s="102"/>
      <c r="X722" s="102"/>
      <c r="Y722" s="102"/>
      <c r="Z722" s="102"/>
      <c r="AA722" s="102"/>
      <c r="AB722" s="102"/>
      <c r="AC722" s="102"/>
      <c r="AD722" s="102"/>
      <c r="AE722" s="366"/>
      <c r="AF722" s="366"/>
    </row>
    <row r="723" spans="1:32">
      <c r="A723" s="102"/>
      <c r="B723" s="102"/>
      <c r="C723" s="102"/>
      <c r="D723" s="102"/>
      <c r="E723" s="102"/>
      <c r="F723" s="102"/>
      <c r="G723" s="102"/>
      <c r="H723" s="102"/>
      <c r="I723" s="102"/>
      <c r="J723" s="102"/>
      <c r="K723" s="102"/>
      <c r="L723" s="102"/>
      <c r="M723" s="102"/>
      <c r="N723" s="102"/>
      <c r="O723" s="102"/>
      <c r="P723" s="102"/>
      <c r="Q723" s="102"/>
      <c r="R723" s="102"/>
      <c r="S723" s="102"/>
      <c r="T723" s="102"/>
      <c r="U723" s="102"/>
      <c r="V723" s="102"/>
      <c r="W723" s="102"/>
      <c r="X723" s="102"/>
      <c r="Y723" s="102"/>
      <c r="Z723" s="102"/>
      <c r="AA723" s="102"/>
      <c r="AB723" s="102"/>
      <c r="AC723" s="102"/>
      <c r="AD723" s="102"/>
      <c r="AE723" s="366"/>
      <c r="AF723" s="366"/>
    </row>
    <row r="724" spans="1:32">
      <c r="A724" s="102"/>
      <c r="B724" s="102"/>
      <c r="C724" s="102"/>
      <c r="D724" s="102"/>
      <c r="E724" s="102"/>
      <c r="F724" s="102"/>
      <c r="G724" s="102"/>
      <c r="H724" s="102"/>
      <c r="I724" s="102"/>
      <c r="J724" s="102"/>
      <c r="K724" s="102"/>
      <c r="L724" s="102"/>
      <c r="M724" s="102"/>
      <c r="N724" s="102"/>
      <c r="O724" s="102"/>
      <c r="P724" s="102"/>
      <c r="Q724" s="102"/>
      <c r="R724" s="102"/>
      <c r="S724" s="102"/>
      <c r="T724" s="102"/>
      <c r="U724" s="102"/>
      <c r="V724" s="102"/>
      <c r="W724" s="102"/>
      <c r="X724" s="102"/>
      <c r="Y724" s="102"/>
      <c r="Z724" s="102"/>
      <c r="AA724" s="102"/>
      <c r="AB724" s="102"/>
      <c r="AC724" s="102"/>
      <c r="AD724" s="102"/>
      <c r="AE724" s="366"/>
      <c r="AF724" s="366"/>
    </row>
    <row r="725" spans="1:32">
      <c r="A725" s="102"/>
      <c r="B725" s="102"/>
      <c r="C725" s="102"/>
      <c r="D725" s="102"/>
      <c r="E725" s="102"/>
      <c r="F725" s="102"/>
      <c r="G725" s="102"/>
      <c r="H725" s="102"/>
      <c r="I725" s="102"/>
      <c r="J725" s="102"/>
      <c r="K725" s="102"/>
      <c r="L725" s="102"/>
      <c r="M725" s="102"/>
      <c r="N725" s="102"/>
      <c r="O725" s="102"/>
      <c r="P725" s="102"/>
      <c r="Q725" s="102"/>
      <c r="R725" s="102"/>
      <c r="S725" s="102"/>
      <c r="T725" s="102"/>
      <c r="U725" s="102"/>
      <c r="V725" s="102"/>
      <c r="W725" s="102"/>
      <c r="X725" s="102"/>
      <c r="Y725" s="102"/>
      <c r="Z725" s="102"/>
      <c r="AA725" s="102"/>
      <c r="AB725" s="102"/>
      <c r="AC725" s="102"/>
      <c r="AD725" s="102"/>
      <c r="AE725" s="366"/>
      <c r="AF725" s="366"/>
    </row>
    <row r="726" spans="1:32">
      <c r="A726" s="102"/>
      <c r="B726" s="102"/>
      <c r="C726" s="102"/>
      <c r="D726" s="102"/>
      <c r="E726" s="102"/>
      <c r="F726" s="102"/>
      <c r="G726" s="102"/>
      <c r="H726" s="102"/>
      <c r="I726" s="102"/>
      <c r="J726" s="102"/>
      <c r="K726" s="102"/>
      <c r="L726" s="102"/>
      <c r="M726" s="102"/>
      <c r="N726" s="102"/>
      <c r="O726" s="102"/>
      <c r="P726" s="102"/>
      <c r="Q726" s="102"/>
      <c r="R726" s="102"/>
      <c r="S726" s="102"/>
      <c r="T726" s="102"/>
      <c r="U726" s="102"/>
      <c r="V726" s="102"/>
      <c r="W726" s="102"/>
      <c r="X726" s="102"/>
      <c r="Y726" s="102"/>
      <c r="Z726" s="102"/>
      <c r="AA726" s="102"/>
      <c r="AB726" s="102"/>
      <c r="AC726" s="102"/>
      <c r="AD726" s="102"/>
      <c r="AE726" s="366"/>
      <c r="AF726" s="366"/>
    </row>
    <row r="727" spans="1:32">
      <c r="A727" s="102"/>
      <c r="B727" s="102"/>
      <c r="C727" s="102"/>
      <c r="D727" s="102"/>
      <c r="E727" s="102"/>
      <c r="F727" s="102"/>
      <c r="G727" s="102"/>
      <c r="H727" s="102"/>
      <c r="I727" s="102"/>
      <c r="J727" s="102"/>
      <c r="K727" s="102"/>
      <c r="L727" s="102"/>
      <c r="M727" s="102"/>
      <c r="N727" s="102"/>
      <c r="O727" s="102"/>
      <c r="P727" s="102"/>
      <c r="Q727" s="102"/>
      <c r="R727" s="102"/>
      <c r="S727" s="102"/>
      <c r="T727" s="102"/>
      <c r="U727" s="102"/>
      <c r="V727" s="102"/>
      <c r="W727" s="102"/>
      <c r="X727" s="102"/>
      <c r="Y727" s="102"/>
      <c r="Z727" s="102"/>
      <c r="AA727" s="102"/>
      <c r="AB727" s="102"/>
      <c r="AC727" s="102"/>
      <c r="AD727" s="102"/>
      <c r="AE727" s="366"/>
      <c r="AF727" s="366"/>
    </row>
    <row r="728" spans="1:32">
      <c r="A728" s="102"/>
      <c r="B728" s="102"/>
      <c r="C728" s="102"/>
      <c r="D728" s="102"/>
      <c r="E728" s="102"/>
      <c r="F728" s="102"/>
      <c r="G728" s="102"/>
      <c r="H728" s="102"/>
      <c r="I728" s="102"/>
      <c r="J728" s="102"/>
      <c r="K728" s="102"/>
      <c r="L728" s="102"/>
      <c r="M728" s="102"/>
      <c r="N728" s="102"/>
      <c r="O728" s="102"/>
      <c r="P728" s="102"/>
      <c r="Q728" s="102"/>
      <c r="R728" s="102"/>
      <c r="S728" s="102"/>
      <c r="T728" s="102"/>
      <c r="U728" s="102"/>
      <c r="V728" s="102"/>
      <c r="W728" s="102"/>
      <c r="X728" s="102"/>
      <c r="Y728" s="102"/>
      <c r="Z728" s="102"/>
      <c r="AA728" s="102"/>
      <c r="AB728" s="102"/>
      <c r="AC728" s="102"/>
      <c r="AD728" s="102"/>
      <c r="AE728" s="366"/>
      <c r="AF728" s="366"/>
    </row>
    <row r="729" spans="1:32">
      <c r="A729" s="102"/>
      <c r="B729" s="102"/>
      <c r="C729" s="102"/>
      <c r="D729" s="102"/>
      <c r="E729" s="102"/>
      <c r="F729" s="102"/>
      <c r="G729" s="102"/>
      <c r="H729" s="102"/>
      <c r="I729" s="102"/>
      <c r="J729" s="102"/>
      <c r="K729" s="102"/>
      <c r="L729" s="102"/>
      <c r="M729" s="102"/>
      <c r="N729" s="102"/>
      <c r="O729" s="102"/>
      <c r="P729" s="102"/>
      <c r="Q729" s="102"/>
      <c r="R729" s="102"/>
      <c r="S729" s="102"/>
      <c r="T729" s="102"/>
      <c r="U729" s="102"/>
      <c r="V729" s="102"/>
      <c r="W729" s="102"/>
      <c r="X729" s="102"/>
      <c r="Y729" s="102"/>
      <c r="Z729" s="102"/>
      <c r="AA729" s="102"/>
      <c r="AB729" s="102"/>
      <c r="AC729" s="102"/>
      <c r="AD729" s="102"/>
      <c r="AE729" s="366"/>
      <c r="AF729" s="366"/>
    </row>
    <row r="730" spans="1:32">
      <c r="A730" s="102"/>
      <c r="B730" s="102"/>
      <c r="C730" s="102"/>
      <c r="D730" s="102"/>
      <c r="E730" s="102"/>
      <c r="F730" s="102"/>
      <c r="G730" s="102"/>
      <c r="H730" s="102"/>
      <c r="I730" s="102"/>
      <c r="J730" s="102"/>
      <c r="K730" s="102"/>
      <c r="L730" s="102"/>
      <c r="M730" s="102"/>
      <c r="N730" s="102"/>
      <c r="O730" s="102"/>
      <c r="P730" s="102"/>
      <c r="Q730" s="102"/>
      <c r="R730" s="102"/>
      <c r="S730" s="102"/>
      <c r="T730" s="102"/>
      <c r="U730" s="102"/>
      <c r="V730" s="102"/>
      <c r="W730" s="102"/>
      <c r="X730" s="102"/>
      <c r="Y730" s="102"/>
      <c r="Z730" s="102"/>
      <c r="AA730" s="102"/>
      <c r="AB730" s="102"/>
      <c r="AC730" s="102"/>
      <c r="AD730" s="102"/>
      <c r="AE730" s="366"/>
      <c r="AF730" s="366"/>
    </row>
    <row r="731" spans="1:32">
      <c r="A731" s="102"/>
      <c r="B731" s="102"/>
      <c r="C731" s="102"/>
      <c r="D731" s="102"/>
      <c r="E731" s="102"/>
      <c r="F731" s="102"/>
      <c r="G731" s="102"/>
      <c r="H731" s="102"/>
      <c r="I731" s="102"/>
      <c r="J731" s="102"/>
      <c r="K731" s="102"/>
      <c r="L731" s="102"/>
      <c r="M731" s="102"/>
      <c r="N731" s="102"/>
      <c r="O731" s="102"/>
      <c r="P731" s="102"/>
      <c r="Q731" s="102"/>
      <c r="R731" s="102"/>
      <c r="S731" s="102"/>
      <c r="T731" s="102"/>
      <c r="U731" s="102"/>
      <c r="V731" s="102"/>
      <c r="W731" s="102"/>
      <c r="X731" s="102"/>
      <c r="Y731" s="102"/>
      <c r="Z731" s="102"/>
      <c r="AA731" s="102"/>
      <c r="AB731" s="102"/>
      <c r="AC731" s="102"/>
      <c r="AD731" s="102"/>
      <c r="AE731" s="366"/>
      <c r="AF731" s="366"/>
    </row>
    <row r="732" spans="1:32">
      <c r="A732" s="102"/>
      <c r="B732" s="102"/>
      <c r="C732" s="102"/>
      <c r="D732" s="102"/>
      <c r="E732" s="102"/>
      <c r="F732" s="102"/>
      <c r="G732" s="102"/>
      <c r="H732" s="102"/>
      <c r="I732" s="102"/>
      <c r="J732" s="102"/>
      <c r="K732" s="102"/>
      <c r="L732" s="102"/>
      <c r="M732" s="102"/>
      <c r="N732" s="102"/>
      <c r="O732" s="102"/>
      <c r="P732" s="102"/>
      <c r="Q732" s="102"/>
      <c r="R732" s="102"/>
      <c r="S732" s="102"/>
      <c r="T732" s="102"/>
      <c r="U732" s="102"/>
      <c r="V732" s="102"/>
      <c r="W732" s="102"/>
      <c r="X732" s="102"/>
      <c r="Y732" s="102"/>
      <c r="Z732" s="102"/>
      <c r="AA732" s="102"/>
      <c r="AB732" s="102"/>
      <c r="AC732" s="102"/>
      <c r="AD732" s="102"/>
      <c r="AE732" s="366"/>
      <c r="AF732" s="366"/>
    </row>
    <row r="733" spans="1:32" s="24" customFormat="1" ht="11.25" customHeight="1">
      <c r="A733" s="43"/>
      <c r="B733" s="43"/>
      <c r="C733" s="43"/>
      <c r="D733" s="102"/>
      <c r="E733" s="102"/>
      <c r="F733" s="102"/>
      <c r="G733" s="22"/>
      <c r="H733" s="22"/>
      <c r="I733" s="22"/>
      <c r="J733" s="22"/>
      <c r="K733" s="43"/>
      <c r="L733" s="43"/>
      <c r="M733" s="43"/>
      <c r="N733" s="102"/>
      <c r="O733" s="102"/>
      <c r="P733" s="22"/>
      <c r="Q733" s="43"/>
      <c r="R733" s="58"/>
      <c r="S733" s="58"/>
      <c r="T733" s="58"/>
      <c r="U733" s="58"/>
      <c r="V733" s="58"/>
      <c r="W733" s="58"/>
      <c r="X733" s="58"/>
      <c r="Y733" s="58"/>
      <c r="Z733" s="58"/>
      <c r="AA733" s="58"/>
      <c r="AB733" s="58"/>
      <c r="AC733" s="58"/>
      <c r="AD733" s="58"/>
      <c r="AE733" s="368"/>
      <c r="AF733" s="368"/>
    </row>
    <row r="734" spans="1:32" s="24" customFormat="1" ht="11.25" customHeight="1">
      <c r="A734" s="22"/>
      <c r="B734" s="22"/>
      <c r="C734" s="22"/>
      <c r="D734" s="102"/>
      <c r="E734" s="102"/>
      <c r="F734" s="102"/>
      <c r="G734" s="22"/>
      <c r="H734" s="22"/>
      <c r="I734" s="22"/>
      <c r="J734" s="22"/>
      <c r="K734" s="22"/>
      <c r="L734" s="22"/>
      <c r="M734" s="22"/>
      <c r="N734" s="102"/>
      <c r="O734" s="22"/>
      <c r="P734" s="22"/>
      <c r="Q734" s="22"/>
      <c r="R734" s="58"/>
      <c r="S734" s="58"/>
      <c r="T734" s="58"/>
      <c r="U734" s="58"/>
      <c r="V734" s="58"/>
      <c r="W734" s="58"/>
      <c r="X734" s="58"/>
      <c r="Y734" s="58"/>
      <c r="Z734" s="58"/>
      <c r="AA734" s="58"/>
      <c r="AB734" s="58"/>
      <c r="AC734" s="58"/>
      <c r="AD734" s="58"/>
      <c r="AE734" s="368"/>
      <c r="AF734" s="368"/>
    </row>
    <row r="735" spans="1:32" s="24" customFormat="1" ht="11.25" customHeight="1">
      <c r="A735" s="22"/>
      <c r="B735" s="22"/>
      <c r="C735" s="22"/>
      <c r="D735" s="102"/>
      <c r="E735" s="102"/>
      <c r="F735" s="102"/>
      <c r="G735" s="22"/>
      <c r="H735" s="22"/>
      <c r="I735" s="22"/>
      <c r="J735" s="22"/>
      <c r="K735" s="22"/>
      <c r="L735" s="22"/>
      <c r="M735" s="22"/>
      <c r="N735" s="102"/>
      <c r="O735" s="22"/>
      <c r="P735" s="22"/>
      <c r="Q735" s="22"/>
      <c r="R735" s="58"/>
      <c r="S735" s="58"/>
      <c r="T735" s="58"/>
      <c r="U735" s="58"/>
      <c r="V735" s="58"/>
      <c r="W735" s="58"/>
      <c r="X735" s="58"/>
      <c r="Y735" s="58"/>
      <c r="Z735" s="58"/>
      <c r="AA735" s="58"/>
      <c r="AB735" s="58"/>
      <c r="AC735" s="58"/>
      <c r="AD735" s="58"/>
      <c r="AE735" s="368"/>
      <c r="AF735" s="368"/>
    </row>
    <row r="736" spans="1:32" s="24" customFormat="1" ht="11.25" customHeight="1">
      <c r="A736" s="22"/>
      <c r="B736" s="22"/>
      <c r="C736" s="22"/>
      <c r="D736" s="102"/>
      <c r="E736" s="102"/>
      <c r="F736" s="102"/>
      <c r="G736" s="22"/>
      <c r="H736" s="22"/>
      <c r="I736" s="22"/>
      <c r="J736" s="22"/>
      <c r="K736" s="22"/>
      <c r="L736" s="22"/>
      <c r="M736" s="22"/>
      <c r="N736" s="102"/>
      <c r="O736" s="22"/>
      <c r="P736" s="22"/>
      <c r="Q736" s="22"/>
      <c r="R736" s="58"/>
      <c r="S736" s="58"/>
      <c r="T736" s="58"/>
      <c r="U736" s="58"/>
      <c r="V736" s="58"/>
      <c r="W736" s="58"/>
      <c r="X736" s="58"/>
      <c r="Y736" s="58"/>
      <c r="Z736" s="58"/>
      <c r="AA736" s="58"/>
      <c r="AB736" s="58"/>
      <c r="AC736" s="58"/>
      <c r="AD736" s="58"/>
      <c r="AE736" s="368"/>
      <c r="AF736" s="368"/>
    </row>
    <row r="737" spans="1:32" s="24" customFormat="1" ht="11.25" customHeight="1">
      <c r="A737" s="22"/>
      <c r="B737" s="22"/>
      <c r="C737" s="22"/>
      <c r="D737" s="102"/>
      <c r="E737" s="102"/>
      <c r="F737" s="102"/>
      <c r="G737" s="102"/>
      <c r="H737" s="102"/>
      <c r="I737" s="22"/>
      <c r="J737" s="22"/>
      <c r="K737" s="22"/>
      <c r="L737" s="22"/>
      <c r="M737" s="22"/>
      <c r="N737" s="102"/>
      <c r="O737" s="22"/>
      <c r="P737" s="102"/>
      <c r="Q737" s="22"/>
      <c r="R737" s="58"/>
      <c r="S737" s="58"/>
      <c r="T737" s="58"/>
      <c r="U737" s="58"/>
      <c r="V737" s="58"/>
      <c r="W737" s="58"/>
      <c r="X737" s="58"/>
      <c r="Y737" s="58"/>
      <c r="Z737" s="58"/>
      <c r="AA737" s="58"/>
      <c r="AB737" s="58"/>
      <c r="AC737" s="58"/>
      <c r="AD737" s="58"/>
      <c r="AE737" s="368"/>
      <c r="AF737" s="368"/>
    </row>
    <row r="738" spans="1:32">
      <c r="A738" s="22"/>
      <c r="B738" s="22"/>
      <c r="C738" s="22"/>
      <c r="D738" s="102"/>
      <c r="E738" s="102"/>
      <c r="F738" s="102"/>
      <c r="G738" s="102"/>
      <c r="H738" s="102"/>
      <c r="I738" s="102"/>
      <c r="J738" s="102"/>
      <c r="K738" s="22"/>
      <c r="L738" s="22"/>
      <c r="M738" s="22"/>
      <c r="N738" s="102"/>
      <c r="O738" s="22"/>
      <c r="P738" s="102"/>
      <c r="Q738" s="22"/>
      <c r="R738" s="102"/>
      <c r="S738" s="102"/>
      <c r="T738" s="102"/>
      <c r="U738" s="102"/>
      <c r="V738" s="102"/>
      <c r="W738" s="102"/>
      <c r="X738" s="102"/>
      <c r="Y738" s="102"/>
      <c r="Z738" s="102"/>
      <c r="AA738" s="102"/>
      <c r="AB738" s="102"/>
      <c r="AC738" s="102"/>
      <c r="AD738" s="102"/>
      <c r="AE738" s="366"/>
      <c r="AF738" s="366"/>
    </row>
  </sheetData>
  <sheetProtection algorithmName="SHA-512" hashValue="H27jUj99aM8xiToRLs5meQDjQ5BJcsDmyj8h4wa2rJj8Q47OY7F6VvQb/064JEJznAt2ITn/VJZuL1BGsLuikg==" saltValue="wzTPzcv+EXjMAaxJ22Y5yA==" spinCount="100000" sheet="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41"/>
  <sheetViews>
    <sheetView showGridLines="0" topLeftCell="A416" zoomScaleNormal="100" workbookViewId="0">
      <selection activeCell="A3" sqref="A1:XFD1048576"/>
    </sheetView>
  </sheetViews>
  <sheetFormatPr defaultColWidth="9.140625" defaultRowHeight="12.75"/>
  <cols>
    <col min="1" max="1" width="4.140625" style="12" customWidth="1"/>
    <col min="2" max="2" width="3.42578125" style="12" customWidth="1"/>
    <col min="3" max="3" width="10.5703125" style="12" customWidth="1"/>
    <col min="4" max="4" width="10.140625" style="12" customWidth="1"/>
    <col min="5" max="5" width="6.28515625" style="12" customWidth="1"/>
    <col min="6" max="6" width="9.140625" style="12" customWidth="1"/>
    <col min="7" max="9" width="11.5703125" style="12" customWidth="1"/>
    <col min="10" max="10" width="9.28515625" style="12" customWidth="1"/>
    <col min="11" max="11" width="11.7109375" style="12" customWidth="1"/>
    <col min="12" max="12" width="14.85546875" style="12" customWidth="1"/>
    <col min="13" max="13" width="6.7109375" style="12" customWidth="1"/>
    <col min="14" max="14" width="2.7109375" style="46" customWidth="1"/>
    <col min="15" max="16" width="5.85546875" style="1521" customWidth="1"/>
    <col min="17" max="17" width="6" style="12" customWidth="1"/>
    <col min="18" max="21" width="9.140625" style="12" customWidth="1"/>
    <col min="22" max="22" width="8.85546875" style="12" customWidth="1"/>
    <col min="23" max="16384" width="9.140625" style="12"/>
  </cols>
  <sheetData>
    <row r="1" spans="1:22" s="19" customFormat="1" ht="13.9" customHeight="1">
      <c r="A1" s="1821" t="str">
        <f>CONCATENATE("PART NINE - SCORING CRITERIA","  -  ",'Part I-Project Information'!$O$6," ",'Part I-Project Information'!$F$34,", ",'Part I-Project Information'!F38,", ",'Part I-Project Information'!J39," County")</f>
        <v>PART NINE - SCORING CRITERIA  -  2018-008 Mill at Stone Valley, Ball Ground, Cherokee County</v>
      </c>
      <c r="B1" s="1822"/>
      <c r="C1" s="1822"/>
      <c r="D1" s="1822"/>
      <c r="E1" s="1822"/>
      <c r="F1" s="1822"/>
      <c r="G1" s="1822"/>
      <c r="H1" s="1822"/>
      <c r="I1" s="1822"/>
      <c r="J1" s="1822"/>
      <c r="K1" s="1822"/>
      <c r="L1" s="1822"/>
      <c r="M1" s="1822"/>
      <c r="N1" s="1822"/>
      <c r="O1" s="1822"/>
      <c r="P1" s="1823"/>
      <c r="Q1" s="102"/>
      <c r="R1" s="102"/>
      <c r="S1" s="102"/>
      <c r="T1" s="102"/>
      <c r="U1" s="102"/>
      <c r="V1" s="102"/>
    </row>
    <row r="2" spans="1:22" s="19" customFormat="1" ht="4.1500000000000004" customHeight="1">
      <c r="A2" s="20"/>
      <c r="B2" s="20"/>
      <c r="C2" s="21"/>
      <c r="D2" s="20"/>
      <c r="E2" s="20"/>
      <c r="F2" s="20"/>
      <c r="G2" s="20"/>
      <c r="H2" s="20"/>
      <c r="I2" s="20"/>
      <c r="J2" s="20"/>
      <c r="K2" s="20"/>
      <c r="L2" s="20"/>
      <c r="M2" s="1529"/>
      <c r="N2" s="45"/>
      <c r="O2" s="1523"/>
      <c r="P2" s="1523"/>
      <c r="Q2" s="102"/>
      <c r="R2" s="102"/>
      <c r="S2" s="102"/>
      <c r="T2" s="102"/>
      <c r="U2" s="102"/>
      <c r="V2" s="102"/>
    </row>
    <row r="3" spans="1:22" s="24" customFormat="1" ht="12" customHeight="1">
      <c r="A3" s="2063" t="s">
        <v>1744</v>
      </c>
      <c r="B3" s="2063"/>
      <c r="C3" s="2063"/>
      <c r="D3" s="2063"/>
      <c r="E3" s="2063"/>
      <c r="F3" s="2063"/>
      <c r="G3" s="2063"/>
      <c r="H3" s="2063"/>
      <c r="I3" s="2063"/>
      <c r="J3" s="2063"/>
      <c r="K3" s="2063"/>
      <c r="L3" s="2063"/>
      <c r="M3" s="1040" t="s">
        <v>1745</v>
      </c>
      <c r="N3" s="45"/>
      <c r="O3" s="1398" t="s">
        <v>1746</v>
      </c>
      <c r="P3" s="1399" t="s">
        <v>1293</v>
      </c>
      <c r="Q3" s="58"/>
      <c r="R3" s="58"/>
      <c r="S3" s="58"/>
      <c r="T3" s="58"/>
      <c r="U3" s="58"/>
      <c r="V3" s="58"/>
    </row>
    <row r="4" spans="1:22" s="26" customFormat="1" ht="12" customHeight="1">
      <c r="A4" s="2063"/>
      <c r="B4" s="2063"/>
      <c r="C4" s="2063"/>
      <c r="D4" s="2063"/>
      <c r="E4" s="2063"/>
      <c r="F4" s="2063"/>
      <c r="G4" s="2063"/>
      <c r="H4" s="2063"/>
      <c r="I4" s="2063"/>
      <c r="J4" s="2063"/>
      <c r="K4" s="2063"/>
      <c r="L4" s="2063"/>
      <c r="M4" s="1041" t="s">
        <v>1747</v>
      </c>
      <c r="N4" s="49"/>
      <c r="O4" s="125" t="s">
        <v>1745</v>
      </c>
      <c r="P4" s="125" t="s">
        <v>1745</v>
      </c>
      <c r="R4" s="58"/>
      <c r="S4" s="58"/>
      <c r="T4" s="58"/>
      <c r="U4" s="58"/>
      <c r="V4" s="58"/>
    </row>
    <row r="5" spans="1:22" s="26" customFormat="1" ht="3" customHeight="1" thickBot="1">
      <c r="A5" s="58"/>
      <c r="B5" s="58"/>
      <c r="C5" s="58"/>
      <c r="D5" s="58"/>
      <c r="E5" s="58"/>
      <c r="F5" s="58"/>
      <c r="G5" s="58"/>
      <c r="H5" s="58"/>
      <c r="I5" s="58"/>
      <c r="J5" s="58"/>
      <c r="K5" s="58"/>
      <c r="M5" s="56"/>
      <c r="N5" s="6"/>
      <c r="O5" s="761"/>
      <c r="P5" s="15"/>
    </row>
    <row r="6" spans="1:22" s="26" customFormat="1" ht="12.75" customHeight="1" thickTop="1" thickBot="1">
      <c r="A6" s="58"/>
      <c r="B6" s="368"/>
      <c r="C6" s="368"/>
      <c r="D6" s="368"/>
      <c r="E6" s="368"/>
      <c r="F6" s="368"/>
      <c r="G6" s="368"/>
      <c r="H6" s="58"/>
      <c r="I6" s="58"/>
      <c r="J6" s="58"/>
      <c r="L6" s="43" t="s">
        <v>1748</v>
      </c>
      <c r="M6" s="179">
        <f>M441</f>
        <v>95</v>
      </c>
      <c r="N6" s="1323"/>
      <c r="O6" s="1027">
        <f>O441</f>
        <v>55</v>
      </c>
      <c r="P6" s="1027">
        <f>P441</f>
        <v>20</v>
      </c>
    </row>
    <row r="7" spans="1:22" s="25" customFormat="1" ht="3.6" customHeight="1" thickTop="1" thickBot="1">
      <c r="A7" s="58"/>
      <c r="B7" s="39"/>
      <c r="C7" s="20"/>
      <c r="D7" s="71"/>
      <c r="E7" s="71"/>
      <c r="F7" s="64"/>
      <c r="G7" s="71"/>
      <c r="H7" s="71"/>
      <c r="I7" s="71"/>
      <c r="J7" s="71"/>
      <c r="K7" s="71"/>
      <c r="L7" s="58"/>
      <c r="M7" s="45"/>
      <c r="N7" s="840"/>
      <c r="O7" s="3"/>
      <c r="P7" s="761"/>
      <c r="R7" s="58"/>
      <c r="S7" s="58"/>
    </row>
    <row r="8" spans="1:22" s="24" customFormat="1" ht="12.6" customHeight="1" thickBot="1">
      <c r="A8" s="107" t="s">
        <v>9</v>
      </c>
      <c r="B8" s="67" t="s">
        <v>1749</v>
      </c>
      <c r="C8" s="4"/>
      <c r="D8" s="4"/>
      <c r="E8" s="4"/>
      <c r="F8" s="1534"/>
      <c r="G8" s="58"/>
      <c r="H8" s="29" t="s">
        <v>1750</v>
      </c>
      <c r="I8" s="58"/>
      <c r="J8" s="58"/>
      <c r="K8" s="58"/>
      <c r="L8" s="58"/>
      <c r="M8" s="1523">
        <v>10</v>
      </c>
      <c r="N8" s="68"/>
      <c r="O8" s="981">
        <f>MIN($M8, $M8-O10-O12-O11-O13)</f>
        <v>10</v>
      </c>
      <c r="P8" s="981">
        <f>MIN($M8, $M8-P10-P12-P11-P13)</f>
        <v>10</v>
      </c>
      <c r="Q8" s="70" t="s">
        <v>834</v>
      </c>
      <c r="R8" s="58"/>
      <c r="S8" s="58"/>
      <c r="T8" s="58"/>
      <c r="U8" s="58"/>
      <c r="V8" s="58"/>
    </row>
    <row r="9" spans="1:22" s="25" customFormat="1" ht="3.6" customHeight="1">
      <c r="A9" s="58"/>
      <c r="B9" s="39"/>
      <c r="C9" s="20"/>
      <c r="D9" s="71"/>
      <c r="E9" s="71"/>
      <c r="F9" s="64"/>
      <c r="G9" s="71"/>
      <c r="H9" s="71"/>
      <c r="I9" s="71"/>
      <c r="J9" s="71"/>
      <c r="K9" s="71"/>
      <c r="L9" s="58"/>
      <c r="M9" s="45"/>
      <c r="N9" s="840"/>
      <c r="O9" s="3"/>
      <c r="P9" s="761"/>
      <c r="R9" s="58"/>
      <c r="S9" s="58"/>
    </row>
    <row r="10" spans="1:22" s="24" customFormat="1" ht="11.25" customHeight="1">
      <c r="A10" s="130" t="s">
        <v>110</v>
      </c>
      <c r="B10" s="117" t="s">
        <v>1751</v>
      </c>
      <c r="C10" s="58"/>
      <c r="D10" s="71"/>
      <c r="E10" s="71"/>
      <c r="F10" s="1534"/>
      <c r="G10" s="58"/>
      <c r="H10" s="124" t="s">
        <v>1752</v>
      </c>
      <c r="I10" s="58"/>
      <c r="J10" s="58"/>
      <c r="K10" s="58"/>
      <c r="L10" s="58"/>
      <c r="M10" s="45"/>
      <c r="N10" s="40" t="s">
        <v>110</v>
      </c>
      <c r="O10" s="2306">
        <v>0</v>
      </c>
      <c r="P10" s="1028">
        <f>F15</f>
        <v>0</v>
      </c>
      <c r="Q10" s="58"/>
      <c r="R10" s="58"/>
      <c r="S10" s="58"/>
      <c r="T10" s="58"/>
      <c r="U10" s="58"/>
      <c r="V10" s="58"/>
    </row>
    <row r="11" spans="1:22" s="25" customFormat="1" ht="11.25" customHeight="1">
      <c r="A11" s="130"/>
      <c r="C11" s="71" t="s">
        <v>1753</v>
      </c>
      <c r="D11" s="71"/>
      <c r="E11" s="71"/>
      <c r="F11" s="1534"/>
      <c r="H11" s="124" t="s">
        <v>1754</v>
      </c>
      <c r="J11" s="29"/>
      <c r="M11" s="45">
        <v>1</v>
      </c>
      <c r="N11" s="40"/>
      <c r="O11" s="2307">
        <v>0</v>
      </c>
      <c r="P11" s="1060">
        <f>J15</f>
        <v>0</v>
      </c>
    </row>
    <row r="12" spans="1:22" s="24" customFormat="1" ht="11.25" customHeight="1">
      <c r="A12" s="130" t="s">
        <v>121</v>
      </c>
      <c r="B12" s="117" t="s">
        <v>1755</v>
      </c>
      <c r="C12" s="58"/>
      <c r="D12" s="71"/>
      <c r="E12" s="71"/>
      <c r="F12" s="1534"/>
      <c r="G12" s="58"/>
      <c r="H12" s="124" t="s">
        <v>1756</v>
      </c>
      <c r="I12" s="58"/>
      <c r="J12" s="29"/>
      <c r="K12" s="58"/>
      <c r="L12" s="58"/>
      <c r="M12" s="45"/>
      <c r="N12" s="40" t="s">
        <v>121</v>
      </c>
      <c r="O12" s="2306">
        <v>0</v>
      </c>
      <c r="P12" s="1028">
        <f>O15</f>
        <v>0</v>
      </c>
      <c r="Q12" s="58"/>
      <c r="R12" s="58"/>
      <c r="S12" s="58"/>
      <c r="T12" s="58"/>
      <c r="U12" s="58"/>
      <c r="V12" s="58"/>
    </row>
    <row r="13" spans="1:22" s="24" customFormat="1" ht="10.9" customHeight="1">
      <c r="A13" s="41"/>
      <c r="B13" s="58"/>
      <c r="C13" s="71" t="s">
        <v>1757</v>
      </c>
      <c r="D13" s="31"/>
      <c r="E13" s="31"/>
      <c r="F13" s="31"/>
      <c r="G13" s="41"/>
      <c r="H13" s="124" t="s">
        <v>1756</v>
      </c>
      <c r="I13" s="41"/>
      <c r="J13" s="41"/>
      <c r="K13" s="41"/>
      <c r="L13" s="41"/>
      <c r="M13" s="41"/>
      <c r="N13" s="41"/>
      <c r="O13" s="2308">
        <v>0</v>
      </c>
      <c r="P13" s="1029">
        <f>+O29</f>
        <v>0</v>
      </c>
      <c r="Q13" s="58"/>
      <c r="R13" s="343"/>
      <c r="S13" s="110"/>
      <c r="T13" s="58"/>
      <c r="U13" s="58"/>
      <c r="V13" s="58"/>
    </row>
    <row r="14" spans="1:22" s="24" customFormat="1" ht="10.9" customHeight="1">
      <c r="A14" s="2101" t="s">
        <v>1758</v>
      </c>
      <c r="B14" s="2101"/>
      <c r="C14" s="2101"/>
      <c r="D14" s="2101"/>
      <c r="E14" s="2101"/>
      <c r="F14" s="1529" t="s">
        <v>1759</v>
      </c>
      <c r="G14" s="58"/>
      <c r="H14" s="58"/>
      <c r="I14" s="58"/>
      <c r="J14" s="1529" t="s">
        <v>1759</v>
      </c>
      <c r="K14" s="1529"/>
      <c r="L14" s="58"/>
      <c r="M14" s="58"/>
      <c r="N14" s="58"/>
      <c r="O14" s="2105" t="s">
        <v>1759</v>
      </c>
      <c r="P14" s="2105"/>
      <c r="Q14" s="58"/>
      <c r="R14" s="343"/>
      <c r="S14" s="110"/>
      <c r="T14" s="58"/>
      <c r="U14" s="58"/>
      <c r="V14" s="58"/>
    </row>
    <row r="15" spans="1:22" s="24" customFormat="1" ht="11.25" customHeight="1">
      <c r="A15" s="2085"/>
      <c r="B15" s="2085"/>
      <c r="C15" s="2085"/>
      <c r="D15" s="2085"/>
      <c r="E15" s="2085"/>
      <c r="F15" s="1400">
        <f>SUM(F16:F27)</f>
        <v>0</v>
      </c>
      <c r="G15" s="2102" t="s">
        <v>1760</v>
      </c>
      <c r="H15" s="2103"/>
      <c r="I15" s="2104"/>
      <c r="J15" s="1400">
        <f>SUM(J16:J27)</f>
        <v>0</v>
      </c>
      <c r="K15" s="2106" t="s">
        <v>1761</v>
      </c>
      <c r="L15" s="2107"/>
      <c r="M15" s="2107"/>
      <c r="N15" s="2108"/>
      <c r="O15" s="2074">
        <f>SUM(O16:O27)</f>
        <v>0</v>
      </c>
      <c r="P15" s="2075"/>
      <c r="Q15" s="343"/>
      <c r="R15" s="110"/>
      <c r="S15" s="58"/>
      <c r="T15" s="58"/>
      <c r="U15" s="58"/>
      <c r="V15" s="58"/>
    </row>
    <row r="16" spans="1:22" s="24" customFormat="1" ht="24.75" customHeight="1">
      <c r="A16" s="2094">
        <v>1</v>
      </c>
      <c r="B16" s="2095"/>
      <c r="C16" s="2095"/>
      <c r="D16" s="2095"/>
      <c r="E16" s="2096"/>
      <c r="F16" s="755"/>
      <c r="G16" s="2094">
        <v>1</v>
      </c>
      <c r="H16" s="2095"/>
      <c r="I16" s="2096"/>
      <c r="J16" s="759" t="s">
        <v>1762</v>
      </c>
      <c r="K16" s="2097">
        <v>1</v>
      </c>
      <c r="L16" s="2098"/>
      <c r="M16" s="2098"/>
      <c r="N16" s="2098"/>
      <c r="O16" s="2099" t="s">
        <v>1762</v>
      </c>
      <c r="P16" s="2100"/>
      <c r="Q16" s="341" t="s">
        <v>1275</v>
      </c>
      <c r="R16" s="110"/>
      <c r="S16" s="58"/>
      <c r="T16" s="58"/>
      <c r="U16" s="58"/>
      <c r="V16" s="58"/>
    </row>
    <row r="17" spans="1:19" s="24" customFormat="1" ht="24.75" customHeight="1">
      <c r="A17" s="2081">
        <v>2</v>
      </c>
      <c r="B17" s="2082"/>
      <c r="C17" s="2082"/>
      <c r="D17" s="2082"/>
      <c r="E17" s="2083"/>
      <c r="F17" s="756"/>
      <c r="G17" s="2081">
        <v>2</v>
      </c>
      <c r="H17" s="2082"/>
      <c r="I17" s="2083"/>
      <c r="J17" s="756"/>
      <c r="K17" s="2061">
        <v>2</v>
      </c>
      <c r="L17" s="2062"/>
      <c r="M17" s="2062"/>
      <c r="N17" s="2062"/>
      <c r="O17" s="2079"/>
      <c r="P17" s="2080"/>
      <c r="Q17" s="342"/>
      <c r="R17" s="110"/>
      <c r="S17" s="58"/>
    </row>
    <row r="18" spans="1:19" s="24" customFormat="1" ht="24.75" customHeight="1">
      <c r="A18" s="2081">
        <v>3</v>
      </c>
      <c r="B18" s="2082"/>
      <c r="C18" s="2082"/>
      <c r="D18" s="2082"/>
      <c r="E18" s="2083"/>
      <c r="F18" s="756"/>
      <c r="G18" s="2081">
        <v>3</v>
      </c>
      <c r="H18" s="2082"/>
      <c r="I18" s="2083"/>
      <c r="J18" s="1071" t="s">
        <v>1763</v>
      </c>
      <c r="K18" s="2061">
        <v>3</v>
      </c>
      <c r="L18" s="2062"/>
      <c r="M18" s="2062"/>
      <c r="N18" s="2062"/>
      <c r="O18" s="2112" t="s">
        <v>1763</v>
      </c>
      <c r="P18" s="2113"/>
      <c r="Q18" s="342"/>
      <c r="R18" s="110"/>
      <c r="S18" s="58"/>
    </row>
    <row r="19" spans="1:19" s="24" customFormat="1" ht="24.75" customHeight="1">
      <c r="A19" s="2081">
        <v>4</v>
      </c>
      <c r="B19" s="2082"/>
      <c r="C19" s="2082"/>
      <c r="D19" s="2082"/>
      <c r="E19" s="2083"/>
      <c r="F19" s="756"/>
      <c r="G19" s="2081">
        <v>4</v>
      </c>
      <c r="H19" s="2082"/>
      <c r="I19" s="2083"/>
      <c r="J19" s="756"/>
      <c r="K19" s="2061">
        <v>4</v>
      </c>
      <c r="L19" s="2062"/>
      <c r="M19" s="2062"/>
      <c r="N19" s="2062"/>
      <c r="O19" s="2112" t="s">
        <v>1763</v>
      </c>
      <c r="P19" s="2113"/>
      <c r="Q19" s="342"/>
      <c r="R19" s="110"/>
      <c r="S19" s="58"/>
    </row>
    <row r="20" spans="1:19" s="24" customFormat="1" ht="24.75" customHeight="1">
      <c r="A20" s="2081">
        <v>5</v>
      </c>
      <c r="B20" s="2082"/>
      <c r="C20" s="2082"/>
      <c r="D20" s="2082"/>
      <c r="E20" s="2083"/>
      <c r="F20" s="756"/>
      <c r="G20" s="2081">
        <v>5</v>
      </c>
      <c r="H20" s="2082"/>
      <c r="I20" s="2083"/>
      <c r="J20" s="1071" t="s">
        <v>1764</v>
      </c>
      <c r="K20" s="2061">
        <v>5</v>
      </c>
      <c r="L20" s="2062"/>
      <c r="M20" s="2062"/>
      <c r="N20" s="2062"/>
      <c r="O20" s="2079"/>
      <c r="P20" s="2080"/>
      <c r="Q20" s="110"/>
      <c r="R20" s="110"/>
      <c r="S20" s="58"/>
    </row>
    <row r="21" spans="1:19" s="24" customFormat="1" ht="24.75" customHeight="1">
      <c r="A21" s="2081">
        <v>6</v>
      </c>
      <c r="B21" s="2082"/>
      <c r="C21" s="2082"/>
      <c r="D21" s="2082"/>
      <c r="E21" s="2083"/>
      <c r="F21" s="756"/>
      <c r="G21" s="2081">
        <v>6</v>
      </c>
      <c r="H21" s="2082"/>
      <c r="I21" s="2083"/>
      <c r="J21" s="756"/>
      <c r="K21" s="2061">
        <v>6</v>
      </c>
      <c r="L21" s="2062"/>
      <c r="M21" s="2062"/>
      <c r="N21" s="2062"/>
      <c r="O21" s="2079"/>
      <c r="P21" s="2080"/>
      <c r="Q21" s="110"/>
      <c r="R21" s="110"/>
      <c r="S21" s="58"/>
    </row>
    <row r="22" spans="1:19" s="24" customFormat="1" ht="24.75" customHeight="1">
      <c r="A22" s="2081">
        <v>7</v>
      </c>
      <c r="B22" s="2082"/>
      <c r="C22" s="2082"/>
      <c r="D22" s="2082"/>
      <c r="E22" s="2083"/>
      <c r="F22" s="756"/>
      <c r="G22" s="2081">
        <v>7</v>
      </c>
      <c r="H22" s="2082"/>
      <c r="I22" s="2083"/>
      <c r="J22" s="1071" t="s">
        <v>1765</v>
      </c>
      <c r="K22" s="2061">
        <v>7</v>
      </c>
      <c r="L22" s="2062"/>
      <c r="M22" s="2062"/>
      <c r="N22" s="2062"/>
      <c r="O22" s="2079"/>
      <c r="P22" s="2080"/>
      <c r="Q22" s="110"/>
      <c r="R22" s="110"/>
      <c r="S22" s="58"/>
    </row>
    <row r="23" spans="1:19" s="24" customFormat="1" ht="24.75" customHeight="1">
      <c r="A23" s="2081">
        <v>8</v>
      </c>
      <c r="B23" s="2082"/>
      <c r="C23" s="2082"/>
      <c r="D23" s="2082"/>
      <c r="E23" s="2083"/>
      <c r="F23" s="756"/>
      <c r="G23" s="2081">
        <v>8</v>
      </c>
      <c r="H23" s="2082"/>
      <c r="I23" s="2083"/>
      <c r="J23" s="756"/>
      <c r="K23" s="2061">
        <v>8</v>
      </c>
      <c r="L23" s="2062"/>
      <c r="M23" s="2062"/>
      <c r="N23" s="2062"/>
      <c r="O23" s="2079"/>
      <c r="P23" s="2080"/>
      <c r="Q23" s="110"/>
      <c r="R23" s="110"/>
      <c r="S23" s="58"/>
    </row>
    <row r="24" spans="1:19" s="24" customFormat="1" ht="11.25" customHeight="1">
      <c r="A24" s="2081">
        <v>9</v>
      </c>
      <c r="B24" s="2082"/>
      <c r="C24" s="2082"/>
      <c r="D24" s="2082"/>
      <c r="E24" s="2083"/>
      <c r="F24" s="756"/>
      <c r="G24" s="2081">
        <v>9</v>
      </c>
      <c r="H24" s="2082"/>
      <c r="I24" s="2083"/>
      <c r="J24" s="1071" t="s">
        <v>1766</v>
      </c>
      <c r="K24" s="2061">
        <v>9</v>
      </c>
      <c r="L24" s="2062"/>
      <c r="M24" s="2062"/>
      <c r="N24" s="2062"/>
      <c r="O24" s="2079"/>
      <c r="P24" s="2080"/>
      <c r="Q24" s="110"/>
      <c r="R24" s="110"/>
      <c r="S24" s="58"/>
    </row>
    <row r="25" spans="1:19" s="24" customFormat="1" ht="11.25" customHeight="1">
      <c r="A25" s="2081">
        <v>10</v>
      </c>
      <c r="B25" s="2082"/>
      <c r="C25" s="2082"/>
      <c r="D25" s="2082"/>
      <c r="E25" s="2083"/>
      <c r="F25" s="756"/>
      <c r="G25" s="2081">
        <v>10</v>
      </c>
      <c r="H25" s="2082"/>
      <c r="I25" s="2083"/>
      <c r="J25" s="756"/>
      <c r="K25" s="2061">
        <v>10</v>
      </c>
      <c r="L25" s="2062"/>
      <c r="M25" s="2062"/>
      <c r="N25" s="2062"/>
      <c r="O25" s="2079"/>
      <c r="P25" s="2080"/>
      <c r="Q25" s="110"/>
      <c r="R25" s="110"/>
      <c r="S25" s="58"/>
    </row>
    <row r="26" spans="1:19" s="24" customFormat="1" ht="11.25" customHeight="1">
      <c r="A26" s="2081">
        <v>11</v>
      </c>
      <c r="B26" s="2082"/>
      <c r="C26" s="2082"/>
      <c r="D26" s="2082"/>
      <c r="E26" s="2083"/>
      <c r="F26" s="756"/>
      <c r="G26" s="2081">
        <v>11</v>
      </c>
      <c r="H26" s="2082"/>
      <c r="I26" s="2083"/>
      <c r="J26" s="1071" t="s">
        <v>1767</v>
      </c>
      <c r="K26" s="2081">
        <v>11</v>
      </c>
      <c r="L26" s="2082"/>
      <c r="M26" s="2082"/>
      <c r="N26" s="2083"/>
      <c r="O26" s="2079"/>
      <c r="P26" s="2080"/>
      <c r="Q26" s="110"/>
      <c r="R26" s="110"/>
      <c r="S26" s="58"/>
    </row>
    <row r="27" spans="1:19" s="24" customFormat="1" ht="11.25" customHeight="1">
      <c r="A27" s="2091">
        <v>12</v>
      </c>
      <c r="B27" s="2092"/>
      <c r="C27" s="2092"/>
      <c r="D27" s="2092"/>
      <c r="E27" s="2093"/>
      <c r="F27" s="757"/>
      <c r="G27" s="2091">
        <v>12</v>
      </c>
      <c r="H27" s="2092"/>
      <c r="I27" s="2093"/>
      <c r="J27" s="757"/>
      <c r="K27" s="2091">
        <v>12</v>
      </c>
      <c r="L27" s="2092"/>
      <c r="M27" s="2092"/>
      <c r="N27" s="2093"/>
      <c r="O27" s="2089"/>
      <c r="P27" s="2090"/>
      <c r="Q27" s="58"/>
      <c r="R27" s="58"/>
      <c r="S27" s="58"/>
    </row>
    <row r="28" spans="1:19" s="25" customFormat="1" ht="11.25" customHeight="1">
      <c r="B28" s="1359"/>
      <c r="C28" s="1359"/>
      <c r="D28" s="1359"/>
      <c r="E28" s="2084" t="s">
        <v>1768</v>
      </c>
      <c r="F28" s="2086" t="s">
        <v>1769</v>
      </c>
      <c r="G28" s="2086"/>
      <c r="H28" s="2086"/>
      <c r="I28" s="2086"/>
      <c r="J28" s="2086"/>
      <c r="K28" s="2086"/>
      <c r="L28" s="2086"/>
      <c r="M28" s="2086"/>
      <c r="N28" s="2086"/>
      <c r="O28" s="2086"/>
      <c r="P28" s="2086"/>
      <c r="Q28" s="70"/>
      <c r="R28" s="280"/>
    </row>
    <row r="29" spans="1:19" s="24" customFormat="1" ht="10.5" customHeight="1">
      <c r="A29" s="202" t="s">
        <v>1770</v>
      </c>
      <c r="B29" s="1073" t="s">
        <v>1771</v>
      </c>
      <c r="C29" s="1073"/>
      <c r="D29" s="1073"/>
      <c r="E29" s="2085"/>
      <c r="F29" s="2087" t="s">
        <v>1772</v>
      </c>
      <c r="G29" s="2087"/>
      <c r="H29" s="2087"/>
      <c r="I29" s="2087"/>
      <c r="J29" s="2087"/>
      <c r="K29" s="2087"/>
      <c r="L29" s="2087"/>
      <c r="M29" s="2087"/>
      <c r="N29" s="2088"/>
      <c r="O29" s="2074">
        <f>SUM(O30:O41)</f>
        <v>0</v>
      </c>
      <c r="P29" s="2075"/>
      <c r="Q29" s="343"/>
      <c r="R29" s="110"/>
      <c r="S29" s="58"/>
    </row>
    <row r="30" spans="1:19" s="24" customFormat="1" ht="10.5" customHeight="1">
      <c r="A30" s="1401" t="s">
        <v>31</v>
      </c>
      <c r="B30" s="1360" t="s">
        <v>1773</v>
      </c>
      <c r="C30" s="1361"/>
      <c r="D30" s="1402"/>
      <c r="E30" s="1403">
        <f>$O$57</f>
        <v>10</v>
      </c>
      <c r="F30" s="2032" t="str">
        <f>$A$63</f>
        <v>The Mill at Stone Valley is located in scenic Ball Ground, Cherokee County, Georgia.  The proposed site is conveniently located in close proximity to many desirable amenities and events, as well as downtown Ball Ground itself, including schools, churches, banking and postal centers, and dining.  A new emergency services and fire station is close to the property, and growth in the Ball Ground/Cherokee area is projected to lead to greater job opportunities and other forms of economic development.  There are not any undesirable characteristics located near the site, nor is it located in a USDA-designated "food desert".</v>
      </c>
      <c r="G30" s="2033"/>
      <c r="H30" s="2033"/>
      <c r="I30" s="2033"/>
      <c r="J30" s="2033"/>
      <c r="K30" s="2033"/>
      <c r="L30" s="2033"/>
      <c r="M30" s="2033"/>
      <c r="N30" s="2034"/>
      <c r="O30" s="2110" t="s">
        <v>1762</v>
      </c>
      <c r="P30" s="2111"/>
      <c r="Q30" s="341"/>
      <c r="R30" s="110"/>
      <c r="S30" s="58"/>
    </row>
    <row r="31" spans="1:19" s="24" customFormat="1" ht="10.5" customHeight="1">
      <c r="A31" s="1061" t="s">
        <v>108</v>
      </c>
      <c r="B31" s="836" t="s">
        <v>1774</v>
      </c>
      <c r="C31" s="975"/>
      <c r="D31" s="1062"/>
      <c r="E31" s="1109">
        <f>$O$94</f>
        <v>2</v>
      </c>
      <c r="F31" s="2035" t="str">
        <f>$A$107</f>
        <v>The owner, developer, and sponsor of the Mill at Stone Valley commit to delivering a well-constructed, sustainable development, in accordance with the Earthcraft requirements.  The property will be Earthcraft House Multifamily-certified.  Please see the draft Earthcraft House Multifamily scoring sheet in Tab 29, along with a certification of the participation of Steve Johnson, one of the applicant's principals, in DCA's Green Building for Affordable Housing Training.    The developer and contractor have developed numerous properties under the Earthcraft program. 
The property will also meet the conditions for the High Performance Building Design.  On the latter, the design will demonstrate a worst-case HERS rating of 15% lower than the Energy Star index. Please refer to the report from Ed Foskey of Synergy Home Advantage in Dublin, Georgia, in Tab 29, detailing this, along with the draft HERS report and preliminary modeling report.</v>
      </c>
      <c r="G31" s="2036"/>
      <c r="H31" s="2036"/>
      <c r="I31" s="2036"/>
      <c r="J31" s="2036"/>
      <c r="K31" s="2036"/>
      <c r="L31" s="2036"/>
      <c r="M31" s="2036"/>
      <c r="N31" s="2037"/>
      <c r="O31" s="2065"/>
      <c r="P31" s="2066"/>
      <c r="Q31" s="2142" t="str">
        <f>IF(OR($A$63="",$A$107="",$A$290="",$A$185="",$A$224="",$A$266="",$A$312="",$A$342="",$A$358="",$A$392="",$A$410="",$A$429=""),"Some Applicant Scoring Justification boxes are empty! Check to see if points claimed.","")</f>
        <v/>
      </c>
      <c r="R31" s="2143"/>
      <c r="S31" s="2143"/>
    </row>
    <row r="32" spans="1:19" s="24" customFormat="1" ht="10.5" customHeight="1">
      <c r="A32" s="1061" t="s">
        <v>167</v>
      </c>
      <c r="B32" s="836" t="s">
        <v>1775</v>
      </c>
      <c r="C32" s="975"/>
      <c r="D32" s="1062"/>
      <c r="E32" s="1109">
        <f>$O$153</f>
        <v>3</v>
      </c>
      <c r="F32" s="2035" t="str">
        <f>$A$185</f>
        <v>The Mill at Stone Valley will be located in the Cherokee County School District, which offers quality education in some of the highest-scoring schools in the state.   The property will be served by Ball Ground Elementary School (which is within walking distance), Creekland Middle School, and Creekview High School.  CCRPI score reports and attendance zone maps are offered in Tab 31.  Please note that between 2015 and 2016, the district shifted the 6th grade from Ball Ground Elementary to the middle school level; the "Grades Served" indicated above represent the current structure.
Unfortunately, the 2-mile radius around the property does not yield the minimum number of jobs for the Workforce Housing Need above.</v>
      </c>
      <c r="G32" s="2036"/>
      <c r="H32" s="2036"/>
      <c r="I32" s="2036"/>
      <c r="J32" s="2036"/>
      <c r="K32" s="2036"/>
      <c r="L32" s="2036"/>
      <c r="M32" s="2036"/>
      <c r="N32" s="2037"/>
      <c r="O32" s="2072" t="s">
        <v>1763</v>
      </c>
      <c r="P32" s="2073"/>
      <c r="Q32" s="2142"/>
      <c r="R32" s="2143"/>
      <c r="S32" s="2143"/>
    </row>
    <row r="33" spans="1:19" s="24" customFormat="1" ht="10.5" customHeight="1">
      <c r="A33" s="1061" t="s">
        <v>173</v>
      </c>
      <c r="B33" s="836" t="s">
        <v>1776</v>
      </c>
      <c r="C33" s="975"/>
      <c r="D33" s="1062"/>
      <c r="E33" s="1180">
        <f>$O$189</f>
        <v>0</v>
      </c>
      <c r="F33" s="2040" t="str">
        <f>$A$224</f>
        <v>The Mill at Stone Valley is not in a Community Revitalization Area, and as a Stable Community (see below) is ineligible regardless.  Therefore this section is intentionally left blank.</v>
      </c>
      <c r="G33" s="2041"/>
      <c r="H33" s="2041"/>
      <c r="I33" s="2041"/>
      <c r="J33" s="2041"/>
      <c r="K33" s="2041"/>
      <c r="L33" s="2041"/>
      <c r="M33" s="2041"/>
      <c r="N33" s="2042"/>
      <c r="O33" s="2072" t="s">
        <v>1763</v>
      </c>
      <c r="P33" s="2073"/>
      <c r="Q33" s="2142"/>
      <c r="R33" s="2143"/>
      <c r="S33" s="2143"/>
    </row>
    <row r="34" spans="1:19" s="24" customFormat="1" ht="10.5" customHeight="1">
      <c r="A34" s="1067" t="s">
        <v>182</v>
      </c>
      <c r="B34" s="1068" t="s">
        <v>1777</v>
      </c>
      <c r="C34" s="1069"/>
      <c r="D34" s="1070"/>
      <c r="E34" s="1110" t="s">
        <v>1762</v>
      </c>
      <c r="F34" s="2069" t="str">
        <f>$A$266</f>
        <v>The Mill at Stone Valley is not subject to a Community Transformation Plan.  This section is intentionally left blank.</v>
      </c>
      <c r="G34" s="2070"/>
      <c r="H34" s="2070"/>
      <c r="I34" s="2070"/>
      <c r="J34" s="2070"/>
      <c r="K34" s="2070"/>
      <c r="L34" s="2070"/>
      <c r="M34" s="2070"/>
      <c r="N34" s="2071"/>
      <c r="O34" s="2065"/>
      <c r="P34" s="2066"/>
      <c r="Q34" s="2142"/>
      <c r="R34" s="2143"/>
      <c r="S34" s="2143"/>
    </row>
    <row r="35" spans="1:19" s="24" customFormat="1" ht="10.5" customHeight="1">
      <c r="A35" s="1061" t="s">
        <v>195</v>
      </c>
      <c r="B35" s="836" t="s">
        <v>1778</v>
      </c>
      <c r="C35" s="975"/>
      <c r="D35" s="1062"/>
      <c r="E35" s="1109">
        <f>$O$286</f>
        <v>0</v>
      </c>
      <c r="F35" s="2035" t="str">
        <f>$A$290</f>
        <v>The Mill at Stone Valley is subject to neither HUD Choice Neignborhood nor Purpose Built Communities program designations.</v>
      </c>
      <c r="G35" s="2036"/>
      <c r="H35" s="2036"/>
      <c r="I35" s="2036"/>
      <c r="J35" s="2036"/>
      <c r="K35" s="2036"/>
      <c r="L35" s="2036"/>
      <c r="M35" s="2036"/>
      <c r="N35" s="2037"/>
      <c r="O35" s="2065"/>
      <c r="P35" s="2066"/>
      <c r="Q35" s="2142"/>
      <c r="R35" s="2143"/>
      <c r="S35" s="2143"/>
    </row>
    <row r="36" spans="1:19" s="24" customFormat="1" ht="10.5" customHeight="1">
      <c r="A36" s="1061" t="s">
        <v>260</v>
      </c>
      <c r="B36" s="836" t="s">
        <v>1779</v>
      </c>
      <c r="C36" s="975"/>
      <c r="D36" s="1062"/>
      <c r="E36" s="1110">
        <f>$O$337</f>
        <v>1</v>
      </c>
      <c r="F36" s="2035" t="str">
        <f>$A$342</f>
        <v>The Mill at Stone Valley is the only application being submitted by this development team; therefore, the team claims the one Priority Point here.</v>
      </c>
      <c r="G36" s="2036"/>
      <c r="H36" s="2036"/>
      <c r="I36" s="2036"/>
      <c r="J36" s="2036"/>
      <c r="K36" s="2036"/>
      <c r="L36" s="2036"/>
      <c r="M36" s="2036"/>
      <c r="N36" s="2037"/>
      <c r="O36" s="2065"/>
      <c r="P36" s="2066"/>
      <c r="Q36" s="2142"/>
      <c r="R36" s="2143"/>
      <c r="S36" s="2143"/>
    </row>
    <row r="37" spans="1:19" s="24" customFormat="1" ht="10.5" customHeight="1">
      <c r="A37" s="1061" t="s">
        <v>1780</v>
      </c>
      <c r="B37" s="836" t="s">
        <v>1781</v>
      </c>
      <c r="C37" s="975"/>
      <c r="D37" s="1062"/>
      <c r="E37" s="1110">
        <f>$O$294</f>
        <v>4</v>
      </c>
      <c r="F37" s="2040" t="str">
        <f>$A$312</f>
        <v>There has never been a 9% Credit award to a property in the City of Ball Ground.</v>
      </c>
      <c r="G37" s="2041"/>
      <c r="H37" s="2041"/>
      <c r="I37" s="2041"/>
      <c r="J37" s="2041"/>
      <c r="K37" s="2041"/>
      <c r="L37" s="2041"/>
      <c r="M37" s="2041"/>
      <c r="N37" s="2042"/>
      <c r="O37" s="2065"/>
      <c r="P37" s="2066"/>
      <c r="Q37" s="2142"/>
      <c r="R37" s="2143"/>
      <c r="S37" s="2143"/>
    </row>
    <row r="38" spans="1:19" s="24" customFormat="1" ht="10.5" customHeight="1">
      <c r="A38" s="1067" t="s">
        <v>1482</v>
      </c>
      <c r="B38" s="1068" t="s">
        <v>1782</v>
      </c>
      <c r="C38" s="1069"/>
      <c r="D38" s="1070"/>
      <c r="E38" s="1179">
        <f>$O$346</f>
        <v>0</v>
      </c>
      <c r="F38" s="2069" t="str">
        <f>$A$358</f>
        <v>The Mill at Stone Valley is located in neither a GICH Community nor a Georgia-designated Military Zone</v>
      </c>
      <c r="G38" s="2070"/>
      <c r="H38" s="2070"/>
      <c r="I38" s="2070"/>
      <c r="J38" s="2070"/>
      <c r="K38" s="2070"/>
      <c r="L38" s="2070"/>
      <c r="M38" s="2070"/>
      <c r="N38" s="2071"/>
      <c r="O38" s="2065"/>
      <c r="P38" s="2066"/>
      <c r="Q38" s="2142"/>
      <c r="R38" s="2143"/>
      <c r="S38" s="2143"/>
    </row>
    <row r="39" spans="1:19" s="24" customFormat="1" ht="10.5" customHeight="1">
      <c r="A39" s="1061" t="s">
        <v>1486</v>
      </c>
      <c r="B39" s="836" t="s">
        <v>1783</v>
      </c>
      <c r="C39" s="975"/>
      <c r="D39" s="1062"/>
      <c r="E39" s="1109">
        <f>$O$362</f>
        <v>0</v>
      </c>
      <c r="F39" s="2035" t="str">
        <f>$A$392</f>
        <v>The owner, developer, and sponsor of the Mill at Stone Valley will be leveraging the private investment incentivized by the 9% Credit with conventional financing.  Therefore, no points will be claimed here.</v>
      </c>
      <c r="G39" s="2036"/>
      <c r="H39" s="2036"/>
      <c r="I39" s="2036"/>
      <c r="J39" s="2036"/>
      <c r="K39" s="2036"/>
      <c r="L39" s="2036"/>
      <c r="M39" s="2036"/>
      <c r="N39" s="2037"/>
      <c r="O39" s="2065"/>
      <c r="P39" s="2066"/>
      <c r="Q39" s="2142"/>
      <c r="R39" s="2143"/>
      <c r="S39" s="2143"/>
    </row>
    <row r="40" spans="1:19" s="24" customFormat="1" ht="10.5" customHeight="1">
      <c r="A40" s="1061" t="s">
        <v>1517</v>
      </c>
      <c r="B40" s="836" t="s">
        <v>1784</v>
      </c>
      <c r="C40" s="975"/>
      <c r="D40" s="1062"/>
      <c r="E40" s="1109">
        <f>$O$396</f>
        <v>2</v>
      </c>
      <c r="F40" s="2035" t="str">
        <f>$A$410</f>
        <v>The owner, developer, and sponsor of the Mill at Stone Valley agrees to assist DCA in meeting its obligations under the Olmstead Settlement by accepting Section 811 or other DCA rental assistance for up to 10% of the units in the property for Persons with Disabilities, as defined above.  Furthermore, at least 10% of the low-income units in the property will be one-bedroom units, as stipulated above.</v>
      </c>
      <c r="G40" s="2036"/>
      <c r="H40" s="2036"/>
      <c r="I40" s="2036"/>
      <c r="J40" s="2036"/>
      <c r="K40" s="2036"/>
      <c r="L40" s="2036"/>
      <c r="M40" s="2036"/>
      <c r="N40" s="2037"/>
      <c r="O40" s="2065"/>
      <c r="P40" s="2066"/>
      <c r="Q40" s="2142"/>
      <c r="R40" s="2143"/>
      <c r="S40" s="2143"/>
    </row>
    <row r="41" spans="1:19" s="24" customFormat="1" ht="10.5" customHeight="1">
      <c r="A41" s="1063" t="s">
        <v>1530</v>
      </c>
      <c r="B41" s="1064" t="s">
        <v>1785</v>
      </c>
      <c r="C41" s="1065"/>
      <c r="D41" s="1066"/>
      <c r="E41" s="1111">
        <f>$O$414</f>
        <v>0</v>
      </c>
      <c r="F41" s="2076" t="str">
        <f>$A$429</f>
        <v>The Mill at Stone Valley is the development of new affordable housing in Ball Ground, Cherokee County, Georgia, and is thus not subject to scoring for Historic Preservation.</v>
      </c>
      <c r="G41" s="2077"/>
      <c r="H41" s="2077"/>
      <c r="I41" s="2077"/>
      <c r="J41" s="2077"/>
      <c r="K41" s="2077"/>
      <c r="L41" s="2077"/>
      <c r="M41" s="2077"/>
      <c r="N41" s="2078"/>
      <c r="O41" s="2067"/>
      <c r="P41" s="2068"/>
      <c r="Q41" s="2142"/>
      <c r="R41" s="2143"/>
      <c r="S41" s="2143"/>
    </row>
    <row r="42" spans="1:19" s="25" customFormat="1" ht="3" customHeight="1" thickBot="1">
      <c r="D42" s="20"/>
      <c r="E42" s="20"/>
      <c r="F42" s="761"/>
      <c r="G42" s="761"/>
      <c r="H42" s="761"/>
      <c r="I42" s="761"/>
      <c r="J42" s="772"/>
      <c r="K42" s="772"/>
      <c r="L42" s="772"/>
      <c r="M42" s="1534"/>
      <c r="N42" s="761"/>
      <c r="O42" s="1527"/>
      <c r="P42" s="3"/>
    </row>
    <row r="43" spans="1:19" s="63" customFormat="1" ht="12" customHeight="1" thickBot="1">
      <c r="A43" s="107" t="s">
        <v>13</v>
      </c>
      <c r="B43" s="67" t="s">
        <v>1786</v>
      </c>
      <c r="E43" s="31"/>
      <c r="G43" s="156"/>
      <c r="H43" s="31"/>
      <c r="I43" s="27" t="s">
        <v>1787</v>
      </c>
      <c r="M43" s="761">
        <v>3</v>
      </c>
      <c r="N43" s="325"/>
      <c r="O43" s="981">
        <f>IF(AND(O47&gt;0,O51&gt;0),"AorB?",MIN($M$43,O47+O51))</f>
        <v>2</v>
      </c>
      <c r="P43" s="981">
        <f>IF(AND(P47&gt;0,P51&gt;0),"AorB?",MIN($M$43,P47+P51))</f>
        <v>0</v>
      </c>
      <c r="Q43" s="70" t="s">
        <v>834</v>
      </c>
      <c r="R43" s="280" t="str">
        <f>IF(OR($O43=$M43,$O43=0,$O43=""),"","* * Check Score! * *")</f>
        <v>* * Check Score! * *</v>
      </c>
    </row>
    <row r="44" spans="1:19" s="25" customFormat="1" ht="6" customHeight="1">
      <c r="A44" s="337"/>
      <c r="B44" s="73"/>
      <c r="E44" s="31"/>
      <c r="G44" s="52"/>
      <c r="H44" s="31"/>
      <c r="I44" s="27"/>
      <c r="K44" s="414"/>
      <c r="L44" s="760"/>
      <c r="M44" s="761"/>
      <c r="N44" s="325"/>
      <c r="O44" s="3"/>
      <c r="P44" s="3"/>
      <c r="Q44" s="70"/>
      <c r="R44" s="280"/>
    </row>
    <row r="45" spans="1:19" s="25" customFormat="1" ht="13.5" customHeight="1">
      <c r="A45" s="97" t="s">
        <v>110</v>
      </c>
      <c r="B45" s="780" t="s">
        <v>1788</v>
      </c>
      <c r="E45" s="31"/>
      <c r="G45" s="52"/>
      <c r="H45" s="2038" t="s">
        <v>1789</v>
      </c>
      <c r="I45" s="2038"/>
      <c r="J45" s="782">
        <f>'Part VI-Revenues &amp; Expenses'!$O$60</f>
        <v>72</v>
      </c>
      <c r="K45" s="781"/>
      <c r="M45" s="761"/>
      <c r="N45" s="325"/>
      <c r="Q45" s="325"/>
      <c r="R45" s="280"/>
    </row>
    <row r="46" spans="1:19" s="63" customFormat="1" ht="13.5" customHeight="1">
      <c r="A46" s="97"/>
      <c r="B46" s="2039" t="s">
        <v>1790</v>
      </c>
      <c r="C46" s="2039"/>
      <c r="D46" s="2039"/>
      <c r="E46" s="2039"/>
      <c r="F46" s="2039"/>
      <c r="G46" s="754"/>
      <c r="H46" s="890" t="s">
        <v>1569</v>
      </c>
      <c r="I46" s="890" t="s">
        <v>1791</v>
      </c>
      <c r="J46" s="754"/>
      <c r="K46" s="1860" t="s">
        <v>1792</v>
      </c>
      <c r="L46" s="1860"/>
      <c r="M46" s="761"/>
      <c r="N46" s="325"/>
      <c r="Q46" s="325"/>
      <c r="R46" s="280"/>
    </row>
    <row r="47" spans="1:19" s="63" customFormat="1" ht="13.5" customHeight="1">
      <c r="B47" s="2039"/>
      <c r="C47" s="2039"/>
      <c r="D47" s="2039"/>
      <c r="E47" s="2039"/>
      <c r="F47" s="2039"/>
      <c r="G47" s="1858" t="s">
        <v>1793</v>
      </c>
      <c r="H47" s="1858"/>
      <c r="I47" s="1858"/>
      <c r="J47" s="1858"/>
      <c r="K47" s="785" t="s">
        <v>1569</v>
      </c>
      <c r="L47" s="785" t="s">
        <v>1791</v>
      </c>
      <c r="M47" s="771">
        <v>2</v>
      </c>
      <c r="N47" s="291" t="s">
        <v>110</v>
      </c>
      <c r="O47" s="1404">
        <f>SUM(O48:O49)</f>
        <v>2</v>
      </c>
      <c r="P47" s="1404">
        <f>SUM(P48:P49)</f>
        <v>0</v>
      </c>
    </row>
    <row r="48" spans="1:19" s="322" customFormat="1" ht="13.5" customHeight="1">
      <c r="A48" s="321"/>
      <c r="B48" s="469" t="s">
        <v>379</v>
      </c>
      <c r="C48" s="470">
        <v>0.15</v>
      </c>
      <c r="D48" s="98" t="s">
        <v>1794</v>
      </c>
      <c r="H48" s="2309"/>
      <c r="I48" s="1099"/>
      <c r="K48" s="471">
        <f>IF(OR('Part VI-Revenues &amp; Expenses'!$O$60="", 'Part VI-Revenues &amp; Expenses'!$O$60=0),0,H48/'Part VI-Revenues &amp; Expenses'!$O$60)</f>
        <v>0</v>
      </c>
      <c r="L48" s="471">
        <f>IF(OR('Part VI-Revenues &amp; Expenses'!$O$60="", 'Part VI-Revenues &amp; Expenses'!$O$60=0),0,I48/'Part VI-Revenues &amp; Expenses'!$O$60)</f>
        <v>0</v>
      </c>
      <c r="M48" s="912">
        <v>1</v>
      </c>
      <c r="N48" s="291" t="s">
        <v>379</v>
      </c>
      <c r="O48" s="783">
        <f>IF(AND(K48 &gt;= $C$48,K48&lt;$C$49),$M48,0)</f>
        <v>0</v>
      </c>
      <c r="P48" s="783">
        <f>IF(AND(L48 &gt;= $C$48,L48&lt;$C$49),$M48,0)</f>
        <v>0</v>
      </c>
    </row>
    <row r="49" spans="1:18" s="322" customFormat="1" ht="13.5" customHeight="1">
      <c r="A49" s="477" t="s">
        <v>1795</v>
      </c>
      <c r="B49" s="469" t="s">
        <v>389</v>
      </c>
      <c r="C49" s="470">
        <v>0.2</v>
      </c>
      <c r="D49" s="98" t="s">
        <v>1794</v>
      </c>
      <c r="H49" s="2310">
        <v>15</v>
      </c>
      <c r="I49" s="1100"/>
      <c r="K49" s="891">
        <f>IF(OR('Part VI-Revenues &amp; Expenses'!$O$60="", 'Part VI-Revenues &amp; Expenses'!$O$60=0),0,H49/'Part VI-Revenues &amp; Expenses'!$O$60)</f>
        <v>0.20833333333333334</v>
      </c>
      <c r="L49" s="891">
        <f>IF(OR('Part VI-Revenues &amp; Expenses'!$O$60="", 'Part VI-Revenues &amp; Expenses'!$O$60=0),0,I49/'Part VI-Revenues &amp; Expenses'!$O$60)</f>
        <v>0</v>
      </c>
      <c r="M49" s="912">
        <v>2</v>
      </c>
      <c r="N49" s="291" t="s">
        <v>389</v>
      </c>
      <c r="O49" s="784">
        <f>IF(K49&gt;=$C$49,$M49,0)</f>
        <v>2</v>
      </c>
      <c r="P49" s="784">
        <f>IF(L49&gt;=$C$49,$M49,0)</f>
        <v>0</v>
      </c>
    </row>
    <row r="50" spans="1:18" s="322" customFormat="1" ht="6.75" customHeight="1">
      <c r="A50" s="477"/>
      <c r="B50" s="469"/>
      <c r="C50" s="470"/>
      <c r="D50" s="98"/>
      <c r="K50" s="779"/>
      <c r="L50" s="779"/>
      <c r="M50" s="912"/>
      <c r="N50" s="291"/>
      <c r="O50" s="787"/>
      <c r="P50" s="787"/>
    </row>
    <row r="51" spans="1:18" s="322" customFormat="1" ht="13.5" customHeight="1">
      <c r="A51" s="97" t="s">
        <v>121</v>
      </c>
      <c r="B51" s="780" t="s">
        <v>1796</v>
      </c>
      <c r="E51" s="35"/>
      <c r="H51" s="1858" t="s">
        <v>1797</v>
      </c>
      <c r="I51" s="1858"/>
      <c r="M51" s="771">
        <v>3</v>
      </c>
      <c r="N51" s="113" t="s">
        <v>121</v>
      </c>
      <c r="O51" s="1404">
        <f>IF(AND(O52="Yes", O53="Yes"),$M$51,0)</f>
        <v>0</v>
      </c>
      <c r="P51" s="1404">
        <f>IF(AND(P52="Yes", P53="Yes"),$M$51,0)</f>
        <v>0</v>
      </c>
    </row>
    <row r="52" spans="1:18" s="322" customFormat="1" ht="13.5" customHeight="1">
      <c r="A52" s="321"/>
      <c r="B52" s="469" t="s">
        <v>379</v>
      </c>
      <c r="C52" s="470">
        <v>0.3</v>
      </c>
      <c r="D52" s="98" t="s">
        <v>1798</v>
      </c>
      <c r="E52" s="35"/>
      <c r="F52" s="758"/>
      <c r="H52" s="2311"/>
      <c r="I52" s="1405"/>
      <c r="J52" s="745"/>
      <c r="K52" s="1406">
        <f>IF(OR('Part VI-Revenues &amp; Expenses'!$O$60="", 'Part VI-Revenues &amp; Expenses'!$O$60=0),0,H52/'Part VI-Revenues &amp; Expenses'!$O$60)</f>
        <v>0</v>
      </c>
      <c r="L52" s="1406">
        <f>IF(OR('Part VI-Revenues &amp; Expenses'!$O$60="", 'Part VI-Revenues &amp; Expenses'!$O$60=0),0,I52/'Part VI-Revenues &amp; Expenses'!$O$60)</f>
        <v>0</v>
      </c>
      <c r="M52" s="912"/>
      <c r="N52" s="291" t="s">
        <v>379</v>
      </c>
      <c r="O52" s="783" t="str">
        <f>IF(K52 &gt;= $C$52,"Yes","No")</f>
        <v>No</v>
      </c>
      <c r="P52" s="783" t="str">
        <f>IF(L52 &gt;= $C$52,"Yes","No")</f>
        <v>No</v>
      </c>
    </row>
    <row r="53" spans="1:18" s="322" customFormat="1" ht="13.5" customHeight="1">
      <c r="A53" s="477"/>
      <c r="B53" s="469" t="s">
        <v>389</v>
      </c>
      <c r="C53" s="758" t="s">
        <v>1799</v>
      </c>
      <c r="E53" s="816"/>
      <c r="F53" s="758"/>
      <c r="I53" s="786"/>
      <c r="J53" s="786"/>
      <c r="K53" s="786"/>
      <c r="L53" s="786"/>
      <c r="M53" s="786"/>
      <c r="N53" s="291" t="s">
        <v>389</v>
      </c>
      <c r="O53" s="2312"/>
      <c r="P53" s="427"/>
    </row>
    <row r="54" spans="1:18" s="25" customFormat="1" ht="10.5" customHeight="1">
      <c r="A54" s="58"/>
      <c r="B54" s="60" t="s">
        <v>1276</v>
      </c>
      <c r="C54" s="322"/>
      <c r="D54" s="50"/>
      <c r="E54" s="1532"/>
      <c r="F54" s="1532"/>
      <c r="G54" s="1532"/>
      <c r="H54" s="1532"/>
      <c r="I54" s="1532"/>
      <c r="J54" s="1532"/>
      <c r="K54" s="1532"/>
      <c r="L54" s="1532"/>
      <c r="M54" s="1532"/>
      <c r="N54" s="1343"/>
      <c r="O54" s="44"/>
      <c r="P54" s="1523"/>
      <c r="Q54" s="322"/>
    </row>
    <row r="55" spans="1:18" s="25" customFormat="1" ht="11.25" customHeight="1">
      <c r="A55" s="1835"/>
      <c r="B55" s="1836"/>
      <c r="C55" s="1836"/>
      <c r="D55" s="1836"/>
      <c r="E55" s="1836"/>
      <c r="F55" s="1836"/>
      <c r="G55" s="1836"/>
      <c r="H55" s="1836"/>
      <c r="I55" s="1836"/>
      <c r="J55" s="1836"/>
      <c r="K55" s="1836"/>
      <c r="L55" s="1836"/>
      <c r="M55" s="1836"/>
      <c r="N55" s="1836"/>
      <c r="O55" s="1836"/>
      <c r="P55" s="1837"/>
      <c r="Q55" s="341"/>
    </row>
    <row r="56" spans="1:18" ht="3" customHeight="1" thickBot="1">
      <c r="N56" s="79"/>
    </row>
    <row r="57" spans="1:18" s="25" customFormat="1" ht="12.6" customHeight="1" thickBot="1">
      <c r="A57" s="107" t="s">
        <v>31</v>
      </c>
      <c r="B57" s="66" t="s">
        <v>1800</v>
      </c>
      <c r="D57" s="23"/>
      <c r="I57" s="1804" t="s">
        <v>1801</v>
      </c>
      <c r="J57" s="1804"/>
      <c r="K57" s="1804"/>
      <c r="L57" s="892"/>
      <c r="M57" s="1523">
        <v>10</v>
      </c>
      <c r="N57" s="363"/>
      <c r="O57" s="981">
        <f>IF(OR($M60-O61&lt;0,O60-O61&lt;0),0,IF(O60&lt;=$M60,O60-O61,IF(O60&gt;$M60,$M60-O61,0)))</f>
        <v>10</v>
      </c>
      <c r="P57" s="981">
        <f>IF(OR($M60-P61&lt;0,P60-P61&lt;0),0,IF(P60&lt;=$M60,P60-P61,IF(P60&gt;$M60,$M60-P61,0)))</f>
        <v>0</v>
      </c>
      <c r="Q57" s="70" t="s">
        <v>834</v>
      </c>
    </row>
    <row r="58" spans="1:18" s="25" customFormat="1" ht="3" customHeight="1">
      <c r="A58" s="58"/>
      <c r="D58" s="20"/>
      <c r="E58" s="20"/>
      <c r="F58" s="761"/>
      <c r="G58" s="761"/>
      <c r="H58" s="892"/>
      <c r="I58" s="892"/>
      <c r="J58" s="892"/>
      <c r="K58" s="892"/>
      <c r="L58" s="892"/>
      <c r="M58" s="1534"/>
      <c r="N58" s="761"/>
      <c r="O58" s="1527"/>
      <c r="P58" s="3"/>
    </row>
    <row r="59" spans="1:18" s="25" customFormat="1" ht="12" customHeight="1">
      <c r="A59" s="97"/>
      <c r="B59" s="33" t="s">
        <v>1802</v>
      </c>
      <c r="D59" s="18"/>
      <c r="N59" s="363"/>
      <c r="O59" s="2313" t="s">
        <v>22</v>
      </c>
      <c r="P59" s="425"/>
    </row>
    <row r="60" spans="1:18" s="25" customFormat="1" ht="12" customHeight="1">
      <c r="A60" s="97" t="s">
        <v>110</v>
      </c>
      <c r="B60" s="117" t="s">
        <v>1803</v>
      </c>
      <c r="C60" s="4"/>
      <c r="D60" s="4"/>
      <c r="F60" s="205"/>
      <c r="G60" s="124" t="s">
        <v>1804</v>
      </c>
      <c r="I60" s="2063" t="s">
        <v>1805</v>
      </c>
      <c r="J60" s="2063"/>
      <c r="K60" s="2063"/>
      <c r="L60" s="2063"/>
      <c r="M60" s="45">
        <v>10</v>
      </c>
      <c r="N60" s="126" t="s">
        <v>110</v>
      </c>
      <c r="O60" s="2314">
        <v>10</v>
      </c>
      <c r="P60" s="875"/>
      <c r="Q60" s="887" t="str">
        <f>IF(OR($O60=$M60,$O60=0,$O60=""),"","*CHECK!*")</f>
        <v/>
      </c>
      <c r="R60" s="1018" t="s">
        <v>1806</v>
      </c>
    </row>
    <row r="61" spans="1:18" s="25" customFormat="1" ht="12.6" customHeight="1">
      <c r="A61" s="97" t="s">
        <v>121</v>
      </c>
      <c r="B61" s="117" t="s">
        <v>1807</v>
      </c>
      <c r="D61" s="23"/>
      <c r="F61" s="294"/>
      <c r="G61" s="124" t="s">
        <v>1808</v>
      </c>
      <c r="I61" s="2063"/>
      <c r="J61" s="2063"/>
      <c r="K61" s="2063"/>
      <c r="L61" s="2063"/>
      <c r="M61" s="1529" t="s">
        <v>1809</v>
      </c>
      <c r="N61" s="363" t="s">
        <v>121</v>
      </c>
      <c r="O61" s="2315">
        <v>0</v>
      </c>
      <c r="P61" s="996"/>
      <c r="R61" s="1018" t="s">
        <v>1806</v>
      </c>
    </row>
    <row r="62" spans="1:18" s="25" customFormat="1" ht="11.25" customHeight="1" thickBot="1">
      <c r="A62" s="58"/>
      <c r="B62" s="1089" t="s">
        <v>1810</v>
      </c>
      <c r="C62" s="58"/>
      <c r="D62" s="71"/>
      <c r="E62" s="71"/>
      <c r="F62" s="71"/>
      <c r="G62" s="71"/>
      <c r="H62" s="20"/>
      <c r="I62" s="2064"/>
      <c r="J62" s="2064"/>
      <c r="K62" s="2064"/>
      <c r="L62" s="2064"/>
      <c r="M62" s="45"/>
      <c r="N62" s="840"/>
      <c r="O62" s="3"/>
      <c r="P62" s="1527"/>
    </row>
    <row r="63" spans="1:18" s="25" customFormat="1" ht="47.25" customHeight="1" thickTop="1" thickBot="1">
      <c r="A63" s="2316" t="s">
        <v>4672</v>
      </c>
      <c r="B63" s="2317"/>
      <c r="C63" s="2317"/>
      <c r="D63" s="2317"/>
      <c r="E63" s="2317"/>
      <c r="F63" s="2317"/>
      <c r="G63" s="2317"/>
      <c r="H63" s="2317"/>
      <c r="I63" s="2317"/>
      <c r="J63" s="2317"/>
      <c r="K63" s="2317"/>
      <c r="L63" s="2317"/>
      <c r="M63" s="2317"/>
      <c r="N63" s="2317"/>
      <c r="O63" s="2317"/>
      <c r="P63" s="2318"/>
      <c r="Q63" s="961" t="s">
        <v>1275</v>
      </c>
      <c r="R63" s="342"/>
    </row>
    <row r="64" spans="1:18" s="25" customFormat="1" ht="11.45" customHeight="1" thickTop="1">
      <c r="A64" s="58"/>
      <c r="B64" s="41" t="s">
        <v>1276</v>
      </c>
      <c r="C64" s="58"/>
      <c r="D64" s="95"/>
      <c r="E64" s="1532"/>
      <c r="F64" s="1532"/>
      <c r="G64" s="1532"/>
      <c r="H64" s="1532"/>
      <c r="I64" s="1532"/>
      <c r="J64" s="1532"/>
      <c r="K64" s="1532"/>
      <c r="L64" s="1532"/>
      <c r="M64" s="1532"/>
      <c r="N64" s="1343"/>
      <c r="O64" s="44"/>
      <c r="P64" s="1523"/>
      <c r="Q64" s="322"/>
      <c r="R64" s="322"/>
    </row>
    <row r="65" spans="1:21" s="25" customFormat="1" ht="11.25" customHeight="1">
      <c r="A65" s="1835"/>
      <c r="B65" s="1836"/>
      <c r="C65" s="1836"/>
      <c r="D65" s="1836"/>
      <c r="E65" s="1836"/>
      <c r="F65" s="1836"/>
      <c r="G65" s="1836"/>
      <c r="H65" s="1836"/>
      <c r="I65" s="1836"/>
      <c r="J65" s="1836"/>
      <c r="K65" s="1836"/>
      <c r="L65" s="1836"/>
      <c r="M65" s="1836"/>
      <c r="N65" s="1836"/>
      <c r="O65" s="1836"/>
      <c r="P65" s="1837"/>
      <c r="Q65" s="341"/>
      <c r="R65" s="342"/>
    </row>
    <row r="66" spans="1:21" ht="3.6" customHeight="1" thickBot="1">
      <c r="M66" s="18"/>
      <c r="N66" s="1010"/>
      <c r="O66" s="105"/>
      <c r="P66" s="105"/>
    </row>
    <row r="67" spans="1:21" s="25" customFormat="1" ht="12.6" customHeight="1" thickBot="1">
      <c r="A67" s="107" t="s">
        <v>57</v>
      </c>
      <c r="B67" s="66" t="s">
        <v>1811</v>
      </c>
      <c r="D67" s="23"/>
      <c r="K67" s="886" t="s">
        <v>1812</v>
      </c>
      <c r="M67" s="1523">
        <v>6</v>
      </c>
      <c r="N67" s="363"/>
      <c r="O67" s="981">
        <f>IF($J$68="Flexible",MIN($M67,MAX(O80,O84)),IF(AND($J$68="Rural",O89&gt;0),MIN($M89,O89),0))</f>
        <v>2</v>
      </c>
      <c r="P67" s="981">
        <f>IF($J$68="Flexible",MIN($M67,MAX(P80,P84)),IF(AND($J$68="Rural",P89&gt;0),MIN($M89,P89),0))</f>
        <v>0</v>
      </c>
      <c r="Q67" s="70" t="s">
        <v>834</v>
      </c>
      <c r="R67" s="1923" t="s">
        <v>1813</v>
      </c>
      <c r="S67" s="1923"/>
      <c r="T67" s="1923"/>
      <c r="U67" s="1923"/>
    </row>
    <row r="68" spans="1:21" s="25" customFormat="1" ht="17.25" customHeight="1">
      <c r="A68" s="107"/>
      <c r="B68" s="71" t="s">
        <v>1814</v>
      </c>
      <c r="D68" s="23"/>
      <c r="H68" s="117" t="s">
        <v>1815</v>
      </c>
      <c r="I68" s="410"/>
      <c r="J68" s="408" t="str">
        <f>'Part I-Project Information'!$H$100</f>
        <v>Rural</v>
      </c>
      <c r="K68" s="71"/>
      <c r="M68" s="1523"/>
      <c r="N68" s="363"/>
      <c r="O68" s="884" t="s">
        <v>1816</v>
      </c>
      <c r="P68" s="884" t="s">
        <v>1817</v>
      </c>
      <c r="Q68" s="70"/>
      <c r="R68" s="1923"/>
      <c r="S68" s="1923"/>
      <c r="T68" s="1923"/>
      <c r="U68" s="1923"/>
    </row>
    <row r="69" spans="1:21" s="25" customFormat="1" ht="11.25" customHeight="1">
      <c r="A69" s="107"/>
      <c r="B69" s="377" t="s">
        <v>379</v>
      </c>
      <c r="C69" s="33" t="s">
        <v>1818</v>
      </c>
      <c r="D69" s="23"/>
      <c r="H69" s="27"/>
      <c r="I69" s="29"/>
      <c r="J69" s="71"/>
      <c r="K69" s="71"/>
      <c r="M69" s="1523"/>
      <c r="N69" s="363"/>
      <c r="O69" s="2313" t="s">
        <v>22</v>
      </c>
      <c r="P69" s="425"/>
      <c r="Q69" s="70"/>
      <c r="R69" s="1923"/>
      <c r="S69" s="1923"/>
      <c r="T69" s="1923"/>
      <c r="U69" s="1923"/>
    </row>
    <row r="70" spans="1:21" s="25" customFormat="1" ht="11.25" customHeight="1">
      <c r="A70" s="107"/>
      <c r="B70" s="377" t="s">
        <v>389</v>
      </c>
      <c r="C70" s="33" t="s">
        <v>1819</v>
      </c>
      <c r="D70" s="23"/>
      <c r="H70" s="27"/>
      <c r="I70" s="29"/>
      <c r="J70" s="71"/>
      <c r="K70" s="71"/>
      <c r="N70" s="363"/>
      <c r="O70" s="2319" t="s">
        <v>22</v>
      </c>
      <c r="P70" s="426"/>
      <c r="Q70" s="70"/>
      <c r="R70" s="1923"/>
      <c r="S70" s="1923"/>
      <c r="T70" s="1923"/>
      <c r="U70" s="1923"/>
    </row>
    <row r="71" spans="1:21" s="25" customFormat="1" ht="11.25" customHeight="1">
      <c r="A71" s="107"/>
      <c r="B71" s="377" t="s">
        <v>393</v>
      </c>
      <c r="C71" s="33" t="s">
        <v>1820</v>
      </c>
      <c r="D71" s="23"/>
      <c r="H71" s="27"/>
      <c r="I71" s="29"/>
      <c r="J71" s="71"/>
      <c r="K71" s="71"/>
      <c r="N71" s="363"/>
      <c r="O71" s="2312" t="s">
        <v>22</v>
      </c>
      <c r="P71" s="427"/>
      <c r="Q71" s="70"/>
      <c r="R71" s="1923"/>
      <c r="S71" s="1923"/>
      <c r="T71" s="1923"/>
      <c r="U71" s="1923"/>
    </row>
    <row r="72" spans="1:21" s="25" customFormat="1" ht="3" customHeight="1">
      <c r="A72" s="107"/>
      <c r="B72" s="66"/>
      <c r="D72" s="23"/>
      <c r="H72" s="27"/>
      <c r="I72" s="29"/>
      <c r="J72" s="71"/>
      <c r="K72" s="71"/>
      <c r="M72" s="1523"/>
      <c r="N72" s="363"/>
      <c r="O72" s="3"/>
      <c r="P72" s="3"/>
      <c r="Q72" s="70"/>
      <c r="R72" s="1923"/>
      <c r="S72" s="1923"/>
      <c r="T72" s="1923"/>
      <c r="U72" s="1923"/>
    </row>
    <row r="73" spans="1:21" s="25" customFormat="1" ht="13.5" customHeight="1">
      <c r="A73" s="107"/>
      <c r="B73" s="71" t="s">
        <v>1821</v>
      </c>
      <c r="D73" s="23"/>
      <c r="F73" s="2129" t="s">
        <v>70</v>
      </c>
      <c r="G73" s="2129"/>
      <c r="H73" s="2129"/>
      <c r="I73" s="2129"/>
      <c r="J73" s="2129" t="s">
        <v>71</v>
      </c>
      <c r="K73" s="2129"/>
      <c r="L73" s="2129"/>
      <c r="M73" s="2129"/>
      <c r="N73" s="363"/>
      <c r="O73" s="2137" t="s">
        <v>1822</v>
      </c>
      <c r="P73" s="2138"/>
      <c r="Q73" s="70"/>
      <c r="R73" s="1923"/>
      <c r="S73" s="1923"/>
      <c r="T73" s="1923"/>
      <c r="U73" s="1923"/>
    </row>
    <row r="74" spans="1:21" s="25" customFormat="1" ht="12.75" customHeight="1">
      <c r="A74" s="107"/>
      <c r="C74" s="389" t="s">
        <v>1823</v>
      </c>
      <c r="D74" s="494"/>
      <c r="E74" s="181"/>
      <c r="F74" s="2320">
        <v>34.329286000000003</v>
      </c>
      <c r="G74" s="2321"/>
      <c r="H74" s="2140"/>
      <c r="I74" s="2141"/>
      <c r="J74" s="2320">
        <v>-84.386528999999996</v>
      </c>
      <c r="K74" s="2321"/>
      <c r="L74" s="2140"/>
      <c r="M74" s="2141"/>
      <c r="N74" s="363"/>
      <c r="Q74" s="70"/>
      <c r="R74" s="1923"/>
      <c r="S74" s="1923"/>
      <c r="T74" s="1923"/>
      <c r="U74" s="1923"/>
    </row>
    <row r="75" spans="1:21" s="25" customFormat="1" ht="12.75" customHeight="1">
      <c r="B75" s="974"/>
      <c r="D75" s="1042" t="s">
        <v>1824</v>
      </c>
      <c r="E75" s="181"/>
      <c r="F75" s="2322">
        <v>34.329286000000003</v>
      </c>
      <c r="G75" s="2323"/>
      <c r="H75" s="2049"/>
      <c r="I75" s="2050"/>
      <c r="J75" s="2322">
        <v>-84.386528999999996</v>
      </c>
      <c r="K75" s="2323"/>
      <c r="L75" s="2049"/>
      <c r="M75" s="2050"/>
      <c r="N75" s="363"/>
      <c r="O75" s="2324">
        <v>0</v>
      </c>
      <c r="P75" s="1407"/>
      <c r="Q75" s="70"/>
      <c r="R75" s="1923"/>
      <c r="S75" s="1923"/>
      <c r="T75" s="1923"/>
      <c r="U75" s="1923"/>
    </row>
    <row r="76" spans="1:21" s="25" customFormat="1" ht="12.75" customHeight="1">
      <c r="A76" s="2144" t="s">
        <v>1825</v>
      </c>
      <c r="B76" s="2144"/>
      <c r="C76" s="389" t="s">
        <v>1826</v>
      </c>
      <c r="D76" s="494"/>
      <c r="E76" s="181"/>
      <c r="F76" s="2325"/>
      <c r="G76" s="2326"/>
      <c r="H76" s="2051"/>
      <c r="I76" s="2052"/>
      <c r="J76" s="2325"/>
      <c r="K76" s="2326"/>
      <c r="L76" s="2051"/>
      <c r="M76" s="2052"/>
      <c r="N76" s="363"/>
      <c r="O76" s="2327"/>
      <c r="P76" s="1050"/>
      <c r="Q76" s="70"/>
      <c r="R76" s="1923"/>
      <c r="S76" s="1923"/>
      <c r="T76" s="1923"/>
      <c r="U76" s="1923"/>
    </row>
    <row r="77" spans="1:21" s="25" customFormat="1" ht="12.75" customHeight="1">
      <c r="A77" s="2144"/>
      <c r="B77" s="2144"/>
      <c r="D77" s="1042" t="s">
        <v>1827</v>
      </c>
      <c r="E77" s="181"/>
      <c r="F77" s="2328"/>
      <c r="G77" s="2329"/>
      <c r="H77" s="2127"/>
      <c r="I77" s="2128"/>
      <c r="J77" s="2328"/>
      <c r="K77" s="2329"/>
      <c r="L77" s="2127"/>
      <c r="M77" s="2128"/>
      <c r="N77" s="363"/>
      <c r="O77" s="2330"/>
      <c r="P77" s="1049"/>
      <c r="Q77" s="70"/>
      <c r="R77" s="1923"/>
      <c r="S77" s="1923"/>
      <c r="T77" s="1923"/>
      <c r="U77" s="1923"/>
    </row>
    <row r="78" spans="1:21" s="25" customFormat="1" ht="3" customHeight="1">
      <c r="A78" s="107"/>
      <c r="B78" s="66"/>
      <c r="D78" s="23"/>
      <c r="H78" s="27"/>
      <c r="I78" s="29"/>
      <c r="J78" s="71"/>
      <c r="K78" s="71"/>
      <c r="M78" s="1523"/>
      <c r="N78" s="363"/>
      <c r="O78" s="3"/>
      <c r="P78" s="3"/>
      <c r="Q78" s="70"/>
      <c r="R78" s="997"/>
      <c r="S78" s="997"/>
      <c r="T78" s="997"/>
      <c r="U78" s="997"/>
    </row>
    <row r="79" spans="1:21" s="25" customFormat="1" ht="12.6" customHeight="1">
      <c r="A79" s="409" t="s">
        <v>1828</v>
      </c>
      <c r="B79" s="66"/>
      <c r="D79" s="23"/>
      <c r="F79" s="37" t="s">
        <v>1829</v>
      </c>
      <c r="M79" s="1523"/>
      <c r="N79" s="1523"/>
      <c r="O79" s="1523"/>
      <c r="P79" s="1523"/>
      <c r="Q79" s="70"/>
      <c r="R79" s="997"/>
      <c r="S79" s="997"/>
      <c r="T79" s="997"/>
      <c r="U79" s="997"/>
    </row>
    <row r="80" spans="1:21" s="25" customFormat="1" ht="12.6" customHeight="1">
      <c r="A80" s="101" t="s">
        <v>110</v>
      </c>
      <c r="B80" s="117" t="s">
        <v>1830</v>
      </c>
      <c r="D80" s="23"/>
      <c r="F80" s="27" t="s">
        <v>1831</v>
      </c>
      <c r="I80" s="2139" t="s">
        <v>1832</v>
      </c>
      <c r="J80" s="2139"/>
      <c r="K80" s="2139"/>
      <c r="L80" s="2139"/>
      <c r="M80" s="1523">
        <v>6</v>
      </c>
      <c r="N80" s="291" t="s">
        <v>110</v>
      </c>
      <c r="O80" s="1408">
        <f>IF($J$68="Flexible",MIN($M80,O81+O82+O83),0)</f>
        <v>0</v>
      </c>
      <c r="P80" s="1408">
        <f>IF($J$68="Flexible",MIN($M80,P81+P82+P83),0)</f>
        <v>0</v>
      </c>
      <c r="Q80" s="70"/>
    </row>
    <row r="81" spans="1:18" s="309" customFormat="1" ht="23.25" customHeight="1">
      <c r="B81" s="336" t="s">
        <v>379</v>
      </c>
      <c r="C81" s="1834" t="s">
        <v>1833</v>
      </c>
      <c r="D81" s="1834"/>
      <c r="E81" s="1834"/>
      <c r="F81" s="1834"/>
      <c r="G81" s="1834"/>
      <c r="H81" s="1834"/>
      <c r="I81" s="2139"/>
      <c r="J81" s="2139"/>
      <c r="K81" s="2139"/>
      <c r="L81" s="2139"/>
      <c r="M81" s="405">
        <v>5</v>
      </c>
      <c r="N81" s="377" t="s">
        <v>379</v>
      </c>
      <c r="O81" s="2331"/>
      <c r="P81" s="735"/>
      <c r="Q81" s="887" t="str">
        <f>IF(OR($O81=$M81,$O81=0,$O81=""),"","*CHECK!*")</f>
        <v/>
      </c>
      <c r="R81" s="1018" t="s">
        <v>1806</v>
      </c>
    </row>
    <row r="82" spans="1:18" s="309" customFormat="1" ht="12" customHeight="1">
      <c r="A82" s="477" t="s">
        <v>515</v>
      </c>
      <c r="B82" s="336" t="s">
        <v>389</v>
      </c>
      <c r="C82" s="292" t="s">
        <v>1834</v>
      </c>
      <c r="D82" s="292"/>
      <c r="E82" s="292"/>
      <c r="F82" s="292"/>
      <c r="G82" s="292"/>
      <c r="H82" s="292"/>
      <c r="I82" s="2139"/>
      <c r="J82" s="2139"/>
      <c r="K82" s="2139"/>
      <c r="L82" s="2139"/>
      <c r="M82" s="405">
        <v>4</v>
      </c>
      <c r="N82" s="377" t="s">
        <v>389</v>
      </c>
      <c r="O82" s="2314"/>
      <c r="P82" s="875"/>
      <c r="Q82" s="887" t="str">
        <f t="shared" ref="Q82:Q83" si="0">IF(OR($O82=$M82,$O82=0,$O82=""),"","*CHECK!*")</f>
        <v/>
      </c>
      <c r="R82" s="1018" t="s">
        <v>1806</v>
      </c>
    </row>
    <row r="83" spans="1:18" s="309" customFormat="1" ht="12" customHeight="1">
      <c r="B83" s="336" t="s">
        <v>393</v>
      </c>
      <c r="C83" s="292" t="s">
        <v>1835</v>
      </c>
      <c r="D83" s="292"/>
      <c r="E83" s="292"/>
      <c r="F83" s="292"/>
      <c r="G83" s="363" t="s">
        <v>1836</v>
      </c>
      <c r="H83" s="1048" t="str">
        <f>'Part I-Project Information'!$H$78</f>
        <v>Family</v>
      </c>
      <c r="I83" s="2332" t="s">
        <v>4712</v>
      </c>
      <c r="J83" s="2333"/>
      <c r="K83" s="2333"/>
      <c r="L83" s="2334">
        <v>7703456238</v>
      </c>
      <c r="M83" s="405">
        <v>1</v>
      </c>
      <c r="N83" s="377" t="s">
        <v>393</v>
      </c>
      <c r="O83" s="2315"/>
      <c r="P83" s="996"/>
      <c r="Q83" s="887" t="str">
        <f t="shared" si="0"/>
        <v/>
      </c>
      <c r="R83" s="1018" t="s">
        <v>1806</v>
      </c>
    </row>
    <row r="84" spans="1:18" s="309" customFormat="1" ht="12" customHeight="1">
      <c r="A84" s="101" t="s">
        <v>121</v>
      </c>
      <c r="B84" s="1017" t="s">
        <v>1837</v>
      </c>
      <c r="C84" s="520"/>
      <c r="D84" s="520"/>
      <c r="E84" s="520"/>
      <c r="F84" s="991" t="s">
        <v>1838</v>
      </c>
      <c r="I84" s="2335"/>
      <c r="J84" s="2336"/>
      <c r="K84" s="2336"/>
      <c r="L84" s="2337"/>
      <c r="M84" s="837">
        <v>3</v>
      </c>
      <c r="N84" s="113" t="s">
        <v>121</v>
      </c>
      <c r="O84" s="1408">
        <f>IF($J$68="Flexible",MIN($M84,O85+O86+O87),0)</f>
        <v>0</v>
      </c>
      <c r="P84" s="1408">
        <f>IF($J$68="Flexible",MIN($M84,P85+P86+P87),0)</f>
        <v>0</v>
      </c>
      <c r="Q84" s="406"/>
      <c r="R84" s="290"/>
    </row>
    <row r="85" spans="1:18" s="309" customFormat="1" ht="12" customHeight="1">
      <c r="A85" s="97"/>
      <c r="B85" s="336" t="s">
        <v>379</v>
      </c>
      <c r="C85" s="2002" t="s">
        <v>1839</v>
      </c>
      <c r="D85" s="2002"/>
      <c r="E85" s="2002"/>
      <c r="F85" s="2002"/>
      <c r="G85" s="2002"/>
      <c r="H85" s="2123"/>
      <c r="I85" s="2338" t="s">
        <v>4713</v>
      </c>
      <c r="J85" s="2339"/>
      <c r="K85" s="2339"/>
      <c r="L85" s="2340"/>
      <c r="M85" s="405">
        <v>3</v>
      </c>
      <c r="N85" s="377" t="s">
        <v>379</v>
      </c>
      <c r="O85" s="2331"/>
      <c r="P85" s="735"/>
      <c r="Q85" s="887" t="str">
        <f>IF(OR($O85=$M85,$O85=0,$O85=""),"","*CHECK!*")</f>
        <v/>
      </c>
      <c r="R85" s="1018" t="s">
        <v>1806</v>
      </c>
    </row>
    <row r="86" spans="1:18" s="25" customFormat="1" ht="12" customHeight="1">
      <c r="A86" s="992" t="s">
        <v>515</v>
      </c>
      <c r="B86" s="336" t="s">
        <v>389</v>
      </c>
      <c r="C86" s="2002" t="s">
        <v>1840</v>
      </c>
      <c r="D86" s="2002"/>
      <c r="E86" s="2002"/>
      <c r="F86" s="2002"/>
      <c r="G86" s="2002"/>
      <c r="H86" s="2123"/>
      <c r="I86" s="2341"/>
      <c r="J86" s="2342"/>
      <c r="K86" s="2342"/>
      <c r="L86" s="2343"/>
      <c r="M86" s="405">
        <v>2</v>
      </c>
      <c r="N86" s="377" t="s">
        <v>389</v>
      </c>
      <c r="O86" s="2314"/>
      <c r="P86" s="875"/>
      <c r="Q86" s="887" t="str">
        <f t="shared" ref="Q86:Q87" si="1">IF(OR($O86=$M86,$O86=0,$O86=""),"","*CHECK!*")</f>
        <v/>
      </c>
      <c r="R86" s="1018" t="s">
        <v>1806</v>
      </c>
    </row>
    <row r="87" spans="1:18" s="25" customFormat="1" ht="14.25" customHeight="1">
      <c r="A87" s="992" t="s">
        <v>515</v>
      </c>
      <c r="B87" s="336" t="s">
        <v>393</v>
      </c>
      <c r="C87" s="1834" t="s">
        <v>1841</v>
      </c>
      <c r="D87" s="1834"/>
      <c r="E87" s="1834"/>
      <c r="F87" s="1834"/>
      <c r="G87" s="1834"/>
      <c r="H87" s="1840"/>
      <c r="I87" s="2338" t="s">
        <v>4713</v>
      </c>
      <c r="J87" s="2339"/>
      <c r="K87" s="2339"/>
      <c r="L87" s="2340"/>
      <c r="M87" s="405">
        <v>1</v>
      </c>
      <c r="N87" s="377" t="s">
        <v>393</v>
      </c>
      <c r="O87" s="2315"/>
      <c r="P87" s="996"/>
      <c r="Q87" s="887" t="str">
        <f t="shared" si="1"/>
        <v/>
      </c>
      <c r="R87" s="1018" t="s">
        <v>1806</v>
      </c>
    </row>
    <row r="88" spans="1:18" s="25" customFormat="1" ht="12.6" customHeight="1">
      <c r="A88" s="409" t="s">
        <v>1842</v>
      </c>
      <c r="B88" s="117"/>
      <c r="E88" s="23"/>
      <c r="I88" s="2344"/>
      <c r="J88" s="2345"/>
      <c r="K88" s="2345"/>
      <c r="L88" s="2346"/>
      <c r="M88" s="45"/>
      <c r="N88" s="45"/>
      <c r="O88" s="45"/>
      <c r="P88" s="45"/>
      <c r="Q88" s="280"/>
      <c r="R88" s="280"/>
    </row>
    <row r="89" spans="1:18" s="63" customFormat="1" ht="12" customHeight="1">
      <c r="A89" s="97"/>
      <c r="B89" s="336" t="s">
        <v>445</v>
      </c>
      <c r="C89" s="117" t="s">
        <v>1843</v>
      </c>
      <c r="D89" s="117"/>
      <c r="E89" s="117"/>
      <c r="F89" s="117"/>
      <c r="G89" s="117"/>
      <c r="H89" s="117"/>
      <c r="I89" s="117"/>
      <c r="J89" s="117"/>
      <c r="K89" s="117"/>
      <c r="L89" s="117"/>
      <c r="M89" s="45">
        <v>2</v>
      </c>
      <c r="N89" s="377" t="s">
        <v>445</v>
      </c>
      <c r="O89" s="2347">
        <v>2</v>
      </c>
      <c r="P89" s="1409"/>
      <c r="Q89" s="887" t="str">
        <f>IF(OR($O89=$M89,$O89=0,$O89=""),"","*CHECK!*")</f>
        <v/>
      </c>
      <c r="R89" s="1018" t="s">
        <v>1806</v>
      </c>
    </row>
    <row r="90" spans="1:18" s="25" customFormat="1" ht="12.6" customHeight="1">
      <c r="A90" s="20" t="s">
        <v>1844</v>
      </c>
      <c r="B90" s="117"/>
      <c r="E90" s="23"/>
      <c r="K90" s="71"/>
      <c r="M90" s="45"/>
      <c r="N90" s="45"/>
      <c r="O90" s="45"/>
      <c r="P90" s="45"/>
      <c r="Q90" s="280"/>
      <c r="R90" s="280"/>
    </row>
    <row r="91" spans="1:18" s="63" customFormat="1" ht="11.45" customHeight="1">
      <c r="A91" s="58"/>
      <c r="B91" s="60" t="s">
        <v>1276</v>
      </c>
      <c r="C91" s="58"/>
      <c r="D91" s="60"/>
      <c r="E91" s="1535"/>
      <c r="F91" s="1535"/>
      <c r="G91" s="1535"/>
      <c r="H91" s="1535"/>
      <c r="I91" s="1535"/>
      <c r="J91" s="1535"/>
      <c r="K91" s="1535"/>
      <c r="L91" s="1535"/>
      <c r="M91" s="1535"/>
      <c r="N91" s="1344"/>
      <c r="O91" s="747"/>
      <c r="P91" s="1523"/>
      <c r="Q91" s="322"/>
    </row>
    <row r="92" spans="1:18" s="25" customFormat="1" ht="11.25" customHeight="1">
      <c r="A92" s="1835"/>
      <c r="B92" s="1836"/>
      <c r="C92" s="1836"/>
      <c r="D92" s="1836"/>
      <c r="E92" s="1836"/>
      <c r="F92" s="1836"/>
      <c r="G92" s="1836"/>
      <c r="H92" s="1836"/>
      <c r="I92" s="1836"/>
      <c r="J92" s="1836"/>
      <c r="K92" s="1836"/>
      <c r="L92" s="1836"/>
      <c r="M92" s="1836"/>
      <c r="N92" s="1836"/>
      <c r="O92" s="1836"/>
      <c r="P92" s="1837"/>
      <c r="Q92" s="341"/>
    </row>
    <row r="93" spans="1:18" ht="3" customHeight="1" thickBot="1">
      <c r="B93" s="76"/>
      <c r="C93" s="76"/>
      <c r="D93" s="76"/>
      <c r="E93" s="76"/>
      <c r="N93" s="79"/>
      <c r="R93" s="25"/>
    </row>
    <row r="94" spans="1:18" s="25" customFormat="1" ht="13.5" customHeight="1" thickBot="1">
      <c r="A94" s="107" t="s">
        <v>108</v>
      </c>
      <c r="B94" s="67" t="s">
        <v>1845</v>
      </c>
      <c r="D94" s="20"/>
      <c r="E94" s="20"/>
      <c r="G94" s="994"/>
      <c r="H94" s="995"/>
      <c r="I94" s="995"/>
      <c r="J94" s="995"/>
      <c r="K94" s="995"/>
      <c r="L94" s="995"/>
      <c r="M94" s="1523">
        <v>3</v>
      </c>
      <c r="N94" s="297"/>
      <c r="O94" s="981">
        <f>IF(SUM(O102:O105)&gt;$M$94,"???",SUM(O102:O105))</f>
        <v>2</v>
      </c>
      <c r="P94" s="981">
        <f>IF(SUM(P102:P105)&gt;$M$94,"???",SUM(P102:P105))</f>
        <v>0</v>
      </c>
      <c r="Q94" s="70" t="s">
        <v>834</v>
      </c>
    </row>
    <row r="95" spans="1:18" s="25" customFormat="1" ht="13.5" customHeight="1">
      <c r="B95" s="2131" t="s">
        <v>1846</v>
      </c>
      <c r="C95" s="2131"/>
      <c r="D95" s="2131"/>
      <c r="E95" s="2131"/>
      <c r="F95" s="2131"/>
      <c r="G95" s="2131"/>
      <c r="H95" s="2131"/>
      <c r="O95" s="2126" t="str">
        <f>IF(OR(AND(P102&gt;0,P103&gt;0),AND(P103&gt;0,P104&gt;0),AND(P102&gt;0,P104&gt;0)),"Choose A, B, or C.  See instructions.",IF(AND(P104&gt;0,P105&gt;0),"Choose A or B when choosing D.  See instructions.",""))</f>
        <v/>
      </c>
      <c r="P95" s="2126"/>
      <c r="Q95" s="70"/>
    </row>
    <row r="96" spans="1:18" s="977" customFormat="1" ht="12.6" customHeight="1">
      <c r="B96" s="2131"/>
      <c r="C96" s="2131"/>
      <c r="D96" s="2131"/>
      <c r="E96" s="2131"/>
      <c r="F96" s="2131"/>
      <c r="G96" s="2131"/>
      <c r="H96" s="2131"/>
      <c r="I96" s="2348" t="s">
        <v>2221</v>
      </c>
      <c r="J96" s="2349"/>
      <c r="K96" s="2349"/>
      <c r="L96" s="2350"/>
      <c r="O96" s="2058"/>
      <c r="P96" s="2058"/>
    </row>
    <row r="97" spans="1:18" s="25" customFormat="1" ht="13.5" customHeight="1">
      <c r="B97" s="117" t="s">
        <v>1815</v>
      </c>
      <c r="G97" s="23"/>
      <c r="H97" s="23"/>
      <c r="I97" s="993" t="str">
        <f>'Part I-Project Information'!$H$100</f>
        <v>Rural</v>
      </c>
      <c r="K97" s="12"/>
      <c r="M97" s="1523"/>
      <c r="N97" s="297"/>
      <c r="O97" s="2058"/>
      <c r="P97" s="2058"/>
    </row>
    <row r="98" spans="1:18" s="25" customFormat="1" ht="13.5" customHeight="1">
      <c r="B98" s="117" t="s">
        <v>1848</v>
      </c>
      <c r="G98" s="23"/>
      <c r="H98" s="23"/>
      <c r="I98" s="499"/>
      <c r="K98" s="12"/>
      <c r="M98" s="1523"/>
      <c r="N98" s="297"/>
      <c r="O98" s="2058"/>
      <c r="P98" s="2058"/>
    </row>
    <row r="99" spans="1:18" s="977" customFormat="1" ht="13.5" customHeight="1">
      <c r="C99" s="973" t="s">
        <v>1849</v>
      </c>
      <c r="I99" s="2351">
        <v>100</v>
      </c>
      <c r="J99" s="422"/>
      <c r="K99" s="290"/>
      <c r="O99" s="2058"/>
      <c r="P99" s="2058"/>
    </row>
    <row r="100" spans="1:18" s="977" customFormat="1" ht="13.5" customHeight="1">
      <c r="C100" s="973" t="s">
        <v>1850</v>
      </c>
      <c r="I100" s="2352">
        <v>205</v>
      </c>
      <c r="J100" s="424"/>
      <c r="K100" s="290"/>
      <c r="O100" s="2124" t="s">
        <v>1851</v>
      </c>
      <c r="P100" s="2124"/>
    </row>
    <row r="101" spans="1:18" s="25" customFormat="1" ht="5.25" customHeight="1">
      <c r="A101" s="107"/>
      <c r="B101" s="51"/>
      <c r="G101" s="23"/>
      <c r="H101" s="23"/>
      <c r="I101" s="499"/>
      <c r="K101" s="12"/>
      <c r="M101" s="1523"/>
      <c r="N101" s="1523"/>
      <c r="O101" s="1523"/>
      <c r="P101" s="1523"/>
      <c r="Q101" s="70"/>
    </row>
    <row r="102" spans="1:18" ht="11.45" customHeight="1">
      <c r="A102" s="97" t="s">
        <v>110</v>
      </c>
      <c r="B102" s="129" t="s">
        <v>1852</v>
      </c>
      <c r="D102" s="18"/>
      <c r="K102" s="2125" t="str">
        <f>IF(OR(AND(O102&gt;0,O103&gt;0),AND(O103&gt;0,O104&gt;0),AND(O102&gt;0,O104&gt;0)),"Choose A, B, or C.  See instructions.",IF(AND(O104&gt;0,O105&gt;0),"Choose A or B when choosing D.  See instructions.",""))</f>
        <v/>
      </c>
      <c r="L102" s="2125"/>
      <c r="M102" s="405">
        <v>2</v>
      </c>
      <c r="N102" s="363" t="s">
        <v>110</v>
      </c>
      <c r="O102" s="2331"/>
      <c r="P102" s="735"/>
      <c r="Q102" s="887" t="str">
        <f>IF(OR($O102=$M102,$O102=0,$O102=""),"","*CHECK!*")</f>
        <v/>
      </c>
      <c r="R102" s="1018" t="s">
        <v>1806</v>
      </c>
    </row>
    <row r="103" spans="1:18" ht="11.45" customHeight="1">
      <c r="A103" s="97" t="s">
        <v>121</v>
      </c>
      <c r="B103" s="129" t="s">
        <v>1853</v>
      </c>
      <c r="D103" s="18"/>
      <c r="E103" s="18"/>
      <c r="K103" s="2125"/>
      <c r="L103" s="2125"/>
      <c r="M103" s="405">
        <v>1</v>
      </c>
      <c r="N103" s="363" t="s">
        <v>121</v>
      </c>
      <c r="O103" s="2314">
        <v>1</v>
      </c>
      <c r="P103" s="875"/>
      <c r="Q103" s="887" t="str">
        <f t="shared" ref="Q103:Q105" si="2">IF(OR($O103=$M103,$O103=0,$O103=""),"","*CHECK!*")</f>
        <v/>
      </c>
      <c r="R103" s="1018" t="s">
        <v>1806</v>
      </c>
    </row>
    <row r="104" spans="1:18" ht="11.45" customHeight="1">
      <c r="A104" s="97" t="s">
        <v>123</v>
      </c>
      <c r="B104" s="129" t="s">
        <v>1854</v>
      </c>
      <c r="D104" s="18"/>
      <c r="E104" s="18"/>
      <c r="F104" s="18"/>
      <c r="K104" s="2125"/>
      <c r="L104" s="2125"/>
      <c r="M104" s="405">
        <v>3</v>
      </c>
      <c r="N104" s="363" t="s">
        <v>123</v>
      </c>
      <c r="O104" s="2314"/>
      <c r="P104" s="875"/>
      <c r="Q104" s="887" t="str">
        <f t="shared" si="2"/>
        <v/>
      </c>
      <c r="R104" s="1018" t="s">
        <v>1806</v>
      </c>
    </row>
    <row r="105" spans="1:18" ht="11.45" customHeight="1">
      <c r="A105" s="97" t="s">
        <v>126</v>
      </c>
      <c r="B105" s="129" t="s">
        <v>1855</v>
      </c>
      <c r="D105" s="18"/>
      <c r="E105" s="18"/>
      <c r="F105" s="93" t="s">
        <v>1856</v>
      </c>
      <c r="J105" s="2353">
        <v>1</v>
      </c>
      <c r="K105" s="2125"/>
      <c r="L105" s="2125"/>
      <c r="M105" s="405">
        <v>1</v>
      </c>
      <c r="N105" s="363" t="s">
        <v>126</v>
      </c>
      <c r="O105" s="2315">
        <v>1</v>
      </c>
      <c r="P105" s="996"/>
      <c r="Q105" s="887" t="str">
        <f t="shared" si="2"/>
        <v/>
      </c>
      <c r="R105" s="1018" t="s">
        <v>1806</v>
      </c>
    </row>
    <row r="106" spans="1:18" s="63" customFormat="1" ht="11.45" customHeight="1" thickBot="1">
      <c r="A106" s="58"/>
      <c r="B106" s="1089" t="s">
        <v>1810</v>
      </c>
      <c r="C106" s="58"/>
      <c r="D106" s="71"/>
      <c r="E106" s="71"/>
      <c r="F106" s="71"/>
      <c r="G106" s="71"/>
      <c r="K106" s="20"/>
      <c r="M106" s="45"/>
      <c r="N106" s="45"/>
      <c r="O106" s="3"/>
      <c r="P106" s="1523"/>
    </row>
    <row r="107" spans="1:18" s="25" customFormat="1" ht="80.25" customHeight="1" thickTop="1" thickBot="1">
      <c r="A107" s="2354" t="s">
        <v>4673</v>
      </c>
      <c r="B107" s="2355"/>
      <c r="C107" s="2355"/>
      <c r="D107" s="2355"/>
      <c r="E107" s="2355"/>
      <c r="F107" s="2355"/>
      <c r="G107" s="2355"/>
      <c r="H107" s="2355"/>
      <c r="I107" s="2355"/>
      <c r="J107" s="2355"/>
      <c r="K107" s="2355"/>
      <c r="L107" s="2355"/>
      <c r="M107" s="2355"/>
      <c r="N107" s="2355"/>
      <c r="O107" s="2355"/>
      <c r="P107" s="2356"/>
      <c r="Q107" s="961" t="s">
        <v>1275</v>
      </c>
    </row>
    <row r="108" spans="1:18" s="25" customFormat="1" ht="11.25" customHeight="1" thickTop="1">
      <c r="B108" s="60" t="s">
        <v>1276</v>
      </c>
      <c r="C108" s="58"/>
      <c r="D108" s="50"/>
      <c r="E108" s="1532"/>
      <c r="F108" s="1532"/>
      <c r="G108" s="1532"/>
      <c r="H108" s="1532"/>
      <c r="I108" s="1532"/>
      <c r="J108" s="1532"/>
      <c r="K108" s="1532"/>
      <c r="L108" s="1532"/>
      <c r="M108" s="1532"/>
      <c r="N108" s="1343"/>
      <c r="O108" s="44"/>
      <c r="P108" s="1523"/>
      <c r="Q108" s="322"/>
    </row>
    <row r="109" spans="1:18" s="25" customFormat="1" ht="11.25" customHeight="1">
      <c r="A109" s="2021"/>
      <c r="B109" s="2022"/>
      <c r="C109" s="2022"/>
      <c r="D109" s="2022"/>
      <c r="E109" s="2022"/>
      <c r="F109" s="2022"/>
      <c r="G109" s="2022"/>
      <c r="H109" s="2022"/>
      <c r="I109" s="2022"/>
      <c r="J109" s="2022"/>
      <c r="K109" s="2022"/>
      <c r="L109" s="2022"/>
      <c r="M109" s="2022"/>
      <c r="N109" s="2022"/>
      <c r="O109" s="2022"/>
      <c r="P109" s="2023"/>
      <c r="Q109" s="341"/>
    </row>
    <row r="110" spans="1:18" s="25" customFormat="1" ht="3" customHeight="1" thickBot="1">
      <c r="A110" s="58"/>
      <c r="D110" s="20"/>
      <c r="E110" s="20"/>
      <c r="F110" s="761"/>
      <c r="G110" s="761"/>
      <c r="H110" s="761"/>
      <c r="I110" s="761"/>
      <c r="J110" s="772"/>
      <c r="K110" s="772"/>
      <c r="L110" s="772"/>
      <c r="M110" s="1534"/>
      <c r="N110" s="761"/>
      <c r="O110" s="1527"/>
      <c r="P110" s="3"/>
    </row>
    <row r="111" spans="1:18" s="25" customFormat="1" ht="12.75" customHeight="1" thickBot="1">
      <c r="A111" s="107" t="s">
        <v>150</v>
      </c>
      <c r="B111" s="67" t="s">
        <v>1857</v>
      </c>
      <c r="D111" s="20"/>
      <c r="E111" s="20"/>
      <c r="F111" s="761"/>
      <c r="G111" s="761"/>
      <c r="H111" s="761"/>
      <c r="I111" s="37" t="s">
        <v>1829</v>
      </c>
      <c r="J111" s="772"/>
      <c r="K111" s="772"/>
      <c r="L111" s="772"/>
      <c r="M111" s="1523">
        <v>3</v>
      </c>
      <c r="N111" s="761"/>
      <c r="O111" s="981">
        <f>MIN($M$115,O113+O115)</f>
        <v>3</v>
      </c>
      <c r="P111" s="981">
        <f>MIN($M$115,P113+P115)</f>
        <v>0</v>
      </c>
      <c r="Q111" s="70" t="s">
        <v>834</v>
      </c>
    </row>
    <row r="112" spans="1:18" s="25" customFormat="1" ht="1.5" customHeight="1" thickBot="1">
      <c r="A112" s="58"/>
      <c r="D112" s="20"/>
      <c r="E112" s="20"/>
      <c r="F112" s="761"/>
      <c r="G112" s="761"/>
      <c r="H112" s="761"/>
      <c r="I112" s="761"/>
      <c r="J112" s="772"/>
      <c r="K112" s="772"/>
      <c r="L112" s="772"/>
      <c r="M112" s="1534"/>
      <c r="N112" s="761"/>
      <c r="O112" s="1527"/>
      <c r="P112" s="3"/>
    </row>
    <row r="113" spans="1:20" s="25" customFormat="1" ht="12" customHeight="1" thickBot="1">
      <c r="A113" s="130" t="s">
        <v>110</v>
      </c>
      <c r="B113" s="743" t="s">
        <v>1858</v>
      </c>
      <c r="C113" s="57"/>
      <c r="D113" s="75"/>
      <c r="E113" s="311" t="s">
        <v>1859</v>
      </c>
      <c r="G113" s="74"/>
      <c r="I113" s="363" t="s">
        <v>1836</v>
      </c>
      <c r="J113" s="1048" t="str">
        <f>'Part I-Project Information'!$H$78</f>
        <v>Family</v>
      </c>
      <c r="K113" s="23"/>
      <c r="L113" s="280" t="str">
        <f>IF(OR($O113=$M113,$O113=0,$O113=""),"","* * Check Score! * *")</f>
        <v/>
      </c>
      <c r="M113" s="45">
        <v>3</v>
      </c>
      <c r="N113" s="363" t="s">
        <v>110</v>
      </c>
      <c r="O113" s="2357"/>
      <c r="P113" s="1008"/>
      <c r="Q113" s="887" t="str">
        <f>IF(OR($O113=$M113,$O113=0,$O113=""),"","*CHECK!*")</f>
        <v/>
      </c>
      <c r="R113" s="1018" t="s">
        <v>1806</v>
      </c>
    </row>
    <row r="114" spans="1:20" s="25" customFormat="1" ht="1.5" customHeight="1">
      <c r="A114" s="58"/>
      <c r="D114" s="20"/>
      <c r="E114" s="20"/>
      <c r="F114" s="761"/>
      <c r="G114" s="761"/>
      <c r="H114" s="761"/>
      <c r="I114" s="761"/>
      <c r="J114" s="772"/>
      <c r="K114" s="772"/>
      <c r="L114" s="772"/>
      <c r="M114" s="1534"/>
      <c r="N114" s="761"/>
      <c r="O114" s="1527"/>
      <c r="P114" s="3"/>
    </row>
    <row r="115" spans="1:20" s="25" customFormat="1" ht="12" customHeight="1">
      <c r="A115" s="130" t="s">
        <v>121</v>
      </c>
      <c r="B115" s="743" t="s">
        <v>1860</v>
      </c>
      <c r="C115" s="57"/>
      <c r="D115" s="978"/>
      <c r="E115" s="1178" t="s">
        <v>1861</v>
      </c>
      <c r="G115" s="74"/>
      <c r="I115" s="1101"/>
      <c r="J115" s="23"/>
      <c r="L115" s="280" t="str">
        <f>IF(OR($O115&lt;=$M115,$O115=0,$O115=""),"","* * Check Score! * *")</f>
        <v/>
      </c>
      <c r="M115" s="840">
        <v>3</v>
      </c>
      <c r="N115" s="363" t="s">
        <v>121</v>
      </c>
      <c r="O115" s="1410">
        <f>MIN($M$115,O119+O137)</f>
        <v>3</v>
      </c>
      <c r="P115" s="1410">
        <f>MIN($M$115,P119+P137)</f>
        <v>0</v>
      </c>
      <c r="Q115" s="956"/>
      <c r="R115" s="956"/>
      <c r="S115" s="956"/>
      <c r="T115" s="956"/>
    </row>
    <row r="116" spans="1:20" s="20" customFormat="1" ht="10.5" customHeight="1">
      <c r="A116" s="39"/>
      <c r="B116" s="770" t="s">
        <v>1862</v>
      </c>
      <c r="C116" s="772"/>
      <c r="D116" s="1103"/>
      <c r="E116" s="1103"/>
      <c r="F116" s="1103"/>
      <c r="H116" s="2358" t="s">
        <v>4674</v>
      </c>
      <c r="I116" s="1103"/>
      <c r="J116" s="1103"/>
      <c r="K116" s="1103"/>
      <c r="L116" s="1103"/>
      <c r="M116" s="1534"/>
      <c r="N116" s="126"/>
      <c r="Q116" s="956"/>
      <c r="R116" s="956"/>
      <c r="S116" s="956"/>
      <c r="T116" s="956"/>
    </row>
    <row r="117" spans="1:20" s="20" customFormat="1" ht="10.5" customHeight="1">
      <c r="A117" s="39"/>
      <c r="C117" s="1055" t="s">
        <v>1863</v>
      </c>
      <c r="D117" s="2359" t="s">
        <v>4675</v>
      </c>
      <c r="E117" s="2360"/>
      <c r="F117" s="2360"/>
      <c r="G117" s="2360"/>
      <c r="H117" s="2360"/>
      <c r="I117" s="2360"/>
      <c r="J117" s="2360"/>
      <c r="K117" s="2360"/>
      <c r="L117" s="2360"/>
      <c r="M117" s="2360"/>
      <c r="N117" s="2360"/>
      <c r="O117" s="2360"/>
      <c r="P117" s="2361"/>
      <c r="Q117" s="956"/>
      <c r="R117" s="956"/>
      <c r="S117" s="956"/>
      <c r="T117" s="956"/>
    </row>
    <row r="118" spans="1:20" s="25" customFormat="1" ht="3" customHeight="1" thickBot="1">
      <c r="A118" s="58"/>
      <c r="D118" s="20"/>
      <c r="E118" s="20"/>
      <c r="F118" s="761"/>
      <c r="H118" s="761"/>
      <c r="I118" s="761"/>
      <c r="J118" s="772"/>
      <c r="K118" s="772"/>
      <c r="L118" s="772"/>
      <c r="M118" s="1534"/>
      <c r="N118" s="761"/>
      <c r="O118" s="1527"/>
      <c r="P118" s="3"/>
      <c r="Q118" s="956"/>
      <c r="R118" s="956"/>
      <c r="S118" s="956"/>
      <c r="T118" s="956"/>
    </row>
    <row r="119" spans="1:20" s="63" customFormat="1" ht="11.25" customHeight="1" thickBot="1">
      <c r="A119" s="130"/>
      <c r="B119" s="762" t="s">
        <v>379</v>
      </c>
      <c r="C119" s="117" t="s">
        <v>1864</v>
      </c>
      <c r="D119" s="57"/>
      <c r="F119" s="31"/>
      <c r="G119" s="31"/>
      <c r="H119" s="57"/>
      <c r="I119" s="57"/>
      <c r="J119" s="57"/>
      <c r="K119" s="57"/>
      <c r="L119" s="280" t="str">
        <f>IF(OR($O119=$M119,$O119=0,$O119=""),"","* * Check Score! * *")</f>
        <v/>
      </c>
      <c r="M119" s="912">
        <v>2</v>
      </c>
      <c r="N119" s="976" t="s">
        <v>379</v>
      </c>
      <c r="O119" s="2357">
        <v>2</v>
      </c>
      <c r="P119" s="1008"/>
      <c r="Q119" s="887" t="str">
        <f>IF(OR($O119=$M119,$O119=0,$O119=""),"","*CHECK!*")</f>
        <v/>
      </c>
      <c r="R119" s="1018" t="s">
        <v>1806</v>
      </c>
      <c r="S119" s="956"/>
      <c r="T119" s="956"/>
    </row>
    <row r="120" spans="1:20" s="63" customFormat="1" ht="10.5" customHeight="1">
      <c r="A120" s="130"/>
      <c r="B120" s="762"/>
      <c r="C120" s="31" t="s">
        <v>1865</v>
      </c>
      <c r="D120" s="57"/>
      <c r="E120" s="31"/>
      <c r="F120" s="31"/>
      <c r="G120" s="31"/>
      <c r="H120" s="57"/>
      <c r="I120" s="57"/>
      <c r="J120" s="57"/>
      <c r="K120" s="57"/>
      <c r="L120" s="57"/>
      <c r="M120" s="912"/>
      <c r="N120" s="912"/>
      <c r="O120" s="2362" t="s">
        <v>22</v>
      </c>
      <c r="P120" s="429"/>
      <c r="Q120" s="956"/>
      <c r="R120" s="956"/>
      <c r="S120" s="956"/>
      <c r="T120" s="956"/>
    </row>
    <row r="121" spans="1:20" s="63" customFormat="1" ht="10.5" customHeight="1">
      <c r="A121" s="130"/>
      <c r="B121" s="762"/>
      <c r="C121" s="31" t="s">
        <v>1866</v>
      </c>
      <c r="D121" s="124" t="s">
        <v>1867</v>
      </c>
      <c r="F121" s="31"/>
      <c r="G121" s="31"/>
      <c r="H121" s="2363" t="s">
        <v>4676</v>
      </c>
      <c r="I121" s="2363"/>
      <c r="J121" s="2363"/>
      <c r="K121" s="2363"/>
      <c r="L121" s="2363"/>
      <c r="M121" s="2363"/>
      <c r="N121" s="2363"/>
      <c r="O121" s="2363"/>
      <c r="P121" s="2363"/>
      <c r="Q121" s="956"/>
      <c r="R121" s="956"/>
      <c r="S121" s="956"/>
      <c r="T121" s="956"/>
    </row>
    <row r="122" spans="1:20" s="63" customFormat="1" ht="10.5" customHeight="1">
      <c r="A122" s="130"/>
      <c r="B122" s="31"/>
      <c r="C122" s="20" t="s">
        <v>1868</v>
      </c>
      <c r="D122" s="57"/>
      <c r="E122" s="31"/>
      <c r="F122" s="31"/>
      <c r="G122" s="31"/>
      <c r="H122" s="57"/>
      <c r="I122" s="57"/>
      <c r="J122" s="57"/>
      <c r="K122" s="57"/>
      <c r="L122" s="57"/>
      <c r="M122" s="325"/>
      <c r="N122" s="899" t="s">
        <v>1869</v>
      </c>
      <c r="O122" s="2364" t="s">
        <v>22</v>
      </c>
      <c r="P122" s="815"/>
      <c r="Q122" s="956"/>
      <c r="R122" s="956"/>
      <c r="S122" s="956"/>
      <c r="T122" s="956"/>
    </row>
    <row r="123" spans="1:20" s="20" customFormat="1" ht="10.5" customHeight="1">
      <c r="A123" s="39"/>
      <c r="B123" s="279"/>
      <c r="C123" s="20" t="s">
        <v>1870</v>
      </c>
      <c r="D123" s="31"/>
      <c r="E123" s="31"/>
      <c r="F123" s="31"/>
      <c r="G123" s="31"/>
      <c r="H123" s="31"/>
      <c r="I123" s="31"/>
      <c r="J123" s="31"/>
      <c r="K123" s="31"/>
      <c r="L123" s="31"/>
      <c r="M123" s="1534"/>
      <c r="N123" s="289" t="s">
        <v>1871</v>
      </c>
      <c r="O123" s="2312" t="s">
        <v>22</v>
      </c>
      <c r="P123" s="427"/>
      <c r="Q123" s="956"/>
      <c r="R123" s="956"/>
      <c r="S123" s="956"/>
      <c r="T123" s="956"/>
    </row>
    <row r="124" spans="1:20" s="33" customFormat="1" ht="10.5" customHeight="1">
      <c r="A124" s="39"/>
      <c r="C124" s="33" t="s">
        <v>1872</v>
      </c>
      <c r="D124" s="311"/>
      <c r="E124" s="31"/>
      <c r="F124" s="31"/>
      <c r="G124" s="31"/>
      <c r="H124" s="311"/>
      <c r="J124" s="311"/>
      <c r="L124" s="1843" t="s">
        <v>1873</v>
      </c>
      <c r="M124" s="1843"/>
      <c r="N124" s="1843"/>
      <c r="O124" s="2130" t="s">
        <v>1874</v>
      </c>
      <c r="P124" s="2130"/>
      <c r="Q124" s="31"/>
    </row>
    <row r="125" spans="1:20" s="33" customFormat="1" ht="10.5" customHeight="1">
      <c r="A125" s="39"/>
      <c r="B125" s="289"/>
      <c r="C125" s="2365" t="s">
        <v>4677</v>
      </c>
      <c r="D125" s="2366"/>
      <c r="E125" s="2366"/>
      <c r="F125" s="2366"/>
      <c r="G125" s="2366"/>
      <c r="H125" s="2366"/>
      <c r="I125" s="2366"/>
      <c r="J125" s="2366"/>
      <c r="K125" s="2367"/>
      <c r="L125" s="2368" t="s">
        <v>4681</v>
      </c>
      <c r="M125" s="2368"/>
      <c r="N125" s="2368"/>
      <c r="O125" s="2369">
        <v>0</v>
      </c>
      <c r="P125" s="2369"/>
      <c r="Q125" s="989" t="str">
        <f>IF(O125&gt;15, "Too much!","")</f>
        <v/>
      </c>
    </row>
    <row r="126" spans="1:20" s="33" customFormat="1" ht="10.5" customHeight="1">
      <c r="A126" s="39"/>
      <c r="B126" s="899"/>
      <c r="C126" s="2370" t="s">
        <v>4678</v>
      </c>
      <c r="D126" s="2371"/>
      <c r="E126" s="2371"/>
      <c r="F126" s="2371"/>
      <c r="G126" s="2371"/>
      <c r="H126" s="2371"/>
      <c r="I126" s="2371"/>
      <c r="J126" s="2371"/>
      <c r="K126" s="2372"/>
      <c r="L126" s="2373" t="s">
        <v>4681</v>
      </c>
      <c r="M126" s="2373"/>
      <c r="N126" s="2373"/>
      <c r="O126" s="2374">
        <v>0</v>
      </c>
      <c r="P126" s="2374"/>
      <c r="Q126" s="989" t="str">
        <f t="shared" ref="Q126:Q128" si="3">IF(O126&gt;15, "Too much!","")</f>
        <v/>
      </c>
    </row>
    <row r="127" spans="1:20" s="33" customFormat="1" ht="10.5" customHeight="1">
      <c r="A127" s="39"/>
      <c r="B127" s="289"/>
      <c r="C127" s="2370" t="s">
        <v>4679</v>
      </c>
      <c r="D127" s="2371"/>
      <c r="E127" s="2371"/>
      <c r="F127" s="2371"/>
      <c r="G127" s="2371"/>
      <c r="H127" s="2371"/>
      <c r="I127" s="2371"/>
      <c r="J127" s="2371"/>
      <c r="K127" s="2372"/>
      <c r="L127" s="2373" t="s">
        <v>4680</v>
      </c>
      <c r="M127" s="2373"/>
      <c r="N127" s="2373"/>
      <c r="O127" s="2374">
        <v>0</v>
      </c>
      <c r="P127" s="2374"/>
      <c r="Q127" s="989" t="str">
        <f t="shared" si="3"/>
        <v/>
      </c>
    </row>
    <row r="128" spans="1:20" s="33" customFormat="1" ht="10.5" customHeight="1">
      <c r="A128" s="39"/>
      <c r="B128" s="289"/>
      <c r="C128" s="2375"/>
      <c r="D128" s="2376"/>
      <c r="E128" s="2376"/>
      <c r="F128" s="2376"/>
      <c r="G128" s="2376"/>
      <c r="H128" s="2376"/>
      <c r="I128" s="2376"/>
      <c r="J128" s="2376"/>
      <c r="K128" s="2377"/>
      <c r="L128" s="2378" t="s">
        <v>1875</v>
      </c>
      <c r="M128" s="2378"/>
      <c r="N128" s="2378"/>
      <c r="O128" s="2379">
        <v>0</v>
      </c>
      <c r="P128" s="2379"/>
      <c r="Q128" s="989" t="str">
        <f t="shared" si="3"/>
        <v/>
      </c>
    </row>
    <row r="129" spans="1:21" s="63" customFormat="1" ht="10.5" customHeight="1">
      <c r="B129" s="762"/>
      <c r="C129" s="31" t="s">
        <v>1876</v>
      </c>
      <c r="D129" s="20" t="s">
        <v>1877</v>
      </c>
      <c r="E129" s="31"/>
      <c r="F129" s="31"/>
      <c r="G129" s="31"/>
      <c r="H129" s="57"/>
      <c r="I129" s="57"/>
      <c r="J129" s="57"/>
      <c r="K129" s="57"/>
      <c r="L129" s="57"/>
      <c r="M129" s="57"/>
      <c r="N129" s="899" t="s">
        <v>1869</v>
      </c>
      <c r="O129" s="2313" t="s">
        <v>22</v>
      </c>
      <c r="P129" s="425"/>
      <c r="Q129" s="394"/>
      <c r="R129" s="33"/>
      <c r="S129" s="33"/>
      <c r="T129" s="33"/>
      <c r="U129" s="33"/>
    </row>
    <row r="130" spans="1:21" s="63" customFormat="1" ht="10.5" customHeight="1">
      <c r="A130" s="130"/>
      <c r="B130" s="31"/>
      <c r="D130" s="20" t="s">
        <v>1878</v>
      </c>
      <c r="E130" s="31"/>
      <c r="F130" s="31"/>
      <c r="G130" s="31"/>
      <c r="H130" s="57"/>
      <c r="I130" s="57"/>
      <c r="J130" s="57"/>
      <c r="K130" s="57"/>
      <c r="L130" s="57"/>
      <c r="M130" s="325"/>
      <c r="N130" s="289" t="s">
        <v>1871</v>
      </c>
      <c r="O130" s="2312" t="s">
        <v>22</v>
      </c>
      <c r="P130" s="427"/>
      <c r="Q130" s="394"/>
      <c r="R130" s="33"/>
      <c r="S130" s="33"/>
      <c r="T130" s="33"/>
      <c r="U130" s="33"/>
    </row>
    <row r="131" spans="1:21" s="20" customFormat="1" ht="10.5" customHeight="1">
      <c r="A131" s="39"/>
      <c r="B131" s="279"/>
      <c r="D131" s="33" t="s">
        <v>1879</v>
      </c>
      <c r="E131" s="31"/>
      <c r="F131" s="31"/>
      <c r="G131" s="31"/>
      <c r="H131" s="31"/>
      <c r="I131" s="31"/>
      <c r="J131" s="31"/>
      <c r="K131" s="31"/>
      <c r="L131" s="31"/>
      <c r="M131" s="1534"/>
      <c r="Q131" s="31"/>
      <c r="R131" s="33"/>
      <c r="S131" s="33"/>
      <c r="T131" s="33"/>
      <c r="U131" s="33"/>
    </row>
    <row r="132" spans="1:21" s="33" customFormat="1" ht="10.5" customHeight="1">
      <c r="A132" s="39"/>
      <c r="B132" s="39"/>
      <c r="C132" s="772" t="s">
        <v>1880</v>
      </c>
      <c r="D132" s="39"/>
      <c r="E132" s="39"/>
      <c r="F132" s="39"/>
      <c r="G132" s="2313" t="s">
        <v>22</v>
      </c>
      <c r="H132" s="425"/>
      <c r="I132" s="772" t="s">
        <v>1881</v>
      </c>
      <c r="L132" s="39"/>
      <c r="M132" s="39"/>
      <c r="N132" s="39"/>
      <c r="O132" s="2313" t="s">
        <v>22</v>
      </c>
      <c r="P132" s="425"/>
      <c r="Q132" s="31"/>
    </row>
    <row r="133" spans="1:21" s="33" customFormat="1" ht="10.5" customHeight="1">
      <c r="A133" s="39"/>
      <c r="B133" s="39"/>
      <c r="C133" s="772" t="s">
        <v>1882</v>
      </c>
      <c r="D133" s="39"/>
      <c r="E133" s="39"/>
      <c r="F133" s="39"/>
      <c r="G133" s="2319" t="s">
        <v>22</v>
      </c>
      <c r="H133" s="426"/>
      <c r="I133" s="31" t="s">
        <v>1883</v>
      </c>
      <c r="L133" s="39"/>
      <c r="M133" s="39"/>
      <c r="N133" s="39"/>
      <c r="O133" s="2319" t="s">
        <v>22</v>
      </c>
      <c r="P133" s="426"/>
      <c r="Q133" s="31"/>
    </row>
    <row r="134" spans="1:21" s="33" customFormat="1" ht="10.5" customHeight="1">
      <c r="A134" s="39"/>
      <c r="B134" s="39"/>
      <c r="C134" s="772" t="s">
        <v>1884</v>
      </c>
      <c r="D134" s="39"/>
      <c r="E134" s="39"/>
      <c r="F134" s="39"/>
      <c r="G134" s="2319" t="s">
        <v>22</v>
      </c>
      <c r="H134" s="426"/>
      <c r="I134" s="772" t="s">
        <v>1885</v>
      </c>
      <c r="L134" s="39"/>
      <c r="M134" s="39"/>
      <c r="N134" s="39"/>
      <c r="O134" s="2319" t="s">
        <v>22</v>
      </c>
      <c r="P134" s="426"/>
      <c r="Q134" s="31"/>
    </row>
    <row r="135" spans="1:21" s="33" customFormat="1" ht="10.5" customHeight="1">
      <c r="A135" s="39"/>
      <c r="B135" s="39"/>
      <c r="C135" s="2380" t="s">
        <v>1886</v>
      </c>
      <c r="D135" s="2381"/>
      <c r="E135" s="2381"/>
      <c r="F135" s="2382"/>
      <c r="G135" s="2312"/>
      <c r="H135" s="1056"/>
      <c r="I135" s="2380" t="s">
        <v>1887</v>
      </c>
      <c r="J135" s="2381"/>
      <c r="K135" s="2381"/>
      <c r="L135" s="2381"/>
      <c r="M135" s="2381"/>
      <c r="N135" s="2382"/>
      <c r="O135" s="2312"/>
      <c r="P135" s="427"/>
      <c r="Q135" s="31"/>
    </row>
    <row r="136" spans="1:21" s="309" customFormat="1" ht="1.5" customHeight="1" thickBot="1">
      <c r="A136" s="483"/>
      <c r="B136" s="746"/>
      <c r="C136" s="1102"/>
      <c r="D136" s="1102"/>
      <c r="E136" s="1102"/>
      <c r="F136" s="1102"/>
      <c r="G136" s="1102"/>
      <c r="H136" s="1102"/>
      <c r="I136" s="1102"/>
      <c r="J136" s="1102"/>
      <c r="K136" s="1102"/>
      <c r="L136" s="1102"/>
      <c r="M136" s="416"/>
      <c r="N136" s="417"/>
      <c r="O136" s="417"/>
      <c r="P136" s="417"/>
      <c r="Q136" s="836"/>
    </row>
    <row r="137" spans="1:21" s="309" customFormat="1" ht="11.25" customHeight="1" thickBot="1">
      <c r="A137" s="483"/>
      <c r="B137" s="479" t="s">
        <v>389</v>
      </c>
      <c r="C137" s="918" t="s">
        <v>1888</v>
      </c>
      <c r="D137" s="98"/>
      <c r="F137" s="98"/>
      <c r="G137" s="98"/>
      <c r="H137" s="98"/>
      <c r="I137" s="98"/>
      <c r="J137" s="98"/>
      <c r="K137" s="98"/>
      <c r="L137" s="280" t="str">
        <f>IF(OR($O137=$M137,$O137=0,$O137=""),"","* * Check Score! * *")</f>
        <v/>
      </c>
      <c r="M137" s="486">
        <v>1</v>
      </c>
      <c r="N137" s="976" t="s">
        <v>389</v>
      </c>
      <c r="O137" s="2357">
        <v>1</v>
      </c>
      <c r="P137" s="1008"/>
      <c r="Q137" s="887" t="str">
        <f>IF(OR($O137=$M137,$O137=0,$O137=""),"","*CHECK!*")</f>
        <v/>
      </c>
      <c r="R137" s="1018" t="s">
        <v>1806</v>
      </c>
      <c r="S137" s="956"/>
      <c r="T137" s="956"/>
      <c r="U137" s="956"/>
    </row>
    <row r="138" spans="1:21" s="20" customFormat="1" ht="10.5" customHeight="1">
      <c r="A138" s="39"/>
      <c r="C138" s="31" t="s">
        <v>1889</v>
      </c>
      <c r="D138" s="1103"/>
      <c r="E138" s="1103"/>
      <c r="F138" s="1103"/>
      <c r="G138" s="1103"/>
      <c r="H138" s="1103"/>
      <c r="I138" s="1103"/>
      <c r="J138" s="1103"/>
      <c r="K138" s="1103"/>
      <c r="L138" s="1103"/>
      <c r="M138" s="1534"/>
      <c r="N138" s="31"/>
      <c r="O138" s="2362" t="s">
        <v>4621</v>
      </c>
      <c r="P138" s="429"/>
      <c r="Q138" s="31"/>
      <c r="R138" s="956"/>
      <c r="S138" s="956"/>
      <c r="T138" s="956"/>
      <c r="U138" s="956"/>
    </row>
    <row r="139" spans="1:21" s="20" customFormat="1" ht="10.5" customHeight="1">
      <c r="A139" s="39"/>
      <c r="B139" s="762"/>
      <c r="C139" s="31" t="s">
        <v>1890</v>
      </c>
      <c r="D139" s="1103"/>
      <c r="E139" s="1103"/>
      <c r="F139" s="1103"/>
      <c r="G139" s="772" t="s">
        <v>1891</v>
      </c>
      <c r="I139" s="1103"/>
      <c r="J139" s="1103"/>
      <c r="K139" s="1103"/>
      <c r="L139" s="1103"/>
      <c r="M139" s="40" t="s">
        <v>1359</v>
      </c>
      <c r="N139" s="289" t="s">
        <v>1869</v>
      </c>
      <c r="O139" s="2364" t="s">
        <v>22</v>
      </c>
      <c r="P139" s="815"/>
      <c r="Q139" s="31"/>
      <c r="R139" s="956"/>
      <c r="S139" s="956"/>
      <c r="T139" s="956"/>
      <c r="U139" s="956"/>
    </row>
    <row r="140" spans="1:21" s="20" customFormat="1" ht="10.5" customHeight="1">
      <c r="A140" s="39"/>
      <c r="B140" s="279"/>
      <c r="D140" s="1103"/>
      <c r="E140" s="1103"/>
      <c r="F140" s="1103"/>
      <c r="G140" s="772" t="s">
        <v>1892</v>
      </c>
      <c r="I140" s="1103"/>
      <c r="J140" s="1103"/>
      <c r="K140" s="1103"/>
      <c r="L140" s="1103"/>
      <c r="M140" s="1534"/>
      <c r="N140" s="899" t="s">
        <v>1871</v>
      </c>
      <c r="O140" s="2319" t="s">
        <v>22</v>
      </c>
      <c r="P140" s="426"/>
      <c r="Q140" s="31"/>
      <c r="R140" s="956"/>
      <c r="S140" s="956"/>
      <c r="T140" s="956"/>
      <c r="U140" s="956"/>
    </row>
    <row r="141" spans="1:21" s="20" customFormat="1" ht="10.5" customHeight="1">
      <c r="A141" s="40"/>
      <c r="B141" s="279"/>
      <c r="D141" s="1103"/>
      <c r="E141" s="1103"/>
      <c r="F141" s="1103"/>
      <c r="G141" s="772" t="s">
        <v>1893</v>
      </c>
      <c r="I141" s="1103"/>
      <c r="J141" s="1103"/>
      <c r="K141" s="1103"/>
      <c r="L141" s="1103"/>
      <c r="M141" s="1534"/>
      <c r="N141" s="289" t="s">
        <v>1894</v>
      </c>
      <c r="O141" s="2319" t="s">
        <v>22</v>
      </c>
      <c r="P141" s="426"/>
      <c r="Q141" s="31"/>
      <c r="R141" s="956"/>
      <c r="S141" s="956"/>
      <c r="T141" s="956"/>
      <c r="U141" s="956"/>
    </row>
    <row r="142" spans="1:21" s="20" customFormat="1" ht="10.5" customHeight="1">
      <c r="A142" s="39"/>
      <c r="B142" s="279"/>
      <c r="D142" s="1103"/>
      <c r="E142" s="1103"/>
      <c r="F142" s="1103"/>
      <c r="G142" s="772" t="s">
        <v>1895</v>
      </c>
      <c r="I142" s="1103"/>
      <c r="J142" s="1103"/>
      <c r="K142" s="1103"/>
      <c r="L142" s="1103"/>
      <c r="M142" s="1534"/>
      <c r="N142" s="289" t="s">
        <v>1896</v>
      </c>
      <c r="O142" s="2319" t="s">
        <v>22</v>
      </c>
      <c r="P142" s="426"/>
      <c r="Q142" s="31"/>
      <c r="R142" s="956"/>
      <c r="S142" s="956"/>
      <c r="T142" s="956"/>
      <c r="U142" s="956"/>
    </row>
    <row r="143" spans="1:21" s="20" customFormat="1" ht="10.5" customHeight="1">
      <c r="A143" s="39"/>
      <c r="B143" s="279"/>
      <c r="D143" s="1103"/>
      <c r="E143" s="1103"/>
      <c r="F143" s="1103"/>
      <c r="G143" s="772" t="s">
        <v>1897</v>
      </c>
      <c r="I143" s="1103"/>
      <c r="J143" s="1103"/>
      <c r="K143" s="1103"/>
      <c r="L143" s="1103"/>
      <c r="M143" s="1534"/>
      <c r="N143" s="899" t="s">
        <v>1898</v>
      </c>
      <c r="O143" s="2312" t="s">
        <v>22</v>
      </c>
      <c r="P143" s="427"/>
      <c r="Q143" s="31"/>
    </row>
    <row r="144" spans="1:21" s="20" customFormat="1" ht="10.5" customHeight="1">
      <c r="A144" s="39"/>
      <c r="B144" s="762"/>
      <c r="C144" s="772" t="s">
        <v>1899</v>
      </c>
      <c r="D144" s="1103"/>
      <c r="E144" s="1103"/>
      <c r="F144" s="1103"/>
      <c r="G144" s="1103"/>
      <c r="H144" s="1103"/>
      <c r="I144" s="1103"/>
      <c r="J144" s="1103"/>
      <c r="K144" s="1103"/>
      <c r="L144" s="1103"/>
      <c r="M144" s="40"/>
      <c r="N144" s="40" t="s">
        <v>1361</v>
      </c>
      <c r="O144" s="2383" t="s">
        <v>22</v>
      </c>
      <c r="P144" s="1411"/>
      <c r="Q144" s="31"/>
    </row>
    <row r="145" spans="1:18" s="33" customFormat="1" ht="10.5" customHeight="1">
      <c r="A145" s="39"/>
      <c r="B145" s="336"/>
      <c r="C145" s="33" t="s">
        <v>1900</v>
      </c>
      <c r="D145" s="311"/>
      <c r="E145" s="31"/>
      <c r="F145" s="31"/>
      <c r="G145" s="33" t="s">
        <v>1901</v>
      </c>
      <c r="H145" s="311"/>
      <c r="M145" s="35"/>
      <c r="N145" s="35"/>
      <c r="O145" s="35"/>
      <c r="P145" s="35"/>
      <c r="Q145" s="31"/>
    </row>
    <row r="146" spans="1:18" s="33" customFormat="1" ht="10.5" customHeight="1">
      <c r="A146" s="39"/>
      <c r="B146" s="289"/>
      <c r="C146" s="2365" t="s">
        <v>4682</v>
      </c>
      <c r="D146" s="2366"/>
      <c r="E146" s="2366"/>
      <c r="F146" s="2367"/>
      <c r="G146" s="2365" t="s">
        <v>4683</v>
      </c>
      <c r="H146" s="2366"/>
      <c r="I146" s="2366"/>
      <c r="J146" s="2366"/>
      <c r="K146" s="2366"/>
      <c r="L146" s="2366"/>
      <c r="M146" s="2366"/>
      <c r="N146" s="2366"/>
      <c r="O146" s="2366"/>
      <c r="P146" s="2367"/>
      <c r="Q146" s="31"/>
    </row>
    <row r="147" spans="1:18" s="33" customFormat="1" ht="10.5" customHeight="1">
      <c r="A147" s="39"/>
      <c r="B147" s="899"/>
      <c r="C147" s="2370" t="s">
        <v>4684</v>
      </c>
      <c r="D147" s="2371"/>
      <c r="E147" s="2371"/>
      <c r="F147" s="2372"/>
      <c r="G147" s="2370" t="s">
        <v>4685</v>
      </c>
      <c r="H147" s="2371"/>
      <c r="I147" s="2371"/>
      <c r="J147" s="2371"/>
      <c r="K147" s="2371"/>
      <c r="L147" s="2371"/>
      <c r="M147" s="2371"/>
      <c r="N147" s="2371"/>
      <c r="O147" s="2371"/>
      <c r="P147" s="2372"/>
      <c r="Q147" s="31"/>
    </row>
    <row r="148" spans="1:18" s="33" customFormat="1" ht="10.5" customHeight="1">
      <c r="A148" s="2039" t="s">
        <v>1902</v>
      </c>
      <c r="B148" s="2039"/>
      <c r="C148" s="2370" t="s">
        <v>4686</v>
      </c>
      <c r="D148" s="2371"/>
      <c r="E148" s="2371"/>
      <c r="F148" s="2372"/>
      <c r="G148" s="2370" t="s">
        <v>4687</v>
      </c>
      <c r="H148" s="2371"/>
      <c r="I148" s="2371"/>
      <c r="J148" s="2371"/>
      <c r="K148" s="2371"/>
      <c r="L148" s="2371"/>
      <c r="M148" s="2371"/>
      <c r="N148" s="2371"/>
      <c r="O148" s="2371"/>
      <c r="P148" s="2372"/>
      <c r="Q148" s="31"/>
    </row>
    <row r="149" spans="1:18" s="33" customFormat="1" ht="10.5" customHeight="1">
      <c r="A149" s="2039"/>
      <c r="B149" s="2039"/>
      <c r="C149" s="2375" t="s">
        <v>4688</v>
      </c>
      <c r="D149" s="2376"/>
      <c r="E149" s="2376"/>
      <c r="F149" s="2377"/>
      <c r="G149" s="2375" t="s">
        <v>4689</v>
      </c>
      <c r="H149" s="2376"/>
      <c r="I149" s="2376"/>
      <c r="J149" s="2376"/>
      <c r="K149" s="2376"/>
      <c r="L149" s="2376"/>
      <c r="M149" s="2376"/>
      <c r="N149" s="2376"/>
      <c r="O149" s="2376"/>
      <c r="P149" s="2377"/>
      <c r="Q149" s="31"/>
    </row>
    <row r="150" spans="1:18" s="25" customFormat="1" ht="4.5" customHeight="1">
      <c r="A150" s="2122"/>
      <c r="B150" s="2122"/>
      <c r="C150" s="1182"/>
      <c r="D150" s="50"/>
      <c r="E150" s="61"/>
      <c r="F150" s="1532"/>
      <c r="G150" s="1532"/>
      <c r="H150" s="1532"/>
      <c r="I150" s="1532"/>
      <c r="J150" s="1532"/>
      <c r="K150" s="1532"/>
      <c r="L150" s="1532"/>
      <c r="M150" s="1532"/>
      <c r="N150" s="1343"/>
      <c r="O150" s="44"/>
      <c r="P150" s="1523"/>
      <c r="Q150" s="322"/>
    </row>
    <row r="151" spans="1:18" s="25" customFormat="1" ht="11.25" customHeight="1">
      <c r="A151" s="1835"/>
      <c r="B151" s="1836"/>
      <c r="C151" s="1836"/>
      <c r="D151" s="1836"/>
      <c r="E151" s="1836"/>
      <c r="F151" s="1836"/>
      <c r="G151" s="1836"/>
      <c r="H151" s="1836"/>
      <c r="I151" s="1836"/>
      <c r="J151" s="1836"/>
      <c r="K151" s="1836"/>
      <c r="L151" s="1836"/>
      <c r="M151" s="1836"/>
      <c r="N151" s="1836"/>
      <c r="O151" s="1836"/>
      <c r="P151" s="1837"/>
      <c r="Q151" s="341"/>
    </row>
    <row r="152" spans="1:18" s="25" customFormat="1" ht="3" customHeight="1" thickBot="1">
      <c r="A152" s="58"/>
      <c r="C152" s="1532"/>
      <c r="D152" s="1532"/>
      <c r="E152" s="1532"/>
      <c r="F152" s="1532"/>
      <c r="G152" s="1532"/>
      <c r="H152" s="1532"/>
      <c r="I152" s="1532"/>
      <c r="J152" s="1532"/>
      <c r="K152" s="1532"/>
      <c r="L152" s="1532"/>
      <c r="M152" s="1532"/>
      <c r="N152" s="1343"/>
      <c r="O152" s="44"/>
      <c r="P152" s="761"/>
    </row>
    <row r="153" spans="1:18" s="25" customFormat="1" ht="13.5" customHeight="1" thickBot="1">
      <c r="A153" s="107" t="s">
        <v>167</v>
      </c>
      <c r="B153" s="67" t="s">
        <v>1903</v>
      </c>
      <c r="C153" s="1532"/>
      <c r="D153" s="1532"/>
      <c r="E153" s="1532"/>
      <c r="F153" s="1532"/>
      <c r="G153" s="1532"/>
      <c r="H153" s="1532"/>
      <c r="I153" s="1532"/>
      <c r="J153" s="1532"/>
      <c r="K153" s="1532"/>
      <c r="L153" s="1532"/>
      <c r="M153" s="761">
        <v>5</v>
      </c>
      <c r="N153" s="1343"/>
      <c r="O153" s="981">
        <f>O155+O171</f>
        <v>3</v>
      </c>
      <c r="P153" s="981">
        <f>P155+P171</f>
        <v>0</v>
      </c>
      <c r="Q153" s="70" t="s">
        <v>834</v>
      </c>
    </row>
    <row r="154" spans="1:18" s="25" customFormat="1" ht="9" customHeight="1">
      <c r="A154" s="58"/>
      <c r="C154" s="1532"/>
      <c r="D154" s="1532"/>
      <c r="E154" s="1532"/>
      <c r="F154" s="1532"/>
      <c r="G154" s="1532"/>
      <c r="H154" s="1532"/>
      <c r="I154" s="1532"/>
      <c r="J154" s="1532"/>
      <c r="K154" s="1532"/>
      <c r="L154" s="1532"/>
      <c r="M154" s="1532"/>
      <c r="N154" s="1343"/>
      <c r="O154" s="44"/>
      <c r="P154" s="761"/>
    </row>
    <row r="155" spans="1:18" s="63" customFormat="1" ht="13.5" customHeight="1">
      <c r="A155" s="130" t="s">
        <v>110</v>
      </c>
      <c r="B155" s="6" t="s">
        <v>1904</v>
      </c>
      <c r="C155" s="57"/>
      <c r="D155" s="978"/>
      <c r="E155" s="978"/>
      <c r="G155" s="998"/>
      <c r="H155" s="998"/>
      <c r="I155" s="998"/>
      <c r="J155" s="998"/>
      <c r="K155" s="998"/>
      <c r="L155" s="998"/>
      <c r="M155" s="325">
        <v>3</v>
      </c>
      <c r="N155" s="126"/>
      <c r="O155" s="1412">
        <f>IF('Part VI-Revenues &amp; Expenses'!$O$62=0,0,IF(AND($F$160="Family",O163="Yes",O164="Yes",O165="Yes"),3,IF(AND(O163="Yes",O164="Yes",O165="Yes"),2,IF(OR(O163="Yes",O164="Yes",O165="Yes"),1,0))))</f>
        <v>3</v>
      </c>
      <c r="P155" s="1412">
        <f>IF('Part VI-Revenues &amp; Expenses'!$O$62=0,0,IF(AND($F$160="Family",P167="Yes",P168="Yes",P169="Yes"),3,IF(AND(P167="Yes",P168="Yes",P169="Yes"),2,IF(OR(P167="Yes",P168="Yes",P169="Yes"),1,0))))</f>
        <v>0</v>
      </c>
      <c r="R155" s="124"/>
    </row>
    <row r="156" spans="1:18" s="25" customFormat="1" ht="12" customHeight="1">
      <c r="B156" s="22" t="s">
        <v>1905</v>
      </c>
      <c r="C156" s="323"/>
      <c r="D156" s="323"/>
      <c r="E156" s="323"/>
      <c r="F156" s="323"/>
      <c r="G156" s="323"/>
      <c r="H156" s="323"/>
      <c r="I156" s="323"/>
      <c r="J156" s="323"/>
      <c r="K156" s="323"/>
      <c r="L156" s="323"/>
      <c r="M156" s="323"/>
      <c r="N156" s="323"/>
      <c r="O156" s="2383" t="s">
        <v>22</v>
      </c>
      <c r="P156" s="1411"/>
      <c r="R156" s="280"/>
    </row>
    <row r="157" spans="1:18" s="25" customFormat="1" ht="6" customHeight="1">
      <c r="A157" s="97"/>
      <c r="B157" s="421"/>
      <c r="C157" s="421"/>
      <c r="D157" s="421"/>
      <c r="E157" s="421"/>
      <c r="F157" s="421"/>
      <c r="G157" s="421"/>
      <c r="H157" s="421"/>
      <c r="I157" s="421"/>
      <c r="J157" s="421"/>
      <c r="K157" s="421"/>
      <c r="L157" s="421"/>
      <c r="M157" s="421"/>
      <c r="O157" s="1362"/>
      <c r="P157" s="1362"/>
      <c r="R157" s="280"/>
    </row>
    <row r="158" spans="1:18" s="25" customFormat="1" ht="11.25" customHeight="1">
      <c r="A158" s="97"/>
      <c r="B158" s="1987" t="s">
        <v>1906</v>
      </c>
      <c r="C158" s="1987"/>
      <c r="D158" s="1987"/>
      <c r="E158" s="31" t="s">
        <v>1907</v>
      </c>
      <c r="F158" s="63"/>
      <c r="G158" s="31"/>
      <c r="H158" s="63"/>
      <c r="I158" s="2359" t="s">
        <v>4690</v>
      </c>
      <c r="J158" s="2360"/>
      <c r="K158" s="2360"/>
      <c r="L158" s="2361"/>
    </row>
    <row r="159" spans="1:18" s="25" customFormat="1" ht="11.25" customHeight="1">
      <c r="A159" s="97"/>
      <c r="B159" s="1987"/>
      <c r="C159" s="1987"/>
      <c r="D159" s="1987"/>
      <c r="E159" s="22" t="s">
        <v>1908</v>
      </c>
      <c r="F159" s="280"/>
      <c r="G159" s="63"/>
      <c r="H159" s="63"/>
      <c r="I159" s="22"/>
      <c r="J159" s="1543"/>
      <c r="K159" s="1543"/>
      <c r="L159" s="1543"/>
      <c r="M159" s="63"/>
      <c r="N159" s="1000"/>
      <c r="O159" s="2383" t="s">
        <v>4691</v>
      </c>
      <c r="P159" s="1411"/>
      <c r="Q159" s="92"/>
    </row>
    <row r="160" spans="1:18" s="25" customFormat="1" ht="12" customHeight="1">
      <c r="A160" s="58"/>
      <c r="C160" s="1532"/>
      <c r="D160" s="1532"/>
      <c r="E160" s="31" t="s">
        <v>1909</v>
      </c>
      <c r="F160" s="2136" t="str">
        <f>'Part I-Project Information'!$H$78</f>
        <v>Family</v>
      </c>
      <c r="G160" s="2136"/>
      <c r="I160" s="1532"/>
      <c r="J160" s="1532"/>
      <c r="K160" s="1532"/>
      <c r="L160" s="1532"/>
      <c r="M160" s="1532"/>
      <c r="N160" s="1343"/>
      <c r="O160" s="44"/>
      <c r="P160" s="761"/>
    </row>
    <row r="161" spans="1:24" s="25" customFormat="1" ht="13.5" customHeight="1">
      <c r="A161" s="97"/>
      <c r="B161" s="440"/>
      <c r="C161" s="439"/>
      <c r="D161" s="439"/>
      <c r="E161" s="1105"/>
      <c r="H161" s="2133" t="s">
        <v>1910</v>
      </c>
      <c r="I161" s="2044" t="s">
        <v>1911</v>
      </c>
      <c r="J161" s="2045"/>
      <c r="K161" s="2045"/>
      <c r="L161" s="2046"/>
      <c r="M161" s="2043" t="s">
        <v>1912</v>
      </c>
      <c r="N161" s="2043"/>
      <c r="O161" s="2043" t="s">
        <v>1913</v>
      </c>
      <c r="P161" s="2043"/>
      <c r="Q161" s="92"/>
    </row>
    <row r="162" spans="1:24" s="25" customFormat="1" ht="13.5" customHeight="1">
      <c r="A162" s="97"/>
      <c r="B162" s="445" t="s">
        <v>1914</v>
      </c>
      <c r="C162" s="1543"/>
      <c r="D162" s="2135" t="s">
        <v>1915</v>
      </c>
      <c r="E162" s="2135"/>
      <c r="F162" s="2135"/>
      <c r="G162" s="1540" t="s">
        <v>1916</v>
      </c>
      <c r="H162" s="2134"/>
      <c r="I162" s="1533">
        <v>2014</v>
      </c>
      <c r="J162" s="1533">
        <v>2015</v>
      </c>
      <c r="K162" s="1533">
        <v>2016</v>
      </c>
      <c r="L162" s="1533">
        <v>2017</v>
      </c>
      <c r="M162" s="2043"/>
      <c r="N162" s="2043"/>
      <c r="O162" s="2043"/>
      <c r="P162" s="2043"/>
      <c r="Q162" s="2109" t="s">
        <v>1917</v>
      </c>
      <c r="R162" s="2109"/>
    </row>
    <row r="163" spans="1:24" s="25" customFormat="1" ht="13.5" customHeight="1">
      <c r="A163" s="289" t="s">
        <v>1359</v>
      </c>
      <c r="B163" s="484" t="s">
        <v>1918</v>
      </c>
      <c r="D163" s="2384" t="s">
        <v>4693</v>
      </c>
      <c r="E163" s="2385"/>
      <c r="F163" s="2386"/>
      <c r="G163" s="2387" t="s">
        <v>4692</v>
      </c>
      <c r="H163" s="2388" t="s">
        <v>21</v>
      </c>
      <c r="I163" s="2389"/>
      <c r="J163" s="2390">
        <v>68.900000000000006</v>
      </c>
      <c r="K163" s="2390">
        <v>75.7</v>
      </c>
      <c r="L163" s="2391">
        <v>82.7</v>
      </c>
      <c r="M163" s="1947">
        <f>IF(I163+J163+K163+L163=0,"",AVERAGE(I163,J163,K163,L163))</f>
        <v>75.766666666666666</v>
      </c>
      <c r="N163" s="1948"/>
      <c r="O163" s="507" t="str">
        <f>IF(M163="","",IF(M163&gt;Q163,"Yes",IF(M163&lt;Q163,"No","")))</f>
        <v>Yes</v>
      </c>
      <c r="Q163" s="2014">
        <v>73.400000000000006</v>
      </c>
      <c r="R163" s="2015"/>
      <c r="S163" s="32"/>
    </row>
    <row r="164" spans="1:24" s="25" customFormat="1" ht="13.5" customHeight="1">
      <c r="A164" s="899" t="s">
        <v>1361</v>
      </c>
      <c r="B164" s="484" t="s">
        <v>1919</v>
      </c>
      <c r="D164" s="2392" t="s">
        <v>4694</v>
      </c>
      <c r="E164" s="2393"/>
      <c r="F164" s="2394"/>
      <c r="G164" s="2395" t="s">
        <v>4695</v>
      </c>
      <c r="H164" s="2396" t="s">
        <v>21</v>
      </c>
      <c r="I164" s="2397"/>
      <c r="J164" s="2398">
        <v>78.900000000000006</v>
      </c>
      <c r="K164" s="2398">
        <v>84.4</v>
      </c>
      <c r="L164" s="2399">
        <v>82.7</v>
      </c>
      <c r="M164" s="1945">
        <f>IF(I164+J164+K164+L164=0,"",AVERAGE(I164,J164,K164,L164))</f>
        <v>82</v>
      </c>
      <c r="N164" s="1946"/>
      <c r="O164" s="508" t="str">
        <f>IF(M164="","",IF(M164&gt;Q164,"Yes",IF(M164&lt;Q164,"No","")))</f>
        <v>Yes</v>
      </c>
      <c r="Q164" s="2014">
        <v>72.099999999999994</v>
      </c>
      <c r="R164" s="2015"/>
      <c r="S164" s="32"/>
    </row>
    <row r="165" spans="1:24" s="25" customFormat="1" ht="13.5" customHeight="1">
      <c r="A165" s="289" t="s">
        <v>1363</v>
      </c>
      <c r="B165" s="484" t="s">
        <v>1920</v>
      </c>
      <c r="D165" s="2400" t="s">
        <v>4696</v>
      </c>
      <c r="E165" s="2401"/>
      <c r="F165" s="2402"/>
      <c r="G165" s="2403" t="s">
        <v>4697</v>
      </c>
      <c r="H165" s="2404" t="s">
        <v>21</v>
      </c>
      <c r="I165" s="2405"/>
      <c r="J165" s="2406">
        <v>82.9</v>
      </c>
      <c r="K165" s="2406">
        <v>88.7</v>
      </c>
      <c r="L165" s="2407">
        <v>88.4</v>
      </c>
      <c r="M165" s="2047">
        <f>IF(I165+J165+K165+L165=0,"",AVERAGE(I165,J165,K165,L165))</f>
        <v>86.666666666666671</v>
      </c>
      <c r="N165" s="2048"/>
      <c r="O165" s="509" t="str">
        <f>IF(M165="","",IF(M165&gt;Q165,"Yes",IF(M165&lt;Q165,"No","")))</f>
        <v>Yes</v>
      </c>
      <c r="Q165" s="2014">
        <v>73.3</v>
      </c>
      <c r="R165" s="2015"/>
      <c r="S165" s="32"/>
    </row>
    <row r="166" spans="1:24" s="25" customFormat="1" ht="1.5" customHeight="1">
      <c r="A166" s="289"/>
      <c r="B166" s="484"/>
    </row>
    <row r="167" spans="1:24" s="25" customFormat="1" ht="13.5" customHeight="1">
      <c r="A167" s="289" t="s">
        <v>1921</v>
      </c>
      <c r="B167" s="835" t="s">
        <v>1918</v>
      </c>
      <c r="D167" s="323" t="str">
        <f>IF(D163="","",D163)</f>
        <v>Ball Ground Elementary School</v>
      </c>
      <c r="G167" s="1533" t="str">
        <f t="shared" ref="G167:H169" si="4">IF(G163="","",G163)</f>
        <v>Pre-K - 5</v>
      </c>
      <c r="H167" s="1533" t="str">
        <f t="shared" si="4"/>
        <v>No</v>
      </c>
      <c r="I167" s="919"/>
      <c r="J167" s="920"/>
      <c r="K167" s="920"/>
      <c r="L167" s="921"/>
      <c r="M167" s="1947" t="str">
        <f>IF(I167+J167+K167+L167=0,"",AVERAGE(I167,J167,K167,L167))</f>
        <v/>
      </c>
      <c r="N167" s="1948"/>
      <c r="P167" s="510" t="str">
        <f>IF(M167="","",IF(M167&gt;Q163,"Yes",IF(M167&lt;Q163,"No","")))</f>
        <v/>
      </c>
    </row>
    <row r="168" spans="1:24" s="25" customFormat="1" ht="13.5" customHeight="1">
      <c r="A168" s="899" t="s">
        <v>1922</v>
      </c>
      <c r="B168" s="835" t="s">
        <v>1923</v>
      </c>
      <c r="D168" s="323" t="str">
        <f>IF(D164="","",D164)</f>
        <v>Creekland Middle School</v>
      </c>
      <c r="G168" s="1533" t="str">
        <f t="shared" si="4"/>
        <v>6-8</v>
      </c>
      <c r="H168" s="1533" t="str">
        <f t="shared" si="4"/>
        <v>No</v>
      </c>
      <c r="I168" s="922"/>
      <c r="J168" s="923"/>
      <c r="K168" s="923"/>
      <c r="L168" s="924"/>
      <c r="M168" s="1945" t="str">
        <f>IF(I168+J168+K168+L168=0,"",AVERAGE(I168,J168,K168,L168))</f>
        <v/>
      </c>
      <c r="N168" s="1946"/>
      <c r="P168" s="511" t="str">
        <f>IF(M168="","",IF(M168&gt;Q164,"Yes",IF(M168&lt;Q164,"No","")))</f>
        <v/>
      </c>
    </row>
    <row r="169" spans="1:24" s="25" customFormat="1" ht="13.5" customHeight="1">
      <c r="A169" s="289" t="s">
        <v>1924</v>
      </c>
      <c r="B169" s="835" t="s">
        <v>1920</v>
      </c>
      <c r="D169" s="323" t="str">
        <f>IF(D165="","",D165)</f>
        <v>Creekview High School</v>
      </c>
      <c r="G169" s="1533" t="str">
        <f t="shared" si="4"/>
        <v>9-12</v>
      </c>
      <c r="H169" s="1533" t="str">
        <f t="shared" si="4"/>
        <v>No</v>
      </c>
      <c r="I169" s="925"/>
      <c r="J169" s="926"/>
      <c r="K169" s="926"/>
      <c r="L169" s="927"/>
      <c r="M169" s="2047" t="str">
        <f>IF(I169+J169+K169+L169=0,"",AVERAGE(I169,J169,K169,L169))</f>
        <v/>
      </c>
      <c r="N169" s="2048"/>
      <c r="P169" s="512" t="str">
        <f>IF(M169="","",IF(M169&gt;Q165,"Yes",IF(M169&lt;Q165,"No","")))</f>
        <v/>
      </c>
    </row>
    <row r="170" spans="1:24" s="25" customFormat="1" ht="15" customHeight="1" thickBot="1">
      <c r="A170" s="58"/>
      <c r="C170" s="1532"/>
      <c r="D170" s="1532"/>
      <c r="E170" s="1532"/>
      <c r="F170" s="1532"/>
      <c r="G170" s="1532"/>
      <c r="H170" s="1532"/>
      <c r="I170" s="1532"/>
      <c r="J170" s="1532"/>
      <c r="K170" s="1532"/>
      <c r="L170" s="1532"/>
      <c r="M170" s="1532"/>
      <c r="N170" s="1343"/>
      <c r="O170" s="44"/>
      <c r="P170" s="761"/>
    </row>
    <row r="171" spans="1:24" s="63" customFormat="1" ht="13.5" customHeight="1" thickBot="1">
      <c r="A171" s="130" t="s">
        <v>121</v>
      </c>
      <c r="B171" s="6" t="s">
        <v>1925</v>
      </c>
      <c r="C171" s="57"/>
      <c r="D171" s="978"/>
      <c r="E171" s="978"/>
      <c r="F171" s="37" t="s">
        <v>1926</v>
      </c>
      <c r="H171" s="22" t="s">
        <v>1927</v>
      </c>
      <c r="M171" s="325">
        <v>2</v>
      </c>
      <c r="N171" s="126"/>
      <c r="O171" s="981">
        <f>IF(AND(I180="Yes",I181="Yes"),$H$181,IF(AND(I180="Yes",I181="No"),$H$180,0))</f>
        <v>0</v>
      </c>
      <c r="P171" s="981">
        <f>IF(AND(J180="Yes",J181="Yes"),$H$181,IF(AND(J180="Yes",J181="No"),$H$180,0))</f>
        <v>0</v>
      </c>
      <c r="Q171" s="70"/>
      <c r="R171" s="979"/>
    </row>
    <row r="172" spans="1:24" s="33" customFormat="1" ht="15" customHeight="1">
      <c r="E172" s="1983" t="s">
        <v>1928</v>
      </c>
      <c r="F172" s="1983" t="s">
        <v>1929</v>
      </c>
      <c r="G172" s="1986" t="s">
        <v>1930</v>
      </c>
      <c r="H172" s="1986"/>
      <c r="I172" s="1986"/>
      <c r="J172" s="1986"/>
      <c r="K172" s="1986"/>
      <c r="L172" s="1986"/>
      <c r="M172" s="1986"/>
      <c r="N172" s="1986"/>
      <c r="P172" s="1001"/>
      <c r="R172" s="311" t="s">
        <v>1931</v>
      </c>
      <c r="T172" s="2024" t="str">
        <f>'Part I-Project Information'!$F$38</f>
        <v>Ball Ground</v>
      </c>
      <c r="U172" s="2025"/>
      <c r="V172" s="2025"/>
      <c r="W172" s="2025"/>
      <c r="X172" s="2026"/>
    </row>
    <row r="173" spans="1:24" s="33" customFormat="1" ht="13.5" customHeight="1">
      <c r="A173" s="28"/>
      <c r="B173" s="1995" t="s">
        <v>1932</v>
      </c>
      <c r="C173" s="1995"/>
      <c r="D173" s="1995"/>
      <c r="E173" s="2132"/>
      <c r="F173" s="2132"/>
      <c r="G173" s="1985" t="s">
        <v>1933</v>
      </c>
      <c r="H173" s="1985"/>
      <c r="I173" s="1985"/>
      <c r="J173" s="1985"/>
      <c r="K173" s="1985"/>
      <c r="L173" s="1985"/>
      <c r="M173" s="1985"/>
      <c r="N173" s="1985"/>
      <c r="O173" s="1983" t="s">
        <v>1934</v>
      </c>
      <c r="P173" s="1983"/>
      <c r="R173" s="35" t="s">
        <v>1935</v>
      </c>
      <c r="T173" s="1979" t="str">
        <f>'Part I-Project Information'!$J$39</f>
        <v>Cherokee</v>
      </c>
      <c r="U173" s="1980"/>
      <c r="V173" s="1980"/>
      <c r="W173" s="1980"/>
      <c r="X173" s="1981"/>
    </row>
    <row r="174" spans="1:24" s="33" customFormat="1" ht="13.5" customHeight="1">
      <c r="A174" s="28"/>
      <c r="B174" s="1991" t="s">
        <v>1936</v>
      </c>
      <c r="C174" s="1991"/>
      <c r="D174" s="1991"/>
      <c r="E174" s="1548">
        <v>3000</v>
      </c>
      <c r="F174" s="1548">
        <v>6000</v>
      </c>
      <c r="G174" s="1982">
        <v>15000</v>
      </c>
      <c r="H174" s="1982"/>
      <c r="I174" s="1982"/>
      <c r="J174" s="1982"/>
      <c r="K174" s="1982"/>
      <c r="L174" s="1982"/>
      <c r="M174" s="1982"/>
      <c r="N174" s="1982"/>
      <c r="O174" s="1982">
        <v>20000</v>
      </c>
      <c r="P174" s="1982"/>
      <c r="R174" s="323" t="s">
        <v>1937</v>
      </c>
      <c r="T174" s="1979" t="str">
        <f>'Part I-Project Information'!$O$40</f>
        <v>Atlanta-Sandy Springs-Marietta</v>
      </c>
      <c r="U174" s="1980"/>
      <c r="V174" s="1980"/>
      <c r="W174" s="1980"/>
      <c r="X174" s="1981"/>
    </row>
    <row r="175" spans="1:24" s="20" customFormat="1" ht="13.5" customHeight="1">
      <c r="A175" s="28"/>
      <c r="B175" s="1997" t="s">
        <v>1938</v>
      </c>
      <c r="C175" s="1997"/>
      <c r="D175" s="1997"/>
      <c r="E175" s="1549">
        <v>4500</v>
      </c>
      <c r="F175" s="1549">
        <v>9000</v>
      </c>
      <c r="G175" s="1984">
        <v>22500</v>
      </c>
      <c r="H175" s="1984"/>
      <c r="I175" s="1984"/>
      <c r="J175" s="1984"/>
      <c r="K175" s="1984"/>
      <c r="L175" s="1984"/>
      <c r="M175" s="1984"/>
      <c r="N175" s="1984"/>
      <c r="O175" s="1984">
        <v>30000</v>
      </c>
      <c r="P175" s="1984"/>
      <c r="R175" s="22" t="s">
        <v>1939</v>
      </c>
      <c r="T175" s="1988" t="str">
        <f>VLOOKUP('Part I-Project Information'!$J$39,'DCA Underwriting Assumptions'!$G$155:$J$314,4)</f>
        <v>MSA</v>
      </c>
      <c r="U175" s="1989"/>
      <c r="V175" s="1989"/>
      <c r="W175" s="1989"/>
      <c r="X175" s="1990"/>
    </row>
    <row r="176" spans="1:24" s="33" customFormat="1" ht="9" customHeight="1">
      <c r="A176" s="28"/>
      <c r="B176" s="28"/>
      <c r="C176" s="311"/>
      <c r="K176" s="1533"/>
      <c r="L176" s="1533"/>
    </row>
    <row r="177" spans="1:24" s="33" customFormat="1" ht="13.5" customHeight="1">
      <c r="B177" s="775" t="s">
        <v>1940</v>
      </c>
      <c r="E177" s="774"/>
      <c r="F177" s="774"/>
      <c r="G177" s="774"/>
      <c r="I177" s="2408"/>
      <c r="J177" s="1030"/>
      <c r="R177" s="33" t="s">
        <v>1941</v>
      </c>
      <c r="T177" s="1992" t="str">
        <f>'Part I-Project Information'!$K$40</f>
        <v>Rural</v>
      </c>
      <c r="U177" s="1993"/>
      <c r="V177" s="1993"/>
      <c r="W177" s="1993"/>
      <c r="X177" s="1994"/>
    </row>
    <row r="178" spans="1:24" s="33" customFormat="1" ht="13.5" customHeight="1">
      <c r="A178" s="777"/>
      <c r="B178" s="323" t="s">
        <v>1942</v>
      </c>
      <c r="H178" s="776" t="str">
        <f>IF(I178&lt;I177,"Threshold not met!","")</f>
        <v/>
      </c>
      <c r="I178" s="2409"/>
      <c r="J178" s="1031"/>
      <c r="K178" s="1003" t="str">
        <f>IF(J178&lt;J177,"Threshold not met!","")</f>
        <v/>
      </c>
    </row>
    <row r="179" spans="1:24" s="33" customFormat="1" ht="8.25" customHeight="1">
      <c r="A179" s="777"/>
      <c r="B179" s="323"/>
    </row>
    <row r="180" spans="1:24" s="33" customFormat="1" ht="11.25" customHeight="1">
      <c r="B180" s="469" t="s">
        <v>379</v>
      </c>
      <c r="C180" s="20" t="s">
        <v>1943</v>
      </c>
      <c r="D180" s="947"/>
      <c r="E180" s="947"/>
      <c r="F180" s="947"/>
      <c r="G180" s="947"/>
      <c r="H180" s="1046" t="s">
        <v>379</v>
      </c>
      <c r="I180" s="1043" t="str">
        <f>IF(OR(I177="",I178=""),"",IF(I178&gt;=I177,"Yes","No"))</f>
        <v/>
      </c>
      <c r="J180" s="1043" t="str">
        <f>IF(OR(J177="",J178=""),"",IF(J178&gt;=J177,"Yes","No"))</f>
        <v/>
      </c>
    </row>
    <row r="181" spans="1:24" s="33" customFormat="1" ht="11.25" customHeight="1">
      <c r="A181" s="948" t="s">
        <v>515</v>
      </c>
      <c r="B181" s="469" t="s">
        <v>389</v>
      </c>
      <c r="C181" s="20" t="s">
        <v>1944</v>
      </c>
      <c r="D181" s="1105"/>
      <c r="E181" s="1105"/>
      <c r="F181" s="1105"/>
      <c r="H181" s="1046" t="s">
        <v>389</v>
      </c>
      <c r="I181" s="1044" t="str">
        <f>IF(OR(I177="",I178=""),"",IF(I178&gt;=HLOOKUP(I177,$E$174:$P$175,2),"Yes","No"))</f>
        <v/>
      </c>
      <c r="J181" s="1044" t="str">
        <f>IF(OR(J177="",J178=""),"",IF(J178&gt;=HLOOKUP(J177,$E$174:$P$175,2),"Yes","No"))</f>
        <v/>
      </c>
    </row>
    <row r="182" spans="1:24" s="33" customFormat="1" ht="11.25" customHeight="1">
      <c r="A182" s="948"/>
      <c r="B182" s="97"/>
      <c r="C182" s="323" t="s">
        <v>1945</v>
      </c>
      <c r="D182" s="1105"/>
      <c r="E182" s="1105"/>
      <c r="F182" s="1105"/>
      <c r="G182" s="1002"/>
      <c r="I182" s="1045">
        <f>IF(I178="",0,(I178/I177) - 1)</f>
        <v>0</v>
      </c>
      <c r="J182" s="1045">
        <f>IF(J178="",0,(J178/J177) - 1)</f>
        <v>0</v>
      </c>
      <c r="M182" s="1533"/>
    </row>
    <row r="183" spans="1:24" s="33" customFormat="1" ht="9" customHeight="1">
      <c r="A183" s="28"/>
      <c r="B183" s="28"/>
      <c r="C183" s="311"/>
      <c r="K183" s="1533"/>
      <c r="L183" s="1533"/>
    </row>
    <row r="184" spans="1:24" s="25" customFormat="1" ht="10.5" customHeight="1" thickBot="1">
      <c r="A184" s="58"/>
      <c r="B184" s="1089" t="s">
        <v>1810</v>
      </c>
      <c r="C184" s="58"/>
      <c r="D184" s="71"/>
      <c r="E184" s="71"/>
      <c r="F184" s="71"/>
      <c r="G184" s="71"/>
      <c r="H184" s="20"/>
      <c r="I184" s="20"/>
      <c r="J184" s="20"/>
      <c r="K184" s="20"/>
      <c r="M184" s="45"/>
      <c r="N184" s="840"/>
      <c r="O184" s="3"/>
      <c r="P184" s="1527"/>
    </row>
    <row r="185" spans="1:24" s="25" customFormat="1" ht="75.75" customHeight="1" thickTop="1" thickBot="1">
      <c r="A185" s="2316" t="s">
        <v>4698</v>
      </c>
      <c r="B185" s="2317"/>
      <c r="C185" s="2317"/>
      <c r="D185" s="2317"/>
      <c r="E185" s="2317"/>
      <c r="F185" s="2317"/>
      <c r="G185" s="2317"/>
      <c r="H185" s="2317"/>
      <c r="I185" s="2317"/>
      <c r="J185" s="2317"/>
      <c r="K185" s="2317"/>
      <c r="L185" s="2317"/>
      <c r="M185" s="2317"/>
      <c r="N185" s="2317"/>
      <c r="O185" s="2317"/>
      <c r="P185" s="2318"/>
      <c r="Q185" s="961" t="s">
        <v>1275</v>
      </c>
    </row>
    <row r="186" spans="1:24" s="25" customFormat="1" ht="10.5" customHeight="1" thickTop="1">
      <c r="A186" s="58"/>
      <c r="B186" s="50" t="s">
        <v>1276</v>
      </c>
      <c r="C186" s="1182"/>
      <c r="D186" s="50"/>
      <c r="E186" s="61"/>
      <c r="F186" s="1532"/>
      <c r="G186" s="1532"/>
      <c r="H186" s="1532"/>
      <c r="I186" s="1532"/>
      <c r="J186" s="1532"/>
      <c r="K186" s="1532"/>
      <c r="L186" s="1532"/>
      <c r="M186" s="1532"/>
      <c r="N186" s="1343"/>
      <c r="O186" s="44"/>
      <c r="P186" s="1523"/>
      <c r="Q186" s="322"/>
    </row>
    <row r="187" spans="1:24" s="25" customFormat="1" ht="11.25" customHeight="1">
      <c r="A187" s="1835"/>
      <c r="B187" s="1836"/>
      <c r="C187" s="1836"/>
      <c r="D187" s="1836"/>
      <c r="E187" s="1836"/>
      <c r="F187" s="1836"/>
      <c r="G187" s="1836"/>
      <c r="H187" s="1836"/>
      <c r="I187" s="1836"/>
      <c r="J187" s="1836"/>
      <c r="K187" s="1836"/>
      <c r="L187" s="1836"/>
      <c r="M187" s="1836"/>
      <c r="N187" s="1836"/>
      <c r="O187" s="1836"/>
      <c r="P187" s="1837"/>
      <c r="Q187" s="341"/>
    </row>
    <row r="188" spans="1:24" s="25" customFormat="1" ht="3" customHeight="1" thickBot="1">
      <c r="A188" s="58"/>
      <c r="C188" s="1532"/>
      <c r="D188" s="1532"/>
      <c r="E188" s="1532"/>
      <c r="F188" s="1532"/>
      <c r="G188" s="1532"/>
      <c r="H188" s="1532"/>
      <c r="I188" s="1532"/>
      <c r="J188" s="1532"/>
      <c r="K188" s="1532"/>
      <c r="L188" s="1532"/>
      <c r="M188" s="1532"/>
      <c r="N188" s="1343"/>
      <c r="O188" s="44"/>
      <c r="P188" s="761"/>
    </row>
    <row r="189" spans="1:24" s="63" customFormat="1" ht="12.6" customHeight="1" thickBot="1">
      <c r="A189" s="107" t="s">
        <v>173</v>
      </c>
      <c r="B189" s="67" t="s">
        <v>1946</v>
      </c>
      <c r="C189" s="57"/>
      <c r="D189" s="36"/>
      <c r="E189" s="36"/>
      <c r="H189" s="766" t="s">
        <v>1947</v>
      </c>
      <c r="I189" s="949"/>
      <c r="J189" s="949"/>
      <c r="K189" s="473"/>
      <c r="L189" s="473"/>
      <c r="M189" s="1523">
        <v>7</v>
      </c>
      <c r="N189" s="325"/>
      <c r="O189" s="980">
        <f>O207+O212</f>
        <v>0</v>
      </c>
      <c r="P189" s="980">
        <f>P207+P212</f>
        <v>0</v>
      </c>
      <c r="Q189" s="70" t="s">
        <v>834</v>
      </c>
      <c r="R189" s="25"/>
    </row>
    <row r="190" spans="1:24" ht="3" customHeight="1">
      <c r="A190" s="404"/>
      <c r="B190" s="373"/>
      <c r="D190" s="472"/>
      <c r="E190" s="373"/>
      <c r="G190" s="481"/>
      <c r="H190" s="482"/>
      <c r="I190" s="328"/>
      <c r="K190" s="734"/>
      <c r="N190" s="12"/>
      <c r="O190" s="12"/>
      <c r="P190" s="12"/>
      <c r="R190" s="956"/>
      <c r="S190" s="956"/>
    </row>
    <row r="191" spans="1:24" s="25" customFormat="1" ht="11.45" customHeight="1">
      <c r="A191" s="324"/>
      <c r="B191" s="117" t="s">
        <v>1948</v>
      </c>
      <c r="C191" s="117"/>
      <c r="D191" s="117"/>
      <c r="E191" s="124" t="s">
        <v>1949</v>
      </c>
      <c r="F191" s="117"/>
      <c r="G191" s="117"/>
      <c r="H191" s="117"/>
      <c r="I191" s="117"/>
      <c r="J191" s="117"/>
      <c r="K191" s="117"/>
      <c r="L191" s="117"/>
      <c r="M191" s="117"/>
      <c r="N191" s="117"/>
      <c r="O191" s="117"/>
      <c r="P191" s="117"/>
    </row>
    <row r="192" spans="1:24" s="25" customFormat="1" ht="10.5" customHeight="1">
      <c r="A192" s="324"/>
      <c r="C192" s="117"/>
      <c r="D192" s="117"/>
      <c r="E192" s="117"/>
      <c r="F192" s="117"/>
      <c r="G192" s="117"/>
      <c r="H192" s="117"/>
      <c r="I192" s="117"/>
      <c r="J192" s="117"/>
      <c r="K192" s="1345" t="s">
        <v>437</v>
      </c>
      <c r="L192" s="894" t="s">
        <v>437</v>
      </c>
      <c r="N192" s="1346"/>
      <c r="P192" s="1054"/>
    </row>
    <row r="193" spans="1:25" s="293" customFormat="1" ht="10.5" customHeight="1">
      <c r="B193" s="899" t="s">
        <v>1359</v>
      </c>
      <c r="C193" s="1880" t="s">
        <v>1950</v>
      </c>
      <c r="D193" s="1880"/>
      <c r="E193" s="1880"/>
      <c r="F193" s="1880"/>
      <c r="G193" s="1880"/>
      <c r="H193" s="1880"/>
      <c r="I193" s="1880"/>
      <c r="J193" s="899" t="s">
        <v>1359</v>
      </c>
      <c r="K193" s="2410"/>
      <c r="L193" s="1485"/>
      <c r="M193" s="2411" t="s">
        <v>1951</v>
      </c>
      <c r="N193" s="2412"/>
      <c r="O193" s="2412"/>
      <c r="P193" s="2413"/>
    </row>
    <row r="194" spans="1:25" s="25" customFormat="1" ht="10.5" customHeight="1">
      <c r="A194" s="278"/>
      <c r="B194" s="289"/>
      <c r="C194" s="1880"/>
      <c r="D194" s="1880"/>
      <c r="E194" s="1880"/>
      <c r="F194" s="1880"/>
      <c r="G194" s="1880"/>
      <c r="H194" s="1880"/>
      <c r="I194" s="1880"/>
      <c r="K194" s="1072"/>
      <c r="L194" s="1072"/>
    </row>
    <row r="195" spans="1:25" s="25" customFormat="1" ht="10.5" customHeight="1">
      <c r="A195" s="278"/>
      <c r="B195" s="899" t="s">
        <v>1361</v>
      </c>
      <c r="C195" s="1987" t="s">
        <v>1952</v>
      </c>
      <c r="D195" s="1987"/>
      <c r="E195" s="1987"/>
      <c r="F195" s="1987"/>
      <c r="G195" s="1987"/>
      <c r="J195" s="289" t="s">
        <v>1361</v>
      </c>
      <c r="K195" s="2414"/>
      <c r="L195" s="431"/>
      <c r="M195" s="2411" t="s">
        <v>1951</v>
      </c>
      <c r="N195" s="2412"/>
      <c r="O195" s="2412"/>
      <c r="P195" s="2413"/>
    </row>
    <row r="196" spans="1:25" s="293" customFormat="1" ht="10.5" customHeight="1">
      <c r="B196" s="899" t="s">
        <v>1363</v>
      </c>
      <c r="C196" s="817" t="s">
        <v>1953</v>
      </c>
      <c r="D196" s="817"/>
      <c r="E196" s="817"/>
      <c r="F196" s="817"/>
      <c r="G196" s="817"/>
      <c r="H196" s="817"/>
      <c r="J196" s="899" t="s">
        <v>1363</v>
      </c>
      <c r="K196" s="2414"/>
      <c r="L196" s="431"/>
      <c r="M196" s="2411" t="s">
        <v>1951</v>
      </c>
      <c r="N196" s="2412"/>
      <c r="O196" s="2412"/>
      <c r="P196" s="2413"/>
    </row>
    <row r="197" spans="1:25" s="293" customFormat="1" ht="10.5" customHeight="1">
      <c r="B197" s="899" t="s">
        <v>1921</v>
      </c>
      <c r="C197" s="836" t="s">
        <v>1954</v>
      </c>
      <c r="D197" s="98"/>
      <c r="E197" s="98"/>
      <c r="F197" s="98"/>
      <c r="G197" s="98"/>
      <c r="H197" s="98"/>
      <c r="J197" s="899" t="s">
        <v>1921</v>
      </c>
      <c r="K197" s="2414"/>
      <c r="L197" s="431"/>
      <c r="M197" s="2411" t="s">
        <v>1951</v>
      </c>
      <c r="N197" s="2412"/>
      <c r="O197" s="2412"/>
      <c r="P197" s="2413"/>
    </row>
    <row r="198" spans="1:25" s="293" customFormat="1" ht="10.5" customHeight="1">
      <c r="B198" s="899"/>
      <c r="D198" s="98" t="s">
        <v>1955</v>
      </c>
      <c r="E198" s="98"/>
      <c r="H198" s="98"/>
      <c r="J198" s="899"/>
      <c r="K198" s="2415"/>
      <c r="L198" s="433"/>
    </row>
    <row r="199" spans="1:25" s="293" customFormat="1" ht="10.5" customHeight="1">
      <c r="B199" s="899" t="s">
        <v>1922</v>
      </c>
      <c r="C199" s="817" t="s">
        <v>1956</v>
      </c>
      <c r="D199" s="817"/>
      <c r="E199" s="817"/>
      <c r="F199" s="817"/>
      <c r="G199" s="817"/>
      <c r="H199" s="817"/>
      <c r="J199" s="899" t="s">
        <v>1922</v>
      </c>
      <c r="K199" s="2414"/>
      <c r="L199" s="431"/>
      <c r="M199" s="2411" t="s">
        <v>1951</v>
      </c>
      <c r="N199" s="2412"/>
      <c r="O199" s="2412"/>
      <c r="P199" s="2413"/>
    </row>
    <row r="200" spans="1:25" s="293" customFormat="1" ht="10.5" customHeight="1">
      <c r="B200" s="899" t="s">
        <v>1924</v>
      </c>
      <c r="C200" s="817" t="s">
        <v>1957</v>
      </c>
      <c r="D200" s="817"/>
      <c r="E200" s="817"/>
      <c r="F200" s="817"/>
      <c r="G200" s="817"/>
      <c r="J200" s="899" t="s">
        <v>1924</v>
      </c>
      <c r="K200" s="2414"/>
      <c r="L200" s="431"/>
      <c r="M200" s="2411" t="s">
        <v>1951</v>
      </c>
      <c r="N200" s="2412"/>
      <c r="O200" s="2412"/>
      <c r="P200" s="2413"/>
    </row>
    <row r="201" spans="1:25" s="293" customFormat="1" ht="10.5" customHeight="1">
      <c r="B201" s="899" t="s">
        <v>1958</v>
      </c>
      <c r="C201" s="817" t="s">
        <v>1959</v>
      </c>
      <c r="D201" s="817"/>
      <c r="E201" s="817"/>
      <c r="F201" s="817"/>
      <c r="J201" s="899" t="s">
        <v>1958</v>
      </c>
      <c r="K201" s="2414"/>
      <c r="L201" s="431"/>
    </row>
    <row r="202" spans="1:25" s="293" customFormat="1" ht="10.5" customHeight="1">
      <c r="B202" s="899"/>
      <c r="C202" s="817"/>
      <c r="D202" s="893" t="s">
        <v>1960</v>
      </c>
      <c r="E202" s="817"/>
      <c r="F202" s="2416"/>
      <c r="G202" s="1413"/>
      <c r="I202" s="893" t="s">
        <v>1961</v>
      </c>
      <c r="K202" s="2417"/>
      <c r="L202" s="1097"/>
    </row>
    <row r="203" spans="1:25" s="293" customFormat="1" ht="10.5" customHeight="1">
      <c r="B203" s="899" t="s">
        <v>1962</v>
      </c>
      <c r="C203" s="817" t="s">
        <v>1963</v>
      </c>
      <c r="D203" s="817"/>
      <c r="E203" s="817"/>
      <c r="F203" s="817"/>
      <c r="J203" s="899" t="s">
        <v>1962</v>
      </c>
      <c r="K203" s="2410"/>
      <c r="L203" s="1485"/>
    </row>
    <row r="204" spans="1:25" ht="3" customHeight="1">
      <c r="A204" s="404"/>
      <c r="B204" s="373"/>
      <c r="D204" s="472"/>
      <c r="E204" s="373"/>
      <c r="G204" s="481"/>
      <c r="H204" s="482"/>
      <c r="I204" s="328"/>
      <c r="K204" s="734"/>
      <c r="N204" s="12"/>
      <c r="O204" s="12"/>
      <c r="P204" s="12"/>
    </row>
    <row r="205" spans="1:25" ht="11.25" customHeight="1">
      <c r="B205" s="1550" t="s">
        <v>1964</v>
      </c>
      <c r="E205" s="18"/>
      <c r="G205" s="2418"/>
      <c r="H205" s="2419"/>
      <c r="I205" s="2419"/>
      <c r="J205" s="2419"/>
      <c r="K205" s="2419"/>
      <c r="L205" s="2419"/>
      <c r="M205" s="2419"/>
      <c r="N205" s="2419"/>
      <c r="O205" s="2419"/>
      <c r="P205" s="2420"/>
      <c r="Q205" s="979"/>
    </row>
    <row r="206" spans="1:25" ht="3.75" customHeight="1">
      <c r="B206" s="289"/>
      <c r="C206" s="392"/>
      <c r="K206" s="22"/>
      <c r="M206" s="278"/>
      <c r="N206" s="278"/>
      <c r="O206" s="278"/>
      <c r="P206" s="278"/>
    </row>
    <row r="207" spans="1:25" ht="11.25" customHeight="1">
      <c r="A207" s="97" t="s">
        <v>110</v>
      </c>
      <c r="B207" s="129" t="s">
        <v>1965</v>
      </c>
      <c r="H207" s="111"/>
      <c r="I207" s="111"/>
      <c r="M207" s="325">
        <v>5</v>
      </c>
      <c r="N207" s="28" t="s">
        <v>110</v>
      </c>
      <c r="O207" s="1414">
        <f>SUM(O208:O209)</f>
        <v>0</v>
      </c>
      <c r="P207" s="1414">
        <f>SUM(P208:P209)</f>
        <v>0</v>
      </c>
      <c r="Q207" s="896"/>
      <c r="X207" s="278"/>
      <c r="Y207" s="289"/>
    </row>
    <row r="208" spans="1:25" ht="21.75" customHeight="1">
      <c r="A208" s="404"/>
      <c r="B208" s="479" t="s">
        <v>379</v>
      </c>
      <c r="C208" s="1987" t="s">
        <v>1966</v>
      </c>
      <c r="D208" s="1987"/>
      <c r="E208" s="1987"/>
      <c r="F208" s="1987"/>
      <c r="G208" s="1987"/>
      <c r="H208" s="1987"/>
      <c r="I208" s="1987"/>
      <c r="J208" s="1987"/>
      <c r="K208" s="1987"/>
      <c r="L208" s="280" t="str">
        <f>IF(OR($O208=$M208,$O208=0,$O208=""),"","* * Check Score! * *")</f>
        <v/>
      </c>
      <c r="M208" s="1016">
        <v>3</v>
      </c>
      <c r="N208" s="377" t="s">
        <v>379</v>
      </c>
      <c r="O208" s="2331"/>
      <c r="P208" s="735"/>
      <c r="Q208" s="887" t="str">
        <f>IF(OR($O208=$M208,$O208=0,$O208=""),"","*CHECK!*")</f>
        <v/>
      </c>
      <c r="R208" s="885" t="s">
        <v>1806</v>
      </c>
    </row>
    <row r="209" spans="1:23" ht="21.75" customHeight="1">
      <c r="A209" s="404"/>
      <c r="B209" s="479" t="s">
        <v>389</v>
      </c>
      <c r="C209" s="1954" t="s">
        <v>1967</v>
      </c>
      <c r="D209" s="1954"/>
      <c r="E209" s="1954"/>
      <c r="F209" s="1954"/>
      <c r="G209" s="1954"/>
      <c r="H209" s="1954"/>
      <c r="I209" s="1954"/>
      <c r="J209" s="1954"/>
      <c r="K209" s="1954"/>
      <c r="L209" s="280" t="str">
        <f>IF(OR($O209=$M209,$O209=0,$O209=""),"","* * Check Score! * *")</f>
        <v/>
      </c>
      <c r="M209" s="1016">
        <v>2</v>
      </c>
      <c r="N209" s="377" t="s">
        <v>389</v>
      </c>
      <c r="O209" s="2315"/>
      <c r="P209" s="996"/>
      <c r="Q209" s="887" t="str">
        <f>IF(OR($O209=$M209,$O209=0,$O209=""),"","*CHECK!*")</f>
        <v/>
      </c>
      <c r="R209" s="885" t="s">
        <v>1806</v>
      </c>
    </row>
    <row r="210" spans="1:23" ht="10.5" customHeight="1">
      <c r="A210" s="404"/>
      <c r="B210" s="373"/>
      <c r="C210" s="373" t="s">
        <v>1968</v>
      </c>
      <c r="D210" s="111"/>
      <c r="E210" s="333" t="str">
        <f>'Part I-Project Information'!$N$39</f>
        <v>No</v>
      </c>
      <c r="G210" s="373" t="s">
        <v>1969</v>
      </c>
      <c r="I210" s="1996" t="str">
        <f>'Part I-Project Information'!$O$38</f>
        <v>0901.00</v>
      </c>
      <c r="J210" s="1996"/>
      <c r="K210" s="328" t="s">
        <v>1970</v>
      </c>
      <c r="M210" s="734" t="str">
        <f>'Part IV-A-Uses of Funds'!$H$152</f>
        <v>&lt;&lt;Select&gt;&gt;</v>
      </c>
      <c r="N210" s="12"/>
      <c r="O210" s="12"/>
      <c r="P210" s="12"/>
      <c r="R210" s="111"/>
    </row>
    <row r="211" spans="1:23" ht="3" customHeight="1">
      <c r="A211" s="404"/>
      <c r="B211" s="373"/>
      <c r="D211" s="472"/>
      <c r="E211" s="373"/>
      <c r="G211" s="328"/>
      <c r="K211" s="734"/>
      <c r="L211" s="734"/>
      <c r="N211" s="12"/>
      <c r="O211" s="12"/>
      <c r="P211" s="12"/>
      <c r="R211" s="111"/>
    </row>
    <row r="212" spans="1:23" ht="11.45" customHeight="1">
      <c r="A212" s="97" t="s">
        <v>121</v>
      </c>
      <c r="B212" s="129" t="s">
        <v>1971</v>
      </c>
      <c r="D212" s="18"/>
      <c r="K212" s="1047"/>
      <c r="L212" s="280" t="str">
        <f>IF(OR($O212=$M212,$O212=0,$O212=""),"","* * Check Score! * *")</f>
        <v/>
      </c>
      <c r="M212" s="325">
        <v>2</v>
      </c>
      <c r="N212" s="39" t="s">
        <v>121</v>
      </c>
      <c r="O212" s="2347"/>
      <c r="P212" s="1409"/>
      <c r="Q212" s="887" t="str">
        <f>IF(OR($O212=$M212,$O212=0,$O212=""),"","*CHECK!*")</f>
        <v/>
      </c>
      <c r="R212" s="885" t="s">
        <v>1806</v>
      </c>
    </row>
    <row r="213" spans="1:23" s="25" customFormat="1" ht="10.5" customHeight="1">
      <c r="A213" s="97"/>
      <c r="B213" s="20" t="s">
        <v>1815</v>
      </c>
      <c r="D213" s="20"/>
      <c r="E213" s="20"/>
      <c r="F213" s="761"/>
      <c r="H213" s="326"/>
      <c r="J213" s="499" t="str">
        <f>'Part I-Project Information'!$H$100</f>
        <v>Rural</v>
      </c>
      <c r="K213" s="772"/>
      <c r="T213" s="280" t="str">
        <f>IF(OR($O212=$M212,$O212=0,$O212=""),"","* * Check Score! * *")</f>
        <v/>
      </c>
      <c r="V213" s="956"/>
      <c r="W213" s="956"/>
    </row>
    <row r="214" spans="1:23" s="25" customFormat="1" ht="10.5" customHeight="1">
      <c r="A214" s="127"/>
      <c r="B214" s="20" t="s">
        <v>1972</v>
      </c>
      <c r="J214" s="2421"/>
      <c r="K214" s="2422"/>
      <c r="L214" s="2423"/>
      <c r="V214" s="956"/>
      <c r="W214" s="956"/>
    </row>
    <row r="215" spans="1:23" s="25" customFormat="1" ht="10.5" customHeight="1">
      <c r="A215" s="127"/>
      <c r="B215" s="373" t="s">
        <v>1973</v>
      </c>
      <c r="I215" s="776" t="str">
        <f>IF($J$215="Government", "Additional documentation required - see QAP.","")</f>
        <v/>
      </c>
      <c r="J215" s="2424" t="s">
        <v>1974</v>
      </c>
      <c r="K215" s="2425"/>
      <c r="L215" s="2426"/>
      <c r="M215" s="903" t="s">
        <v>1975</v>
      </c>
      <c r="N215" s="904"/>
      <c r="O215" s="904"/>
      <c r="P215" s="905"/>
      <c r="V215" s="956"/>
      <c r="W215" s="956"/>
    </row>
    <row r="216" spans="1:23" ht="10.5" customHeight="1">
      <c r="A216" s="128"/>
      <c r="B216" s="373" t="s">
        <v>1976</v>
      </c>
      <c r="F216" s="1032"/>
      <c r="G216" s="1032"/>
      <c r="H216" s="1032"/>
      <c r="L216" s="2362"/>
      <c r="M216" s="2427"/>
      <c r="N216" s="2428"/>
      <c r="O216" s="2428"/>
      <c r="P216" s="2429"/>
      <c r="V216" s="956"/>
      <c r="W216" s="956"/>
    </row>
    <row r="217" spans="1:23" ht="10.5" customHeight="1">
      <c r="A217" s="128"/>
      <c r="B217" s="292" t="s">
        <v>1977</v>
      </c>
      <c r="G217" s="292"/>
      <c r="J217" s="2430"/>
      <c r="K217" s="1074" t="s">
        <v>1978</v>
      </c>
      <c r="L217" s="1032"/>
      <c r="N217" s="79"/>
      <c r="V217" s="956"/>
      <c r="W217" s="956"/>
    </row>
    <row r="218" spans="1:23" ht="21.75" customHeight="1">
      <c r="A218" s="1961" t="s">
        <v>1979</v>
      </c>
      <c r="B218" s="1959" t="s">
        <v>1980</v>
      </c>
      <c r="C218" s="1960"/>
      <c r="D218" s="2431"/>
      <c r="E218" s="2432"/>
      <c r="F218" s="2432"/>
      <c r="G218" s="2432"/>
      <c r="H218" s="2432"/>
      <c r="I218" s="2432"/>
      <c r="J218" s="2432"/>
      <c r="K218" s="2432"/>
      <c r="L218" s="2432"/>
      <c r="M218" s="2432"/>
      <c r="N218" s="2432"/>
      <c r="O218" s="2432"/>
      <c r="P218" s="2433"/>
      <c r="Q218" s="341"/>
      <c r="V218" s="956"/>
      <c r="W218" s="956"/>
    </row>
    <row r="219" spans="1:23" ht="34.5" customHeight="1">
      <c r="A219" s="1962"/>
      <c r="B219" s="2059" t="s">
        <v>1981</v>
      </c>
      <c r="C219" s="2060"/>
      <c r="D219" s="2434"/>
      <c r="E219" s="2435"/>
      <c r="F219" s="2435"/>
      <c r="G219" s="2435"/>
      <c r="H219" s="2435"/>
      <c r="I219" s="2435"/>
      <c r="J219" s="2435"/>
      <c r="K219" s="2435"/>
      <c r="L219" s="2435"/>
      <c r="M219" s="2435"/>
      <c r="N219" s="2435"/>
      <c r="O219" s="2435"/>
      <c r="P219" s="2436"/>
      <c r="Q219" s="341"/>
      <c r="V219" s="956"/>
      <c r="W219" s="956"/>
    </row>
    <row r="220" spans="1:23" ht="34.5" customHeight="1">
      <c r="A220" s="1963"/>
      <c r="B220" s="1957" t="s">
        <v>1982</v>
      </c>
      <c r="C220" s="1958"/>
      <c r="D220" s="2437"/>
      <c r="E220" s="2438"/>
      <c r="F220" s="2438"/>
      <c r="G220" s="2438"/>
      <c r="H220" s="2438"/>
      <c r="I220" s="2438"/>
      <c r="J220" s="2438"/>
      <c r="K220" s="2438"/>
      <c r="L220" s="2438"/>
      <c r="M220" s="2438"/>
      <c r="N220" s="2438"/>
      <c r="O220" s="2438"/>
      <c r="P220" s="2439"/>
      <c r="Q220" s="341"/>
      <c r="V220" s="956"/>
      <c r="W220" s="956"/>
    </row>
    <row r="221" spans="1:23" ht="10.5" customHeight="1">
      <c r="B221" s="20" t="s">
        <v>1983</v>
      </c>
      <c r="G221" s="2055" t="s">
        <v>1984</v>
      </c>
      <c r="H221" s="2055"/>
      <c r="J221" s="2440"/>
      <c r="K221" s="2441"/>
      <c r="L221" s="1955"/>
      <c r="M221" s="1956"/>
      <c r="N221" s="79"/>
      <c r="V221" s="956"/>
      <c r="W221" s="956"/>
    </row>
    <row r="222" spans="1:23" s="25" customFormat="1" ht="10.5" customHeight="1">
      <c r="A222" s="58"/>
      <c r="C222" s="20" t="s">
        <v>1985</v>
      </c>
      <c r="D222" s="1532"/>
      <c r="G222" s="1951">
        <f>'Part IV-A-Uses of Funds'!$G$132</f>
        <v>13885091</v>
      </c>
      <c r="H222" s="1952"/>
      <c r="J222" s="1949">
        <f>IF($J221=0,0,$J221/$G$222)</f>
        <v>0</v>
      </c>
      <c r="K222" s="1950"/>
      <c r="L222" s="1949">
        <f>IF($L221=0,0,$L221/$G$222)</f>
        <v>0</v>
      </c>
      <c r="M222" s="1950"/>
      <c r="V222" s="956"/>
      <c r="W222" s="956"/>
    </row>
    <row r="223" spans="1:23" s="63" customFormat="1" ht="10.5" customHeight="1" thickBot="1">
      <c r="A223" s="58"/>
      <c r="B223" s="1089" t="s">
        <v>1810</v>
      </c>
      <c r="C223" s="58"/>
      <c r="D223" s="71"/>
      <c r="E223" s="71"/>
      <c r="F223" s="71"/>
      <c r="G223" s="71"/>
      <c r="H223" s="20"/>
      <c r="I223" s="20"/>
      <c r="J223" s="20"/>
      <c r="K223" s="20"/>
      <c r="M223" s="45"/>
      <c r="N223" s="45"/>
      <c r="O223" s="3"/>
      <c r="P223" s="1523"/>
    </row>
    <row r="224" spans="1:23" s="25" customFormat="1" ht="21.75" customHeight="1" thickTop="1" thickBot="1">
      <c r="A224" s="2316" t="s">
        <v>4699</v>
      </c>
      <c r="B224" s="2317"/>
      <c r="C224" s="2317"/>
      <c r="D224" s="2317"/>
      <c r="E224" s="2317"/>
      <c r="F224" s="2317"/>
      <c r="G224" s="2317"/>
      <c r="H224" s="2317"/>
      <c r="I224" s="2317"/>
      <c r="J224" s="2317"/>
      <c r="K224" s="2317"/>
      <c r="L224" s="2317"/>
      <c r="M224" s="2317"/>
      <c r="N224" s="2317"/>
      <c r="O224" s="2317"/>
      <c r="P224" s="2318"/>
      <c r="Q224" s="961" t="s">
        <v>1275</v>
      </c>
    </row>
    <row r="225" spans="1:23" s="63" customFormat="1" ht="11.45" customHeight="1" thickTop="1">
      <c r="A225" s="58"/>
      <c r="B225" s="60" t="s">
        <v>1276</v>
      </c>
      <c r="C225" s="58"/>
      <c r="D225" s="60"/>
      <c r="E225" s="1535"/>
      <c r="F225" s="1535"/>
      <c r="G225" s="1535"/>
      <c r="H225" s="1535"/>
      <c r="I225" s="1535"/>
      <c r="J225" s="1535"/>
      <c r="K225" s="1535"/>
      <c r="L225" s="1535"/>
      <c r="M225" s="1535"/>
      <c r="N225" s="1344"/>
      <c r="O225" s="747"/>
      <c r="P225" s="1523"/>
      <c r="Q225" s="322"/>
    </row>
    <row r="226" spans="1:23" s="25" customFormat="1" ht="11.25" customHeight="1">
      <c r="A226" s="1835"/>
      <c r="B226" s="1836"/>
      <c r="C226" s="1836"/>
      <c r="D226" s="1836"/>
      <c r="E226" s="1836"/>
      <c r="F226" s="1836"/>
      <c r="G226" s="1836"/>
      <c r="H226" s="1836"/>
      <c r="I226" s="1836"/>
      <c r="J226" s="1836"/>
      <c r="K226" s="1836"/>
      <c r="L226" s="1836"/>
      <c r="M226" s="1836"/>
      <c r="N226" s="1836"/>
      <c r="O226" s="1836"/>
      <c r="P226" s="1837"/>
      <c r="Q226" s="341"/>
    </row>
    <row r="227" spans="1:23" s="25" customFormat="1" ht="3" customHeight="1" thickBot="1">
      <c r="A227" s="58"/>
      <c r="C227" s="1532"/>
      <c r="D227" s="1532"/>
      <c r="E227" s="1532"/>
      <c r="F227" s="1532"/>
      <c r="G227" s="1532"/>
      <c r="H227" s="1532"/>
      <c r="I227" s="1532"/>
      <c r="J227" s="1532"/>
      <c r="K227" s="1532"/>
      <c r="L227" s="1532"/>
      <c r="M227" s="1532"/>
      <c r="N227" s="1343"/>
      <c r="O227" s="44"/>
      <c r="P227" s="761"/>
    </row>
    <row r="228" spans="1:23" s="25" customFormat="1" ht="13.5" customHeight="1" thickBot="1">
      <c r="A228" s="107" t="s">
        <v>182</v>
      </c>
      <c r="B228" s="67" t="s">
        <v>1986</v>
      </c>
      <c r="C228" s="1532"/>
      <c r="D228" s="1532"/>
      <c r="E228" s="1532"/>
      <c r="F228" s="1532"/>
      <c r="G228" s="1532"/>
      <c r="H228" s="1532"/>
      <c r="I228" s="1532"/>
      <c r="J228" s="1532"/>
      <c r="K228" s="1530" t="s">
        <v>1292</v>
      </c>
      <c r="L228" s="1530" t="s">
        <v>1293</v>
      </c>
      <c r="M228" s="761">
        <v>3</v>
      </c>
      <c r="N228" s="1343"/>
      <c r="O228" s="44"/>
      <c r="P228" s="1008"/>
      <c r="Q228" s="70" t="s">
        <v>834</v>
      </c>
      <c r="R228" s="885" t="s">
        <v>1806</v>
      </c>
    </row>
    <row r="229" spans="1:23" s="25" customFormat="1" ht="11.25" customHeight="1">
      <c r="A229" s="97"/>
      <c r="B229" s="74" t="s">
        <v>1987</v>
      </c>
      <c r="D229" s="33" t="s">
        <v>1988</v>
      </c>
      <c r="K229" s="1057">
        <f>$O$189</f>
        <v>0</v>
      </c>
      <c r="L229" s="1058">
        <f>$P$189</f>
        <v>0</v>
      </c>
      <c r="N229" s="363" t="s">
        <v>1359</v>
      </c>
      <c r="O229" s="2313"/>
      <c r="P229" s="815"/>
      <c r="R229" s="280"/>
    </row>
    <row r="230" spans="1:23" s="25" customFormat="1" ht="11.25" customHeight="1">
      <c r="A230" s="97"/>
      <c r="D230" s="33" t="s">
        <v>1989</v>
      </c>
      <c r="K230" s="1057">
        <f>$O$111</f>
        <v>3</v>
      </c>
      <c r="L230" s="1058">
        <f>$P$111</f>
        <v>0</v>
      </c>
      <c r="N230" s="363" t="s">
        <v>1361</v>
      </c>
      <c r="O230" s="2319"/>
      <c r="P230" s="426"/>
      <c r="R230" s="956"/>
      <c r="S230" s="956"/>
    </row>
    <row r="231" spans="1:23" s="25" customFormat="1" ht="11.25" customHeight="1">
      <c r="A231" s="97"/>
      <c r="D231" s="33" t="s">
        <v>1990</v>
      </c>
      <c r="N231" s="363" t="s">
        <v>1363</v>
      </c>
      <c r="O231" s="2312"/>
      <c r="P231" s="426"/>
      <c r="R231" s="956"/>
      <c r="S231" s="956"/>
    </row>
    <row r="232" spans="1:23" s="25" customFormat="1" ht="11.25" customHeight="1">
      <c r="A232" s="97"/>
      <c r="D232" s="33" t="s">
        <v>1991</v>
      </c>
      <c r="N232" s="363" t="s">
        <v>1921</v>
      </c>
      <c r="O232" s="363"/>
      <c r="P232" s="778"/>
      <c r="R232" s="956"/>
      <c r="S232" s="956"/>
    </row>
    <row r="233" spans="1:23" s="25" customFormat="1" ht="11.25" customHeight="1">
      <c r="A233" s="97"/>
      <c r="D233" s="33" t="s">
        <v>1992</v>
      </c>
      <c r="N233" s="363" t="s">
        <v>1922</v>
      </c>
      <c r="O233" s="2383"/>
      <c r="P233" s="427"/>
      <c r="R233" s="956"/>
      <c r="S233" s="956"/>
    </row>
    <row r="234" spans="1:23" s="25" customFormat="1" ht="3" customHeight="1">
      <c r="A234" s="58"/>
      <c r="C234" s="1532"/>
      <c r="D234" s="1532"/>
      <c r="E234" s="1532"/>
      <c r="F234" s="1532"/>
      <c r="G234" s="1532"/>
      <c r="H234" s="1532"/>
      <c r="I234" s="1532"/>
      <c r="J234" s="1532"/>
      <c r="K234" s="1532"/>
      <c r="L234" s="1532"/>
      <c r="M234" s="1532"/>
      <c r="N234" s="1343"/>
      <c r="O234" s="44"/>
      <c r="P234" s="761"/>
    </row>
    <row r="235" spans="1:23" ht="11.45" customHeight="1">
      <c r="A235" s="97" t="s">
        <v>110</v>
      </c>
      <c r="B235" s="129" t="s">
        <v>1993</v>
      </c>
      <c r="D235" s="18"/>
      <c r="G235" s="373" t="s">
        <v>1994</v>
      </c>
      <c r="N235" s="12"/>
      <c r="O235" s="12"/>
      <c r="P235" s="12"/>
      <c r="Q235" s="896"/>
    </row>
    <row r="236" spans="1:23" s="18" customFormat="1" ht="10.5" customHeight="1">
      <c r="A236" s="404"/>
      <c r="B236" s="93" t="s">
        <v>1995</v>
      </c>
      <c r="D236" s="2442"/>
      <c r="E236" s="2443"/>
      <c r="F236" s="2443"/>
      <c r="G236" s="2444"/>
      <c r="H236" s="2445"/>
      <c r="I236" s="1536" t="s">
        <v>99</v>
      </c>
      <c r="J236" s="2442"/>
      <c r="K236" s="2443"/>
      <c r="L236" s="2443"/>
      <c r="M236" s="2443"/>
      <c r="N236" s="2445"/>
      <c r="O236" s="463"/>
      <c r="P236" s="463"/>
      <c r="Q236" s="896"/>
    </row>
    <row r="237" spans="1:23" s="18" customFormat="1" ht="10.5" customHeight="1">
      <c r="A237" s="404"/>
      <c r="B237" s="93" t="s">
        <v>192</v>
      </c>
      <c r="D237" s="2446"/>
      <c r="E237" s="2447"/>
      <c r="F237" s="2448"/>
      <c r="G237" s="93" t="s">
        <v>49</v>
      </c>
      <c r="H237" s="2449"/>
      <c r="I237" s="328" t="s">
        <v>106</v>
      </c>
      <c r="J237" s="2446"/>
      <c r="K237" s="2447"/>
      <c r="L237" s="2447"/>
      <c r="M237" s="2447"/>
      <c r="N237" s="2448"/>
      <c r="Q237" s="896"/>
      <c r="V237" s="956"/>
      <c r="W237" s="956"/>
    </row>
    <row r="238" spans="1:23" ht="3" customHeight="1">
      <c r="A238" s="404"/>
      <c r="C238" s="898"/>
      <c r="D238" s="898"/>
      <c r="E238" s="898"/>
      <c r="F238" s="898"/>
      <c r="G238" s="898"/>
      <c r="H238" s="898"/>
      <c r="I238" s="898"/>
      <c r="J238" s="898"/>
      <c r="K238" s="898"/>
      <c r="L238" s="898"/>
      <c r="N238" s="12"/>
      <c r="O238" s="12"/>
      <c r="P238" s="12"/>
      <c r="Q238" s="896"/>
    </row>
    <row r="239" spans="1:23" ht="10.5" customHeight="1">
      <c r="A239" s="404"/>
      <c r="B239" s="479" t="s">
        <v>379</v>
      </c>
      <c r="C239" s="898" t="s">
        <v>1996</v>
      </c>
      <c r="D239" s="893"/>
      <c r="E239" s="893"/>
      <c r="F239" s="893"/>
      <c r="G239" s="893"/>
      <c r="H239" s="893"/>
      <c r="I239" s="893"/>
      <c r="J239" s="893"/>
      <c r="K239" s="893"/>
      <c r="L239" s="893"/>
      <c r="M239" s="893"/>
      <c r="N239" s="893"/>
      <c r="O239" s="1528" t="s">
        <v>437</v>
      </c>
      <c r="P239" s="1528" t="s">
        <v>437</v>
      </c>
      <c r="Q239" s="893"/>
    </row>
    <row r="240" spans="1:23" s="18" customFormat="1" ht="21.75" customHeight="1">
      <c r="A240" s="1528"/>
      <c r="B240" s="500"/>
      <c r="C240" s="1953" t="s">
        <v>1997</v>
      </c>
      <c r="D240" s="1953"/>
      <c r="E240" s="1953"/>
      <c r="F240" s="1953"/>
      <c r="G240" s="1953"/>
      <c r="H240" s="1953"/>
      <c r="I240" s="1953"/>
      <c r="J240" s="1953"/>
      <c r="K240" s="1953"/>
      <c r="L240" s="1953"/>
      <c r="N240" s="291" t="s">
        <v>379</v>
      </c>
      <c r="O240" s="2450"/>
      <c r="P240" s="1415"/>
      <c r="Q240" s="893"/>
      <c r="R240" s="12"/>
      <c r="S240" s="964"/>
      <c r="V240" s="956"/>
      <c r="W240" s="956"/>
    </row>
    <row r="241" spans="1:23" s="18" customFormat="1" ht="10.5" customHeight="1">
      <c r="A241" s="404"/>
      <c r="B241" s="363" t="s">
        <v>1359</v>
      </c>
      <c r="C241" s="93" t="s">
        <v>1998</v>
      </c>
      <c r="D241" s="2451"/>
      <c r="E241" s="2452"/>
      <c r="F241" s="2452"/>
      <c r="G241" s="2443"/>
      <c r="H241" s="2453"/>
      <c r="I241" s="1536" t="s">
        <v>99</v>
      </c>
      <c r="J241" s="2451"/>
      <c r="K241" s="2452"/>
      <c r="L241" s="2452"/>
      <c r="M241" s="2452"/>
      <c r="N241" s="2453"/>
      <c r="O241" s="2056" t="s">
        <v>1999</v>
      </c>
      <c r="P241" s="2057"/>
      <c r="Q241" s="893"/>
      <c r="R241" s="12"/>
      <c r="V241" s="956"/>
      <c r="W241" s="956"/>
    </row>
    <row r="242" spans="1:23" s="18" customFormat="1" ht="10.5" customHeight="1">
      <c r="A242" s="404"/>
      <c r="C242" s="966" t="s">
        <v>192</v>
      </c>
      <c r="D242" s="2446"/>
      <c r="E242" s="2447"/>
      <c r="F242" s="2448"/>
      <c r="G242" s="1416" t="s">
        <v>49</v>
      </c>
      <c r="H242" s="2449"/>
      <c r="I242" s="965" t="s">
        <v>106</v>
      </c>
      <c r="J242" s="2446"/>
      <c r="K242" s="2447"/>
      <c r="L242" s="2447"/>
      <c r="M242" s="2447"/>
      <c r="N242" s="2448"/>
      <c r="O242" s="2312"/>
      <c r="P242" s="427"/>
      <c r="Q242" s="893"/>
      <c r="R242" s="12"/>
      <c r="V242" s="956"/>
      <c r="W242" s="956"/>
    </row>
    <row r="243" spans="1:23" s="18" customFormat="1" ht="10.5" customHeight="1">
      <c r="A243" s="404"/>
      <c r="B243" s="363" t="s">
        <v>1361</v>
      </c>
      <c r="C243" s="93" t="s">
        <v>2000</v>
      </c>
      <c r="D243" s="2451"/>
      <c r="E243" s="2452"/>
      <c r="F243" s="2452"/>
      <c r="G243" s="2443"/>
      <c r="H243" s="2453"/>
      <c r="I243" s="1536" t="s">
        <v>99</v>
      </c>
      <c r="J243" s="2451"/>
      <c r="K243" s="2452"/>
      <c r="L243" s="2452"/>
      <c r="M243" s="2452"/>
      <c r="N243" s="2453"/>
      <c r="O243" s="2056" t="s">
        <v>1999</v>
      </c>
      <c r="P243" s="2057"/>
      <c r="Q243" s="893"/>
      <c r="R243" s="12"/>
      <c r="V243" s="956"/>
      <c r="W243" s="956"/>
    </row>
    <row r="244" spans="1:23" s="18" customFormat="1" ht="10.5" customHeight="1">
      <c r="A244" s="404"/>
      <c r="C244" s="966" t="s">
        <v>192</v>
      </c>
      <c r="D244" s="2446"/>
      <c r="E244" s="2447"/>
      <c r="F244" s="2448"/>
      <c r="G244" s="1416" t="s">
        <v>49</v>
      </c>
      <c r="H244" s="2449"/>
      <c r="I244" s="965" t="s">
        <v>106</v>
      </c>
      <c r="J244" s="2446"/>
      <c r="K244" s="2447"/>
      <c r="L244" s="2447"/>
      <c r="M244" s="2447"/>
      <c r="N244" s="2448"/>
      <c r="O244" s="2312"/>
      <c r="P244" s="427"/>
      <c r="Q244" s="893"/>
      <c r="R244" s="12"/>
      <c r="V244" s="956"/>
      <c r="W244" s="956"/>
    </row>
    <row r="245" spans="1:23" ht="11.25" customHeight="1">
      <c r="A245" s="404"/>
      <c r="B245" s="479" t="s">
        <v>389</v>
      </c>
      <c r="C245" s="898" t="s">
        <v>2001</v>
      </c>
      <c r="D245" s="893"/>
      <c r="E245" s="893"/>
      <c r="F245" s="893"/>
      <c r="G245" s="373" t="s">
        <v>1994</v>
      </c>
      <c r="H245" s="893"/>
      <c r="I245" s="893"/>
      <c r="J245" s="893"/>
      <c r="K245" s="893"/>
      <c r="L245" s="893"/>
      <c r="M245" s="893"/>
      <c r="N245" s="893"/>
      <c r="O245" s="1528" t="s">
        <v>437</v>
      </c>
      <c r="P245" s="1528" t="s">
        <v>437</v>
      </c>
      <c r="Q245" s="893"/>
    </row>
    <row r="246" spans="1:23" ht="21.75" customHeight="1">
      <c r="A246" s="404"/>
      <c r="B246" s="900"/>
      <c r="C246" s="1880" t="s">
        <v>2002</v>
      </c>
      <c r="D246" s="1880"/>
      <c r="E246" s="1880"/>
      <c r="F246" s="1880"/>
      <c r="G246" s="1880"/>
      <c r="H246" s="1880"/>
      <c r="I246" s="1880"/>
      <c r="J246" s="1880"/>
      <c r="K246" s="1880"/>
      <c r="L246" s="1880"/>
      <c r="M246" s="1880"/>
      <c r="N246" s="291" t="s">
        <v>389</v>
      </c>
      <c r="O246" s="2450"/>
      <c r="P246" s="1415"/>
      <c r="Q246" s="897"/>
      <c r="V246" s="956"/>
      <c r="W246" s="956"/>
    </row>
    <row r="247" spans="1:23" ht="11.25" customHeight="1">
      <c r="A247" s="404"/>
      <c r="B247" s="363" t="s">
        <v>1359</v>
      </c>
      <c r="C247" s="902" t="s">
        <v>2003</v>
      </c>
      <c r="D247" s="1531"/>
      <c r="E247" s="1531"/>
      <c r="F247" s="1531"/>
      <c r="G247" s="1531"/>
      <c r="H247" s="1531"/>
      <c r="I247" s="1531"/>
      <c r="J247" s="1531"/>
      <c r="K247" s="1531"/>
      <c r="L247" s="1531"/>
      <c r="M247" s="1531"/>
      <c r="N247" s="1531"/>
      <c r="O247" s="1531"/>
      <c r="P247" s="1531"/>
      <c r="Q247" s="897"/>
      <c r="V247" s="956"/>
      <c r="W247" s="956"/>
    </row>
    <row r="248" spans="1:23" ht="10.5" customHeight="1">
      <c r="A248" s="404"/>
      <c r="B248" s="18"/>
      <c r="C248" s="2365"/>
      <c r="D248" s="2366"/>
      <c r="E248" s="2366"/>
      <c r="F248" s="2366"/>
      <c r="G248" s="2366"/>
      <c r="H248" s="2366"/>
      <c r="I248" s="2366"/>
      <c r="J248" s="2366"/>
      <c r="K248" s="2366"/>
      <c r="L248" s="2366"/>
      <c r="M248" s="2366"/>
      <c r="N248" s="2366"/>
      <c r="O248" s="2366"/>
      <c r="P248" s="2367"/>
      <c r="Q248" s="961"/>
      <c r="V248" s="956"/>
      <c r="W248" s="956"/>
    </row>
    <row r="249" spans="1:23" ht="10.5" customHeight="1">
      <c r="A249" s="404"/>
      <c r="B249" s="900"/>
      <c r="C249" s="2370"/>
      <c r="D249" s="2371"/>
      <c r="E249" s="2371"/>
      <c r="F249" s="2371"/>
      <c r="G249" s="2371"/>
      <c r="H249" s="2371"/>
      <c r="I249" s="2371"/>
      <c r="J249" s="2371"/>
      <c r="K249" s="2371"/>
      <c r="L249" s="2371"/>
      <c r="M249" s="2371"/>
      <c r="N249" s="2371"/>
      <c r="O249" s="2371"/>
      <c r="P249" s="2372"/>
      <c r="Q249" s="897"/>
      <c r="V249" s="956"/>
      <c r="W249" s="956"/>
    </row>
    <row r="250" spans="1:23" ht="10.5" customHeight="1">
      <c r="A250" s="404"/>
      <c r="B250" s="900"/>
      <c r="C250" s="2375"/>
      <c r="D250" s="2376"/>
      <c r="E250" s="2376"/>
      <c r="F250" s="2376"/>
      <c r="G250" s="2376"/>
      <c r="H250" s="2376"/>
      <c r="I250" s="2376"/>
      <c r="J250" s="2376"/>
      <c r="K250" s="2376"/>
      <c r="L250" s="2376"/>
      <c r="M250" s="2376"/>
      <c r="N250" s="2376"/>
      <c r="O250" s="2376"/>
      <c r="P250" s="2377"/>
      <c r="Q250" s="897"/>
      <c r="V250" s="956"/>
      <c r="W250" s="956"/>
    </row>
    <row r="251" spans="1:23" ht="11.25" customHeight="1">
      <c r="A251" s="404"/>
      <c r="B251" s="363" t="s">
        <v>1361</v>
      </c>
      <c r="C251" s="902" t="s">
        <v>2004</v>
      </c>
      <c r="D251" s="1531"/>
      <c r="E251" s="1531"/>
      <c r="F251" s="1531"/>
      <c r="G251" s="1531"/>
      <c r="H251" s="1531"/>
      <c r="I251" s="1531"/>
      <c r="J251" s="1531"/>
      <c r="K251" s="1531"/>
      <c r="L251" s="2120" t="s">
        <v>2005</v>
      </c>
      <c r="M251" s="2120"/>
      <c r="N251" s="2121" t="s">
        <v>2006</v>
      </c>
      <c r="O251" s="2121"/>
      <c r="P251" s="2121"/>
      <c r="Q251" s="897"/>
      <c r="V251" s="956"/>
      <c r="W251" s="956"/>
    </row>
    <row r="252" spans="1:23" ht="10.5" customHeight="1">
      <c r="A252" s="404"/>
      <c r="B252" s="900"/>
      <c r="C252" s="2365"/>
      <c r="D252" s="2366"/>
      <c r="E252" s="2366"/>
      <c r="F252" s="2366"/>
      <c r="G252" s="2366"/>
      <c r="H252" s="2366"/>
      <c r="I252" s="2366"/>
      <c r="J252" s="2366"/>
      <c r="K252" s="2367"/>
      <c r="L252" s="2365"/>
      <c r="M252" s="2367"/>
      <c r="N252" s="2365"/>
      <c r="O252" s="2366"/>
      <c r="P252" s="2367"/>
      <c r="Q252" s="961"/>
      <c r="V252" s="956"/>
      <c r="W252" s="956"/>
    </row>
    <row r="253" spans="1:23" ht="10.5" customHeight="1">
      <c r="A253" s="404"/>
      <c r="B253" s="900"/>
      <c r="C253" s="2370"/>
      <c r="D253" s="2371"/>
      <c r="E253" s="2371"/>
      <c r="F253" s="2371"/>
      <c r="G253" s="2371"/>
      <c r="H253" s="2371"/>
      <c r="I253" s="2371"/>
      <c r="J253" s="2371"/>
      <c r="K253" s="2372"/>
      <c r="L253" s="2370"/>
      <c r="M253" s="2372"/>
      <c r="N253" s="2370"/>
      <c r="O253" s="2371"/>
      <c r="P253" s="2372"/>
      <c r="Q253" s="897"/>
      <c r="V253" s="956"/>
      <c r="W253" s="956"/>
    </row>
    <row r="254" spans="1:23" ht="10.5" customHeight="1">
      <c r="A254" s="404"/>
      <c r="B254" s="900"/>
      <c r="C254" s="2375"/>
      <c r="D254" s="2376"/>
      <c r="E254" s="2376"/>
      <c r="F254" s="2376"/>
      <c r="G254" s="2376"/>
      <c r="H254" s="2376"/>
      <c r="I254" s="2376"/>
      <c r="J254" s="2376"/>
      <c r="K254" s="2377"/>
      <c r="L254" s="2375"/>
      <c r="M254" s="2377"/>
      <c r="N254" s="2375"/>
      <c r="O254" s="2376"/>
      <c r="P254" s="2377"/>
      <c r="Q254" s="897"/>
      <c r="V254" s="956"/>
      <c r="W254" s="956"/>
    </row>
    <row r="255" spans="1:23" ht="10.5" customHeight="1">
      <c r="A255" s="404"/>
      <c r="B255" s="479" t="s">
        <v>393</v>
      </c>
      <c r="C255" s="898" t="s">
        <v>2007</v>
      </c>
      <c r="D255" s="893"/>
      <c r="E255" s="893"/>
      <c r="F255" s="893"/>
      <c r="G255" s="893"/>
      <c r="H255" s="893"/>
      <c r="I255" s="893"/>
      <c r="J255" s="893"/>
      <c r="K255" s="893"/>
      <c r="L255" s="893"/>
      <c r="M255" s="893"/>
      <c r="N255" s="893"/>
      <c r="O255" s="1528"/>
      <c r="P255" s="1528"/>
      <c r="Q255" s="893"/>
    </row>
    <row r="256" spans="1:23" s="18" customFormat="1" ht="10.5" customHeight="1">
      <c r="A256" s="404"/>
      <c r="B256" s="901"/>
      <c r="C256" s="1953" t="s">
        <v>2008</v>
      </c>
      <c r="D256" s="1953"/>
      <c r="E256" s="1953"/>
      <c r="F256" s="1953"/>
      <c r="G256" s="1953"/>
      <c r="H256" s="1953"/>
      <c r="I256" s="1953"/>
      <c r="J256" s="1953"/>
      <c r="K256" s="1953"/>
      <c r="L256" s="1953"/>
      <c r="M256" s="1953"/>
      <c r="N256" s="291" t="s">
        <v>393</v>
      </c>
      <c r="O256" s="2383"/>
      <c r="P256" s="1411"/>
      <c r="Q256" s="897"/>
      <c r="V256" s="956"/>
      <c r="W256" s="956"/>
    </row>
    <row r="257" spans="1:23" ht="10.5" customHeight="1">
      <c r="A257" s="97"/>
      <c r="B257" s="762" t="s">
        <v>445</v>
      </c>
      <c r="C257" s="476" t="s">
        <v>2009</v>
      </c>
      <c r="D257" s="18"/>
      <c r="N257" s="12"/>
      <c r="O257" s="12"/>
      <c r="P257" s="12"/>
      <c r="Q257" s="1010"/>
    </row>
    <row r="258" spans="1:23" s="18" customFormat="1" ht="21.75" customHeight="1">
      <c r="A258" s="404"/>
      <c r="B258" s="901"/>
      <c r="C258" s="1987" t="s">
        <v>2010</v>
      </c>
      <c r="D258" s="1987"/>
      <c r="E258" s="1987"/>
      <c r="F258" s="1987"/>
      <c r="G258" s="1987"/>
      <c r="H258" s="1987"/>
      <c r="I258" s="1987"/>
      <c r="J258" s="1987"/>
      <c r="K258" s="1987"/>
      <c r="L258" s="1987"/>
      <c r="M258" s="1987"/>
      <c r="N258" s="291" t="s">
        <v>445</v>
      </c>
      <c r="O258" s="2454"/>
      <c r="P258" s="1033"/>
      <c r="Q258" s="897"/>
      <c r="V258" s="956"/>
      <c r="W258" s="956"/>
    </row>
    <row r="259" spans="1:23" s="18" customFormat="1" ht="10.5" customHeight="1">
      <c r="A259" s="404"/>
      <c r="B259" s="289" t="s">
        <v>1359</v>
      </c>
      <c r="C259" s="1953" t="s">
        <v>2011</v>
      </c>
      <c r="D259" s="1953"/>
      <c r="E259" s="1953"/>
      <c r="F259" s="1953"/>
      <c r="G259" s="1953"/>
      <c r="H259" s="1953"/>
      <c r="I259" s="1953"/>
      <c r="J259" s="1953"/>
      <c r="K259" s="1953"/>
      <c r="L259" s="1953"/>
      <c r="M259" s="1953"/>
      <c r="N259" s="289" t="s">
        <v>1359</v>
      </c>
      <c r="O259" s="2319"/>
      <c r="P259" s="426"/>
      <c r="Q259" s="897"/>
      <c r="V259" s="956"/>
      <c r="W259" s="956"/>
    </row>
    <row r="260" spans="1:23" s="18" customFormat="1" ht="10.5" customHeight="1">
      <c r="A260" s="404"/>
      <c r="B260" s="289" t="s">
        <v>1361</v>
      </c>
      <c r="C260" s="1953" t="s">
        <v>2012</v>
      </c>
      <c r="D260" s="1953"/>
      <c r="E260" s="1953"/>
      <c r="F260" s="1953"/>
      <c r="G260" s="1953"/>
      <c r="H260" s="1953"/>
      <c r="I260" s="1953"/>
      <c r="J260" s="1953"/>
      <c r="K260" s="1953"/>
      <c r="L260" s="1953"/>
      <c r="M260" s="1953"/>
      <c r="N260" s="289" t="s">
        <v>1361</v>
      </c>
      <c r="O260" s="2312"/>
      <c r="P260" s="427"/>
      <c r="Q260" s="897"/>
      <c r="V260" s="956"/>
      <c r="W260" s="956"/>
    </row>
    <row r="261" spans="1:23" ht="1.5" customHeight="1">
      <c r="B261" s="289"/>
      <c r="C261" s="326"/>
      <c r="G261" s="373"/>
      <c r="H261" s="111"/>
      <c r="L261" s="1546"/>
      <c r="M261" s="1546"/>
      <c r="N261" s="12"/>
      <c r="O261" s="12"/>
      <c r="P261" s="12"/>
      <c r="Q261" s="897"/>
      <c r="V261" s="956"/>
      <c r="W261" s="956"/>
    </row>
    <row r="262" spans="1:23" ht="11.45" customHeight="1">
      <c r="A262" s="97" t="s">
        <v>121</v>
      </c>
      <c r="B262" s="129" t="s">
        <v>2013</v>
      </c>
      <c r="D262" s="18"/>
      <c r="G262" s="373" t="s">
        <v>1994</v>
      </c>
      <c r="N262" s="12"/>
      <c r="O262" s="1528" t="s">
        <v>437</v>
      </c>
      <c r="P262" s="1528" t="s">
        <v>437</v>
      </c>
      <c r="Q262" s="896"/>
    </row>
    <row r="263" spans="1:23" ht="21.75" customHeight="1">
      <c r="A263" s="404"/>
      <c r="B263" s="479" t="s">
        <v>379</v>
      </c>
      <c r="C263" s="1880" t="s">
        <v>2014</v>
      </c>
      <c r="D263" s="1880"/>
      <c r="E263" s="1880"/>
      <c r="F263" s="1880"/>
      <c r="G263" s="1880"/>
      <c r="H263" s="1880"/>
      <c r="I263" s="1880"/>
      <c r="J263" s="1880"/>
      <c r="K263" s="1880"/>
      <c r="L263" s="1880"/>
      <c r="M263" s="1009" t="s">
        <v>121</v>
      </c>
      <c r="N263" s="291" t="s">
        <v>379</v>
      </c>
      <c r="O263" s="2454"/>
      <c r="P263" s="1033"/>
      <c r="Q263" s="896"/>
      <c r="V263" s="956"/>
      <c r="W263" s="956"/>
    </row>
    <row r="264" spans="1:23" s="18" customFormat="1" ht="10.5" customHeight="1">
      <c r="A264" s="404"/>
      <c r="B264" s="479" t="s">
        <v>389</v>
      </c>
      <c r="C264" s="328" t="s">
        <v>2015</v>
      </c>
      <c r="D264" s="841"/>
      <c r="E264" s="841"/>
      <c r="F264" s="841"/>
      <c r="G264" s="841"/>
      <c r="H264" s="841"/>
      <c r="I264" s="841"/>
      <c r="J264" s="841"/>
      <c r="K264" s="841"/>
      <c r="L264" s="841"/>
      <c r="M264" s="841"/>
      <c r="N264" s="291" t="s">
        <v>389</v>
      </c>
      <c r="O264" s="2312"/>
      <c r="P264" s="427"/>
      <c r="Q264" s="897"/>
      <c r="V264" s="1104"/>
      <c r="W264" s="1104"/>
    </row>
    <row r="265" spans="1:23" s="25" customFormat="1" ht="12" customHeight="1" thickBot="1">
      <c r="A265" s="58"/>
      <c r="B265" s="1089" t="s">
        <v>1810</v>
      </c>
      <c r="C265" s="58"/>
      <c r="D265" s="71"/>
      <c r="E265" s="71"/>
      <c r="F265" s="71"/>
      <c r="G265" s="71"/>
      <c r="H265" s="20"/>
      <c r="I265" s="93"/>
      <c r="M265" s="45"/>
      <c r="N265" s="840"/>
      <c r="O265" s="3"/>
      <c r="P265" s="1527"/>
    </row>
    <row r="266" spans="1:23" s="25" customFormat="1" ht="21.75" customHeight="1" thickTop="1" thickBot="1">
      <c r="A266" s="2354" t="s">
        <v>4700</v>
      </c>
      <c r="B266" s="2355"/>
      <c r="C266" s="2355"/>
      <c r="D266" s="2355"/>
      <c r="E266" s="2355"/>
      <c r="F266" s="2355"/>
      <c r="G266" s="2355"/>
      <c r="H266" s="2355"/>
      <c r="I266" s="2355"/>
      <c r="J266" s="2355"/>
      <c r="K266" s="2355"/>
      <c r="L266" s="2355"/>
      <c r="M266" s="2355"/>
      <c r="N266" s="2355"/>
      <c r="O266" s="2355"/>
      <c r="P266" s="2356"/>
      <c r="Q266" s="961" t="s">
        <v>1275</v>
      </c>
    </row>
    <row r="267" spans="1:23" s="25" customFormat="1" ht="10.5" customHeight="1" thickTop="1">
      <c r="A267" s="58"/>
      <c r="B267" s="50" t="s">
        <v>1276</v>
      </c>
      <c r="C267" s="58"/>
      <c r="D267" s="50"/>
      <c r="E267" s="1532"/>
      <c r="F267" s="1532"/>
      <c r="G267" s="1532"/>
      <c r="H267" s="1532"/>
      <c r="I267" s="1532"/>
      <c r="J267" s="1532"/>
      <c r="K267" s="1532"/>
      <c r="L267" s="1532"/>
      <c r="M267" s="1532"/>
      <c r="N267" s="1343"/>
      <c r="O267" s="44"/>
      <c r="P267" s="1523"/>
      <c r="Q267" s="322"/>
    </row>
    <row r="268" spans="1:23" s="25" customFormat="1" ht="11.25" customHeight="1">
      <c r="A268" s="2021"/>
      <c r="B268" s="2022"/>
      <c r="C268" s="2022"/>
      <c r="D268" s="2022"/>
      <c r="E268" s="2022"/>
      <c r="F268" s="2022"/>
      <c r="G268" s="2022"/>
      <c r="H268" s="2022"/>
      <c r="I268" s="2022"/>
      <c r="J268" s="2022"/>
      <c r="K268" s="2022"/>
      <c r="L268" s="2022"/>
      <c r="M268" s="2022"/>
      <c r="N268" s="2022"/>
      <c r="O268" s="2022"/>
      <c r="P268" s="2023"/>
      <c r="Q268" s="341"/>
    </row>
    <row r="269" spans="1:23" ht="3.6" customHeight="1" thickBot="1">
      <c r="B269" s="76"/>
      <c r="C269" s="76"/>
      <c r="D269" s="76"/>
      <c r="E269" s="76"/>
      <c r="N269" s="79"/>
    </row>
    <row r="270" spans="1:23" s="63" customFormat="1" ht="12.6" customHeight="1" thickBot="1">
      <c r="A270" s="107" t="s">
        <v>185</v>
      </c>
      <c r="B270" s="67" t="s">
        <v>2016</v>
      </c>
      <c r="C270" s="57"/>
      <c r="D270" s="36"/>
      <c r="E270" s="36"/>
      <c r="H270" s="124" t="s">
        <v>2017</v>
      </c>
      <c r="M270" s="1523">
        <v>7</v>
      </c>
      <c r="N270" s="325"/>
      <c r="O270" s="1026">
        <f>O272+O280+O282</f>
        <v>5</v>
      </c>
      <c r="P270" s="1026">
        <f>P272+P280+P282</f>
        <v>0</v>
      </c>
      <c r="Q270" s="70" t="s">
        <v>834</v>
      </c>
      <c r="R270" s="25"/>
    </row>
    <row r="271" spans="1:23" s="63" customFormat="1" ht="1.5" customHeight="1">
      <c r="A271" s="107"/>
      <c r="B271" s="67"/>
      <c r="C271" s="57"/>
      <c r="D271" s="36"/>
      <c r="E271" s="36"/>
      <c r="H271" s="124"/>
      <c r="M271" s="477"/>
      <c r="Q271" s="70"/>
      <c r="R271" s="25"/>
    </row>
    <row r="272" spans="1:23" s="63" customFormat="1" ht="11.25" customHeight="1">
      <c r="A272" s="2054" t="s">
        <v>2018</v>
      </c>
      <c r="B272" s="743" t="s">
        <v>2019</v>
      </c>
      <c r="C272" s="57"/>
      <c r="D272" s="36"/>
      <c r="E272" s="36"/>
      <c r="H272" s="124"/>
      <c r="M272" s="1010">
        <v>3</v>
      </c>
      <c r="N272" s="2117" t="s">
        <v>2020</v>
      </c>
      <c r="O272" s="1417">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3</v>
      </c>
      <c r="P272" s="1418"/>
      <c r="Q272" s="70"/>
      <c r="R272" s="25"/>
    </row>
    <row r="273" spans="1:21" ht="11.45" customHeight="1">
      <c r="A273" s="2054"/>
      <c r="B273" s="71" t="s">
        <v>1815</v>
      </c>
      <c r="C273" s="407"/>
      <c r="D273" s="407"/>
      <c r="H273" s="408" t="str">
        <f>'Part I-Project Information'!$H$100</f>
        <v>Rural</v>
      </c>
      <c r="N273" s="2117"/>
      <c r="O273" s="894" t="s">
        <v>437</v>
      </c>
      <c r="P273" s="894" t="s">
        <v>437</v>
      </c>
    </row>
    <row r="274" spans="1:21" ht="11.45" customHeight="1">
      <c r="A274" s="2054"/>
      <c r="B274" s="762" t="s">
        <v>379</v>
      </c>
      <c r="C274" s="334" t="s">
        <v>2021</v>
      </c>
      <c r="E274" s="76"/>
      <c r="M274" s="47"/>
      <c r="N274" s="2117"/>
      <c r="O274" s="2383" t="s">
        <v>22</v>
      </c>
      <c r="P274" s="1411"/>
      <c r="Q274" s="2114" t="str">
        <f>IF(AND(O274="Yes",O277="Yes"),"Only 1 or 4 can be 'Yes'!","")</f>
        <v/>
      </c>
      <c r="R274" s="2114"/>
    </row>
    <row r="275" spans="1:21" ht="11.45" customHeight="1">
      <c r="B275" s="762" t="s">
        <v>389</v>
      </c>
      <c r="C275" s="334" t="s">
        <v>2022</v>
      </c>
      <c r="G275" s="326" t="s">
        <v>2023</v>
      </c>
      <c r="H275" s="2455">
        <v>0.1</v>
      </c>
      <c r="I275" s="334" t="s">
        <v>2024</v>
      </c>
      <c r="L275" s="93" t="s">
        <v>2025</v>
      </c>
      <c r="M275" s="763" t="str">
        <f>IF(O275&gt;H275,"CHECK ACTUAL PERCENT!!!","")</f>
        <v/>
      </c>
      <c r="N275" s="126" t="s">
        <v>389</v>
      </c>
      <c r="O275" s="2456">
        <v>9.7799999999999998E-2</v>
      </c>
      <c r="P275" s="1052"/>
      <c r="Q275" s="2114"/>
      <c r="R275" s="2114"/>
    </row>
    <row r="276" spans="1:21" ht="11.45" customHeight="1">
      <c r="B276" s="762" t="s">
        <v>393</v>
      </c>
      <c r="C276" s="311" t="s">
        <v>2026</v>
      </c>
      <c r="E276" s="76"/>
      <c r="G276" s="326" t="s">
        <v>2027</v>
      </c>
      <c r="L276" s="328" t="s">
        <v>2028</v>
      </c>
      <c r="M276" s="18"/>
      <c r="N276" s="126" t="s">
        <v>393</v>
      </c>
      <c r="O276" s="2457" t="s">
        <v>4701</v>
      </c>
      <c r="P276" s="1108" t="s">
        <v>849</v>
      </c>
      <c r="Q276" s="2114"/>
      <c r="R276" s="2114"/>
    </row>
    <row r="277" spans="1:21" s="293" customFormat="1" ht="11.45" customHeight="1">
      <c r="B277" s="479" t="s">
        <v>445</v>
      </c>
      <c r="C277" s="1880" t="s">
        <v>2029</v>
      </c>
      <c r="D277" s="1880"/>
      <c r="E277" s="1880"/>
      <c r="F277" s="1880"/>
      <c r="G277" s="1880"/>
      <c r="H277" s="1880"/>
      <c r="I277" s="1880"/>
      <c r="J277" s="2115" t="s">
        <v>2030</v>
      </c>
      <c r="K277" s="2115" t="s">
        <v>2031</v>
      </c>
      <c r="M277" s="1515">
        <v>2</v>
      </c>
      <c r="N277" s="126" t="s">
        <v>445</v>
      </c>
      <c r="O277" s="2450" t="s">
        <v>4691</v>
      </c>
      <c r="P277" s="1415"/>
      <c r="Q277" s="2114"/>
      <c r="R277" s="2114"/>
    </row>
    <row r="278" spans="1:21" ht="11.45" customHeight="1">
      <c r="B278" s="279"/>
      <c r="C278" s="1880"/>
      <c r="D278" s="1880"/>
      <c r="E278" s="1880"/>
      <c r="F278" s="1880"/>
      <c r="G278" s="1880"/>
      <c r="H278" s="1880"/>
      <c r="I278" s="1880"/>
      <c r="J278" s="2116"/>
      <c r="K278" s="2116"/>
      <c r="L278" s="2118" t="s">
        <v>2032</v>
      </c>
      <c r="M278" s="2119"/>
      <c r="N278" s="76"/>
    </row>
    <row r="279" spans="1:21" ht="11.45" customHeight="1">
      <c r="B279" s="279"/>
      <c r="C279" s="1880"/>
      <c r="D279" s="1880"/>
      <c r="E279" s="1880"/>
      <c r="F279" s="1880"/>
      <c r="G279" s="1880"/>
      <c r="H279" s="1880"/>
      <c r="I279" s="1880"/>
      <c r="J279" s="2458"/>
      <c r="K279" s="2459"/>
      <c r="L279" s="1486">
        <f>O57</f>
        <v>10</v>
      </c>
      <c r="M279" s="1487">
        <f>P57</f>
        <v>0</v>
      </c>
      <c r="N279" s="12"/>
    </row>
    <row r="280" spans="1:21" ht="11.45" customHeight="1">
      <c r="A280" s="410" t="s">
        <v>123</v>
      </c>
      <c r="B280" s="762" t="s">
        <v>2033</v>
      </c>
      <c r="C280" s="311"/>
      <c r="E280" s="76"/>
      <c r="G280" s="326"/>
      <c r="M280" s="1010">
        <v>2</v>
      </c>
      <c r="N280" s="1011" t="s">
        <v>123</v>
      </c>
      <c r="O280" s="1417">
        <f>IF(OR(O281="A1",O281="A2",O281="A3",O281="B1",O281="B2",O281="C1"),2,IF(OR(O281="B3",O281="C2"),1,0))</f>
        <v>2</v>
      </c>
      <c r="P280" s="1417">
        <f>IF(OR(P281="A1",P281="A2",P281="A3",P281="B1",P281="B2",P281="C1"),2,IF(OR(P281="B3",P281="C2"),1,0))</f>
        <v>0</v>
      </c>
    </row>
    <row r="281" spans="1:21" ht="11.45" customHeight="1">
      <c r="A281" s="410"/>
      <c r="B281" s="1054" t="s">
        <v>2034</v>
      </c>
      <c r="C281" s="1054"/>
      <c r="D281" s="1054"/>
      <c r="E281" s="1054"/>
      <c r="F281" s="1054"/>
      <c r="G281" s="1054"/>
      <c r="H281" s="1053"/>
      <c r="I281" s="1053"/>
      <c r="N281" s="79"/>
      <c r="O281" s="2460" t="s">
        <v>4702</v>
      </c>
      <c r="P281" s="1419" t="s">
        <v>849</v>
      </c>
    </row>
    <row r="282" spans="1:21" ht="11.45" customHeight="1">
      <c r="A282" s="410" t="s">
        <v>126</v>
      </c>
      <c r="B282" s="762" t="s">
        <v>2035</v>
      </c>
      <c r="C282" s="311"/>
      <c r="E282" s="76"/>
      <c r="G282" s="373" t="s">
        <v>2036</v>
      </c>
      <c r="H282" s="1420">
        <f>'Part VI-Revenues &amp; Expenses'!$O$59</f>
        <v>9</v>
      </c>
      <c r="I282" s="894" t="s">
        <v>2037</v>
      </c>
      <c r="J282" s="1420">
        <f>'Part VI-Revenues &amp; Expenses'!$O$62</f>
        <v>74</v>
      </c>
      <c r="K282" s="894" t="s">
        <v>2038</v>
      </c>
      <c r="L282" s="1421">
        <f>IF(J282=0,0,H282/J282)</f>
        <v>0.12162162162162163</v>
      </c>
      <c r="M282" s="1010">
        <v>2</v>
      </c>
      <c r="N282" s="1004" t="s">
        <v>126</v>
      </c>
      <c r="O282" s="1400">
        <f>IF(AND($H$273="Flexible",($O$272+$O$280)&gt;=3,$L$282&gt;=20%),2,IF(AND($H$273="Flexible",($O$272+$O$280)&gt;=3,$L$282&gt;=15%),1,0))</f>
        <v>0</v>
      </c>
      <c r="P282" s="1400">
        <f>IF(AND($H$273="Flexible",($O$272+$O$280)&gt;=3,$L$282&gt;=20%),2,IF(AND($H$273="Flexible",($O$272+$O$280)&gt;=3,$L$282&gt;=15%),1,0))</f>
        <v>0</v>
      </c>
    </row>
    <row r="283" spans="1:21" s="25" customFormat="1" ht="10.5" customHeight="1">
      <c r="A283" s="58"/>
      <c r="B283" s="50" t="s">
        <v>1276</v>
      </c>
      <c r="C283" s="58"/>
      <c r="D283" s="50"/>
      <c r="E283" s="1532"/>
      <c r="F283" s="1532"/>
      <c r="G283" s="1532"/>
      <c r="H283" s="1532"/>
      <c r="I283" s="1532"/>
      <c r="J283" s="1532"/>
      <c r="K283" s="1532"/>
      <c r="L283" s="1532"/>
      <c r="M283" s="1532"/>
      <c r="N283" s="1343"/>
      <c r="O283" s="44"/>
      <c r="P283" s="1523"/>
      <c r="Q283" s="322"/>
    </row>
    <row r="284" spans="1:21" s="25" customFormat="1" ht="11.25" customHeight="1">
      <c r="A284" s="2021"/>
      <c r="B284" s="2022"/>
      <c r="C284" s="2022"/>
      <c r="D284" s="2022"/>
      <c r="E284" s="2022"/>
      <c r="F284" s="2022"/>
      <c r="G284" s="2022"/>
      <c r="H284" s="2022"/>
      <c r="I284" s="2022"/>
      <c r="J284" s="2022"/>
      <c r="K284" s="2022"/>
      <c r="L284" s="2022"/>
      <c r="M284" s="2022"/>
      <c r="N284" s="2022"/>
      <c r="O284" s="2022"/>
      <c r="P284" s="2023"/>
      <c r="Q284" s="341"/>
    </row>
    <row r="285" spans="1:21" s="25" customFormat="1" ht="3" customHeight="1" thickBot="1">
      <c r="A285" s="58"/>
      <c r="D285" s="20"/>
      <c r="E285" s="20"/>
      <c r="F285" s="761"/>
      <c r="G285" s="761"/>
      <c r="H285" s="761"/>
      <c r="I285" s="761"/>
      <c r="J285" s="772"/>
      <c r="K285" s="772"/>
      <c r="L285" s="772"/>
      <c r="M285" s="1534"/>
      <c r="N285" s="761"/>
      <c r="O285" s="1527"/>
      <c r="P285" s="3"/>
    </row>
    <row r="286" spans="1:21" s="63" customFormat="1" ht="12.6" customHeight="1" thickBot="1">
      <c r="A286" s="107" t="s">
        <v>195</v>
      </c>
      <c r="B286" s="67" t="s">
        <v>2039</v>
      </c>
      <c r="C286" s="57"/>
      <c r="D286" s="36"/>
      <c r="E286" s="36"/>
      <c r="H286" s="124"/>
      <c r="I286" s="327" t="s">
        <v>2040</v>
      </c>
      <c r="M286" s="1523">
        <v>10</v>
      </c>
      <c r="N286" s="325"/>
      <c r="O286" s="981">
        <f>IF(OR(O287="Yes",O288="Yes"),$M$286,0)</f>
        <v>0</v>
      </c>
      <c r="P286" s="981">
        <f>IF(OR(P287="Yes",P288="Yes"),$M$286,0)</f>
        <v>0</v>
      </c>
      <c r="Q286" s="70" t="s">
        <v>834</v>
      </c>
      <c r="R286" s="25"/>
    </row>
    <row r="287" spans="1:21" ht="11.25" customHeight="1">
      <c r="A287" s="1524" t="s">
        <v>110</v>
      </c>
      <c r="B287" s="1012" t="s">
        <v>2041</v>
      </c>
      <c r="D287" s="500"/>
      <c r="E287" s="500"/>
      <c r="F287" s="500"/>
      <c r="G287" s="500"/>
      <c r="H287" s="500"/>
      <c r="I287" s="500"/>
      <c r="J287" s="500"/>
      <c r="K287" s="500"/>
      <c r="L287" s="902"/>
      <c r="M287" s="2019" t="str">
        <f>IF(OR(SUM(T287:T288)&gt;1,SUM(U287:U288)&gt;1),"Only one category can be met by other means!","")</f>
        <v/>
      </c>
      <c r="N287" s="363" t="s">
        <v>110</v>
      </c>
      <c r="O287" s="2313" t="s">
        <v>4691</v>
      </c>
      <c r="P287" s="425"/>
      <c r="U287" s="1106">
        <f>IF(L287="Yes",1,0)</f>
        <v>0</v>
      </c>
    </row>
    <row r="288" spans="1:21" ht="11.25" customHeight="1">
      <c r="A288" s="1524" t="s">
        <v>121</v>
      </c>
      <c r="B288" s="1012" t="s">
        <v>2042</v>
      </c>
      <c r="D288" s="500"/>
      <c r="L288" s="902"/>
      <c r="M288" s="2019"/>
      <c r="N288" s="363" t="s">
        <v>121</v>
      </c>
      <c r="O288" s="2312" t="s">
        <v>4691</v>
      </c>
      <c r="P288" s="427"/>
      <c r="U288" s="1106">
        <f>IF(L288="Yes",1,0)</f>
        <v>0</v>
      </c>
    </row>
    <row r="289" spans="1:27" s="25" customFormat="1" ht="10.5" customHeight="1" thickBot="1">
      <c r="A289" s="58"/>
      <c r="B289" s="1089" t="s">
        <v>1810</v>
      </c>
      <c r="C289" s="58"/>
      <c r="D289" s="71"/>
      <c r="E289" s="71"/>
      <c r="F289" s="71"/>
      <c r="G289" s="71"/>
      <c r="H289" s="20"/>
      <c r="I289" s="20"/>
      <c r="J289" s="20"/>
      <c r="K289" s="20"/>
      <c r="M289" s="45"/>
      <c r="N289" s="840"/>
      <c r="O289" s="3"/>
      <c r="P289" s="1527"/>
    </row>
    <row r="290" spans="1:27" s="25" customFormat="1" ht="21.75" customHeight="1" thickTop="1" thickBot="1">
      <c r="A290" s="2316" t="s">
        <v>4734</v>
      </c>
      <c r="B290" s="2317"/>
      <c r="C290" s="2317"/>
      <c r="D290" s="2317"/>
      <c r="E290" s="2317"/>
      <c r="F290" s="2317"/>
      <c r="G290" s="2317"/>
      <c r="H290" s="2317"/>
      <c r="I290" s="2317"/>
      <c r="J290" s="2317"/>
      <c r="K290" s="2317"/>
      <c r="L290" s="2317"/>
      <c r="M290" s="2317"/>
      <c r="N290" s="2317"/>
      <c r="O290" s="2317"/>
      <c r="P290" s="2318"/>
      <c r="Q290" s="961" t="s">
        <v>1275</v>
      </c>
    </row>
    <row r="291" spans="1:27" s="25" customFormat="1" ht="10.5" customHeight="1" thickTop="1">
      <c r="A291" s="58"/>
      <c r="B291" s="50" t="s">
        <v>1276</v>
      </c>
      <c r="C291" s="58"/>
      <c r="D291" s="50"/>
      <c r="E291" s="1532"/>
      <c r="F291" s="1532"/>
      <c r="G291" s="1532"/>
      <c r="H291" s="1532"/>
      <c r="I291" s="1532"/>
      <c r="J291" s="1532"/>
      <c r="K291" s="1532"/>
      <c r="L291" s="1532"/>
      <c r="M291" s="1532"/>
      <c r="N291" s="1343"/>
      <c r="O291" s="44"/>
      <c r="P291" s="1523"/>
      <c r="Q291" s="322"/>
    </row>
    <row r="292" spans="1:27" s="25" customFormat="1" ht="11.25" customHeight="1">
      <c r="A292" s="2021"/>
      <c r="B292" s="2022"/>
      <c r="C292" s="2022"/>
      <c r="D292" s="2022"/>
      <c r="E292" s="2022"/>
      <c r="F292" s="2022"/>
      <c r="G292" s="2022"/>
      <c r="H292" s="2022"/>
      <c r="I292" s="2022"/>
      <c r="J292" s="2022"/>
      <c r="K292" s="2022"/>
      <c r="L292" s="2022"/>
      <c r="M292" s="2022"/>
      <c r="N292" s="2022"/>
      <c r="O292" s="2022"/>
      <c r="P292" s="2023"/>
      <c r="Q292" s="341"/>
    </row>
    <row r="293" spans="1:27" s="25" customFormat="1" ht="1.5" customHeight="1" thickBot="1">
      <c r="A293" s="58"/>
      <c r="D293" s="20"/>
      <c r="E293" s="20"/>
      <c r="F293" s="761"/>
      <c r="G293" s="761"/>
      <c r="H293" s="761"/>
      <c r="I293" s="761"/>
      <c r="J293" s="772"/>
      <c r="K293" s="772"/>
      <c r="L293" s="772"/>
      <c r="M293" s="1534"/>
      <c r="N293" s="761"/>
      <c r="O293" s="1527"/>
      <c r="P293" s="3"/>
    </row>
    <row r="294" spans="1:27" s="25" customFormat="1" ht="12" customHeight="1" thickBot="1">
      <c r="A294" s="107" t="s">
        <v>207</v>
      </c>
      <c r="B294" s="66" t="s">
        <v>2043</v>
      </c>
      <c r="D294" s="23"/>
      <c r="E294" s="23"/>
      <c r="F294" s="23"/>
      <c r="H294" s="37" t="s">
        <v>1926</v>
      </c>
      <c r="J294" s="51" t="s">
        <v>1815</v>
      </c>
      <c r="K294" s="71"/>
      <c r="L294" s="499" t="str">
        <f>'Part I-Project Information'!$H$100</f>
        <v>Rural</v>
      </c>
      <c r="M294" s="1523">
        <v>4</v>
      </c>
      <c r="N294" s="45"/>
      <c r="O294" s="1021">
        <f>IF(AND($L$294="Flexible",O295=$M295),$M295,IF(AND($L$294="Flexible",O303&gt;0),O303,IF(AND($L$294="Rural",O307&gt;0),O307,0)))</f>
        <v>4</v>
      </c>
      <c r="P294" s="1021">
        <f>IF(AND($L$294="Flexible",P295=$M295),$M295,IF(AND($L$294="Flexible",P303&gt;0),P303,IF(AND($L$294="Rural",P307&gt;0),P307,0)))</f>
        <v>0</v>
      </c>
      <c r="Q294" s="70" t="s">
        <v>834</v>
      </c>
    </row>
    <row r="295" spans="1:27" ht="11.25" customHeight="1">
      <c r="A295" s="1524" t="s">
        <v>110</v>
      </c>
      <c r="B295" s="129" t="s">
        <v>2044</v>
      </c>
      <c r="D295" s="18"/>
      <c r="E295" s="18"/>
      <c r="F295" s="18"/>
      <c r="H295" s="51" t="s">
        <v>2045</v>
      </c>
      <c r="I295" s="326"/>
      <c r="J295" s="1978" t="str">
        <f>'Part I-Project Information'!$O$34</f>
        <v>No</v>
      </c>
      <c r="K295" s="1978"/>
      <c r="L295" s="806" t="str">
        <f>'Part I-Project Information'!$O$35</f>
        <v>N/A</v>
      </c>
      <c r="M295" s="45">
        <v>3</v>
      </c>
      <c r="N295" s="363" t="s">
        <v>110</v>
      </c>
      <c r="O295" s="2347"/>
      <c r="P295" s="1409"/>
      <c r="Q295" s="887" t="str">
        <f>IF(OR($O295=$M295,$O295=0,$O295=""),"","*CHECK!*")</f>
        <v/>
      </c>
      <c r="R295" s="979" t="s">
        <v>1806</v>
      </c>
    </row>
    <row r="296" spans="1:27" s="62" customFormat="1" ht="21.75" customHeight="1">
      <c r="A296" s="326"/>
      <c r="B296" s="479" t="s">
        <v>379</v>
      </c>
      <c r="C296" s="1987" t="s">
        <v>2046</v>
      </c>
      <c r="D296" s="1987"/>
      <c r="E296" s="1987"/>
      <c r="F296" s="1987"/>
      <c r="G296" s="1987"/>
      <c r="H296" s="1987"/>
      <c r="I296" s="1987"/>
      <c r="J296" s="1987"/>
      <c r="K296" s="1987"/>
      <c r="L296" s="1987"/>
      <c r="M296" s="1987"/>
      <c r="N296" s="291" t="s">
        <v>379</v>
      </c>
      <c r="O296" s="2461"/>
      <c r="P296" s="1015"/>
      <c r="Q296" s="2020" t="s">
        <v>2047</v>
      </c>
      <c r="R296" s="1987"/>
      <c r="S296" s="1987"/>
      <c r="T296" s="1987"/>
      <c r="U296" s="1987"/>
      <c r="V296" s="1987"/>
      <c r="W296" s="1987"/>
      <c r="X296" s="1987"/>
      <c r="Y296" s="1987"/>
      <c r="Z296" s="1987"/>
      <c r="AA296" s="895"/>
    </row>
    <row r="297" spans="1:27" s="77" customFormat="1" ht="10.5" customHeight="1">
      <c r="A297" s="93"/>
      <c r="B297" s="762"/>
      <c r="C297" s="93" t="s">
        <v>2048</v>
      </c>
      <c r="D297" s="93"/>
      <c r="E297" s="93"/>
      <c r="F297" s="93"/>
      <c r="G297" s="93"/>
      <c r="H297" s="328" t="s">
        <v>2049</v>
      </c>
      <c r="I297" s="2462"/>
      <c r="J297" s="328" t="s">
        <v>2050</v>
      </c>
      <c r="K297" s="2463"/>
      <c r="L297" s="2464"/>
      <c r="M297" s="2464"/>
      <c r="N297" s="2464"/>
      <c r="O297" s="2464"/>
      <c r="P297" s="2465"/>
      <c r="Q297" s="93"/>
      <c r="R297" s="93"/>
      <c r="S297" s="93"/>
      <c r="T297" s="93"/>
      <c r="U297" s="93"/>
      <c r="V297" s="93"/>
      <c r="W297" s="93"/>
      <c r="X297" s="93"/>
      <c r="Y297" s="93"/>
      <c r="Z297" s="93"/>
      <c r="AA297" s="93"/>
    </row>
    <row r="298" spans="1:27" s="77" customFormat="1" ht="10.5" customHeight="1">
      <c r="A298" s="93"/>
      <c r="B298" s="762"/>
      <c r="C298" s="93" t="s">
        <v>2051</v>
      </c>
      <c r="D298" s="93"/>
      <c r="E298" s="93"/>
      <c r="F298" s="93"/>
      <c r="G298" s="93"/>
      <c r="H298" s="328" t="s">
        <v>2049</v>
      </c>
      <c r="I298" s="2466"/>
      <c r="J298" s="328" t="s">
        <v>2050</v>
      </c>
      <c r="K298" s="2467"/>
      <c r="L298" s="2468"/>
      <c r="M298" s="2468"/>
      <c r="N298" s="2468"/>
      <c r="O298" s="2468"/>
      <c r="P298" s="2469"/>
      <c r="Q298" s="93"/>
      <c r="R298" s="93"/>
      <c r="S298" s="93"/>
      <c r="T298" s="93"/>
      <c r="U298" s="93"/>
      <c r="V298" s="93"/>
      <c r="W298" s="93"/>
      <c r="X298" s="93"/>
      <c r="Y298" s="93"/>
      <c r="Z298" s="93"/>
      <c r="AA298" s="93"/>
    </row>
    <row r="299" spans="1:27" s="77" customFormat="1" ht="10.5" customHeight="1">
      <c r="A299" s="93"/>
      <c r="B299" s="762" t="s">
        <v>389</v>
      </c>
      <c r="C299" s="93" t="s">
        <v>2052</v>
      </c>
      <c r="D299" s="93"/>
      <c r="E299" s="93"/>
      <c r="F299" s="93"/>
      <c r="G299" s="93"/>
      <c r="H299" s="93"/>
      <c r="I299" s="93"/>
      <c r="J299" s="93"/>
      <c r="K299" s="93"/>
      <c r="L299" s="93"/>
      <c r="M299" s="325"/>
      <c r="N299" s="126" t="s">
        <v>389</v>
      </c>
      <c r="O299" s="2364"/>
      <c r="P299" s="815"/>
      <c r="Q299" s="93"/>
      <c r="R299" s="93"/>
      <c r="S299" s="93"/>
      <c r="T299" s="93"/>
      <c r="U299" s="93"/>
      <c r="V299" s="93"/>
      <c r="W299" s="93"/>
      <c r="X299" s="93"/>
      <c r="Y299" s="93"/>
      <c r="Z299" s="93"/>
      <c r="AA299" s="93"/>
    </row>
    <row r="300" spans="1:27" s="77" customFormat="1" ht="10.5" customHeight="1">
      <c r="A300" s="93"/>
      <c r="B300" s="762" t="s">
        <v>393</v>
      </c>
      <c r="C300" s="93" t="s">
        <v>2053</v>
      </c>
      <c r="D300" s="93"/>
      <c r="E300" s="93"/>
      <c r="F300" s="93"/>
      <c r="G300" s="93"/>
      <c r="H300" s="93"/>
      <c r="I300" s="93"/>
      <c r="J300" s="93"/>
      <c r="K300" s="93"/>
      <c r="L300" s="93"/>
      <c r="M300" s="325"/>
      <c r="N300" s="126" t="s">
        <v>393</v>
      </c>
      <c r="O300" s="2319"/>
      <c r="P300" s="426"/>
      <c r="Q300" s="93"/>
      <c r="R300" s="93"/>
      <c r="S300" s="93"/>
      <c r="T300" s="93"/>
      <c r="U300" s="93"/>
      <c r="V300" s="93"/>
      <c r="W300" s="93"/>
      <c r="X300" s="93"/>
      <c r="Y300" s="93"/>
      <c r="Z300" s="93"/>
      <c r="AA300" s="93"/>
    </row>
    <row r="301" spans="1:27" s="77" customFormat="1" ht="10.5" customHeight="1">
      <c r="A301" s="404"/>
      <c r="B301" s="762" t="s">
        <v>445</v>
      </c>
      <c r="C301" s="93" t="s">
        <v>2054</v>
      </c>
      <c r="D301" s="93"/>
      <c r="E301" s="93"/>
      <c r="F301" s="93"/>
      <c r="G301" s="93"/>
      <c r="H301" s="93"/>
      <c r="I301" s="93"/>
      <c r="J301" s="93"/>
      <c r="K301" s="93"/>
      <c r="L301" s="93"/>
      <c r="M301" s="325"/>
      <c r="N301" s="126" t="s">
        <v>445</v>
      </c>
      <c r="O301" s="2312"/>
      <c r="P301" s="427"/>
      <c r="Q301" s="93"/>
      <c r="R301" s="93"/>
      <c r="S301" s="93"/>
      <c r="T301" s="93"/>
      <c r="U301" s="93"/>
      <c r="V301" s="93"/>
      <c r="W301" s="93"/>
      <c r="X301" s="93"/>
      <c r="Y301" s="93"/>
      <c r="Z301" s="93"/>
      <c r="AA301" s="93"/>
    </row>
    <row r="302" spans="1:27" s="18" customFormat="1" ht="10.5" customHeight="1">
      <c r="A302" s="1524" t="s">
        <v>121</v>
      </c>
      <c r="B302" s="129" t="s">
        <v>2055</v>
      </c>
      <c r="D302" s="478"/>
      <c r="H302" s="37" t="s">
        <v>2056</v>
      </c>
    </row>
    <row r="303" spans="1:27" s="18" customFormat="1" ht="10.5" customHeight="1">
      <c r="A303" s="1524"/>
      <c r="B303" s="764" t="s">
        <v>2057</v>
      </c>
      <c r="D303" s="478"/>
      <c r="H303" s="37"/>
      <c r="M303" s="474">
        <v>3</v>
      </c>
      <c r="N303" s="363" t="s">
        <v>121</v>
      </c>
      <c r="O303" s="1422">
        <f>IF($L$294="Flexible", MIN($M$303, SUM(O304:O305)), 0)</f>
        <v>0</v>
      </c>
      <c r="P303" s="1422">
        <f>IF($L$294="Flexible", MIN($M$303, SUM(P304:P305)), 0)</f>
        <v>0</v>
      </c>
    </row>
    <row r="304" spans="1:27" s="18" customFormat="1" ht="10.5" customHeight="1">
      <c r="B304" s="762" t="s">
        <v>379</v>
      </c>
      <c r="C304" s="476" t="s">
        <v>2058</v>
      </c>
      <c r="L304" s="280" t="str">
        <f>IF(OR($O304=$M304,$O304=0,$O304=""),"","* * Check Score! * *")</f>
        <v/>
      </c>
      <c r="M304" s="45">
        <v>3</v>
      </c>
      <c r="N304" s="330" t="s">
        <v>379</v>
      </c>
      <c r="O304" s="2351"/>
      <c r="P304" s="422"/>
      <c r="Q304" s="887" t="str">
        <f>IF(OR($O304=$M304,$O304=0,$O304=""),"","*CHECK!*")</f>
        <v/>
      </c>
      <c r="R304" s="979" t="s">
        <v>1806</v>
      </c>
    </row>
    <row r="305" spans="1:21" ht="10.5" customHeight="1">
      <c r="A305" s="477" t="s">
        <v>515</v>
      </c>
      <c r="B305" s="479" t="s">
        <v>389</v>
      </c>
      <c r="C305" s="335" t="s">
        <v>2059</v>
      </c>
      <c r="D305" s="18"/>
      <c r="E305" s="18"/>
      <c r="F305" s="18"/>
      <c r="G305" s="22"/>
      <c r="H305" s="37"/>
      <c r="I305" s="22"/>
      <c r="L305" s="280" t="str">
        <f>IF(OR($O305=$M305,$O305=0,$O305=""),"","* * Check Score! * *")</f>
        <v/>
      </c>
      <c r="M305" s="47">
        <v>2</v>
      </c>
      <c r="N305" s="765" t="s">
        <v>389</v>
      </c>
      <c r="O305" s="2352"/>
      <c r="P305" s="424"/>
      <c r="Q305" s="887" t="str">
        <f>IF(OR($O305=$M305,$O305=0,$O305=""),"","*CHECK!*")</f>
        <v/>
      </c>
      <c r="R305" s="979" t="s">
        <v>1806</v>
      </c>
    </row>
    <row r="306" spans="1:21" s="18" customFormat="1" ht="10.5" customHeight="1">
      <c r="A306" s="1524" t="s">
        <v>123</v>
      </c>
      <c r="B306" s="129" t="s">
        <v>2060</v>
      </c>
      <c r="D306" s="478"/>
      <c r="H306" s="37" t="s">
        <v>2061</v>
      </c>
    </row>
    <row r="307" spans="1:21" s="18" customFormat="1" ht="10.5" customHeight="1">
      <c r="A307" s="1524"/>
      <c r="B307" s="764" t="s">
        <v>2062</v>
      </c>
      <c r="D307" s="478"/>
      <c r="H307" s="37"/>
      <c r="M307" s="474">
        <v>4</v>
      </c>
      <c r="N307" s="363" t="s">
        <v>123</v>
      </c>
      <c r="O307" s="1422">
        <f>IF($L$294="Rural", MIN($M$307, SUM(O308:O310)), 0)</f>
        <v>4</v>
      </c>
      <c r="P307" s="1422">
        <f>IF($L$294="Rural", MIN($M$307, SUM(P308:P310)), 0)</f>
        <v>0</v>
      </c>
    </row>
    <row r="308" spans="1:21" s="18" customFormat="1" ht="10.5" customHeight="1">
      <c r="B308" s="762" t="s">
        <v>379</v>
      </c>
      <c r="C308" s="326" t="s">
        <v>2063</v>
      </c>
      <c r="K308" s="2058" t="str">
        <f>IF(OR(AND(O308&gt;0,O310&gt;0), AND(O309&gt;0,O310&gt;0), AND(O308&gt;0,O309&gt;0)),"Choose option 1 or 2 or 3!!!","")</f>
        <v/>
      </c>
      <c r="L308" s="2058"/>
      <c r="M308" s="45">
        <v>4</v>
      </c>
      <c r="N308" s="330" t="s">
        <v>379</v>
      </c>
      <c r="O308" s="2351">
        <v>4</v>
      </c>
      <c r="P308" s="422"/>
      <c r="Q308" s="887" t="str">
        <f>IF(OR($O308=$M308,$O308=0,$O308=""),"","*CHECK!*")</f>
        <v/>
      </c>
      <c r="R308" s="979" t="s">
        <v>1806</v>
      </c>
    </row>
    <row r="309" spans="1:21" ht="10.5" customHeight="1">
      <c r="A309" s="477" t="s">
        <v>515</v>
      </c>
      <c r="B309" s="479" t="s">
        <v>389</v>
      </c>
      <c r="C309" s="476" t="s">
        <v>2064</v>
      </c>
      <c r="D309" s="18"/>
      <c r="E309" s="18"/>
      <c r="F309" s="18"/>
      <c r="G309" s="22"/>
      <c r="H309" s="766"/>
      <c r="I309" s="22"/>
      <c r="K309" s="2058"/>
      <c r="L309" s="2058"/>
      <c r="M309" s="47">
        <v>3</v>
      </c>
      <c r="N309" s="765" t="s">
        <v>389</v>
      </c>
      <c r="O309" s="2470"/>
      <c r="P309" s="423"/>
      <c r="Q309" s="887" t="str">
        <f t="shared" ref="Q309:Q310" si="5">IF(OR($O309=$M309,$O309=0,$O309=""),"","*CHECK!*")</f>
        <v/>
      </c>
      <c r="R309" s="979" t="s">
        <v>1806</v>
      </c>
    </row>
    <row r="310" spans="1:21" ht="10.5" customHeight="1">
      <c r="A310" s="477" t="s">
        <v>515</v>
      </c>
      <c r="B310" s="479" t="s">
        <v>393</v>
      </c>
      <c r="C310" s="335" t="s">
        <v>2065</v>
      </c>
      <c r="D310" s="18"/>
      <c r="E310" s="18"/>
      <c r="F310" s="18"/>
      <c r="G310" s="22"/>
      <c r="H310" s="37"/>
      <c r="I310" s="22"/>
      <c r="K310" s="2058"/>
      <c r="L310" s="2058"/>
      <c r="M310" s="47">
        <v>2</v>
      </c>
      <c r="N310" s="765" t="s">
        <v>393</v>
      </c>
      <c r="O310" s="2352"/>
      <c r="P310" s="424"/>
      <c r="Q310" s="887" t="str">
        <f t="shared" si="5"/>
        <v/>
      </c>
      <c r="R310" s="979" t="s">
        <v>1806</v>
      </c>
    </row>
    <row r="311" spans="1:21" s="25" customFormat="1" ht="10.5" customHeight="1" thickBot="1">
      <c r="A311" s="58"/>
      <c r="B311" s="1089" t="s">
        <v>1810</v>
      </c>
      <c r="C311" s="58"/>
      <c r="D311" s="71"/>
      <c r="E311" s="71"/>
      <c r="F311" s="71"/>
      <c r="G311" s="71"/>
      <c r="H311" s="20"/>
      <c r="I311" s="20"/>
      <c r="J311" s="20"/>
      <c r="K311" s="20"/>
      <c r="M311" s="45"/>
      <c r="N311" s="840"/>
      <c r="O311" s="3"/>
      <c r="P311" s="1527"/>
    </row>
    <row r="312" spans="1:21" s="25" customFormat="1" ht="21.75" customHeight="1" thickTop="1" thickBot="1">
      <c r="A312" s="2316" t="s">
        <v>4703</v>
      </c>
      <c r="B312" s="2317"/>
      <c r="C312" s="2317"/>
      <c r="D312" s="2317"/>
      <c r="E312" s="2317"/>
      <c r="F312" s="2317"/>
      <c r="G312" s="2317"/>
      <c r="H312" s="2317"/>
      <c r="I312" s="2317"/>
      <c r="J312" s="2317"/>
      <c r="K312" s="2317"/>
      <c r="L312" s="2317"/>
      <c r="M312" s="2317"/>
      <c r="N312" s="2317"/>
      <c r="O312" s="2317"/>
      <c r="P312" s="2318"/>
      <c r="Q312" s="961" t="s">
        <v>1275</v>
      </c>
    </row>
    <row r="313" spans="1:21" s="25" customFormat="1" ht="10.5" customHeight="1" thickTop="1">
      <c r="B313" s="50" t="s">
        <v>1276</v>
      </c>
      <c r="C313" s="1182"/>
      <c r="D313" s="50"/>
      <c r="E313" s="61"/>
      <c r="F313" s="1532"/>
      <c r="G313" s="1532"/>
      <c r="H313" s="1532"/>
      <c r="I313" s="1532"/>
      <c r="J313" s="1532"/>
      <c r="K313" s="1532"/>
      <c r="L313" s="1532"/>
      <c r="M313" s="1532"/>
      <c r="N313" s="1343"/>
      <c r="O313" s="44"/>
      <c r="P313" s="1523"/>
      <c r="Q313" s="322"/>
    </row>
    <row r="314" spans="1:21" s="25" customFormat="1" ht="11.25" customHeight="1">
      <c r="A314" s="1835"/>
      <c r="B314" s="1836"/>
      <c r="C314" s="1836"/>
      <c r="D314" s="1836"/>
      <c r="E314" s="1836"/>
      <c r="F314" s="1836"/>
      <c r="G314" s="1836"/>
      <c r="H314" s="1836"/>
      <c r="I314" s="1836"/>
      <c r="J314" s="1836"/>
      <c r="K314" s="1836"/>
      <c r="L314" s="1836"/>
      <c r="M314" s="1836"/>
      <c r="N314" s="1836"/>
      <c r="O314" s="1836"/>
      <c r="P314" s="1837"/>
      <c r="Q314" s="341"/>
    </row>
    <row r="315" spans="1:21" ht="1.5" customHeight="1" thickBot="1">
      <c r="B315" s="76"/>
      <c r="C315" s="76"/>
      <c r="D315" s="76"/>
      <c r="E315" s="76"/>
      <c r="N315" s="79"/>
      <c r="T315" s="956"/>
      <c r="U315" s="956"/>
    </row>
    <row r="316" spans="1:21" s="25" customFormat="1" ht="12" customHeight="1" thickBot="1">
      <c r="A316" s="108" t="s">
        <v>222</v>
      </c>
      <c r="B316" s="67" t="s">
        <v>2066</v>
      </c>
      <c r="C316" s="32"/>
      <c r="D316" s="75"/>
      <c r="E316" s="75"/>
      <c r="F316" s="23"/>
      <c r="H316" s="37" t="s">
        <v>2067</v>
      </c>
      <c r="K316" s="71"/>
      <c r="M316" s="1523">
        <v>1</v>
      </c>
      <c r="N316" s="45"/>
      <c r="O316" s="1021">
        <f>MIN($M316,SUM(O317:O319))</f>
        <v>1</v>
      </c>
      <c r="P316" s="1021">
        <f>MIN($M316,SUM(P317:P319))</f>
        <v>0</v>
      </c>
      <c r="Q316" s="70" t="s">
        <v>834</v>
      </c>
      <c r="T316" s="956"/>
      <c r="U316" s="956"/>
    </row>
    <row r="317" spans="1:21" s="63" customFormat="1" ht="11.25" customHeight="1">
      <c r="A317" s="97" t="s">
        <v>110</v>
      </c>
      <c r="B317" s="117" t="s">
        <v>2068</v>
      </c>
      <c r="D317" s="37"/>
      <c r="E317" s="37"/>
      <c r="F317" s="26"/>
      <c r="G317" s="12"/>
      <c r="L317" s="280" t="str">
        <f>IF(OR($O317=$M317,$O317=0,$O317=""),"","* * Check Score! * *")</f>
        <v/>
      </c>
      <c r="M317" s="325">
        <v>1</v>
      </c>
      <c r="N317" s="363" t="s">
        <v>110</v>
      </c>
      <c r="O317" s="2471">
        <v>1</v>
      </c>
      <c r="P317" s="1025"/>
      <c r="Q317" s="887" t="str">
        <f>IF(OR($O317=$M317,$O317=0,$O317=""),"","*CHECK!*")</f>
        <v/>
      </c>
      <c r="R317" s="979" t="s">
        <v>1806</v>
      </c>
      <c r="T317" s="956"/>
      <c r="U317" s="956"/>
    </row>
    <row r="318" spans="1:21" s="63" customFormat="1" ht="10.5" customHeight="1">
      <c r="A318" s="97"/>
      <c r="B318" s="22" t="s">
        <v>2069</v>
      </c>
      <c r="D318" s="37"/>
      <c r="E318" s="37"/>
      <c r="F318" s="26"/>
      <c r="G318" s="12"/>
      <c r="K318" s="363"/>
      <c r="M318" s="325"/>
      <c r="N318" s="363"/>
      <c r="O318" s="2312" t="s">
        <v>22</v>
      </c>
      <c r="P318" s="427"/>
      <c r="R318" s="290"/>
      <c r="T318" s="956"/>
      <c r="U318" s="956"/>
    </row>
    <row r="319" spans="1:21" s="25" customFormat="1" ht="11.25" customHeight="1">
      <c r="A319" s="97" t="s">
        <v>121</v>
      </c>
      <c r="B319" s="117" t="s">
        <v>2070</v>
      </c>
      <c r="D319" s="31"/>
      <c r="K319" s="31"/>
      <c r="L319" s="280" t="str">
        <f>IF(OR($O319=$M319,$O319=0,$O319=""),"","* * Check Score! * *")</f>
        <v/>
      </c>
      <c r="M319" s="325">
        <v>1</v>
      </c>
      <c r="N319" s="363" t="s">
        <v>121</v>
      </c>
      <c r="O319" s="2351"/>
      <c r="P319" s="422"/>
      <c r="Q319" s="887" t="str">
        <f>IF(OR($O319=$M319,$O319=0,$O319=""),"","*CHECK!*")</f>
        <v/>
      </c>
      <c r="R319" s="979" t="s">
        <v>1806</v>
      </c>
      <c r="T319" s="956"/>
      <c r="U319" s="956"/>
    </row>
    <row r="320" spans="1:21" s="25" customFormat="1" ht="10.5" customHeight="1">
      <c r="A320" s="97"/>
      <c r="B320" s="772" t="s">
        <v>2071</v>
      </c>
      <c r="D320" s="31"/>
      <c r="H320" s="1534"/>
      <c r="K320" s="31"/>
      <c r="L320" s="63"/>
      <c r="M320" s="325"/>
      <c r="N320" s="363"/>
      <c r="O320" s="2312"/>
      <c r="P320" s="427"/>
      <c r="Q320" s="290"/>
      <c r="R320" s="280"/>
      <c r="T320" s="956"/>
      <c r="U320" s="956"/>
    </row>
    <row r="321" spans="1:18" s="25" customFormat="1" ht="10.5" customHeight="1">
      <c r="A321" s="58"/>
      <c r="B321" s="50" t="s">
        <v>1276</v>
      </c>
      <c r="C321" s="1182"/>
      <c r="D321" s="50"/>
      <c r="E321" s="61"/>
      <c r="F321" s="1532"/>
      <c r="G321" s="1532"/>
      <c r="H321" s="1532"/>
      <c r="I321" s="1532"/>
      <c r="J321" s="1532"/>
      <c r="K321" s="1532"/>
      <c r="L321" s="1532"/>
      <c r="M321" s="1532"/>
      <c r="N321" s="1343"/>
      <c r="O321" s="44"/>
      <c r="P321" s="1523"/>
      <c r="Q321" s="322"/>
    </row>
    <row r="322" spans="1:18" s="25" customFormat="1" ht="11.25" customHeight="1">
      <c r="A322" s="1835"/>
      <c r="B322" s="1836"/>
      <c r="C322" s="1836"/>
      <c r="D322" s="1836"/>
      <c r="E322" s="1836"/>
      <c r="F322" s="1836"/>
      <c r="G322" s="1836"/>
      <c r="H322" s="1836"/>
      <c r="I322" s="1836"/>
      <c r="J322" s="1836"/>
      <c r="K322" s="1836"/>
      <c r="L322" s="1836"/>
      <c r="M322" s="1836"/>
      <c r="N322" s="1836"/>
      <c r="O322" s="1836"/>
      <c r="P322" s="1837"/>
      <c r="Q322" s="341"/>
    </row>
    <row r="323" spans="1:18" s="25" customFormat="1" ht="1.5" customHeight="1" thickBot="1">
      <c r="A323" s="58"/>
      <c r="B323" s="58"/>
      <c r="C323" s="1532"/>
      <c r="D323" s="1532"/>
      <c r="E323" s="1532"/>
      <c r="F323" s="1532"/>
      <c r="G323" s="1532"/>
      <c r="H323" s="1532"/>
      <c r="I323" s="1532"/>
      <c r="J323" s="1532"/>
      <c r="K323" s="1532"/>
      <c r="L323" s="1532"/>
      <c r="M323" s="1532"/>
      <c r="N323" s="1343"/>
      <c r="O323" s="44"/>
      <c r="P323" s="761"/>
    </row>
    <row r="324" spans="1:18" s="25" customFormat="1" ht="12" customHeight="1" thickBot="1">
      <c r="A324" s="108" t="s">
        <v>258</v>
      </c>
      <c r="B324" s="67" t="s">
        <v>2072</v>
      </c>
      <c r="C324" s="52"/>
      <c r="D324" s="35"/>
      <c r="E324" s="31"/>
      <c r="G324" s="33"/>
      <c r="M324" s="1523">
        <v>2</v>
      </c>
      <c r="N324" s="45"/>
      <c r="O324" s="45"/>
      <c r="P324" s="1021">
        <f>P325+P330</f>
        <v>0</v>
      </c>
      <c r="Q324" s="70" t="s">
        <v>834</v>
      </c>
    </row>
    <row r="325" spans="1:18" s="25" customFormat="1" ht="12" customHeight="1">
      <c r="A325" s="97" t="s">
        <v>121</v>
      </c>
      <c r="B325" s="117" t="s">
        <v>2073</v>
      </c>
      <c r="C325" s="52"/>
      <c r="D325" s="35"/>
      <c r="E325" s="31"/>
      <c r="G325" s="386">
        <f>'Part VIII-Threshold Criteria'!I357</f>
        <v>0</v>
      </c>
      <c r="J325" s="22" t="s">
        <v>2074</v>
      </c>
      <c r="L325" s="20"/>
      <c r="O325" s="362" t="str">
        <f>'Part I-Project Information'!$H$96</f>
        <v>No</v>
      </c>
      <c r="P325" s="1418"/>
      <c r="Q325" s="70"/>
    </row>
    <row r="326" spans="1:18" s="63" customFormat="1" ht="10.5" customHeight="1">
      <c r="A326" s="97"/>
      <c r="B326" s="279" t="s">
        <v>379</v>
      </c>
      <c r="C326" s="20" t="s">
        <v>2075</v>
      </c>
      <c r="D326" s="18"/>
      <c r="N326" s="330" t="s">
        <v>379</v>
      </c>
      <c r="O326" s="2313"/>
      <c r="P326" s="425"/>
      <c r="R326" s="280"/>
    </row>
    <row r="327" spans="1:18" s="63" customFormat="1" ht="10.5" customHeight="1">
      <c r="A327" s="97"/>
      <c r="B327" s="279" t="s">
        <v>389</v>
      </c>
      <c r="C327" s="20" t="s">
        <v>2076</v>
      </c>
      <c r="D327" s="18"/>
      <c r="N327" s="765" t="s">
        <v>389</v>
      </c>
      <c r="O327" s="2319"/>
      <c r="P327" s="426"/>
      <c r="R327" s="280"/>
    </row>
    <row r="328" spans="1:18" s="63" customFormat="1" ht="10.5" customHeight="1">
      <c r="A328" s="97"/>
      <c r="B328" s="279" t="s">
        <v>393</v>
      </c>
      <c r="C328" s="20" t="s">
        <v>2077</v>
      </c>
      <c r="D328" s="18"/>
      <c r="N328" s="765" t="s">
        <v>393</v>
      </c>
      <c r="O328" s="2319"/>
      <c r="P328" s="426"/>
      <c r="R328" s="280"/>
    </row>
    <row r="329" spans="1:18" s="63" customFormat="1" ht="10.5" customHeight="1">
      <c r="A329" s="97"/>
      <c r="B329" s="279" t="s">
        <v>445</v>
      </c>
      <c r="C329" s="20" t="s">
        <v>2078</v>
      </c>
      <c r="D329" s="18"/>
      <c r="N329" s="765" t="s">
        <v>445</v>
      </c>
      <c r="O329" s="2312"/>
      <c r="P329" s="427"/>
      <c r="R329" s="280"/>
    </row>
    <row r="330" spans="1:18" s="25" customFormat="1" ht="12" customHeight="1">
      <c r="A330" s="97" t="s">
        <v>110</v>
      </c>
      <c r="B330" s="117" t="s">
        <v>2079</v>
      </c>
      <c r="C330" s="52"/>
      <c r="D330" s="35"/>
      <c r="E330" s="31"/>
      <c r="G330" s="386">
        <f>'Part I-Project Information'!E158</f>
        <v>0</v>
      </c>
      <c r="I330" s="386"/>
      <c r="L330" s="894"/>
      <c r="M330" s="894"/>
      <c r="N330" s="45"/>
      <c r="P330" s="1418"/>
      <c r="Q330" s="70"/>
    </row>
    <row r="331" spans="1:18" s="63" customFormat="1" ht="10.5" customHeight="1">
      <c r="A331" s="108"/>
      <c r="B331" s="279" t="s">
        <v>379</v>
      </c>
      <c r="C331" s="20" t="s">
        <v>2075</v>
      </c>
      <c r="D331" s="31"/>
      <c r="E331" s="31"/>
      <c r="M331" s="1523"/>
      <c r="N331" s="330" t="s">
        <v>379</v>
      </c>
      <c r="O331" s="2313"/>
      <c r="P331" s="425"/>
      <c r="Q331" s="70"/>
    </row>
    <row r="332" spans="1:18" s="63" customFormat="1" ht="10.5" customHeight="1">
      <c r="A332" s="97"/>
      <c r="B332" s="279" t="s">
        <v>389</v>
      </c>
      <c r="C332" s="20" t="s">
        <v>2080</v>
      </c>
      <c r="D332" s="18"/>
      <c r="N332" s="765" t="s">
        <v>389</v>
      </c>
      <c r="O332" s="2319"/>
      <c r="P332" s="426"/>
      <c r="R332" s="280"/>
    </row>
    <row r="333" spans="1:18" s="63" customFormat="1" ht="10.5" customHeight="1">
      <c r="A333" s="97"/>
      <c r="B333" s="279" t="s">
        <v>393</v>
      </c>
      <c r="C333" s="20" t="s">
        <v>2078</v>
      </c>
      <c r="D333" s="18"/>
      <c r="N333" s="765" t="s">
        <v>393</v>
      </c>
      <c r="O333" s="2312"/>
      <c r="P333" s="427"/>
      <c r="R333" s="280"/>
    </row>
    <row r="334" spans="1:18" s="25" customFormat="1" ht="10.5" customHeight="1">
      <c r="B334" s="50" t="s">
        <v>1276</v>
      </c>
      <c r="C334" s="1182"/>
      <c r="D334" s="50"/>
      <c r="E334" s="61"/>
      <c r="F334" s="1532"/>
      <c r="G334" s="1532"/>
      <c r="H334" s="1532"/>
      <c r="I334" s="1532"/>
      <c r="J334" s="1532"/>
      <c r="K334" s="1532"/>
      <c r="L334" s="1532"/>
      <c r="M334" s="1532"/>
      <c r="N334" s="1343"/>
      <c r="O334" s="44"/>
      <c r="P334" s="1523"/>
      <c r="Q334" s="322"/>
    </row>
    <row r="335" spans="1:18" s="25" customFormat="1" ht="11.25" customHeight="1">
      <c r="A335" s="1835"/>
      <c r="B335" s="1836"/>
      <c r="C335" s="1836"/>
      <c r="D335" s="1836"/>
      <c r="E335" s="1836"/>
      <c r="F335" s="1836"/>
      <c r="G335" s="1836"/>
      <c r="H335" s="1836"/>
      <c r="I335" s="1836"/>
      <c r="J335" s="1836"/>
      <c r="K335" s="1836"/>
      <c r="L335" s="1836"/>
      <c r="M335" s="1836"/>
      <c r="N335" s="1836"/>
      <c r="O335" s="1836"/>
      <c r="P335" s="1837"/>
      <c r="Q335" s="341"/>
    </row>
    <row r="336" spans="1:18" ht="2.25" customHeight="1" thickBot="1">
      <c r="N336" s="79"/>
    </row>
    <row r="337" spans="1:18" s="38" customFormat="1" ht="12.6" customHeight="1" thickBot="1">
      <c r="A337" s="107" t="s">
        <v>260</v>
      </c>
      <c r="B337" s="66" t="s">
        <v>2081</v>
      </c>
      <c r="H337" s="20" t="s">
        <v>2082</v>
      </c>
      <c r="I337" s="1550" t="str">
        <f>'Part I-Project Information'!$H$100</f>
        <v>Rural</v>
      </c>
      <c r="J337" s="1542"/>
      <c r="L337" s="280" t="str">
        <f>IF(OR($O337=$M337,$O337=0,$O337=""),"","* * Check Score! * *")</f>
        <v/>
      </c>
      <c r="M337" s="1523">
        <v>1</v>
      </c>
      <c r="N337" s="297"/>
      <c r="O337" s="2472">
        <v>1</v>
      </c>
      <c r="P337" s="1024"/>
      <c r="Q337" s="70" t="s">
        <v>834</v>
      </c>
      <c r="R337" s="979" t="s">
        <v>1806</v>
      </c>
    </row>
    <row r="338" spans="1:18" s="38" customFormat="1" ht="12" customHeight="1">
      <c r="A338" s="1833" t="s">
        <v>2083</v>
      </c>
      <c r="B338" s="1833"/>
      <c r="C338" s="1833"/>
      <c r="D338" s="1833"/>
      <c r="E338" s="1833"/>
      <c r="F338" s="1833"/>
      <c r="G338" s="1833"/>
      <c r="H338" s="1833"/>
      <c r="I338" s="1977" t="s">
        <v>2084</v>
      </c>
      <c r="J338" s="1977"/>
      <c r="K338" s="1977"/>
      <c r="L338" s="1977"/>
      <c r="M338" s="1977"/>
      <c r="N338" s="1977"/>
      <c r="O338" s="1977"/>
      <c r="P338" s="1977"/>
      <c r="R338" s="280"/>
    </row>
    <row r="339" spans="1:18" s="38" customFormat="1" ht="12" customHeight="1">
      <c r="A339" s="1833"/>
      <c r="B339" s="1833"/>
      <c r="C339" s="1833"/>
      <c r="D339" s="1833"/>
      <c r="E339" s="1833"/>
      <c r="F339" s="1833"/>
      <c r="G339" s="1833"/>
      <c r="H339" s="1833"/>
      <c r="I339" s="2473">
        <v>1</v>
      </c>
      <c r="J339" s="2473"/>
      <c r="K339" s="2473"/>
      <c r="L339" s="2473">
        <v>3</v>
      </c>
      <c r="M339" s="2473"/>
      <c r="N339" s="2473"/>
      <c r="O339" s="2473"/>
      <c r="P339" s="2473"/>
      <c r="R339" s="280"/>
    </row>
    <row r="340" spans="1:18" s="38" customFormat="1" ht="12" customHeight="1">
      <c r="A340" s="1833"/>
      <c r="B340" s="1833"/>
      <c r="C340" s="1833"/>
      <c r="D340" s="1833"/>
      <c r="E340" s="1833"/>
      <c r="F340" s="1833"/>
      <c r="G340" s="1833"/>
      <c r="H340" s="1833"/>
      <c r="I340" s="2474">
        <v>2</v>
      </c>
      <c r="J340" s="2474"/>
      <c r="K340" s="2474"/>
      <c r="L340" s="2474">
        <v>4</v>
      </c>
      <c r="M340" s="2474"/>
      <c r="N340" s="2474"/>
      <c r="O340" s="2474"/>
      <c r="P340" s="2474"/>
      <c r="R340" s="280"/>
    </row>
    <row r="341" spans="1:18" s="63" customFormat="1" ht="10.5" customHeight="1" thickBot="1">
      <c r="A341" s="58"/>
      <c r="B341" s="1089" t="s">
        <v>1810</v>
      </c>
      <c r="C341" s="58"/>
      <c r="D341" s="71"/>
      <c r="E341" s="71"/>
      <c r="F341" s="71"/>
      <c r="G341" s="71"/>
      <c r="H341" s="20"/>
      <c r="I341" s="20"/>
      <c r="J341" s="20"/>
      <c r="K341" s="20"/>
      <c r="M341" s="45"/>
      <c r="N341" s="45"/>
      <c r="O341" s="3"/>
      <c r="P341" s="1523"/>
    </row>
    <row r="342" spans="1:18" s="25" customFormat="1" ht="21.75" customHeight="1" thickTop="1" thickBot="1">
      <c r="A342" s="2316" t="s">
        <v>4704</v>
      </c>
      <c r="B342" s="2317"/>
      <c r="C342" s="2317"/>
      <c r="D342" s="2317"/>
      <c r="E342" s="2317"/>
      <c r="F342" s="2317"/>
      <c r="G342" s="2317"/>
      <c r="H342" s="2317"/>
      <c r="I342" s="2317"/>
      <c r="J342" s="2317"/>
      <c r="K342" s="2317"/>
      <c r="L342" s="2317"/>
      <c r="M342" s="2317"/>
      <c r="N342" s="2317"/>
      <c r="O342" s="2317"/>
      <c r="P342" s="2318"/>
      <c r="Q342" s="961" t="s">
        <v>1275</v>
      </c>
    </row>
    <row r="343" spans="1:18" s="63" customFormat="1" ht="10.5" customHeight="1" thickTop="1">
      <c r="A343" s="58"/>
      <c r="B343" s="60" t="s">
        <v>1276</v>
      </c>
      <c r="C343" s="58"/>
      <c r="D343" s="60"/>
      <c r="E343" s="1535"/>
      <c r="F343" s="1535"/>
      <c r="G343" s="1535"/>
      <c r="H343" s="1535"/>
      <c r="I343" s="1535"/>
      <c r="J343" s="1535"/>
      <c r="K343" s="1535"/>
      <c r="L343" s="1535"/>
      <c r="M343" s="1535"/>
      <c r="N343" s="1344"/>
      <c r="O343" s="747"/>
      <c r="P343" s="1523"/>
      <c r="Q343" s="322"/>
    </row>
    <row r="344" spans="1:18" s="25" customFormat="1" ht="11.25" customHeight="1">
      <c r="A344" s="1835"/>
      <c r="B344" s="1836"/>
      <c r="C344" s="1836"/>
      <c r="D344" s="1836"/>
      <c r="E344" s="1836"/>
      <c r="F344" s="1836"/>
      <c r="G344" s="1836"/>
      <c r="H344" s="1836"/>
      <c r="I344" s="1836"/>
      <c r="J344" s="1836"/>
      <c r="K344" s="1836"/>
      <c r="L344" s="1836"/>
      <c r="M344" s="1836"/>
      <c r="N344" s="1836"/>
      <c r="O344" s="1836"/>
      <c r="P344" s="1837"/>
      <c r="Q344" s="341"/>
    </row>
    <row r="345" spans="1:18" s="25" customFormat="1" ht="2.25" customHeight="1" thickBot="1">
      <c r="A345" s="58"/>
      <c r="C345" s="1532"/>
      <c r="D345" s="1532"/>
      <c r="E345" s="1532"/>
      <c r="F345" s="1532"/>
      <c r="G345" s="1532"/>
      <c r="H345" s="1532"/>
      <c r="I345" s="1532"/>
      <c r="J345" s="1532"/>
      <c r="K345" s="1532"/>
      <c r="L345" s="1532"/>
      <c r="M345" s="1532"/>
      <c r="N345" s="1343"/>
      <c r="O345" s="44"/>
      <c r="P345" s="761"/>
    </row>
    <row r="346" spans="1:18" s="25" customFormat="1" ht="12" customHeight="1" thickBot="1">
      <c r="A346" s="107" t="s">
        <v>1482</v>
      </c>
      <c r="B346" s="66" t="s">
        <v>2085</v>
      </c>
      <c r="D346" s="53"/>
      <c r="E346" s="53"/>
      <c r="G346" s="31"/>
      <c r="H346" s="31"/>
      <c r="I346" s="31"/>
      <c r="J346" s="32"/>
      <c r="K346" s="1534"/>
      <c r="L346" s="280"/>
      <c r="M346" s="761">
        <v>2</v>
      </c>
      <c r="N346" s="297"/>
      <c r="O346" s="1023">
        <f>MIN($M$346,O347+O354)</f>
        <v>0</v>
      </c>
      <c r="P346" s="1023">
        <f>MIN($M$346,P347+P354)</f>
        <v>0</v>
      </c>
      <c r="Q346" s="70" t="s">
        <v>834</v>
      </c>
    </row>
    <row r="347" spans="1:18" s="25" customFormat="1" ht="11.25" customHeight="1" thickBot="1">
      <c r="A347" s="97" t="s">
        <v>110</v>
      </c>
      <c r="B347" s="74" t="s">
        <v>2086</v>
      </c>
      <c r="D347" s="53"/>
      <c r="E347" s="53"/>
      <c r="G347" s="31"/>
      <c r="H347" s="1013"/>
      <c r="L347" s="280" t="str">
        <f>IF(OR($O347=$M347,$O347=0,$O347=""),"","* * Check Score! * *")</f>
        <v/>
      </c>
      <c r="M347" s="325">
        <v>1</v>
      </c>
      <c r="N347" s="297" t="str">
        <f>IF(OR($O347=$M347,$O347=0,$O347=""),"","***")</f>
        <v/>
      </c>
      <c r="O347" s="2357"/>
      <c r="P347" s="1008"/>
      <c r="Q347" s="887" t="str">
        <f>IF(OR($O347=$M347,$O347=0,$O347=""),"","*CHECK!*")</f>
        <v/>
      </c>
      <c r="R347" s="979" t="s">
        <v>1806</v>
      </c>
    </row>
    <row r="348" spans="1:18" s="25" customFormat="1" ht="11.25" customHeight="1">
      <c r="B348" s="22" t="s">
        <v>2087</v>
      </c>
      <c r="D348" s="63"/>
      <c r="E348" s="53"/>
      <c r="F348" s="31"/>
      <c r="G348" s="31"/>
      <c r="H348" s="2475" t="s">
        <v>2088</v>
      </c>
      <c r="I348" s="2444"/>
      <c r="J348" s="2444"/>
      <c r="K348" s="2476"/>
      <c r="N348" s="363" t="s">
        <v>110</v>
      </c>
      <c r="O348" s="894" t="s">
        <v>437</v>
      </c>
      <c r="P348" s="894" t="s">
        <v>437</v>
      </c>
    </row>
    <row r="349" spans="1:18" s="77" customFormat="1" ht="10.5" customHeight="1">
      <c r="A349" s="93"/>
      <c r="B349" s="330" t="s">
        <v>379</v>
      </c>
      <c r="C349" s="328" t="s">
        <v>2089</v>
      </c>
      <c r="D349" s="93"/>
      <c r="E349" s="93"/>
      <c r="F349" s="93"/>
      <c r="G349" s="93"/>
      <c r="H349" s="93"/>
      <c r="I349" s="93"/>
      <c r="J349" s="93"/>
      <c r="K349" s="93"/>
      <c r="L349" s="93"/>
      <c r="M349" s="93"/>
      <c r="N349" s="330" t="s">
        <v>379</v>
      </c>
      <c r="O349" s="2313" t="s">
        <v>4691</v>
      </c>
      <c r="P349" s="425"/>
      <c r="Q349" s="93"/>
      <c r="R349" s="93"/>
    </row>
    <row r="350" spans="1:18" s="77" customFormat="1" ht="10.5" customHeight="1">
      <c r="A350" s="93"/>
      <c r="B350" s="330" t="s">
        <v>389</v>
      </c>
      <c r="C350" s="328" t="s">
        <v>2090</v>
      </c>
      <c r="D350" s="93"/>
      <c r="E350" s="93"/>
      <c r="F350" s="93"/>
      <c r="G350" s="93"/>
      <c r="H350" s="93"/>
      <c r="I350" s="93"/>
      <c r="J350" s="93"/>
      <c r="K350" s="93"/>
      <c r="L350" s="93"/>
      <c r="M350" s="93"/>
      <c r="N350" s="330" t="s">
        <v>389</v>
      </c>
      <c r="O350" s="2319" t="s">
        <v>4691</v>
      </c>
      <c r="P350" s="426"/>
      <c r="Q350" s="93"/>
      <c r="R350" s="93"/>
    </row>
    <row r="351" spans="1:18" s="77" customFormat="1" ht="10.5" customHeight="1">
      <c r="A351" s="93"/>
      <c r="B351" s="330" t="s">
        <v>393</v>
      </c>
      <c r="C351" s="328" t="s">
        <v>2091</v>
      </c>
      <c r="D351" s="93"/>
      <c r="E351" s="93"/>
      <c r="F351" s="93"/>
      <c r="G351" s="93"/>
      <c r="H351" s="93"/>
      <c r="I351" s="93"/>
      <c r="J351" s="93"/>
      <c r="K351" s="93"/>
      <c r="L351" s="93"/>
      <c r="M351" s="93"/>
      <c r="N351" s="330" t="s">
        <v>393</v>
      </c>
      <c r="O351" s="2312" t="s">
        <v>4691</v>
      </c>
      <c r="P351" s="427"/>
      <c r="Q351" s="93"/>
      <c r="R351" s="93"/>
    </row>
    <row r="352" spans="1:18" s="62" customFormat="1" ht="11.25" customHeight="1">
      <c r="A352" s="326"/>
      <c r="B352" s="131" t="s">
        <v>2092</v>
      </c>
      <c r="C352" s="326"/>
      <c r="D352" s="93"/>
      <c r="E352" s="93"/>
      <c r="F352" s="93"/>
      <c r="G352" s="93"/>
      <c r="H352" s="93"/>
      <c r="I352" s="93"/>
      <c r="J352" s="93"/>
      <c r="K352" s="93"/>
      <c r="L352" s="93"/>
      <c r="M352" s="93"/>
      <c r="N352" s="363"/>
      <c r="O352" s="363"/>
      <c r="P352" s="363"/>
      <c r="Q352" s="326"/>
      <c r="R352" s="326"/>
    </row>
    <row r="353" spans="1:19" s="62" customFormat="1" ht="2.25" customHeight="1" thickBot="1">
      <c r="A353" s="326"/>
      <c r="B353" s="131"/>
      <c r="C353" s="326"/>
      <c r="D353" s="93"/>
      <c r="E353" s="93"/>
      <c r="F353" s="93"/>
      <c r="G353" s="93"/>
      <c r="H353" s="93"/>
      <c r="I353" s="93"/>
      <c r="J353" s="93"/>
      <c r="K353" s="93"/>
      <c r="L353" s="93"/>
      <c r="M353" s="93"/>
      <c r="N353" s="363"/>
      <c r="O353" s="363"/>
      <c r="P353" s="363"/>
      <c r="Q353" s="326"/>
      <c r="R353" s="326"/>
      <c r="S353" s="326"/>
    </row>
    <row r="354" spans="1:19" ht="11.45" customHeight="1" thickBot="1">
      <c r="A354" s="97" t="s">
        <v>121</v>
      </c>
      <c r="B354" s="129" t="s">
        <v>2093</v>
      </c>
      <c r="D354" s="18"/>
      <c r="H354" s="2017" t="s">
        <v>2094</v>
      </c>
      <c r="I354" s="2017"/>
      <c r="J354" s="2017"/>
      <c r="K354" s="2017"/>
      <c r="L354" s="2017"/>
      <c r="M354" s="1515">
        <v>1</v>
      </c>
      <c r="N354" s="40" t="s">
        <v>121</v>
      </c>
      <c r="O354" s="2357"/>
      <c r="P354" s="1008"/>
      <c r="Q354" s="887" t="str">
        <f>IF(OR($O354=$M354,$O354=0,$O354=""),"","*CHECK!*")</f>
        <v/>
      </c>
      <c r="R354" s="979" t="s">
        <v>1806</v>
      </c>
    </row>
    <row r="355" spans="1:19" s="18" customFormat="1" ht="10.5" customHeight="1">
      <c r="B355" s="392" t="s">
        <v>2095</v>
      </c>
      <c r="E355" s="478"/>
      <c r="O355" s="2362" t="s">
        <v>21</v>
      </c>
      <c r="P355" s="429"/>
      <c r="Q355" s="124"/>
    </row>
    <row r="356" spans="1:19" s="18" customFormat="1" ht="10.5" customHeight="1">
      <c r="A356" s="404"/>
      <c r="B356" s="93" t="s">
        <v>2096</v>
      </c>
      <c r="C356" s="769" t="str">
        <f>'Part I-Project Information'!$F$38</f>
        <v>Ball Ground</v>
      </c>
      <c r="E356" s="93" t="s">
        <v>2097</v>
      </c>
      <c r="F356" s="769" t="str">
        <f>'Part I-Project Information'!$J$39</f>
        <v>Cherokee</v>
      </c>
      <c r="H356" s="328" t="s">
        <v>80</v>
      </c>
      <c r="I356" s="734" t="str">
        <f>'Part I-Project Information'!$N$39</f>
        <v>No</v>
      </c>
      <c r="K356" s="328" t="s">
        <v>2098</v>
      </c>
      <c r="L356" s="1996" t="str">
        <f>'Part I-Project Information'!$O$38</f>
        <v>0901.00</v>
      </c>
      <c r="M356" s="1996"/>
      <c r="N356" s="1996"/>
      <c r="O356" s="1996"/>
      <c r="P356" s="1996"/>
    </row>
    <row r="357" spans="1:19" s="63" customFormat="1" ht="10.5" customHeight="1" thickBot="1">
      <c r="A357" s="58"/>
      <c r="B357" s="1089" t="s">
        <v>1810</v>
      </c>
      <c r="C357" s="58"/>
      <c r="D357" s="71"/>
      <c r="E357" s="71"/>
      <c r="F357" s="71"/>
      <c r="G357" s="71"/>
      <c r="H357" s="20"/>
      <c r="I357" s="20"/>
      <c r="J357" s="20"/>
      <c r="K357" s="20"/>
      <c r="M357" s="45"/>
      <c r="N357" s="45"/>
      <c r="O357" s="3"/>
      <c r="P357" s="1523"/>
    </row>
    <row r="358" spans="1:19" s="25" customFormat="1" ht="21.75" customHeight="1" thickTop="1" thickBot="1">
      <c r="A358" s="2316" t="s">
        <v>4705</v>
      </c>
      <c r="B358" s="2317"/>
      <c r="C358" s="2317"/>
      <c r="D358" s="2317"/>
      <c r="E358" s="2317"/>
      <c r="F358" s="2317"/>
      <c r="G358" s="2317"/>
      <c r="H358" s="2317"/>
      <c r="I358" s="2317"/>
      <c r="J358" s="2317"/>
      <c r="K358" s="2317"/>
      <c r="L358" s="2317"/>
      <c r="M358" s="2317"/>
      <c r="N358" s="2317"/>
      <c r="O358" s="2317"/>
      <c r="P358" s="2318"/>
      <c r="Q358" s="961" t="s">
        <v>1275</v>
      </c>
    </row>
    <row r="359" spans="1:19" s="63" customFormat="1" ht="10.5" customHeight="1" thickTop="1">
      <c r="A359" s="58"/>
      <c r="B359" s="60" t="s">
        <v>1276</v>
      </c>
      <c r="C359" s="58"/>
      <c r="D359" s="60"/>
      <c r="E359" s="1535"/>
      <c r="F359" s="1535"/>
      <c r="G359" s="1535"/>
      <c r="H359" s="1535"/>
      <c r="I359" s="1535"/>
      <c r="J359" s="1535"/>
      <c r="K359" s="1535"/>
      <c r="L359" s="1535"/>
      <c r="M359" s="1535"/>
      <c r="N359" s="1344"/>
      <c r="O359" s="747"/>
      <c r="P359" s="1523"/>
      <c r="Q359" s="322"/>
    </row>
    <row r="360" spans="1:19" s="25" customFormat="1" ht="11.25" customHeight="1">
      <c r="A360" s="1835"/>
      <c r="B360" s="1836"/>
      <c r="C360" s="1836"/>
      <c r="D360" s="1836"/>
      <c r="E360" s="1836"/>
      <c r="F360" s="1836"/>
      <c r="G360" s="1836"/>
      <c r="H360" s="1836"/>
      <c r="I360" s="1836"/>
      <c r="J360" s="1836"/>
      <c r="K360" s="1836"/>
      <c r="L360" s="1836"/>
      <c r="M360" s="1836"/>
      <c r="N360" s="1836"/>
      <c r="O360" s="1836"/>
      <c r="P360" s="1837"/>
      <c r="Q360" s="341"/>
    </row>
    <row r="361" spans="1:19" ht="3" customHeight="1" thickBot="1">
      <c r="N361" s="79"/>
    </row>
    <row r="362" spans="1:19" s="25" customFormat="1" ht="12.75" customHeight="1" thickBot="1">
      <c r="A362" s="107" t="s">
        <v>1486</v>
      </c>
      <c r="B362" s="66" t="s">
        <v>2099</v>
      </c>
      <c r="D362" s="53"/>
      <c r="E362" s="53"/>
      <c r="F362" s="31"/>
      <c r="G362" s="31"/>
      <c r="H362" s="117" t="s">
        <v>1815</v>
      </c>
      <c r="J362" s="408" t="str">
        <f>'Part I-Project Information'!$H$100</f>
        <v>Rural</v>
      </c>
      <c r="L362" s="280" t="str">
        <f>IF(OR($O362=$M362,$O362=$M369,$O362=$M387,$O362=0,$O362=""),"","* * Check Score! * *")</f>
        <v/>
      </c>
      <c r="M362" s="3">
        <v>4</v>
      </c>
      <c r="N362" s="45"/>
      <c r="O362" s="1023">
        <f>O369+O387</f>
        <v>0</v>
      </c>
      <c r="P362" s="1023">
        <f>P369+P387</f>
        <v>0</v>
      </c>
      <c r="Q362" s="70" t="s">
        <v>834</v>
      </c>
    </row>
    <row r="363" spans="1:19" s="25" customFormat="1" ht="10.5" customHeight="1">
      <c r="A363" s="58"/>
      <c r="B363" s="74" t="s">
        <v>2100</v>
      </c>
      <c r="E363" s="53"/>
      <c r="F363" s="31"/>
      <c r="G363" s="31"/>
      <c r="H363" s="31"/>
      <c r="I363" s="31"/>
      <c r="J363" s="32"/>
      <c r="K363" s="1534"/>
      <c r="L363" s="34"/>
      <c r="O363" s="1528" t="s">
        <v>437</v>
      </c>
      <c r="P363" s="1528" t="s">
        <v>437</v>
      </c>
    </row>
    <row r="364" spans="1:19" s="62" customFormat="1" ht="10.5" customHeight="1">
      <c r="A364" s="326"/>
      <c r="B364" s="289" t="s">
        <v>1359</v>
      </c>
      <c r="C364" s="326" t="s">
        <v>2101</v>
      </c>
      <c r="D364" s="326"/>
      <c r="E364" s="53"/>
      <c r="F364" s="31"/>
      <c r="G364" s="31"/>
      <c r="H364" s="31"/>
      <c r="I364" s="31"/>
      <c r="J364" s="32"/>
      <c r="K364" s="1534"/>
      <c r="L364" s="2018" t="str">
        <f>IF(OR(O364="No",O364="",O365="No",O365="",O366="No",O366="",O367="No",O367=""),"Unmet criterion results in no points!","")</f>
        <v/>
      </c>
      <c r="M364" s="2018"/>
      <c r="N364" s="289" t="s">
        <v>1359</v>
      </c>
      <c r="O364" s="2313" t="s">
        <v>4691</v>
      </c>
      <c r="P364" s="425"/>
      <c r="Q364" s="326"/>
      <c r="R364" s="2016" t="str">
        <f>IF(OR(P364="No",P364="",P365="No",P365="",P366="No",P366="",P367="No",P367=""),"Unmet criterion results in no points!","")</f>
        <v>Unmet criterion results in no points!</v>
      </c>
      <c r="S364" s="2016" t="e">
        <f>IF(OR(V364="No",V364="",V365="No",V365="",V366="No",V366="",V367="No",V367="",#REF!="No",#REF!="",#REF!="No",#REF!=""),"Unmet criterion results in no points!","")</f>
        <v>#REF!</v>
      </c>
    </row>
    <row r="365" spans="1:19" s="62" customFormat="1" ht="10.5" customHeight="1">
      <c r="A365" s="326"/>
      <c r="B365" s="899" t="s">
        <v>1361</v>
      </c>
      <c r="C365" s="326" t="s">
        <v>2102</v>
      </c>
      <c r="D365" s="326"/>
      <c r="E365" s="326"/>
      <c r="F365" s="326"/>
      <c r="G365" s="326"/>
      <c r="H365" s="326"/>
      <c r="I365" s="326"/>
      <c r="J365" s="326"/>
      <c r="K365" s="326"/>
      <c r="L365" s="2018"/>
      <c r="M365" s="2018"/>
      <c r="N365" s="899" t="s">
        <v>1361</v>
      </c>
      <c r="O365" s="2319" t="s">
        <v>4691</v>
      </c>
      <c r="P365" s="426"/>
      <c r="Q365" s="326"/>
      <c r="R365" s="2016"/>
      <c r="S365" s="2016"/>
    </row>
    <row r="366" spans="1:19" s="62" customFormat="1" ht="10.5" customHeight="1">
      <c r="A366" s="326"/>
      <c r="B366" s="289" t="s">
        <v>1363</v>
      </c>
      <c r="C366" s="326" t="s">
        <v>2103</v>
      </c>
      <c r="D366" s="326"/>
      <c r="E366" s="326"/>
      <c r="F366" s="326"/>
      <c r="G366" s="326"/>
      <c r="H366" s="326"/>
      <c r="I366" s="326"/>
      <c r="J366" s="326"/>
      <c r="K366" s="326"/>
      <c r="L366" s="2018"/>
      <c r="M366" s="2018"/>
      <c r="N366" s="289" t="s">
        <v>1363</v>
      </c>
      <c r="O366" s="2319" t="s">
        <v>4691</v>
      </c>
      <c r="P366" s="426"/>
      <c r="Q366" s="326"/>
      <c r="R366" s="2016"/>
      <c r="S366" s="2016"/>
    </row>
    <row r="367" spans="1:19" s="62" customFormat="1" ht="29.25" customHeight="1">
      <c r="A367" s="326"/>
      <c r="B367" s="899" t="s">
        <v>1921</v>
      </c>
      <c r="C367" s="1953" t="s">
        <v>2104</v>
      </c>
      <c r="D367" s="1953"/>
      <c r="E367" s="1953"/>
      <c r="F367" s="1953"/>
      <c r="G367" s="1953"/>
      <c r="H367" s="1953"/>
      <c r="I367" s="1953"/>
      <c r="J367" s="1953"/>
      <c r="K367" s="1953"/>
      <c r="L367" s="1953"/>
      <c r="M367" s="1953"/>
      <c r="N367" s="899" t="s">
        <v>1921</v>
      </c>
      <c r="O367" s="2477" t="s">
        <v>4691</v>
      </c>
      <c r="P367" s="1051"/>
      <c r="Q367" s="326"/>
      <c r="R367" s="326"/>
      <c r="S367" s="326"/>
    </row>
    <row r="368" spans="1:19" ht="3" customHeight="1">
      <c r="C368" s="1953"/>
      <c r="D368" s="1953"/>
      <c r="E368" s="1953"/>
      <c r="F368" s="1953"/>
      <c r="G368" s="1953"/>
      <c r="H368" s="1953"/>
      <c r="I368" s="1953"/>
      <c r="J368" s="1953"/>
      <c r="K368" s="1953"/>
      <c r="L368" s="1953"/>
      <c r="M368" s="1953"/>
      <c r="N368" s="79"/>
    </row>
    <row r="369" spans="1:18" ht="11.25" customHeight="1">
      <c r="A369" s="913" t="s">
        <v>110</v>
      </c>
      <c r="B369" s="129" t="s">
        <v>2105</v>
      </c>
      <c r="L369" s="280" t="str">
        <f>IF(OR($O369=$M369,$O369=0,$O369=""),"","* * Check Score! * *")</f>
        <v/>
      </c>
      <c r="M369" s="1515">
        <v>3</v>
      </c>
      <c r="N369" s="363" t="s">
        <v>110</v>
      </c>
      <c r="O369" s="2347"/>
      <c r="P369" s="1409"/>
      <c r="Q369" s="887" t="str">
        <f>IF(OR($O369=$M369,$O369=0,$O369=""),"","*CHECK!*")</f>
        <v/>
      </c>
      <c r="R369" s="979" t="s">
        <v>1806</v>
      </c>
    </row>
    <row r="370" spans="1:18" ht="22.5" customHeight="1">
      <c r="A370" s="913"/>
      <c r="B370" s="336" t="s">
        <v>379</v>
      </c>
      <c r="C370" s="1987" t="s">
        <v>2106</v>
      </c>
      <c r="D370" s="1987"/>
      <c r="E370" s="1987"/>
      <c r="F370" s="1987"/>
      <c r="G370" s="1987"/>
      <c r="H370" s="1987"/>
      <c r="I370" s="1987"/>
      <c r="J370" s="1964" t="s">
        <v>564</v>
      </c>
      <c r="K370" s="1964"/>
      <c r="M370" s="1964" t="s">
        <v>564</v>
      </c>
      <c r="N370" s="1964"/>
      <c r="O370" s="1964"/>
      <c r="P370" s="1964"/>
    </row>
    <row r="371" spans="1:18" s="25" customFormat="1" ht="10.5" customHeight="1">
      <c r="A371" s="127"/>
      <c r="B371" s="289" t="s">
        <v>1359</v>
      </c>
      <c r="C371" s="20" t="s">
        <v>2107</v>
      </c>
      <c r="I371" s="289" t="s">
        <v>1359</v>
      </c>
      <c r="J371" s="2478"/>
      <c r="K371" s="2479"/>
      <c r="L371" s="289" t="s">
        <v>1359</v>
      </c>
      <c r="M371" s="2027"/>
      <c r="N371" s="2028"/>
      <c r="O371" s="2028"/>
      <c r="P371" s="2029"/>
      <c r="R371" s="280"/>
    </row>
    <row r="372" spans="1:18" ht="10.5" customHeight="1">
      <c r="A372" s="128"/>
      <c r="B372" s="899" t="s">
        <v>1361</v>
      </c>
      <c r="C372" s="20" t="s">
        <v>2108</v>
      </c>
      <c r="I372" s="899" t="s">
        <v>1361</v>
      </c>
      <c r="J372" s="2480"/>
      <c r="K372" s="2481"/>
      <c r="L372" s="899" t="s">
        <v>1361</v>
      </c>
      <c r="M372" s="1974"/>
      <c r="N372" s="1975"/>
      <c r="O372" s="1975"/>
      <c r="P372" s="1976"/>
      <c r="R372" s="280"/>
    </row>
    <row r="373" spans="1:18" ht="10.5" customHeight="1">
      <c r="B373" s="289" t="s">
        <v>1363</v>
      </c>
      <c r="C373" s="20" t="s">
        <v>2109</v>
      </c>
      <c r="I373" s="289" t="s">
        <v>1363</v>
      </c>
      <c r="J373" s="2480"/>
      <c r="K373" s="2481"/>
      <c r="L373" s="289" t="s">
        <v>1363</v>
      </c>
      <c r="M373" s="1974"/>
      <c r="N373" s="1975"/>
      <c r="O373" s="1975"/>
      <c r="P373" s="1976"/>
      <c r="R373" s="280"/>
    </row>
    <row r="374" spans="1:18" ht="10.5" customHeight="1">
      <c r="A374" s="128"/>
      <c r="B374" s="289" t="s">
        <v>1921</v>
      </c>
      <c r="C374" s="20" t="s">
        <v>2110</v>
      </c>
      <c r="I374" s="289" t="s">
        <v>1921</v>
      </c>
      <c r="J374" s="2480"/>
      <c r="K374" s="2481"/>
      <c r="L374" s="289" t="s">
        <v>1921</v>
      </c>
      <c r="M374" s="1974"/>
      <c r="N374" s="1975"/>
      <c r="O374" s="1975"/>
      <c r="P374" s="1976"/>
      <c r="R374" s="280"/>
    </row>
    <row r="375" spans="1:18" s="25" customFormat="1" ht="10.5" customHeight="1">
      <c r="A375" s="127"/>
      <c r="B375" s="899" t="s">
        <v>1922</v>
      </c>
      <c r="C375" s="20" t="s">
        <v>2111</v>
      </c>
      <c r="I375" s="899" t="s">
        <v>1922</v>
      </c>
      <c r="J375" s="2480"/>
      <c r="K375" s="2481"/>
      <c r="L375" s="899" t="s">
        <v>1922</v>
      </c>
      <c r="M375" s="1974"/>
      <c r="N375" s="1975"/>
      <c r="O375" s="1975"/>
      <c r="P375" s="1976"/>
      <c r="R375" s="280"/>
    </row>
    <row r="376" spans="1:18" ht="10.5" customHeight="1">
      <c r="B376" s="289" t="s">
        <v>1924</v>
      </c>
      <c r="C376" s="20" t="s">
        <v>2112</v>
      </c>
      <c r="I376" s="289" t="s">
        <v>1924</v>
      </c>
      <c r="J376" s="2480"/>
      <c r="K376" s="2481"/>
      <c r="L376" s="289" t="s">
        <v>1924</v>
      </c>
      <c r="M376" s="1974"/>
      <c r="N376" s="1975"/>
      <c r="O376" s="1975"/>
      <c r="P376" s="1976"/>
      <c r="R376" s="280"/>
    </row>
    <row r="377" spans="1:18" ht="10.5" customHeight="1">
      <c r="A377" s="128"/>
      <c r="B377" s="289" t="s">
        <v>1958</v>
      </c>
      <c r="C377" s="20" t="s">
        <v>552</v>
      </c>
      <c r="I377" s="289" t="s">
        <v>1958</v>
      </c>
      <c r="J377" s="2480"/>
      <c r="K377" s="2481"/>
      <c r="L377" s="289" t="s">
        <v>1958</v>
      </c>
      <c r="M377" s="1974"/>
      <c r="N377" s="1975"/>
      <c r="O377" s="1975"/>
      <c r="P377" s="1976"/>
      <c r="R377" s="280"/>
    </row>
    <row r="378" spans="1:18" ht="10.5" customHeight="1">
      <c r="A378" s="128"/>
      <c r="B378" s="289" t="s">
        <v>1962</v>
      </c>
      <c r="C378" s="20" t="s">
        <v>2113</v>
      </c>
      <c r="I378" s="289" t="s">
        <v>1962</v>
      </c>
      <c r="J378" s="2480"/>
      <c r="K378" s="2481"/>
      <c r="L378" s="289" t="s">
        <v>1962</v>
      </c>
      <c r="M378" s="1974"/>
      <c r="N378" s="1975"/>
      <c r="O378" s="1975"/>
      <c r="P378" s="1976"/>
      <c r="R378" s="280"/>
    </row>
    <row r="379" spans="1:18" ht="10.5" customHeight="1">
      <c r="B379" s="289" t="s">
        <v>2114</v>
      </c>
      <c r="C379" s="20" t="s">
        <v>2115</v>
      </c>
      <c r="I379" s="289" t="s">
        <v>2114</v>
      </c>
      <c r="J379" s="2480"/>
      <c r="K379" s="2481"/>
      <c r="L379" s="289" t="s">
        <v>2114</v>
      </c>
      <c r="M379" s="1974"/>
      <c r="N379" s="1975"/>
      <c r="O379" s="1975"/>
      <c r="P379" s="1976"/>
      <c r="R379" s="280"/>
    </row>
    <row r="380" spans="1:18" ht="10.5" customHeight="1" thickBot="1">
      <c r="B380" s="289" t="s">
        <v>2116</v>
      </c>
      <c r="C380" s="20" t="s">
        <v>2117</v>
      </c>
      <c r="I380" s="289" t="s">
        <v>2116</v>
      </c>
      <c r="J380" s="2480"/>
      <c r="K380" s="2481"/>
      <c r="L380" s="289" t="s">
        <v>2116</v>
      </c>
      <c r="M380" s="1965"/>
      <c r="N380" s="1966"/>
      <c r="O380" s="1966"/>
      <c r="P380" s="1967"/>
      <c r="R380" s="280"/>
    </row>
    <row r="381" spans="1:18" ht="10.5" customHeight="1" thickBot="1">
      <c r="A381" s="128"/>
      <c r="B381" s="1059" t="s">
        <v>2118</v>
      </c>
      <c r="H381" s="1088" t="s">
        <v>2119</v>
      </c>
      <c r="J381" s="1968">
        <f>SUM(J371:K380)</f>
        <v>0</v>
      </c>
      <c r="K381" s="1969"/>
      <c r="M381" s="1968">
        <f>SUM($M371:$M380)</f>
        <v>0</v>
      </c>
      <c r="N381" s="1970"/>
      <c r="O381" s="1970"/>
      <c r="P381" s="1969"/>
      <c r="R381" s="280"/>
    </row>
    <row r="382" spans="1:18" s="25" customFormat="1" ht="3" customHeight="1">
      <c r="A382" s="58"/>
      <c r="D382" s="20"/>
      <c r="E382" s="20"/>
      <c r="F382" s="761"/>
      <c r="G382" s="440"/>
      <c r="H382" s="190"/>
      <c r="J382" s="400"/>
      <c r="K382" s="400"/>
      <c r="L382" s="440"/>
      <c r="M382" s="400"/>
      <c r="N382" s="400"/>
      <c r="O382" s="999"/>
      <c r="P382" s="400"/>
    </row>
    <row r="383" spans="1:18" ht="10.5" customHeight="1">
      <c r="B383" s="913" t="s">
        <v>389</v>
      </c>
      <c r="C383" s="410" t="s">
        <v>2120</v>
      </c>
      <c r="E383" s="328" t="s">
        <v>1984</v>
      </c>
      <c r="H383" s="2482"/>
      <c r="I383" s="1007"/>
      <c r="J383" s="2004">
        <f>'Part IV-A-Uses of Funds'!$G$132</f>
        <v>13885091</v>
      </c>
      <c r="K383" s="2005"/>
      <c r="M383" s="400"/>
      <c r="N383" s="400"/>
      <c r="O383" s="111"/>
      <c r="P383" s="400"/>
    </row>
    <row r="384" spans="1:18" ht="10.5" customHeight="1">
      <c r="A384" s="1971" t="s">
        <v>2121</v>
      </c>
      <c r="B384" s="1971"/>
      <c r="C384" s="1971"/>
      <c r="D384" s="1971"/>
      <c r="E384" s="333" t="s">
        <v>2122</v>
      </c>
      <c r="H384" s="2483"/>
      <c r="I384" s="1007"/>
      <c r="J384" s="2006">
        <f>IF($J383=0,0,$J381/$J383)</f>
        <v>0</v>
      </c>
      <c r="K384" s="2007"/>
      <c r="M384" s="2008">
        <f>IF($J383=0,0,$M381/$J383)</f>
        <v>0</v>
      </c>
      <c r="N384" s="2009"/>
      <c r="O384" s="2009"/>
      <c r="P384" s="2010"/>
    </row>
    <row r="385" spans="1:23" s="25" customFormat="1" ht="10.5" customHeight="1">
      <c r="A385" s="1971"/>
      <c r="B385" s="1971"/>
      <c r="C385" s="1971"/>
      <c r="D385" s="1971"/>
      <c r="E385" s="947" t="s">
        <v>2123</v>
      </c>
      <c r="H385" s="2484"/>
      <c r="I385" s="1007"/>
      <c r="J385" s="1972">
        <f>IF(L364="", IF($J384&gt;=0.1, 3,IF($J384&gt;=0.05, 2,IF($J384&gt;=0.02,1,0))),0)</f>
        <v>0</v>
      </c>
      <c r="K385" s="1973"/>
      <c r="L385" s="408"/>
      <c r="M385" s="1972">
        <f>IF(R364="", IF($M384&gt;=0.1, 3,IF($M384&gt;=0.05, 2,IF($M384&gt;=0.02,1,0))),0)</f>
        <v>0</v>
      </c>
      <c r="N385" s="2031"/>
      <c r="O385" s="2031"/>
      <c r="P385" s="1973"/>
    </row>
    <row r="386" spans="1:23" ht="3" customHeight="1" thickBot="1">
      <c r="N386" s="79"/>
    </row>
    <row r="387" spans="1:23" s="63" customFormat="1" ht="12.75" customHeight="1" thickBot="1">
      <c r="A387" s="97" t="s">
        <v>121</v>
      </c>
      <c r="B387" s="131" t="s">
        <v>2124</v>
      </c>
      <c r="D387" s="20"/>
      <c r="E387" s="20"/>
      <c r="F387" s="761"/>
      <c r="H387" s="20"/>
      <c r="I387" s="761"/>
      <c r="J387" s="772"/>
      <c r="K387" s="772"/>
      <c r="L387" s="280" t="str">
        <f>IF(OR($O387=$M387,$O387=0,$O387=""),"","* * Check Score! * *")</f>
        <v/>
      </c>
      <c r="M387" s="485">
        <v>1</v>
      </c>
      <c r="N387" s="40" t="s">
        <v>121</v>
      </c>
      <c r="O387" s="2357"/>
      <c r="P387" s="1008"/>
      <c r="Q387" s="70" t="s">
        <v>834</v>
      </c>
      <c r="R387" s="979" t="s">
        <v>1806</v>
      </c>
      <c r="V387" s="956"/>
      <c r="W387" s="956"/>
    </row>
    <row r="388" spans="1:23" s="25" customFormat="1" ht="22.5" customHeight="1">
      <c r="A388" s="97"/>
      <c r="B388" s="899" t="s">
        <v>1359</v>
      </c>
      <c r="C388" s="1833" t="s">
        <v>2125</v>
      </c>
      <c r="D388" s="1833"/>
      <c r="E388" s="1833"/>
      <c r="F388" s="1833"/>
      <c r="G388" s="1833"/>
      <c r="H388" s="1833"/>
      <c r="I388" s="1833"/>
      <c r="J388" s="1833"/>
      <c r="K388" s="1833"/>
      <c r="L388" s="1833"/>
      <c r="M388" s="1833"/>
      <c r="N388" s="899" t="s">
        <v>1359</v>
      </c>
      <c r="O388" s="2485" t="s">
        <v>4691</v>
      </c>
      <c r="P388" s="1022"/>
      <c r="V388" s="956"/>
      <c r="W388" s="956"/>
    </row>
    <row r="389" spans="1:23" s="25" customFormat="1" ht="10.5" customHeight="1">
      <c r="A389" s="97"/>
      <c r="B389" s="289" t="s">
        <v>1361</v>
      </c>
      <c r="C389" s="31" t="s">
        <v>2126</v>
      </c>
      <c r="D389" s="31"/>
      <c r="E389" s="31"/>
      <c r="F389" s="31"/>
      <c r="G389" s="31"/>
      <c r="H389" s="31"/>
      <c r="I389" s="31"/>
      <c r="J389" s="31"/>
      <c r="K389" s="31"/>
      <c r="M389" s="31"/>
      <c r="N389" s="899" t="s">
        <v>1361</v>
      </c>
      <c r="O389" s="2312" t="s">
        <v>4691</v>
      </c>
      <c r="P389" s="427"/>
      <c r="V389" s="956"/>
      <c r="W389" s="956"/>
    </row>
    <row r="390" spans="1:23" ht="10.5" customHeight="1">
      <c r="B390" s="289" t="s">
        <v>1363</v>
      </c>
      <c r="C390" s="326" t="s">
        <v>2127</v>
      </c>
      <c r="N390" s="289" t="s">
        <v>1363</v>
      </c>
      <c r="O390" s="2312" t="s">
        <v>4691</v>
      </c>
      <c r="P390" s="427"/>
    </row>
    <row r="391" spans="1:23" ht="12" customHeight="1" thickBot="1">
      <c r="B391" s="1089" t="s">
        <v>1810</v>
      </c>
      <c r="N391" s="79"/>
    </row>
    <row r="392" spans="1:23" s="25" customFormat="1" ht="27" customHeight="1" thickTop="1" thickBot="1">
      <c r="A392" s="2316" t="s">
        <v>4706</v>
      </c>
      <c r="B392" s="2317"/>
      <c r="C392" s="2317"/>
      <c r="D392" s="2317"/>
      <c r="E392" s="2317"/>
      <c r="F392" s="2317"/>
      <c r="G392" s="2317"/>
      <c r="H392" s="2317"/>
      <c r="I392" s="2317"/>
      <c r="J392" s="2317"/>
      <c r="K392" s="2317"/>
      <c r="L392" s="2317"/>
      <c r="M392" s="2317"/>
      <c r="N392" s="2317"/>
      <c r="O392" s="2317"/>
      <c r="P392" s="2318"/>
      <c r="Q392" s="961" t="s">
        <v>1275</v>
      </c>
    </row>
    <row r="393" spans="1:23" s="63" customFormat="1" ht="11.25" customHeight="1" thickTop="1">
      <c r="A393" s="58"/>
      <c r="B393" s="402" t="s">
        <v>1276</v>
      </c>
      <c r="C393" s="1182"/>
      <c r="D393" s="60"/>
      <c r="E393" s="1547"/>
      <c r="F393" s="1535"/>
      <c r="G393" s="1535"/>
      <c r="H393" s="1535"/>
      <c r="I393" s="1535"/>
      <c r="J393" s="1535"/>
      <c r="K393" s="1535"/>
      <c r="L393" s="1535"/>
      <c r="M393" s="1535"/>
      <c r="N393" s="1344"/>
      <c r="O393" s="747"/>
      <c r="P393" s="1523"/>
      <c r="Q393" s="322"/>
    </row>
    <row r="394" spans="1:23" s="25" customFormat="1" ht="11.25" customHeight="1">
      <c r="A394" s="1835"/>
      <c r="B394" s="1836"/>
      <c r="C394" s="1836"/>
      <c r="D394" s="1836"/>
      <c r="E394" s="1836"/>
      <c r="F394" s="1836"/>
      <c r="G394" s="1836"/>
      <c r="H394" s="1836"/>
      <c r="I394" s="1836"/>
      <c r="J394" s="1836"/>
      <c r="K394" s="1836"/>
      <c r="L394" s="1836"/>
      <c r="M394" s="1836"/>
      <c r="N394" s="1836"/>
      <c r="O394" s="1836"/>
      <c r="P394" s="1837"/>
      <c r="Q394" s="341"/>
    </row>
    <row r="395" spans="1:23" s="25" customFormat="1" ht="3" customHeight="1" thickBot="1">
      <c r="A395" s="58"/>
      <c r="B395" s="58"/>
      <c r="C395" s="1532"/>
      <c r="D395" s="1532"/>
      <c r="E395" s="1532"/>
      <c r="F395" s="1532"/>
      <c r="G395" s="1532"/>
      <c r="H395" s="1532"/>
      <c r="I395" s="1532"/>
      <c r="J395" s="1532"/>
      <c r="K395" s="1532"/>
      <c r="L395" s="1532"/>
      <c r="M395" s="1532"/>
      <c r="N395" s="1343"/>
      <c r="O395" s="44"/>
      <c r="P395" s="761"/>
    </row>
    <row r="396" spans="1:23" s="25" customFormat="1" ht="12.75" customHeight="1" thickBot="1">
      <c r="A396" s="108" t="s">
        <v>1517</v>
      </c>
      <c r="C396" s="67" t="s">
        <v>2128</v>
      </c>
      <c r="D396" s="35"/>
      <c r="E396" s="31"/>
      <c r="J396" s="37"/>
      <c r="M396" s="1523">
        <v>3</v>
      </c>
      <c r="N396" s="45"/>
      <c r="O396" s="981">
        <f>MIN($M396,O397+O405)</f>
        <v>2</v>
      </c>
      <c r="P396" s="1021">
        <f>MIN($M396,P397+P405)</f>
        <v>0</v>
      </c>
      <c r="Q396" s="70" t="s">
        <v>834</v>
      </c>
    </row>
    <row r="397" spans="1:23" s="25" customFormat="1" ht="12" customHeight="1">
      <c r="A397" s="97" t="s">
        <v>110</v>
      </c>
      <c r="B397" s="117" t="s">
        <v>2129</v>
      </c>
      <c r="D397" s="18"/>
      <c r="E397" s="18"/>
      <c r="F397" s="18"/>
      <c r="J397" s="1092" t="s">
        <v>2130</v>
      </c>
      <c r="K397" s="1093"/>
      <c r="L397" s="1423">
        <f>'Part VI-Revenues &amp; Expenses'!$O$62*0.1</f>
        <v>7.4</v>
      </c>
      <c r="M397" s="45">
        <v>2</v>
      </c>
      <c r="N397" s="363" t="s">
        <v>110</v>
      </c>
      <c r="O397" s="1020">
        <f>IF(AND($M$398="",O398="Agree",O401="Yes",O402="Yes",O403="Yes"),$M$397,0)</f>
        <v>2</v>
      </c>
      <c r="P397" s="1020">
        <f>IF(AND(P398="Agree",P401="Yes",P402="Yes",P403="Yes"),$M$397,0)</f>
        <v>0</v>
      </c>
      <c r="Q397" s="290"/>
      <c r="R397" s="70"/>
    </row>
    <row r="398" spans="1:23" s="309" customFormat="1" ht="11.25" customHeight="1">
      <c r="A398" s="101"/>
      <c r="B398" s="336" t="s">
        <v>379</v>
      </c>
      <c r="C398" s="1834" t="s">
        <v>2131</v>
      </c>
      <c r="D398" s="1834"/>
      <c r="E398" s="1834"/>
      <c r="F398" s="1834"/>
      <c r="G398" s="1834"/>
      <c r="H398" s="1834"/>
      <c r="I398" s="1834"/>
      <c r="J398" s="1094" t="s">
        <v>2132</v>
      </c>
      <c r="K398" s="1090"/>
      <c r="L398" s="915">
        <f>'Part VI-Revenues &amp; Expenses'!$O$58</f>
        <v>63</v>
      </c>
      <c r="M398" s="2030" t="str">
        <f>IF(L400&lt;L399,"Check 1BR LI count!","")</f>
        <v/>
      </c>
      <c r="N398" s="291" t="s">
        <v>379</v>
      </c>
      <c r="O398" s="2450" t="s">
        <v>4621</v>
      </c>
      <c r="P398" s="1415"/>
      <c r="Q398" s="411"/>
      <c r="R398" s="406"/>
    </row>
    <row r="399" spans="1:23" s="309" customFormat="1" ht="11.25" customHeight="1">
      <c r="A399" s="101"/>
      <c r="B399" s="336"/>
      <c r="C399" s="1834"/>
      <c r="D399" s="1834"/>
      <c r="E399" s="1834"/>
      <c r="F399" s="1834"/>
      <c r="G399" s="1834"/>
      <c r="H399" s="1834"/>
      <c r="I399" s="1834"/>
      <c r="J399" s="1094" t="s">
        <v>2133</v>
      </c>
      <c r="K399" s="1091"/>
      <c r="L399" s="916">
        <f>L398*0.1</f>
        <v>6.3000000000000007</v>
      </c>
      <c r="M399" s="2030"/>
      <c r="N399" s="291"/>
      <c r="O399" s="291"/>
      <c r="P399" s="291"/>
      <c r="Q399" s="411"/>
      <c r="R399" s="406"/>
    </row>
    <row r="400" spans="1:23" s="309" customFormat="1" ht="11.25" customHeight="1">
      <c r="A400" s="101"/>
      <c r="B400" s="336"/>
      <c r="C400" s="1834"/>
      <c r="D400" s="1834"/>
      <c r="E400" s="1834"/>
      <c r="F400" s="1834"/>
      <c r="G400" s="1834"/>
      <c r="H400" s="1834"/>
      <c r="I400" s="1834"/>
      <c r="J400" s="1095" t="s">
        <v>2134</v>
      </c>
      <c r="K400" s="1096"/>
      <c r="L400" s="917">
        <f>'Part VI-Revenues &amp; Expenses'!$K$58</f>
        <v>12</v>
      </c>
      <c r="M400" s="2030"/>
      <c r="N400" s="291"/>
      <c r="O400" s="291"/>
      <c r="P400" s="291"/>
      <c r="Q400" s="411"/>
      <c r="R400" s="406"/>
    </row>
    <row r="401" spans="1:18" s="331" customFormat="1" ht="11.25" customHeight="1">
      <c r="A401" s="419"/>
      <c r="B401" s="336" t="s">
        <v>389</v>
      </c>
      <c r="C401" s="2011" t="s">
        <v>2135</v>
      </c>
      <c r="D401" s="2011"/>
      <c r="E401" s="2011"/>
      <c r="F401" s="2011"/>
      <c r="G401" s="2011"/>
      <c r="H401" s="2011"/>
      <c r="I401" s="2011"/>
      <c r="J401" s="2011"/>
      <c r="K401" s="2011"/>
      <c r="L401" s="2011"/>
      <c r="M401" s="2011"/>
      <c r="N401" s="291" t="s">
        <v>389</v>
      </c>
      <c r="O401" s="2313" t="s">
        <v>22</v>
      </c>
      <c r="P401" s="425"/>
      <c r="Q401" s="893"/>
      <c r="R401" s="893"/>
    </row>
    <row r="402" spans="1:18" s="331" customFormat="1" ht="11.25" customHeight="1">
      <c r="A402" s="419"/>
      <c r="B402" s="336" t="s">
        <v>393</v>
      </c>
      <c r="C402" s="292" t="s">
        <v>2136</v>
      </c>
      <c r="D402" s="292"/>
      <c r="E402" s="292"/>
      <c r="F402" s="292"/>
      <c r="G402" s="292"/>
      <c r="H402" s="292"/>
      <c r="I402" s="292"/>
      <c r="J402" s="292"/>
      <c r="K402" s="292"/>
      <c r="L402" s="292"/>
      <c r="M402" s="292"/>
      <c r="N402" s="291" t="s">
        <v>393</v>
      </c>
      <c r="O402" s="2319" t="s">
        <v>22</v>
      </c>
      <c r="P402" s="426"/>
      <c r="Q402" s="893"/>
      <c r="R402" s="893"/>
    </row>
    <row r="403" spans="1:18" s="331" customFormat="1" ht="11.25" customHeight="1">
      <c r="A403" s="419"/>
      <c r="B403" s="336" t="s">
        <v>445</v>
      </c>
      <c r="C403" s="2011" t="s">
        <v>2137</v>
      </c>
      <c r="D403" s="2011"/>
      <c r="E403" s="2011"/>
      <c r="F403" s="2011"/>
      <c r="G403" s="2011"/>
      <c r="H403" s="2011"/>
      <c r="I403" s="2011"/>
      <c r="J403" s="2011"/>
      <c r="K403" s="2011"/>
      <c r="L403" s="2011"/>
      <c r="M403" s="2011"/>
      <c r="N403" s="291" t="s">
        <v>445</v>
      </c>
      <c r="O403" s="2312" t="s">
        <v>22</v>
      </c>
      <c r="P403" s="427"/>
      <c r="Q403" s="893"/>
      <c r="R403" s="893"/>
    </row>
    <row r="404" spans="1:18" s="331" customFormat="1" ht="3" customHeight="1">
      <c r="A404" s="893"/>
      <c r="B404" s="377"/>
      <c r="C404" s="1544"/>
      <c r="D404" s="1544"/>
      <c r="E404" s="1544"/>
      <c r="F404" s="1544"/>
      <c r="G404" s="1544"/>
      <c r="H404" s="1544"/>
      <c r="I404" s="893"/>
      <c r="J404" s="893"/>
      <c r="K404" s="893"/>
      <c r="L404" s="893"/>
      <c r="M404" s="1544"/>
      <c r="N404" s="1544"/>
      <c r="O404" s="1544"/>
      <c r="P404" s="1544"/>
      <c r="Q404" s="893"/>
      <c r="R404" s="893"/>
    </row>
    <row r="405" spans="1:18" s="25" customFormat="1" ht="12" customHeight="1">
      <c r="A405" s="97" t="s">
        <v>121</v>
      </c>
      <c r="B405" s="117" t="s">
        <v>2138</v>
      </c>
      <c r="D405" s="22"/>
      <c r="G405" s="20"/>
      <c r="M405" s="45">
        <v>3</v>
      </c>
      <c r="N405" s="363" t="s">
        <v>121</v>
      </c>
      <c r="O405" s="1424">
        <f>IF(AND(O406="Agree",O408="Agree",$M$408&gt;=15%),$M$405,0)</f>
        <v>0</v>
      </c>
      <c r="P405" s="1424">
        <f>IF(AND(P406="Agree",P408="Agree",$M$408&gt;=15%),$M$405,0)</f>
        <v>0</v>
      </c>
      <c r="Q405" s="290"/>
      <c r="R405" s="280"/>
    </row>
    <row r="406" spans="1:18" s="309" customFormat="1" ht="22.5" customHeight="1">
      <c r="A406" s="101"/>
      <c r="B406" s="336" t="s">
        <v>379</v>
      </c>
      <c r="C406" s="1834" t="s">
        <v>2139</v>
      </c>
      <c r="D406" s="1834"/>
      <c r="E406" s="1834"/>
      <c r="F406" s="1834"/>
      <c r="G406" s="1834"/>
      <c r="H406" s="1834"/>
      <c r="I406" s="1834"/>
      <c r="J406" s="1834"/>
      <c r="K406" s="1834"/>
      <c r="L406" s="1834"/>
      <c r="M406" s="480"/>
      <c r="N406" s="291" t="s">
        <v>379</v>
      </c>
      <c r="O406" s="2450"/>
      <c r="P406" s="1415"/>
      <c r="Q406" s="411"/>
      <c r="R406" s="406"/>
    </row>
    <row r="407" spans="1:18" s="309" customFormat="1" ht="11.25" customHeight="1">
      <c r="A407" s="101"/>
      <c r="B407" s="336"/>
      <c r="C407" s="376" t="s">
        <v>2140</v>
      </c>
      <c r="D407" s="1537"/>
      <c r="E407" s="1537"/>
      <c r="F407" s="1537"/>
      <c r="G407" s="2486"/>
      <c r="H407" s="2487"/>
      <c r="I407" s="2488"/>
      <c r="J407" s="1119" t="s">
        <v>2141</v>
      </c>
      <c r="L407" s="2489"/>
      <c r="M407" s="480"/>
      <c r="N407" s="291"/>
      <c r="O407" s="291"/>
      <c r="P407" s="291"/>
      <c r="Q407" s="411"/>
      <c r="R407" s="406"/>
    </row>
    <row r="408" spans="1:18" s="331" customFormat="1" ht="11.25" customHeight="1">
      <c r="A408" s="419"/>
      <c r="B408" s="336" t="s">
        <v>389</v>
      </c>
      <c r="C408" s="292" t="s">
        <v>2142</v>
      </c>
      <c r="D408" s="292"/>
      <c r="E408" s="292"/>
      <c r="F408" s="292"/>
      <c r="G408" s="292"/>
      <c r="H408" s="292"/>
      <c r="I408" s="292"/>
      <c r="J408" s="292" t="s">
        <v>2143</v>
      </c>
      <c r="K408" s="292"/>
      <c r="L408" s="2490">
        <v>0</v>
      </c>
      <c r="M408" s="1425">
        <f>IF('Part VI-Revenues &amp; Expenses'!$O$62=0,0,L408/'Part VI-Revenues &amp; Expenses'!$O$62)</f>
        <v>0</v>
      </c>
      <c r="N408" s="291" t="s">
        <v>389</v>
      </c>
      <c r="O408" s="2450"/>
      <c r="P408" s="1415"/>
      <c r="Q408" s="893"/>
      <c r="R408" s="893"/>
    </row>
    <row r="409" spans="1:18" s="25" customFormat="1" ht="11.25" customHeight="1" thickBot="1">
      <c r="A409" s="58"/>
      <c r="B409" s="1089" t="s">
        <v>1810</v>
      </c>
      <c r="C409" s="58"/>
      <c r="D409" s="71"/>
      <c r="E409" s="71"/>
      <c r="F409" s="71"/>
      <c r="G409" s="71"/>
      <c r="H409" s="20"/>
      <c r="I409" s="20"/>
      <c r="J409" s="20"/>
      <c r="K409" s="20"/>
      <c r="M409" s="45"/>
      <c r="N409" s="840"/>
      <c r="O409" s="3"/>
      <c r="P409" s="1527"/>
    </row>
    <row r="410" spans="1:18" s="25" customFormat="1" ht="42" customHeight="1" thickTop="1" thickBot="1">
      <c r="A410" s="2316" t="s">
        <v>4735</v>
      </c>
      <c r="B410" s="2317"/>
      <c r="C410" s="2317"/>
      <c r="D410" s="2317"/>
      <c r="E410" s="2317"/>
      <c r="F410" s="2317"/>
      <c r="G410" s="2317"/>
      <c r="H410" s="2317"/>
      <c r="I410" s="2317"/>
      <c r="J410" s="2317"/>
      <c r="K410" s="2317"/>
      <c r="L410" s="2317"/>
      <c r="M410" s="2317"/>
      <c r="N410" s="2317"/>
      <c r="O410" s="2317"/>
      <c r="P410" s="2318"/>
      <c r="Q410" s="961" t="s">
        <v>1275</v>
      </c>
      <c r="R410" s="342"/>
    </row>
    <row r="411" spans="1:18" s="25" customFormat="1" ht="10.5" customHeight="1" thickTop="1">
      <c r="B411" s="50" t="s">
        <v>1276</v>
      </c>
      <c r="C411" s="1182"/>
      <c r="D411" s="50"/>
      <c r="E411" s="61"/>
      <c r="F411" s="1532"/>
      <c r="G411" s="1532"/>
      <c r="H411" s="1532"/>
      <c r="I411" s="1532"/>
      <c r="J411" s="1532"/>
      <c r="K411" s="1532"/>
      <c r="L411" s="1532"/>
      <c r="M411" s="1532"/>
      <c r="N411" s="1343"/>
      <c r="O411" s="44"/>
      <c r="P411" s="1523"/>
      <c r="Q411" s="322"/>
    </row>
    <row r="412" spans="1:18" s="25" customFormat="1" ht="11.25" customHeight="1">
      <c r="A412" s="1835"/>
      <c r="B412" s="1836"/>
      <c r="C412" s="1836"/>
      <c r="D412" s="1836"/>
      <c r="E412" s="1836"/>
      <c r="F412" s="1836"/>
      <c r="G412" s="1836"/>
      <c r="H412" s="1836"/>
      <c r="I412" s="1836"/>
      <c r="J412" s="1836"/>
      <c r="K412" s="1836"/>
      <c r="L412" s="1836"/>
      <c r="M412" s="1836"/>
      <c r="N412" s="1836"/>
      <c r="O412" s="1836"/>
      <c r="P412" s="1837"/>
      <c r="Q412" s="341"/>
    </row>
    <row r="413" spans="1:18" s="25" customFormat="1" ht="3" customHeight="1" thickBot="1">
      <c r="A413" s="58"/>
      <c r="B413" s="58"/>
      <c r="C413" s="1532"/>
      <c r="D413" s="1532"/>
      <c r="E413" s="1532"/>
      <c r="F413" s="1532"/>
      <c r="G413" s="1532"/>
      <c r="H413" s="1532"/>
      <c r="I413" s="1532"/>
      <c r="J413" s="1532"/>
      <c r="K413" s="1532"/>
      <c r="L413" s="1532"/>
      <c r="M413" s="1532"/>
      <c r="N413" s="1343"/>
      <c r="O413" s="44"/>
      <c r="P413" s="761"/>
    </row>
    <row r="414" spans="1:18" s="25" customFormat="1" ht="13.5" customHeight="1" thickBot="1">
      <c r="A414" s="107" t="s">
        <v>1530</v>
      </c>
      <c r="B414" s="66" t="s">
        <v>2144</v>
      </c>
      <c r="D414" s="22"/>
      <c r="G414" s="37" t="s">
        <v>1926</v>
      </c>
      <c r="J414" s="20" t="s">
        <v>2145</v>
      </c>
      <c r="K414" s="63"/>
      <c r="L414" s="1426">
        <f>'Part VI-Revenues &amp; Expenses'!$O$84</f>
        <v>0</v>
      </c>
      <c r="M414" s="1523">
        <v>1</v>
      </c>
      <c r="N414" s="363"/>
      <c r="O414" s="1021">
        <f>MIN($M414,O418+O425)</f>
        <v>0</v>
      </c>
      <c r="P414" s="1021">
        <f>MIN($M414,P418+P425)</f>
        <v>0</v>
      </c>
      <c r="Q414" s="70" t="s">
        <v>834</v>
      </c>
      <c r="R414" s="280" t="str">
        <f>IF(OR($O418=$M414,$O418=0,$O418=""),"","* * Check Score! * *")</f>
        <v/>
      </c>
    </row>
    <row r="415" spans="1:18" s="309" customFormat="1" ht="1.5" customHeight="1">
      <c r="B415" s="336"/>
      <c r="F415" s="329"/>
      <c r="G415" s="771"/>
      <c r="M415" s="405"/>
      <c r="N415" s="405"/>
      <c r="O415" s="405"/>
      <c r="P415" s="405"/>
      <c r="Q415" s="124"/>
    </row>
    <row r="416" spans="1:18" s="309" customFormat="1" ht="11.25" customHeight="1">
      <c r="A416" s="108"/>
      <c r="B416" s="770" t="s">
        <v>2146</v>
      </c>
      <c r="D416" s="2475" t="s">
        <v>2147</v>
      </c>
      <c r="E416" s="2444"/>
      <c r="F416" s="2444"/>
      <c r="G416" s="2444"/>
      <c r="H416" s="2444"/>
      <c r="I416" s="2476"/>
      <c r="J416" s="292" t="s">
        <v>2148</v>
      </c>
      <c r="L416" s="1426">
        <f>'Part III-Sources of Funds'!$I$51</f>
        <v>0</v>
      </c>
      <c r="M416" s="405"/>
      <c r="N416" s="405"/>
      <c r="O416" s="405"/>
      <c r="P416" s="405"/>
      <c r="Q416" s="124"/>
    </row>
    <row r="417" spans="1:19" s="309" customFormat="1" ht="1.5" customHeight="1">
      <c r="B417" s="336"/>
      <c r="M417" s="405"/>
      <c r="N417" s="405"/>
      <c r="O417" s="405"/>
      <c r="P417" s="405"/>
      <c r="Q417" s="124"/>
    </row>
    <row r="418" spans="1:19" s="309" customFormat="1" ht="11.25" customHeight="1">
      <c r="A418" s="1118" t="s">
        <v>110</v>
      </c>
      <c r="B418" s="51" t="s">
        <v>2149</v>
      </c>
      <c r="C418" s="292"/>
      <c r="D418" s="292"/>
      <c r="E418" s="292"/>
      <c r="F418" s="292"/>
      <c r="G418" s="292"/>
      <c r="H418" s="292"/>
      <c r="I418" s="292"/>
      <c r="M418" s="405">
        <v>1</v>
      </c>
      <c r="N418" s="113" t="s">
        <v>110</v>
      </c>
      <c r="O418" s="2347"/>
      <c r="P418" s="1409"/>
      <c r="Q418" s="887" t="str">
        <f>IF(OR($O418=$M418,$O418=0,$O418=""),"","*CHECK!*")</f>
        <v/>
      </c>
      <c r="R418" s="979" t="s">
        <v>1806</v>
      </c>
    </row>
    <row r="419" spans="1:19" s="309" customFormat="1" ht="12" customHeight="1">
      <c r="A419" s="308"/>
      <c r="B419" s="2002" t="s">
        <v>2150</v>
      </c>
      <c r="C419" s="2002"/>
      <c r="D419" s="2002"/>
      <c r="E419" s="2002"/>
      <c r="F419" s="2002"/>
      <c r="G419" s="2002"/>
      <c r="H419" s="2002"/>
      <c r="I419" s="2002"/>
      <c r="J419" s="2002"/>
      <c r="K419" s="2002"/>
      <c r="L419" s="2002"/>
      <c r="M419" s="1834" t="s">
        <v>2151</v>
      </c>
      <c r="N419" s="1834"/>
      <c r="Q419" s="124"/>
    </row>
    <row r="420" spans="1:19" s="309" customFormat="1" ht="12" customHeight="1">
      <c r="B420" s="2002"/>
      <c r="C420" s="2002"/>
      <c r="D420" s="2002"/>
      <c r="E420" s="2002"/>
      <c r="F420" s="2002"/>
      <c r="G420" s="2002"/>
      <c r="H420" s="2002"/>
      <c r="I420" s="2002"/>
      <c r="J420" s="2002"/>
      <c r="K420" s="2002"/>
      <c r="L420" s="2002"/>
      <c r="M420" s="1834"/>
      <c r="N420" s="1834"/>
      <c r="O420" s="2012">
        <f>'Part VI-Revenues &amp; Expenses'!$O$82</f>
        <v>0</v>
      </c>
      <c r="P420" s="2013"/>
      <c r="Q420" s="124"/>
    </row>
    <row r="421" spans="1:19" s="309" customFormat="1" ht="12" customHeight="1">
      <c r="B421" s="2002"/>
      <c r="C421" s="2002"/>
      <c r="D421" s="2002"/>
      <c r="E421" s="2002"/>
      <c r="F421" s="2002"/>
      <c r="G421" s="2002"/>
      <c r="H421" s="2002"/>
      <c r="I421" s="2002"/>
      <c r="J421" s="2002"/>
      <c r="K421" s="2002"/>
      <c r="L421" s="2002"/>
      <c r="M421" s="22" t="s">
        <v>2152</v>
      </c>
      <c r="N421" s="405"/>
      <c r="O421" s="2012">
        <f>'Part VI-Revenues &amp; Expenses'!$O$62</f>
        <v>74</v>
      </c>
      <c r="P421" s="2013"/>
      <c r="Q421" s="124"/>
    </row>
    <row r="422" spans="1:19" s="309" customFormat="1" ht="12" customHeight="1">
      <c r="B422" s="2003"/>
      <c r="C422" s="2003"/>
      <c r="D422" s="2003"/>
      <c r="E422" s="2003"/>
      <c r="F422" s="2003"/>
      <c r="G422" s="2003"/>
      <c r="H422" s="2003"/>
      <c r="I422" s="2003"/>
      <c r="J422" s="2003"/>
      <c r="K422" s="2003"/>
      <c r="L422" s="2003"/>
      <c r="M422" s="418" t="s">
        <v>2153</v>
      </c>
      <c r="N422" s="405"/>
      <c r="O422" s="1998">
        <f>IF(O421=0,0,O420/O421)</f>
        <v>0</v>
      </c>
      <c r="P422" s="1999"/>
      <c r="Q422" s="124"/>
    </row>
    <row r="423" spans="1:19" s="25" customFormat="1" ht="66.75" customHeight="1">
      <c r="A423" s="419"/>
      <c r="B423" s="2491" t="s">
        <v>2154</v>
      </c>
      <c r="C423" s="2492"/>
      <c r="D423" s="2492"/>
      <c r="E423" s="2492"/>
      <c r="F423" s="2492"/>
      <c r="G423" s="2492"/>
      <c r="H423" s="2492"/>
      <c r="I423" s="2492"/>
      <c r="J423" s="2492"/>
      <c r="K423" s="2492"/>
      <c r="L423" s="2492"/>
      <c r="M423" s="2492"/>
      <c r="N423" s="2492"/>
      <c r="O423" s="2492"/>
      <c r="P423" s="2493"/>
      <c r="Q423" s="341" t="s">
        <v>1275</v>
      </c>
      <c r="R423" s="961"/>
      <c r="S423" s="961"/>
    </row>
    <row r="424" spans="1:19" s="309" customFormat="1" ht="1.5" customHeight="1">
      <c r="A424" s="477"/>
      <c r="B424" s="336"/>
      <c r="F424" s="329"/>
      <c r="G424" s="771"/>
      <c r="M424" s="405"/>
      <c r="N424" s="405"/>
      <c r="O424" s="405"/>
      <c r="P424" s="405"/>
      <c r="Q424" s="124"/>
    </row>
    <row r="425" spans="1:19" s="309" customFormat="1" ht="11.25" customHeight="1">
      <c r="A425" s="420" t="s">
        <v>2155</v>
      </c>
      <c r="B425" s="805" t="s">
        <v>115</v>
      </c>
      <c r="C425" s="98"/>
      <c r="D425" s="746"/>
      <c r="H425" s="292"/>
      <c r="M425" s="405">
        <v>1</v>
      </c>
      <c r="N425" s="113" t="s">
        <v>121</v>
      </c>
      <c r="O425" s="2347"/>
      <c r="P425" s="1409"/>
      <c r="Q425" s="887" t="str">
        <f>IF(OR($O425=$M425,$O425=0,$O425=""),"","*CHECK!*")</f>
        <v/>
      </c>
      <c r="R425" s="979" t="s">
        <v>1806</v>
      </c>
    </row>
    <row r="426" spans="1:19" s="309" customFormat="1" ht="11.25" customHeight="1">
      <c r="A426" s="420"/>
      <c r="B426" s="1833" t="s">
        <v>2156</v>
      </c>
      <c r="C426" s="1833"/>
      <c r="D426" s="1833"/>
      <c r="E426" s="1833"/>
      <c r="F426" s="1833"/>
      <c r="G426" s="1833"/>
      <c r="H426" s="1833"/>
      <c r="I426" s="1833"/>
      <c r="J426" s="1833"/>
      <c r="K426" s="1833"/>
      <c r="L426" s="1833"/>
      <c r="M426" s="376" t="s">
        <v>2152</v>
      </c>
      <c r="N426" s="405"/>
      <c r="O426" s="2000">
        <f>'Part VI-Revenues &amp; Expenses'!$O$62</f>
        <v>74</v>
      </c>
      <c r="P426" s="2001"/>
      <c r="Q426" s="124"/>
    </row>
    <row r="427" spans="1:19" s="309" customFormat="1" ht="11.25" customHeight="1">
      <c r="A427" s="420"/>
      <c r="B427" s="1833"/>
      <c r="C427" s="1833"/>
      <c r="D427" s="1833"/>
      <c r="E427" s="1833"/>
      <c r="F427" s="1833"/>
      <c r="G427" s="1833"/>
      <c r="H427" s="1833"/>
      <c r="I427" s="1833"/>
      <c r="J427" s="1833"/>
      <c r="K427" s="1833"/>
      <c r="L427" s="1833"/>
      <c r="M427" s="418" t="s">
        <v>2153</v>
      </c>
      <c r="N427" s="405"/>
      <c r="O427" s="1998">
        <f>IF(O426=0,0,L414/O426)</f>
        <v>0</v>
      </c>
      <c r="P427" s="1999"/>
      <c r="Q427" s="124"/>
    </row>
    <row r="428" spans="1:19" s="25" customFormat="1" ht="11.25" customHeight="1" thickBot="1">
      <c r="A428" s="58"/>
      <c r="B428" s="1089" t="s">
        <v>1810</v>
      </c>
      <c r="C428" s="58"/>
      <c r="D428" s="71"/>
      <c r="E428" s="71"/>
      <c r="F428" s="71"/>
      <c r="G428" s="71"/>
      <c r="H428" s="20"/>
      <c r="I428" s="20"/>
      <c r="J428" s="20"/>
      <c r="K428" s="20"/>
      <c r="M428" s="45"/>
      <c r="N428" s="840"/>
      <c r="O428" s="3"/>
      <c r="P428" s="1527"/>
    </row>
    <row r="429" spans="1:19" s="25" customFormat="1" ht="21.75" customHeight="1" thickTop="1" thickBot="1">
      <c r="A429" s="2316" t="s">
        <v>4707</v>
      </c>
      <c r="B429" s="2317"/>
      <c r="C429" s="2317"/>
      <c r="D429" s="2317"/>
      <c r="E429" s="2317"/>
      <c r="F429" s="2317"/>
      <c r="G429" s="2317"/>
      <c r="H429" s="2317"/>
      <c r="I429" s="2317"/>
      <c r="J429" s="2317"/>
      <c r="K429" s="2317"/>
      <c r="L429" s="2317"/>
      <c r="M429" s="2317"/>
      <c r="N429" s="2317"/>
      <c r="O429" s="2317"/>
      <c r="P429" s="2318"/>
      <c r="Q429" s="961" t="s">
        <v>1275</v>
      </c>
      <c r="R429" s="342"/>
    </row>
    <row r="430" spans="1:19" s="25" customFormat="1" ht="10.5" customHeight="1" thickTop="1">
      <c r="B430" s="50" t="s">
        <v>1276</v>
      </c>
      <c r="C430" s="1182"/>
      <c r="D430" s="50"/>
      <c r="E430" s="61"/>
      <c r="F430" s="1532"/>
      <c r="G430" s="1532"/>
      <c r="H430" s="1532"/>
      <c r="I430" s="1532"/>
      <c r="J430" s="1532"/>
      <c r="K430" s="1532"/>
      <c r="L430" s="1532"/>
      <c r="M430" s="1532"/>
      <c r="N430" s="1343"/>
      <c r="O430" s="44"/>
      <c r="P430" s="1523"/>
      <c r="Q430" s="322"/>
    </row>
    <row r="431" spans="1:19" s="25" customFormat="1" ht="11.25" customHeight="1">
      <c r="A431" s="1835"/>
      <c r="B431" s="1836"/>
      <c r="C431" s="1836"/>
      <c r="D431" s="1836"/>
      <c r="E431" s="1836"/>
      <c r="F431" s="1836"/>
      <c r="G431" s="1836"/>
      <c r="H431" s="1836"/>
      <c r="I431" s="1836"/>
      <c r="J431" s="1836"/>
      <c r="K431" s="1836"/>
      <c r="L431" s="1836"/>
      <c r="M431" s="1836"/>
      <c r="N431" s="1836"/>
      <c r="O431" s="1836"/>
      <c r="P431" s="1837"/>
      <c r="Q431" s="341"/>
    </row>
    <row r="432" spans="1:19" s="25" customFormat="1" ht="3" customHeight="1" thickBot="1">
      <c r="A432" s="58"/>
      <c r="B432" s="58"/>
      <c r="C432" s="1532"/>
      <c r="D432" s="1532"/>
      <c r="E432" s="1532"/>
      <c r="F432" s="1532"/>
      <c r="G432" s="1532"/>
      <c r="H432" s="1532"/>
      <c r="I432" s="1532"/>
      <c r="J432" s="1532"/>
      <c r="K432" s="1532"/>
      <c r="L432" s="1532"/>
      <c r="M432" s="1532"/>
      <c r="N432" s="1343"/>
      <c r="O432" s="44"/>
      <c r="P432" s="761"/>
    </row>
    <row r="433" spans="1:18" s="63" customFormat="1" ht="11.25" customHeight="1" thickBot="1">
      <c r="A433" s="108" t="s">
        <v>1538</v>
      </c>
      <c r="B433" s="66" t="s">
        <v>2157</v>
      </c>
      <c r="D433" s="27"/>
      <c r="E433" s="27"/>
      <c r="F433" s="20"/>
      <c r="G433" s="20"/>
      <c r="I433" s="20"/>
      <c r="J433" s="20"/>
      <c r="K433" s="20"/>
      <c r="L433" s="280" t="str">
        <f>IF(OR($O433=$M433,$O433&lt;=0,$O433=""),"","* * Check Score! * *")</f>
        <v/>
      </c>
      <c r="M433" s="1523">
        <v>10</v>
      </c>
      <c r="N433" s="45"/>
      <c r="O433" s="981">
        <f>MIN($M$433,O435-O436+O437)</f>
        <v>10</v>
      </c>
      <c r="P433" s="981">
        <f>MIN($M$433,P435-P436+P437)</f>
        <v>10</v>
      </c>
      <c r="Q433" s="70" t="s">
        <v>834</v>
      </c>
    </row>
    <row r="434" spans="1:18" s="63" customFormat="1" ht="1.5" customHeight="1">
      <c r="A434" s="108"/>
      <c r="B434" s="66"/>
      <c r="D434" s="27"/>
      <c r="E434" s="27"/>
      <c r="F434" s="20"/>
      <c r="G434" s="20"/>
      <c r="I434" s="20"/>
      <c r="J434" s="20"/>
      <c r="K434" s="20"/>
      <c r="L434" s="280"/>
      <c r="M434" s="1523"/>
      <c r="N434" s="45"/>
      <c r="O434" s="45"/>
      <c r="P434" s="45"/>
      <c r="Q434" s="70"/>
    </row>
    <row r="435" spans="1:18" s="63" customFormat="1" ht="10.5" customHeight="1">
      <c r="A435" s="108"/>
      <c r="B435" s="51" t="s">
        <v>2158</v>
      </c>
      <c r="D435" s="27"/>
      <c r="E435" s="27"/>
      <c r="F435" s="20"/>
      <c r="G435" s="20"/>
      <c r="I435" s="20"/>
      <c r="J435" s="20"/>
      <c r="K435" s="20"/>
      <c r="L435" s="280"/>
      <c r="M435" s="1523"/>
      <c r="N435" s="45"/>
      <c r="O435" s="1410">
        <v>10</v>
      </c>
      <c r="P435" s="1410">
        <v>10</v>
      </c>
      <c r="Q435" s="70"/>
    </row>
    <row r="436" spans="1:18" s="63" customFormat="1" ht="10.5" customHeight="1">
      <c r="A436" s="108"/>
      <c r="B436" s="51" t="s">
        <v>2159</v>
      </c>
      <c r="D436" s="27"/>
      <c r="E436" s="27"/>
      <c r="F436" s="20"/>
      <c r="G436" s="20"/>
      <c r="I436" s="20"/>
      <c r="J436" s="20"/>
      <c r="K436" s="20"/>
      <c r="L436" s="280"/>
      <c r="M436" s="1523"/>
      <c r="N436" s="45"/>
      <c r="O436" s="2494"/>
      <c r="P436" s="1025"/>
      <c r="Q436" s="70"/>
    </row>
    <row r="437" spans="1:18" s="63" customFormat="1" ht="10.5" customHeight="1">
      <c r="A437" s="108"/>
      <c r="B437" s="51" t="s">
        <v>2160</v>
      </c>
      <c r="D437" s="27"/>
      <c r="E437" s="27"/>
      <c r="F437" s="20"/>
      <c r="G437" s="20"/>
      <c r="I437" s="20"/>
      <c r="J437" s="20"/>
      <c r="K437" s="20"/>
      <c r="L437" s="280"/>
      <c r="M437" s="1523"/>
      <c r="N437" s="45"/>
      <c r="O437" s="2495"/>
      <c r="P437" s="424"/>
      <c r="Q437" s="70"/>
    </row>
    <row r="438" spans="1:18" s="63" customFormat="1" ht="10.5" customHeight="1">
      <c r="A438" s="41"/>
      <c r="B438" s="41" t="s">
        <v>1276</v>
      </c>
      <c r="C438" s="368"/>
      <c r="D438" s="41"/>
      <c r="E438" s="1535"/>
      <c r="F438" s="1535"/>
      <c r="G438" s="1535"/>
      <c r="H438" s="1535"/>
      <c r="I438" s="1535"/>
      <c r="J438" s="1535"/>
      <c r="K438" s="1535"/>
      <c r="L438" s="1535"/>
      <c r="M438" s="1535"/>
      <c r="N438" s="1344"/>
      <c r="O438" s="747"/>
      <c r="P438" s="1523"/>
    </row>
    <row r="439" spans="1:18" s="25" customFormat="1" ht="11.25" customHeight="1">
      <c r="A439" s="1835"/>
      <c r="B439" s="1836"/>
      <c r="C439" s="1836"/>
      <c r="D439" s="1836"/>
      <c r="E439" s="1836"/>
      <c r="F439" s="1836"/>
      <c r="G439" s="1836"/>
      <c r="H439" s="1836"/>
      <c r="I439" s="1836"/>
      <c r="J439" s="1836"/>
      <c r="K439" s="1836"/>
      <c r="L439" s="1836"/>
      <c r="M439" s="1836"/>
      <c r="N439" s="1836"/>
      <c r="O439" s="1836"/>
      <c r="P439" s="1837"/>
      <c r="Q439" s="341"/>
      <c r="R439" s="342"/>
    </row>
    <row r="440" spans="1:18" s="25" customFormat="1" ht="9" customHeight="1" thickBot="1">
      <c r="A440" s="108"/>
      <c r="B440" s="58"/>
      <c r="C440" s="1532"/>
      <c r="D440" s="1532"/>
      <c r="E440" s="1532"/>
      <c r="F440" s="1532"/>
      <c r="G440" s="1532"/>
      <c r="H440" s="1532"/>
      <c r="I440" s="1532"/>
      <c r="J440" s="1532"/>
      <c r="K440" s="1532"/>
      <c r="L440" s="1532"/>
      <c r="M440" s="1532"/>
      <c r="N440" s="1343"/>
      <c r="O440" s="44"/>
      <c r="P440" s="761"/>
    </row>
    <row r="441" spans="1:18" s="24" customFormat="1" ht="12.75" customHeight="1" thickTop="1" thickBot="1">
      <c r="A441" s="108"/>
      <c r="B441" s="42"/>
      <c r="C441" s="368"/>
      <c r="D441" s="102"/>
      <c r="E441" s="102"/>
      <c r="F441" s="32"/>
      <c r="G441" s="109" t="s">
        <v>2161</v>
      </c>
      <c r="H441" s="58"/>
      <c r="I441" s="26"/>
      <c r="J441" s="26"/>
      <c r="K441" s="26"/>
      <c r="L441" s="63"/>
      <c r="M441" s="338">
        <f>M8+M43+M57+M67+M94+M111+M153+M189+M228+M270+M286+M294+M316+M324+M337+M346+M362+M396+M414+M433</f>
        <v>95</v>
      </c>
      <c r="N441" s="1347"/>
      <c r="O441" s="1019">
        <f>O8+O43+O57+O67+O94+O111+O153+O189+O270+O286+O294+O316+O337+O346+O362+O396+O414+O433</f>
        <v>55</v>
      </c>
      <c r="P441" s="1019">
        <f>P8+P43+P57+P67+P94+P111+P153+P189+P228+P270+P286+P294+P316+P324+P337+P346+P362+P396+P414+P433</f>
        <v>20</v>
      </c>
      <c r="Q441" s="58"/>
      <c r="R441" s="58"/>
    </row>
    <row r="442" spans="1:18" s="24" customFormat="1" ht="11.25" customHeight="1" thickTop="1">
      <c r="A442" s="32"/>
      <c r="B442" s="42"/>
      <c r="C442" s="32"/>
      <c r="D442" s="102"/>
      <c r="E442" s="102"/>
      <c r="F442" s="43"/>
      <c r="G442" s="43"/>
      <c r="H442" s="117" t="s">
        <v>2162</v>
      </c>
      <c r="I442" s="58"/>
      <c r="J442" s="378"/>
      <c r="K442" s="378"/>
      <c r="L442" s="25"/>
      <c r="M442" s="102"/>
      <c r="N442" s="1523"/>
      <c r="O442" s="1523"/>
      <c r="P442" s="361">
        <f>P228</f>
        <v>0</v>
      </c>
      <c r="Q442" s="58"/>
      <c r="R442" s="58"/>
    </row>
    <row r="443" spans="1:18" s="24" customFormat="1" ht="11.25" customHeight="1">
      <c r="A443" s="32"/>
      <c r="B443" s="42"/>
      <c r="C443" s="32"/>
      <c r="D443" s="102"/>
      <c r="E443" s="102"/>
      <c r="F443" s="43"/>
      <c r="G443" s="43"/>
      <c r="H443" s="117" t="s">
        <v>2163</v>
      </c>
      <c r="I443" s="58"/>
      <c r="J443" s="378"/>
      <c r="K443" s="378"/>
      <c r="L443" s="25"/>
      <c r="M443" s="102"/>
      <c r="N443" s="1523"/>
      <c r="O443" s="361"/>
      <c r="P443" s="361">
        <f>P324</f>
        <v>0</v>
      </c>
      <c r="Q443" s="58"/>
      <c r="R443" s="58"/>
    </row>
    <row r="444" spans="1:18" s="25" customFormat="1" ht="11.25" customHeight="1">
      <c r="A444" s="58"/>
      <c r="D444" s="20"/>
      <c r="E444" s="20"/>
      <c r="F444" s="761"/>
      <c r="H444" s="117" t="s">
        <v>2164</v>
      </c>
      <c r="I444" s="761"/>
      <c r="J444" s="772"/>
      <c r="K444" s="772"/>
      <c r="L444" s="772"/>
      <c r="M444" s="1534"/>
      <c r="N444" s="761"/>
      <c r="O444" s="1527"/>
      <c r="P444" s="1410">
        <f>P441-P442-P443</f>
        <v>20</v>
      </c>
    </row>
    <row r="445" spans="1:18" s="111" customFormat="1" ht="4.5" customHeight="1">
      <c r="A445" s="32"/>
      <c r="B445" s="42"/>
      <c r="C445" s="32"/>
      <c r="D445" s="102"/>
      <c r="E445" s="102"/>
      <c r="F445" s="22"/>
      <c r="G445" s="22"/>
      <c r="H445" s="43"/>
      <c r="I445" s="43"/>
      <c r="J445" s="378"/>
      <c r="K445" s="378"/>
      <c r="L445" s="25"/>
      <c r="M445" s="102"/>
      <c r="N445" s="1523"/>
      <c r="O445" s="1523"/>
      <c r="P445" s="3"/>
    </row>
    <row r="446" spans="1:18" s="25" customFormat="1" ht="27.75" customHeight="1">
      <c r="A446" s="2053" t="s">
        <v>2165</v>
      </c>
      <c r="B446" s="2053"/>
      <c r="C446" s="2053"/>
      <c r="D446" s="2053"/>
      <c r="E446" s="2053"/>
      <c r="F446" s="2053"/>
      <c r="G446" s="2053"/>
      <c r="H446" s="2053"/>
      <c r="I446" s="2053"/>
      <c r="J446" s="2053"/>
      <c r="K446" s="2053"/>
      <c r="L446" s="2053"/>
      <c r="M446" s="2053"/>
      <c r="N446" s="2053"/>
      <c r="O446" s="2053"/>
      <c r="P446" s="2053"/>
    </row>
    <row r="447" spans="1:18" s="25" customFormat="1" ht="239.25" customHeight="1">
      <c r="A447" s="2496" t="s">
        <v>4736</v>
      </c>
      <c r="B447" s="2497"/>
      <c r="C447" s="2497"/>
      <c r="D447" s="2497"/>
      <c r="E447" s="2497"/>
      <c r="F447" s="2497"/>
      <c r="G447" s="2497"/>
      <c r="H447" s="2497"/>
      <c r="I447" s="2497"/>
      <c r="J447" s="2497"/>
      <c r="K447" s="2497"/>
      <c r="L447" s="2497"/>
      <c r="M447" s="2497"/>
      <c r="N447" s="2497"/>
      <c r="O447" s="2497"/>
      <c r="P447" s="2498"/>
      <c r="Q447" s="341" t="s">
        <v>1275</v>
      </c>
      <c r="R447" s="342"/>
    </row>
    <row r="448" spans="1:18" s="111" customFormat="1">
      <c r="N448" s="79"/>
      <c r="O448" s="1521"/>
      <c r="P448" s="1521"/>
    </row>
    <row r="449" spans="1:24" s="111" customFormat="1">
      <c r="N449" s="79"/>
      <c r="O449" s="1521"/>
      <c r="P449" s="1521"/>
      <c r="Q449" s="381"/>
      <c r="R449" s="381"/>
      <c r="S449" s="381"/>
    </row>
    <row r="450" spans="1:24" s="111" customFormat="1">
      <c r="N450" s="79"/>
      <c r="O450" s="1521"/>
      <c r="P450" s="1521"/>
      <c r="Q450" s="381"/>
      <c r="R450" s="381"/>
      <c r="S450" s="381"/>
    </row>
    <row r="451" spans="1:24" s="111" customFormat="1">
      <c r="C451" s="344"/>
      <c r="D451" s="344"/>
      <c r="E451" s="344"/>
      <c r="F451" s="344"/>
      <c r="G451" s="344"/>
      <c r="H451" s="344"/>
      <c r="I451" s="344"/>
      <c r="J451" s="344"/>
      <c r="K451" s="344"/>
      <c r="L451" s="344"/>
      <c r="M451" s="344"/>
      <c r="N451" s="353"/>
      <c r="O451" s="355"/>
      <c r="P451" s="355"/>
      <c r="Q451" s="381"/>
      <c r="R451" s="381"/>
      <c r="S451" s="381"/>
    </row>
    <row r="452" spans="1:24" s="381" customFormat="1">
      <c r="A452" s="111"/>
      <c r="B452" s="111"/>
      <c r="C452" s="349" t="s">
        <v>1630</v>
      </c>
      <c r="D452" s="349"/>
      <c r="E452" s="349"/>
      <c r="F452" s="349"/>
      <c r="G452" s="349"/>
      <c r="H452" s="349"/>
      <c r="I452" s="349"/>
      <c r="J452" s="349" t="s">
        <v>1631</v>
      </c>
      <c r="K452" s="349"/>
      <c r="L452" s="349"/>
      <c r="M452" s="349"/>
      <c r="N452" s="350"/>
      <c r="O452" s="1075"/>
      <c r="P452" s="1075"/>
      <c r="Q452" s="1005"/>
      <c r="T452" s="111"/>
      <c r="U452" s="111"/>
      <c r="V452" s="111"/>
      <c r="W452" s="111"/>
      <c r="X452" s="111"/>
    </row>
    <row r="453" spans="1:24" s="381" customFormat="1">
      <c r="A453" s="111"/>
      <c r="B453" s="111"/>
      <c r="C453" s="349" t="s">
        <v>1632</v>
      </c>
      <c r="D453" s="349"/>
      <c r="E453" s="349"/>
      <c r="F453" s="349"/>
      <c r="G453" s="349"/>
      <c r="H453" s="349"/>
      <c r="I453" s="349"/>
      <c r="J453" s="349" t="s">
        <v>781</v>
      </c>
      <c r="K453" s="349"/>
      <c r="L453" s="349"/>
      <c r="M453" s="349"/>
      <c r="N453" s="350"/>
      <c r="O453" s="1075"/>
      <c r="P453" s="1075"/>
      <c r="Q453" s="1005"/>
      <c r="T453" s="111"/>
      <c r="U453" s="111"/>
      <c r="V453" s="111"/>
      <c r="W453" s="111"/>
      <c r="X453" s="111"/>
    </row>
    <row r="454" spans="1:24" s="381" customFormat="1">
      <c r="A454" s="111"/>
      <c r="B454" s="111"/>
      <c r="C454" s="349" t="s">
        <v>1634</v>
      </c>
      <c r="D454" s="349"/>
      <c r="E454" s="349"/>
      <c r="F454" s="349"/>
      <c r="G454" s="349"/>
      <c r="H454" s="349"/>
      <c r="I454" s="349"/>
      <c r="J454" s="1076" t="s">
        <v>1638</v>
      </c>
      <c r="K454" s="349"/>
      <c r="L454" s="349"/>
      <c r="M454" s="349"/>
      <c r="N454" s="350"/>
      <c r="O454" s="1075"/>
      <c r="P454" s="1075"/>
      <c r="Q454" s="1005"/>
      <c r="T454" s="111"/>
      <c r="U454" s="111"/>
      <c r="V454" s="111"/>
      <c r="W454" s="111"/>
      <c r="X454" s="111"/>
    </row>
    <row r="455" spans="1:24" s="381" customFormat="1">
      <c r="A455" s="111"/>
      <c r="B455" s="111"/>
      <c r="C455" s="349" t="s">
        <v>1637</v>
      </c>
      <c r="D455" s="349"/>
      <c r="E455" s="349"/>
      <c r="F455" s="349"/>
      <c r="G455" s="349"/>
      <c r="H455" s="349"/>
      <c r="I455" s="349"/>
      <c r="J455" s="1076" t="s">
        <v>1657</v>
      </c>
      <c r="K455" s="349"/>
      <c r="L455" s="349"/>
      <c r="M455" s="349"/>
      <c r="N455" s="350"/>
      <c r="O455" s="1075"/>
      <c r="P455" s="1075"/>
      <c r="Q455" s="1005"/>
      <c r="T455" s="111"/>
      <c r="U455" s="111"/>
      <c r="V455" s="111"/>
      <c r="W455" s="111"/>
      <c r="X455" s="111"/>
    </row>
    <row r="456" spans="1:24" s="381" customFormat="1">
      <c r="A456" s="111"/>
      <c r="B456" s="111"/>
      <c r="C456" s="349" t="s">
        <v>1640</v>
      </c>
      <c r="D456" s="349"/>
      <c r="E456" s="349"/>
      <c r="F456" s="349"/>
      <c r="G456" s="349"/>
      <c r="H456" s="349"/>
      <c r="I456" s="349"/>
      <c r="J456" s="1076" t="s">
        <v>1673</v>
      </c>
      <c r="K456" s="349"/>
      <c r="L456" s="349"/>
      <c r="M456" s="349"/>
      <c r="N456" s="350"/>
      <c r="O456" s="1075"/>
      <c r="P456" s="1075"/>
      <c r="Q456" s="1005"/>
      <c r="T456" s="111"/>
      <c r="U456" s="111"/>
      <c r="V456" s="111"/>
      <c r="W456" s="111"/>
      <c r="X456" s="111"/>
    </row>
    <row r="457" spans="1:24" s="381" customFormat="1">
      <c r="A457" s="111"/>
      <c r="B457" s="111"/>
      <c r="C457" s="1077" t="s">
        <v>1643</v>
      </c>
      <c r="D457" s="349"/>
      <c r="E457" s="349"/>
      <c r="F457" s="349"/>
      <c r="G457" s="349"/>
      <c r="H457" s="349"/>
      <c r="I457" s="349"/>
      <c r="J457" s="1076" t="s">
        <v>1680</v>
      </c>
      <c r="K457" s="349"/>
      <c r="L457" s="349"/>
      <c r="M457" s="349"/>
      <c r="N457" s="350"/>
      <c r="O457" s="1075"/>
      <c r="P457" s="1075"/>
      <c r="Q457" s="1005"/>
      <c r="T457" s="111"/>
      <c r="U457" s="111"/>
      <c r="V457" s="111"/>
      <c r="W457" s="111"/>
      <c r="X457" s="111"/>
    </row>
    <row r="458" spans="1:24" s="381" customFormat="1">
      <c r="A458" s="111"/>
      <c r="B458" s="111"/>
      <c r="C458" s="1077" t="s">
        <v>1646</v>
      </c>
      <c r="D458" s="349"/>
      <c r="E458" s="349"/>
      <c r="F458" s="349"/>
      <c r="G458" s="349"/>
      <c r="H458" s="349"/>
      <c r="I458" s="349"/>
      <c r="J458" s="1076" t="s">
        <v>2166</v>
      </c>
      <c r="K458" s="349"/>
      <c r="L458" s="349"/>
      <c r="M458" s="349"/>
      <c r="N458" s="350"/>
      <c r="O458" s="1075"/>
      <c r="P458" s="1075"/>
      <c r="Q458" s="1005"/>
      <c r="T458" s="111"/>
      <c r="U458" s="111"/>
      <c r="V458" s="111"/>
      <c r="W458" s="111"/>
      <c r="X458" s="111"/>
    </row>
    <row r="459" spans="1:24" s="381" customFormat="1">
      <c r="A459" s="111"/>
      <c r="B459" s="111"/>
      <c r="C459" s="1077"/>
      <c r="D459" s="349"/>
      <c r="E459" s="349"/>
      <c r="F459" s="349"/>
      <c r="G459" s="349"/>
      <c r="H459" s="349"/>
      <c r="I459" s="349"/>
      <c r="J459" s="1076" t="s">
        <v>1682</v>
      </c>
      <c r="K459" s="349"/>
      <c r="L459" s="349"/>
      <c r="M459" s="349"/>
      <c r="N459" s="350"/>
      <c r="O459" s="1075"/>
      <c r="P459" s="1075"/>
      <c r="Q459" s="1005"/>
      <c r="T459" s="111"/>
      <c r="U459" s="111"/>
      <c r="V459" s="111"/>
      <c r="W459" s="111"/>
      <c r="X459" s="111"/>
    </row>
    <row r="460" spans="1:24" s="381" customFormat="1">
      <c r="A460" s="111"/>
      <c r="B460" s="111"/>
      <c r="C460" s="349" t="s">
        <v>781</v>
      </c>
      <c r="D460" s="349"/>
      <c r="E460" s="349"/>
      <c r="F460" s="349"/>
      <c r="G460" s="349"/>
      <c r="H460" s="349"/>
      <c r="I460" s="349"/>
      <c r="J460" s="1076" t="s">
        <v>2167</v>
      </c>
      <c r="K460" s="349"/>
      <c r="L460" s="349"/>
      <c r="M460" s="349"/>
      <c r="N460" s="350"/>
      <c r="O460" s="1075"/>
      <c r="P460" s="1075"/>
      <c r="Q460" s="1005"/>
      <c r="T460" s="111"/>
      <c r="U460" s="111"/>
      <c r="V460" s="111"/>
      <c r="W460" s="111"/>
      <c r="X460" s="111"/>
    </row>
    <row r="461" spans="1:24" s="381" customFormat="1">
      <c r="C461" s="1006" t="s">
        <v>1653</v>
      </c>
      <c r="D461" s="349"/>
      <c r="E461" s="349"/>
      <c r="F461" s="349"/>
      <c r="G461" s="349"/>
      <c r="H461" s="349"/>
      <c r="I461" s="349"/>
      <c r="J461" s="1076" t="s">
        <v>1684</v>
      </c>
      <c r="K461" s="349"/>
      <c r="L461" s="349"/>
      <c r="M461" s="349"/>
      <c r="N461" s="350"/>
      <c r="O461" s="1075"/>
      <c r="P461" s="1075"/>
      <c r="Q461" s="1005"/>
      <c r="T461" s="111"/>
      <c r="U461" s="111"/>
      <c r="V461" s="111"/>
      <c r="W461" s="111"/>
      <c r="X461" s="111"/>
    </row>
    <row r="462" spans="1:24" s="381" customFormat="1">
      <c r="C462" s="1006" t="s">
        <v>1656</v>
      </c>
      <c r="D462" s="349"/>
      <c r="E462" s="349"/>
      <c r="F462" s="349"/>
      <c r="G462" s="349"/>
      <c r="H462" s="349"/>
      <c r="I462" s="349"/>
      <c r="J462" s="1076" t="s">
        <v>1663</v>
      </c>
      <c r="K462" s="349"/>
      <c r="L462" s="349"/>
      <c r="M462" s="349"/>
      <c r="N462" s="350"/>
      <c r="O462" s="1075"/>
      <c r="P462" s="1075"/>
      <c r="Q462" s="1005"/>
      <c r="T462" s="111"/>
      <c r="U462" s="111"/>
      <c r="V462" s="111"/>
      <c r="W462" s="111"/>
      <c r="X462" s="111"/>
    </row>
    <row r="463" spans="1:24" s="381" customFormat="1">
      <c r="C463" s="1078" t="s">
        <v>1658</v>
      </c>
      <c r="D463" s="349"/>
      <c r="E463" s="349"/>
      <c r="F463" s="349"/>
      <c r="G463" s="349"/>
      <c r="H463" s="349"/>
      <c r="I463" s="349"/>
      <c r="J463" s="1076" t="s">
        <v>1651</v>
      </c>
      <c r="K463" s="349"/>
      <c r="L463" s="349"/>
      <c r="M463" s="349"/>
      <c r="N463" s="350"/>
      <c r="O463" s="1075"/>
      <c r="P463" s="1075"/>
      <c r="Q463" s="1005"/>
      <c r="T463" s="111"/>
      <c r="U463" s="111"/>
      <c r="V463" s="111"/>
      <c r="W463" s="111"/>
      <c r="X463" s="111"/>
    </row>
    <row r="464" spans="1:24" s="381" customFormat="1">
      <c r="C464" s="1078" t="s">
        <v>1660</v>
      </c>
      <c r="D464" s="349"/>
      <c r="E464" s="349"/>
      <c r="F464" s="349"/>
      <c r="G464" s="349"/>
      <c r="H464" s="349"/>
      <c r="I464" s="349"/>
      <c r="J464" s="1076" t="s">
        <v>1661</v>
      </c>
      <c r="K464" s="349"/>
      <c r="L464" s="349"/>
      <c r="M464" s="349"/>
      <c r="N464" s="350"/>
      <c r="O464" s="1075"/>
      <c r="P464" s="1075"/>
      <c r="Q464" s="1005"/>
      <c r="T464" s="111"/>
      <c r="U464" s="111"/>
      <c r="V464" s="111"/>
      <c r="W464" s="111"/>
      <c r="X464" s="111"/>
    </row>
    <row r="465" spans="3:24" s="381" customFormat="1">
      <c r="C465" s="1078" t="s">
        <v>1662</v>
      </c>
      <c r="D465" s="349"/>
      <c r="E465" s="349"/>
      <c r="F465" s="349"/>
      <c r="G465" s="349"/>
      <c r="H465" s="349"/>
      <c r="I465" s="349"/>
      <c r="J465" s="1076" t="s">
        <v>1686</v>
      </c>
      <c r="K465" s="349"/>
      <c r="L465" s="349"/>
      <c r="M465" s="349"/>
      <c r="N465" s="350"/>
      <c r="O465" s="1075"/>
      <c r="P465" s="1075"/>
      <c r="Q465" s="1005"/>
      <c r="T465" s="111"/>
      <c r="U465" s="111"/>
      <c r="V465" s="111"/>
      <c r="W465" s="111"/>
      <c r="X465" s="111"/>
    </row>
    <row r="466" spans="3:24" s="381" customFormat="1">
      <c r="C466" s="1006" t="s">
        <v>1664</v>
      </c>
      <c r="D466" s="349"/>
      <c r="E466" s="349"/>
      <c r="F466" s="349"/>
      <c r="G466" s="349"/>
      <c r="H466" s="349"/>
      <c r="I466" s="349"/>
      <c r="J466" s="1076" t="s">
        <v>1671</v>
      </c>
      <c r="K466" s="349"/>
      <c r="L466" s="349"/>
      <c r="M466" s="349"/>
      <c r="N466" s="350"/>
      <c r="O466" s="1075"/>
      <c r="P466" s="1075"/>
      <c r="Q466" s="1005"/>
      <c r="T466" s="111"/>
      <c r="U466" s="111"/>
      <c r="V466" s="111"/>
      <c r="W466" s="111"/>
      <c r="X466" s="111"/>
    </row>
    <row r="467" spans="3:24" s="381" customFormat="1">
      <c r="C467" s="1006" t="s">
        <v>1666</v>
      </c>
      <c r="D467" s="349"/>
      <c r="E467" s="349"/>
      <c r="F467" s="349"/>
      <c r="G467" s="349"/>
      <c r="H467" s="349"/>
      <c r="I467" s="349"/>
      <c r="J467" s="1076" t="s">
        <v>1647</v>
      </c>
      <c r="K467" s="349"/>
      <c r="L467" s="349"/>
      <c r="M467" s="349"/>
      <c r="N467" s="350"/>
      <c r="O467" s="1075"/>
      <c r="P467" s="1075"/>
      <c r="Q467" s="1005"/>
      <c r="T467" s="111"/>
      <c r="U467" s="111"/>
      <c r="V467" s="111"/>
      <c r="W467" s="111"/>
      <c r="X467" s="111"/>
    </row>
    <row r="468" spans="3:24" s="381" customFormat="1">
      <c r="C468" s="1006" t="s">
        <v>1668</v>
      </c>
      <c r="D468" s="349"/>
      <c r="E468" s="349"/>
      <c r="F468" s="349"/>
      <c r="G468" s="349"/>
      <c r="H468" s="349"/>
      <c r="I468" s="349"/>
      <c r="J468" s="1076" t="s">
        <v>2168</v>
      </c>
      <c r="K468" s="349"/>
      <c r="L468" s="349"/>
      <c r="M468" s="349"/>
      <c r="N468" s="350"/>
      <c r="O468" s="1075"/>
      <c r="P468" s="1075"/>
      <c r="Q468" s="1005"/>
      <c r="T468" s="111"/>
      <c r="U468" s="111"/>
      <c r="V468" s="111"/>
      <c r="W468" s="111"/>
      <c r="X468" s="111"/>
    </row>
    <row r="469" spans="3:24" s="381" customFormat="1">
      <c r="C469" s="1006" t="s">
        <v>1670</v>
      </c>
      <c r="D469" s="349"/>
      <c r="E469" s="349"/>
      <c r="F469" s="349"/>
      <c r="G469" s="349"/>
      <c r="H469" s="349"/>
      <c r="I469" s="349"/>
      <c r="J469" s="349"/>
      <c r="K469" s="349"/>
      <c r="L469" s="349"/>
      <c r="M469" s="349"/>
      <c r="N469" s="350"/>
      <c r="O469" s="1075"/>
      <c r="P469" s="1075"/>
      <c r="Q469" s="1005"/>
      <c r="T469" s="111"/>
      <c r="U469" s="111"/>
      <c r="V469" s="111"/>
      <c r="W469" s="111"/>
      <c r="X469" s="111"/>
    </row>
    <row r="470" spans="3:24" s="381" customFormat="1">
      <c r="C470" s="1006" t="s">
        <v>1672</v>
      </c>
      <c r="D470" s="349"/>
      <c r="E470" s="349"/>
      <c r="F470" s="349"/>
      <c r="G470" s="349"/>
      <c r="H470" s="349"/>
      <c r="I470" s="349"/>
      <c r="J470" s="1079" t="s">
        <v>2169</v>
      </c>
      <c r="K470" s="349"/>
      <c r="L470" s="349"/>
      <c r="M470" s="349"/>
      <c r="N470" s="350"/>
      <c r="O470" s="1079" t="s">
        <v>2170</v>
      </c>
      <c r="P470" s="1075"/>
      <c r="Q470" s="1005"/>
      <c r="T470" s="111"/>
      <c r="U470" s="111"/>
      <c r="V470" s="111"/>
      <c r="W470" s="111"/>
      <c r="X470" s="111"/>
    </row>
    <row r="471" spans="3:24" s="381" customFormat="1">
      <c r="C471" s="1006" t="s">
        <v>1674</v>
      </c>
      <c r="D471" s="349"/>
      <c r="E471" s="349"/>
      <c r="F471" s="349"/>
      <c r="G471" s="349"/>
      <c r="H471" s="349"/>
      <c r="I471" s="349"/>
      <c r="J471" s="1076" t="s">
        <v>2171</v>
      </c>
      <c r="K471" s="349"/>
      <c r="L471" s="349"/>
      <c r="M471" s="349"/>
      <c r="N471" s="350"/>
      <c r="O471" s="1075"/>
      <c r="P471" s="1075"/>
      <c r="Q471" s="1005"/>
      <c r="T471" s="111"/>
      <c r="U471" s="111"/>
      <c r="V471" s="111"/>
      <c r="W471" s="111"/>
      <c r="X471" s="111"/>
    </row>
    <row r="472" spans="3:24" s="381" customFormat="1">
      <c r="C472" s="1006" t="s">
        <v>1676</v>
      </c>
      <c r="D472" s="349"/>
      <c r="E472" s="349"/>
      <c r="F472" s="349"/>
      <c r="G472" s="349"/>
      <c r="H472" s="349"/>
      <c r="I472" s="349"/>
      <c r="J472" s="349" t="s">
        <v>2172</v>
      </c>
      <c r="K472" s="349"/>
      <c r="L472" s="349"/>
      <c r="M472" s="349"/>
      <c r="N472" s="350"/>
      <c r="O472" s="1075">
        <v>2</v>
      </c>
      <c r="P472" s="1075"/>
      <c r="Q472" s="407"/>
      <c r="R472" s="111"/>
      <c r="S472" s="111"/>
      <c r="T472" s="111"/>
      <c r="U472" s="111"/>
      <c r="V472" s="111"/>
      <c r="W472" s="111"/>
      <c r="X472" s="111"/>
    </row>
    <row r="473" spans="3:24" s="381" customFormat="1">
      <c r="C473" s="349"/>
      <c r="D473" s="349"/>
      <c r="E473" s="349"/>
      <c r="F473" s="349"/>
      <c r="G473" s="349"/>
      <c r="H473" s="349"/>
      <c r="I473" s="349"/>
      <c r="J473" s="349" t="s">
        <v>2173</v>
      </c>
      <c r="K473" s="349"/>
      <c r="L473" s="349"/>
      <c r="M473" s="349"/>
      <c r="N473" s="350"/>
      <c r="O473" s="1075">
        <v>2</v>
      </c>
      <c r="P473" s="1075"/>
      <c r="Q473" s="407"/>
      <c r="R473" s="111"/>
      <c r="S473" s="111"/>
      <c r="T473" s="111"/>
      <c r="U473" s="111"/>
      <c r="V473" s="111"/>
      <c r="W473" s="111"/>
      <c r="X473" s="111"/>
    </row>
    <row r="474" spans="3:24" s="381" customFormat="1">
      <c r="C474" s="349"/>
      <c r="D474" s="349"/>
      <c r="E474" s="349"/>
      <c r="F474" s="349"/>
      <c r="G474" s="349"/>
      <c r="H474" s="349"/>
      <c r="I474" s="349"/>
      <c r="J474" s="349" t="s">
        <v>2174</v>
      </c>
      <c r="K474" s="349"/>
      <c r="L474" s="349"/>
      <c r="M474" s="349"/>
      <c r="N474" s="350"/>
      <c r="O474" s="1075">
        <v>2</v>
      </c>
      <c r="P474" s="1075"/>
      <c r="Q474" s="407"/>
      <c r="R474" s="111"/>
      <c r="S474" s="111"/>
      <c r="T474" s="111"/>
      <c r="U474" s="111"/>
      <c r="V474" s="111"/>
      <c r="W474" s="111"/>
      <c r="X474" s="111"/>
    </row>
    <row r="475" spans="3:24" s="381" customFormat="1">
      <c r="C475" s="349" t="s">
        <v>2016</v>
      </c>
      <c r="D475" s="349"/>
      <c r="E475" s="349"/>
      <c r="F475" s="349"/>
      <c r="G475" s="1080" t="s">
        <v>2175</v>
      </c>
      <c r="H475" s="1081"/>
      <c r="I475" s="1080"/>
      <c r="J475" s="349" t="s">
        <v>2176</v>
      </c>
      <c r="K475" s="349"/>
      <c r="L475" s="1080"/>
      <c r="M475" s="349"/>
      <c r="N475" s="350"/>
      <c r="O475" s="1075">
        <v>2</v>
      </c>
      <c r="P475" s="1075"/>
      <c r="Q475" s="407"/>
      <c r="R475" s="111"/>
      <c r="S475" s="111"/>
      <c r="T475" s="111"/>
      <c r="U475" s="111"/>
      <c r="V475" s="111"/>
      <c r="W475" s="111"/>
      <c r="X475" s="111"/>
    </row>
    <row r="476" spans="3:24" s="381" customFormat="1">
      <c r="C476" s="1082" t="s">
        <v>2177</v>
      </c>
      <c r="D476" s="349"/>
      <c r="E476" s="349"/>
      <c r="F476" s="349"/>
      <c r="G476" s="1083" t="s">
        <v>2088</v>
      </c>
      <c r="H476" s="1081"/>
      <c r="I476" s="1083"/>
      <c r="J476" s="349" t="s">
        <v>2178</v>
      </c>
      <c r="K476" s="349"/>
      <c r="L476" s="1083"/>
      <c r="M476" s="349"/>
      <c r="N476" s="350"/>
      <c r="O476" s="1075">
        <v>2</v>
      </c>
      <c r="P476" s="1075"/>
      <c r="Q476" s="407"/>
      <c r="R476" s="111"/>
      <c r="S476" s="111"/>
      <c r="T476" s="111"/>
      <c r="U476" s="111"/>
      <c r="V476" s="111"/>
      <c r="W476" s="111"/>
      <c r="X476" s="111"/>
    </row>
    <row r="477" spans="3:24" s="381" customFormat="1">
      <c r="C477" s="1082" t="s">
        <v>2179</v>
      </c>
      <c r="D477" s="349"/>
      <c r="E477" s="349"/>
      <c r="F477" s="349"/>
      <c r="G477" s="1083" t="s">
        <v>2180</v>
      </c>
      <c r="H477" s="1081"/>
      <c r="I477" s="1084"/>
      <c r="J477" s="1081" t="s">
        <v>2181</v>
      </c>
      <c r="K477" s="349"/>
      <c r="L477" s="1084"/>
      <c r="M477" s="349"/>
      <c r="N477" s="350"/>
      <c r="O477" s="1075">
        <v>1</v>
      </c>
      <c r="P477" s="1075"/>
      <c r="Q477" s="407"/>
      <c r="R477" s="111"/>
      <c r="S477" s="111"/>
      <c r="T477" s="111"/>
      <c r="U477" s="111"/>
      <c r="V477" s="111"/>
      <c r="W477" s="111"/>
      <c r="X477" s="111"/>
    </row>
    <row r="478" spans="3:24" s="381" customFormat="1">
      <c r="C478" s="1082" t="s">
        <v>2182</v>
      </c>
      <c r="D478" s="349"/>
      <c r="E478" s="349"/>
      <c r="F478" s="349"/>
      <c r="G478" s="1083" t="s">
        <v>2183</v>
      </c>
      <c r="H478" s="1081"/>
      <c r="I478" s="1084"/>
      <c r="J478" s="1081" t="s">
        <v>2184</v>
      </c>
      <c r="K478" s="349"/>
      <c r="L478" s="1084"/>
      <c r="M478" s="349"/>
      <c r="N478" s="350"/>
      <c r="O478" s="1075">
        <v>1</v>
      </c>
      <c r="P478" s="1075"/>
      <c r="Q478" s="407"/>
      <c r="R478" s="111"/>
      <c r="S478" s="111"/>
      <c r="T478" s="111"/>
      <c r="U478" s="111"/>
      <c r="V478" s="111"/>
      <c r="W478" s="111"/>
      <c r="X478" s="111"/>
    </row>
    <row r="479" spans="3:24" s="381" customFormat="1">
      <c r="C479" s="1082" t="s">
        <v>2185</v>
      </c>
      <c r="D479" s="349"/>
      <c r="E479" s="349"/>
      <c r="F479" s="349"/>
      <c r="G479" s="1083" t="s">
        <v>2186</v>
      </c>
      <c r="H479" s="1081"/>
      <c r="I479" s="1084"/>
      <c r="J479" s="1081" t="s">
        <v>2187</v>
      </c>
      <c r="K479" s="349"/>
      <c r="L479" s="1084"/>
      <c r="M479" s="349"/>
      <c r="N479" s="350"/>
      <c r="O479" s="1075">
        <v>1</v>
      </c>
      <c r="P479" s="1075"/>
      <c r="Q479" s="407"/>
      <c r="R479" s="111"/>
      <c r="S479" s="111"/>
      <c r="T479" s="111"/>
      <c r="U479" s="111"/>
      <c r="V479" s="111"/>
      <c r="W479" s="111"/>
      <c r="X479" s="111"/>
    </row>
    <row r="480" spans="3:24" s="381" customFormat="1">
      <c r="C480" s="1082" t="s">
        <v>2188</v>
      </c>
      <c r="D480" s="349"/>
      <c r="E480" s="349"/>
      <c r="F480" s="349"/>
      <c r="G480" s="1083" t="s">
        <v>2189</v>
      </c>
      <c r="H480" s="1081"/>
      <c r="I480" s="1084"/>
      <c r="J480" s="1081" t="s">
        <v>2190</v>
      </c>
      <c r="K480" s="349"/>
      <c r="L480" s="1084"/>
      <c r="M480" s="349"/>
      <c r="N480" s="350"/>
      <c r="O480" s="1075">
        <v>1</v>
      </c>
      <c r="P480" s="1075"/>
      <c r="Q480" s="407"/>
      <c r="R480" s="111"/>
      <c r="S480" s="111"/>
      <c r="T480" s="111"/>
      <c r="U480" s="111"/>
      <c r="V480" s="111"/>
      <c r="W480" s="111"/>
      <c r="X480" s="111"/>
    </row>
    <row r="481" spans="1:24" s="381" customFormat="1">
      <c r="C481" s="1082" t="s">
        <v>2191</v>
      </c>
      <c r="D481" s="349"/>
      <c r="E481" s="349"/>
      <c r="F481" s="349"/>
      <c r="G481" s="1083" t="s">
        <v>2192</v>
      </c>
      <c r="H481" s="1081"/>
      <c r="I481" s="1084"/>
      <c r="J481" s="1081" t="s">
        <v>2193</v>
      </c>
      <c r="K481" s="349"/>
      <c r="L481" s="1084"/>
      <c r="M481" s="349"/>
      <c r="N481" s="350"/>
      <c r="O481" s="1075">
        <v>1</v>
      </c>
      <c r="P481" s="1075"/>
      <c r="Q481" s="407"/>
      <c r="R481" s="111"/>
      <c r="S481" s="111"/>
      <c r="T481" s="111"/>
      <c r="U481" s="111"/>
      <c r="V481" s="111"/>
      <c r="W481" s="111"/>
      <c r="X481" s="111"/>
    </row>
    <row r="482" spans="1:24" s="381" customFormat="1">
      <c r="C482" s="1082"/>
      <c r="D482" s="349"/>
      <c r="E482" s="349"/>
      <c r="F482" s="349"/>
      <c r="G482" s="1083" t="s">
        <v>2194</v>
      </c>
      <c r="H482" s="1081"/>
      <c r="I482" s="1084"/>
      <c r="J482" s="1081" t="s">
        <v>2195</v>
      </c>
      <c r="K482" s="349"/>
      <c r="L482" s="1084"/>
      <c r="M482" s="349"/>
      <c r="N482" s="350"/>
      <c r="O482" s="1075">
        <v>1</v>
      </c>
      <c r="P482" s="1075"/>
      <c r="Q482" s="407"/>
      <c r="R482" s="111"/>
      <c r="S482" s="111"/>
      <c r="T482" s="111"/>
      <c r="U482" s="111"/>
      <c r="V482" s="111"/>
      <c r="W482" s="111"/>
      <c r="X482" s="111"/>
    </row>
    <row r="483" spans="1:24" s="381" customFormat="1">
      <c r="C483" s="1082"/>
      <c r="D483" s="349"/>
      <c r="E483" s="349"/>
      <c r="F483" s="349"/>
      <c r="G483" s="1083" t="s">
        <v>2196</v>
      </c>
      <c r="H483" s="1081"/>
      <c r="I483" s="1084"/>
      <c r="J483" s="1081" t="s">
        <v>2197</v>
      </c>
      <c r="K483" s="349"/>
      <c r="L483" s="1084"/>
      <c r="M483" s="349"/>
      <c r="N483" s="350"/>
      <c r="O483" s="1075">
        <v>1</v>
      </c>
      <c r="P483" s="1075"/>
      <c r="Q483" s="407"/>
      <c r="R483" s="111"/>
      <c r="S483" s="111"/>
      <c r="T483" s="111"/>
      <c r="U483" s="111"/>
      <c r="V483" s="111"/>
      <c r="W483" s="111"/>
      <c r="X483" s="111"/>
    </row>
    <row r="484" spans="1:24" s="381" customFormat="1">
      <c r="C484" s="1082"/>
      <c r="D484" s="349"/>
      <c r="E484" s="349"/>
      <c r="F484" s="349"/>
      <c r="G484" s="1083" t="s">
        <v>2198</v>
      </c>
      <c r="H484" s="1081"/>
      <c r="I484" s="1084"/>
      <c r="J484" s="1081" t="s">
        <v>2199</v>
      </c>
      <c r="K484" s="349"/>
      <c r="L484" s="1084"/>
      <c r="M484" s="349"/>
      <c r="N484" s="350"/>
      <c r="O484" s="1075">
        <v>1</v>
      </c>
      <c r="P484" s="1075"/>
      <c r="Q484" s="407"/>
      <c r="R484" s="111"/>
      <c r="S484" s="111"/>
      <c r="T484" s="111"/>
      <c r="U484" s="111"/>
      <c r="V484" s="111"/>
      <c r="W484" s="111"/>
      <c r="X484" s="111"/>
    </row>
    <row r="485" spans="1:24" s="381" customFormat="1">
      <c r="C485" s="349"/>
      <c r="D485" s="349"/>
      <c r="E485" s="349"/>
      <c r="F485" s="349"/>
      <c r="G485" s="1083" t="s">
        <v>2200</v>
      </c>
      <c r="H485" s="1081"/>
      <c r="I485" s="1084"/>
      <c r="J485" s="1081" t="s">
        <v>2201</v>
      </c>
      <c r="K485" s="349"/>
      <c r="L485" s="1084"/>
      <c r="M485" s="349"/>
      <c r="N485" s="350"/>
      <c r="O485" s="1075">
        <v>1</v>
      </c>
      <c r="P485" s="1075"/>
      <c r="Q485" s="407"/>
      <c r="R485" s="111"/>
      <c r="S485" s="111"/>
      <c r="T485" s="111"/>
      <c r="U485" s="111"/>
      <c r="V485" s="111"/>
      <c r="W485" s="111"/>
      <c r="X485" s="111"/>
    </row>
    <row r="486" spans="1:24" s="381" customFormat="1">
      <c r="C486" s="349"/>
      <c r="D486" s="349"/>
      <c r="E486" s="349"/>
      <c r="F486" s="349"/>
      <c r="G486" s="1083" t="s">
        <v>2202</v>
      </c>
      <c r="H486" s="1081"/>
      <c r="I486" s="1084"/>
      <c r="J486" s="1081" t="s">
        <v>2203</v>
      </c>
      <c r="K486" s="349"/>
      <c r="L486" s="1084"/>
      <c r="M486" s="349"/>
      <c r="N486" s="350"/>
      <c r="O486" s="1075">
        <v>1</v>
      </c>
      <c r="P486" s="1075"/>
      <c r="Q486" s="407"/>
      <c r="R486" s="111"/>
      <c r="S486" s="111"/>
      <c r="T486" s="111"/>
      <c r="U486" s="111"/>
      <c r="V486" s="111"/>
      <c r="W486" s="111"/>
      <c r="X486" s="111"/>
    </row>
    <row r="487" spans="1:24" s="381" customFormat="1">
      <c r="A487" s="932" t="s">
        <v>2204</v>
      </c>
      <c r="C487" s="349"/>
      <c r="D487" s="349"/>
      <c r="E487" s="349"/>
      <c r="F487" s="349"/>
      <c r="G487" s="1083" t="s">
        <v>2205</v>
      </c>
      <c r="H487" s="1081"/>
      <c r="I487" s="1084"/>
      <c r="J487" s="1081" t="s">
        <v>2206</v>
      </c>
      <c r="K487" s="349"/>
      <c r="L487" s="1084"/>
      <c r="M487" s="349"/>
      <c r="N487" s="350"/>
      <c r="O487" s="1075">
        <v>1</v>
      </c>
      <c r="P487" s="1075"/>
      <c r="Q487" s="407"/>
      <c r="R487" s="111"/>
      <c r="S487" s="111"/>
      <c r="T487" s="111"/>
      <c r="U487" s="111"/>
      <c r="V487" s="111"/>
      <c r="W487" s="111"/>
      <c r="X487" s="111"/>
    </row>
    <row r="488" spans="1:24" s="381" customFormat="1">
      <c r="A488" s="932" t="s">
        <v>2207</v>
      </c>
      <c r="C488" s="349"/>
      <c r="D488" s="349"/>
      <c r="E488" s="349"/>
      <c r="F488" s="349"/>
      <c r="G488" s="1083" t="s">
        <v>2208</v>
      </c>
      <c r="H488" s="1081"/>
      <c r="I488" s="1084"/>
      <c r="J488" s="1081" t="s">
        <v>2209</v>
      </c>
      <c r="K488" s="349"/>
      <c r="L488" s="1084"/>
      <c r="M488" s="349"/>
      <c r="N488" s="350"/>
      <c r="O488" s="1075">
        <v>1</v>
      </c>
      <c r="P488" s="1075"/>
      <c r="Q488" s="407"/>
      <c r="R488" s="111"/>
      <c r="S488" s="111"/>
      <c r="T488" s="111"/>
      <c r="U488" s="111"/>
      <c r="V488" s="111"/>
      <c r="W488" s="111"/>
      <c r="X488" s="111"/>
    </row>
    <row r="489" spans="1:24" s="381" customFormat="1">
      <c r="A489" s="944" t="s">
        <v>2210</v>
      </c>
      <c r="C489" s="349"/>
      <c r="D489" s="1082"/>
      <c r="E489" s="1082">
        <v>3</v>
      </c>
      <c r="F489" s="349"/>
      <c r="G489" s="1083" t="s">
        <v>2211</v>
      </c>
      <c r="H489" s="1081"/>
      <c r="I489" s="1084"/>
      <c r="J489" s="349"/>
      <c r="K489" s="349"/>
      <c r="L489" s="1084"/>
      <c r="M489" s="349"/>
      <c r="N489" s="350"/>
      <c r="O489" s="1075"/>
      <c r="P489" s="1075"/>
      <c r="Q489" s="407"/>
      <c r="R489" s="111"/>
      <c r="S489" s="111"/>
      <c r="T489" s="111"/>
      <c r="U489" s="111"/>
      <c r="V489" s="111"/>
      <c r="W489" s="111"/>
      <c r="X489" s="111"/>
    </row>
    <row r="490" spans="1:24" s="381" customFormat="1">
      <c r="A490" s="944" t="s">
        <v>2212</v>
      </c>
      <c r="C490" s="349"/>
      <c r="D490" s="1082"/>
      <c r="E490" s="1082">
        <v>2</v>
      </c>
      <c r="F490" s="349"/>
      <c r="G490" s="1083" t="s">
        <v>2213</v>
      </c>
      <c r="H490" s="1081"/>
      <c r="I490" s="1084"/>
      <c r="J490" s="349"/>
      <c r="K490" s="349"/>
      <c r="L490" s="1084"/>
      <c r="M490" s="349"/>
      <c r="N490" s="350"/>
      <c r="O490" s="1075"/>
      <c r="P490" s="1075"/>
      <c r="Q490" s="407"/>
      <c r="R490" s="111"/>
      <c r="S490" s="111"/>
      <c r="T490" s="111"/>
      <c r="U490" s="111"/>
      <c r="V490" s="111"/>
      <c r="W490" s="111"/>
      <c r="X490" s="111"/>
    </row>
    <row r="491" spans="1:24" s="381" customFormat="1">
      <c r="A491" s="944" t="s">
        <v>2214</v>
      </c>
      <c r="C491" s="349"/>
      <c r="D491" s="1082"/>
      <c r="E491" s="1082">
        <v>10</v>
      </c>
      <c r="F491" s="349"/>
      <c r="G491" s="1083" t="s">
        <v>2215</v>
      </c>
      <c r="H491" s="1081"/>
      <c r="I491" s="1084"/>
      <c r="J491" s="1085" t="s">
        <v>2216</v>
      </c>
      <c r="K491" s="349"/>
      <c r="L491" s="1084"/>
      <c r="M491" s="349"/>
      <c r="N491" s="350"/>
      <c r="O491" s="1075"/>
      <c r="P491" s="1075"/>
      <c r="Q491" s="407"/>
      <c r="R491" s="111"/>
      <c r="S491" s="111"/>
      <c r="T491" s="111"/>
      <c r="U491" s="111"/>
      <c r="V491" s="111"/>
      <c r="W491" s="111"/>
      <c r="X491" s="111"/>
    </row>
    <row r="492" spans="1:24" s="381" customFormat="1">
      <c r="A492" s="944" t="s">
        <v>2217</v>
      </c>
      <c r="C492" s="349"/>
      <c r="D492" s="1082"/>
      <c r="E492" s="1082"/>
      <c r="F492" s="349"/>
      <c r="G492" s="1083" t="s">
        <v>2218</v>
      </c>
      <c r="H492" s="1081"/>
      <c r="I492" s="1084"/>
      <c r="J492" s="1081" t="s">
        <v>1847</v>
      </c>
      <c r="K492" s="349"/>
      <c r="L492" s="1084"/>
      <c r="M492" s="349"/>
      <c r="N492" s="350"/>
      <c r="O492" s="1075"/>
      <c r="P492" s="1075"/>
      <c r="Q492" s="407"/>
      <c r="R492" s="111"/>
      <c r="S492" s="111"/>
      <c r="T492" s="111"/>
      <c r="U492" s="111"/>
      <c r="V492" s="111"/>
      <c r="W492" s="111"/>
      <c r="X492" s="111"/>
    </row>
    <row r="493" spans="1:24" s="381" customFormat="1">
      <c r="C493" s="1082"/>
      <c r="D493" s="349"/>
      <c r="E493" s="349"/>
      <c r="F493" s="349"/>
      <c r="G493" s="1083" t="s">
        <v>2219</v>
      </c>
      <c r="H493" s="1081"/>
      <c r="I493" s="1084"/>
      <c r="J493" s="1081" t="s">
        <v>2220</v>
      </c>
      <c r="K493" s="349"/>
      <c r="L493" s="1084"/>
      <c r="M493" s="349"/>
      <c r="N493" s="350"/>
      <c r="O493" s="1075"/>
      <c r="P493" s="1075"/>
      <c r="Q493" s="407"/>
      <c r="R493" s="111"/>
      <c r="S493" s="111"/>
      <c r="T493" s="111"/>
      <c r="U493" s="111"/>
      <c r="V493" s="111"/>
      <c r="W493" s="111"/>
      <c r="X493" s="111"/>
    </row>
    <row r="494" spans="1:24" s="381" customFormat="1">
      <c r="C494" s="1082"/>
      <c r="D494" s="349"/>
      <c r="E494" s="349"/>
      <c r="F494" s="349"/>
      <c r="G494" s="1083" t="s">
        <v>326</v>
      </c>
      <c r="H494" s="1081"/>
      <c r="I494" s="1084"/>
      <c r="J494" s="1081" t="s">
        <v>2221</v>
      </c>
      <c r="K494" s="1081"/>
      <c r="L494" s="1084"/>
      <c r="M494" s="349"/>
      <c r="N494" s="350"/>
      <c r="O494" s="1075"/>
      <c r="P494" s="1075"/>
      <c r="Q494" s="407"/>
      <c r="R494" s="111"/>
      <c r="S494" s="111"/>
      <c r="T494" s="111"/>
      <c r="U494" s="111"/>
      <c r="V494" s="111"/>
      <c r="W494" s="111"/>
      <c r="X494" s="111"/>
    </row>
    <row r="495" spans="1:24" s="381" customFormat="1">
      <c r="C495" s="1082"/>
      <c r="D495" s="349"/>
      <c r="E495" s="349"/>
      <c r="F495" s="349"/>
      <c r="G495" s="1083" t="s">
        <v>2222</v>
      </c>
      <c r="H495" s="1084"/>
      <c r="I495" s="1081"/>
      <c r="J495" s="1081" t="s">
        <v>2223</v>
      </c>
      <c r="K495" s="349"/>
      <c r="L495" s="1084"/>
      <c r="M495" s="349"/>
      <c r="N495" s="350"/>
      <c r="O495" s="1075"/>
      <c r="P495" s="1075"/>
      <c r="Q495" s="407"/>
      <c r="R495" s="111"/>
      <c r="S495" s="111"/>
      <c r="T495" s="111"/>
      <c r="U495" s="111"/>
      <c r="V495" s="111"/>
      <c r="W495" s="111"/>
      <c r="X495" s="111"/>
    </row>
    <row r="496" spans="1:24" s="381" customFormat="1">
      <c r="C496" s="1082"/>
      <c r="D496" s="349"/>
      <c r="E496" s="349"/>
      <c r="F496" s="349"/>
      <c r="G496" s="1083" t="s">
        <v>2224</v>
      </c>
      <c r="H496" s="1084"/>
      <c r="I496" s="1081"/>
      <c r="J496" s="1081" t="s">
        <v>2225</v>
      </c>
      <c r="K496" s="1081"/>
      <c r="L496" s="1084"/>
      <c r="M496" s="349"/>
      <c r="N496" s="350"/>
      <c r="O496" s="1075"/>
      <c r="P496" s="1075"/>
      <c r="Q496" s="407"/>
      <c r="R496" s="111"/>
      <c r="S496" s="111"/>
      <c r="T496" s="111"/>
      <c r="U496" s="111"/>
      <c r="V496" s="111"/>
      <c r="W496" s="111"/>
      <c r="X496" s="111"/>
    </row>
    <row r="497" spans="1:24" s="381" customFormat="1">
      <c r="C497" s="349"/>
      <c r="D497" s="349"/>
      <c r="E497" s="349"/>
      <c r="F497" s="349"/>
      <c r="G497" s="1083" t="s">
        <v>2226</v>
      </c>
      <c r="H497" s="1084"/>
      <c r="I497" s="1081"/>
      <c r="J497" s="1081" t="s">
        <v>2227</v>
      </c>
      <c r="K497" s="349"/>
      <c r="L497" s="1084"/>
      <c r="M497" s="349"/>
      <c r="N497" s="350"/>
      <c r="O497" s="1075"/>
      <c r="P497" s="1075"/>
      <c r="Q497" s="407"/>
      <c r="R497" s="111"/>
      <c r="S497" s="111"/>
      <c r="T497" s="111"/>
      <c r="U497" s="111"/>
      <c r="V497" s="111"/>
      <c r="W497" s="111"/>
      <c r="X497" s="111"/>
    </row>
    <row r="498" spans="1:24" s="381" customFormat="1">
      <c r="C498" s="349"/>
      <c r="D498" s="349"/>
      <c r="E498" s="349"/>
      <c r="F498" s="349"/>
      <c r="G498" s="1083" t="s">
        <v>2228</v>
      </c>
      <c r="H498" s="1084"/>
      <c r="I498" s="1081"/>
      <c r="J498" s="1081" t="s">
        <v>2229</v>
      </c>
      <c r="K498" s="349"/>
      <c r="L498" s="1081"/>
      <c r="M498" s="349"/>
      <c r="N498" s="350"/>
      <c r="O498" s="1075"/>
      <c r="P498" s="1075"/>
      <c r="Q498" s="407"/>
      <c r="R498" s="111"/>
      <c r="S498" s="111"/>
      <c r="T498" s="111"/>
      <c r="U498" s="111"/>
      <c r="V498" s="111"/>
      <c r="W498" s="111"/>
      <c r="X498" s="111"/>
    </row>
    <row r="499" spans="1:24" s="381" customFormat="1">
      <c r="C499" s="349"/>
      <c r="D499" s="349"/>
      <c r="E499" s="349"/>
      <c r="F499" s="349"/>
      <c r="G499" s="1083" t="s">
        <v>2230</v>
      </c>
      <c r="H499" s="1084"/>
      <c r="I499" s="1081"/>
      <c r="J499" s="1081" t="s">
        <v>2231</v>
      </c>
      <c r="K499" s="349"/>
      <c r="L499" s="1084"/>
      <c r="M499" s="349"/>
      <c r="N499" s="350"/>
      <c r="O499" s="1075"/>
      <c r="P499" s="1075"/>
      <c r="Q499" s="407"/>
      <c r="R499" s="111"/>
      <c r="S499" s="111"/>
      <c r="T499" s="111"/>
      <c r="U499" s="111"/>
      <c r="V499" s="111"/>
      <c r="W499" s="111"/>
      <c r="X499" s="111"/>
    </row>
    <row r="500" spans="1:24" s="381" customFormat="1">
      <c r="C500" s="349"/>
      <c r="D500" s="349"/>
      <c r="E500" s="349"/>
      <c r="F500" s="349"/>
      <c r="G500" s="1083" t="s">
        <v>2232</v>
      </c>
      <c r="H500" s="1084"/>
      <c r="I500" s="1081"/>
      <c r="J500" s="1081" t="s">
        <v>2233</v>
      </c>
      <c r="K500" s="349"/>
      <c r="L500" s="1084"/>
      <c r="M500" s="349"/>
      <c r="N500" s="350"/>
      <c r="O500" s="1075"/>
      <c r="P500" s="1075"/>
      <c r="Q500" s="407"/>
      <c r="R500" s="111"/>
      <c r="S500" s="111"/>
      <c r="T500" s="111"/>
      <c r="U500" s="111"/>
      <c r="V500" s="111"/>
      <c r="W500" s="111"/>
      <c r="X500" s="111"/>
    </row>
    <row r="501" spans="1:24" s="381" customFormat="1">
      <c r="C501" s="349"/>
      <c r="D501" s="349"/>
      <c r="E501" s="349"/>
      <c r="F501" s="349"/>
      <c r="G501" s="1083" t="s">
        <v>2234</v>
      </c>
      <c r="H501" s="1084"/>
      <c r="I501" s="1081"/>
      <c r="J501" s="1081" t="s">
        <v>2235</v>
      </c>
      <c r="K501" s="1081"/>
      <c r="L501" s="1081"/>
      <c r="M501" s="349"/>
      <c r="N501" s="350"/>
      <c r="O501" s="1075"/>
      <c r="P501" s="1075"/>
      <c r="Q501" s="407"/>
      <c r="R501" s="111"/>
      <c r="S501" s="111"/>
      <c r="T501" s="111"/>
      <c r="U501" s="111"/>
      <c r="V501" s="111"/>
      <c r="W501" s="111"/>
      <c r="X501" s="111"/>
    </row>
    <row r="502" spans="1:24" s="381" customFormat="1">
      <c r="C502" s="349"/>
      <c r="D502" s="1086"/>
      <c r="E502" s="349"/>
      <c r="F502" s="349"/>
      <c r="G502" s="1083" t="s">
        <v>2236</v>
      </c>
      <c r="H502" s="1084"/>
      <c r="I502" s="1081"/>
      <c r="J502" s="1081" t="s">
        <v>2237</v>
      </c>
      <c r="K502" s="349"/>
      <c r="L502" s="1084"/>
      <c r="M502" s="349"/>
      <c r="N502" s="350"/>
      <c r="O502" s="1075"/>
      <c r="P502" s="1075"/>
      <c r="Q502" s="407"/>
      <c r="R502" s="111"/>
      <c r="S502" s="111"/>
      <c r="T502" s="111"/>
      <c r="U502" s="111"/>
      <c r="V502" s="111"/>
      <c r="W502" s="111"/>
      <c r="X502" s="111"/>
    </row>
    <row r="503" spans="1:24" s="111" customFormat="1">
      <c r="A503" s="381"/>
      <c r="B503" s="381"/>
      <c r="C503" s="349"/>
      <c r="D503" s="1086"/>
      <c r="E503" s="349"/>
      <c r="F503" s="349"/>
      <c r="G503" s="1083" t="s">
        <v>2238</v>
      </c>
      <c r="H503" s="1084"/>
      <c r="I503" s="1081"/>
      <c r="J503" s="1081" t="s">
        <v>2239</v>
      </c>
      <c r="K503" s="349"/>
      <c r="L503" s="1084"/>
      <c r="M503" s="349"/>
      <c r="N503" s="350"/>
      <c r="O503" s="1075"/>
      <c r="P503" s="1075"/>
      <c r="Q503" s="407"/>
    </row>
    <row r="504" spans="1:24" s="111" customFormat="1">
      <c r="A504" s="381"/>
      <c r="B504" s="381"/>
      <c r="C504" s="349"/>
      <c r="D504" s="1087"/>
      <c r="E504" s="349"/>
      <c r="F504" s="349"/>
      <c r="G504" s="1083" t="s">
        <v>2240</v>
      </c>
      <c r="H504" s="1084"/>
      <c r="I504" s="1081"/>
      <c r="J504" s="1081" t="s">
        <v>2241</v>
      </c>
      <c r="K504" s="349"/>
      <c r="L504" s="1084"/>
      <c r="M504" s="349"/>
      <c r="N504" s="350"/>
      <c r="O504" s="1075"/>
      <c r="P504" s="1075"/>
      <c r="Q504" s="407"/>
    </row>
    <row r="505" spans="1:24" s="111" customFormat="1">
      <c r="A505" s="381"/>
      <c r="B505" s="381"/>
      <c r="C505" s="349"/>
      <c r="D505" s="1087"/>
      <c r="E505" s="1087"/>
      <c r="F505" s="349"/>
      <c r="G505" s="1083" t="s">
        <v>2242</v>
      </c>
      <c r="H505" s="1084"/>
      <c r="I505" s="1081"/>
      <c r="J505" s="1081" t="s">
        <v>2243</v>
      </c>
      <c r="K505" s="349"/>
      <c r="L505" s="1081"/>
      <c r="M505" s="349"/>
      <c r="N505" s="350"/>
      <c r="O505" s="1075"/>
      <c r="P505" s="1075"/>
      <c r="Q505" s="407"/>
    </row>
    <row r="506" spans="1:24" s="111" customFormat="1">
      <c r="A506" s="381"/>
      <c r="B506" s="381"/>
      <c r="C506" s="349"/>
      <c r="D506" s="349"/>
      <c r="E506" s="349"/>
      <c r="F506" s="349"/>
      <c r="G506" s="1083" t="s">
        <v>2244</v>
      </c>
      <c r="H506" s="1084"/>
      <c r="I506" s="1081"/>
      <c r="J506" s="1081" t="s">
        <v>2245</v>
      </c>
      <c r="K506" s="349"/>
      <c r="L506" s="1084"/>
      <c r="M506" s="349"/>
      <c r="N506" s="350"/>
      <c r="O506" s="1075"/>
      <c r="P506" s="1075"/>
      <c r="Q506" s="407"/>
    </row>
    <row r="507" spans="1:24" s="111" customFormat="1">
      <c r="A507" s="381"/>
      <c r="B507" s="381"/>
      <c r="C507" s="349"/>
      <c r="D507" s="349"/>
      <c r="E507" s="349"/>
      <c r="F507" s="349"/>
      <c r="G507" s="1083" t="s">
        <v>2246</v>
      </c>
      <c r="H507" s="1084"/>
      <c r="I507" s="1081"/>
      <c r="J507" s="1081" t="s">
        <v>2247</v>
      </c>
      <c r="K507" s="349"/>
      <c r="L507" s="1084"/>
      <c r="M507" s="349"/>
      <c r="N507" s="350"/>
      <c r="O507" s="1075"/>
      <c r="P507" s="1075"/>
      <c r="Q507" s="407"/>
    </row>
    <row r="508" spans="1:24" s="111" customFormat="1">
      <c r="A508" s="381"/>
      <c r="B508" s="381"/>
      <c r="C508" s="1086"/>
      <c r="D508" s="349"/>
      <c r="E508" s="349"/>
      <c r="F508" s="349"/>
      <c r="G508" s="1083" t="s">
        <v>2248</v>
      </c>
      <c r="H508" s="1081"/>
      <c r="I508" s="1081"/>
      <c r="J508" s="1081" t="s">
        <v>2249</v>
      </c>
      <c r="K508" s="349"/>
      <c r="L508" s="1084"/>
      <c r="M508" s="349"/>
      <c r="N508" s="350"/>
      <c r="O508" s="1075"/>
      <c r="P508" s="1075"/>
      <c r="Q508" s="407"/>
    </row>
    <row r="509" spans="1:24" s="111" customFormat="1">
      <c r="A509" s="381"/>
      <c r="B509" s="381"/>
      <c r="C509" s="1086"/>
      <c r="D509" s="349"/>
      <c r="E509" s="349"/>
      <c r="F509" s="349"/>
      <c r="G509" s="1083" t="s">
        <v>2250</v>
      </c>
      <c r="H509" s="1081"/>
      <c r="I509" s="1081"/>
      <c r="J509" s="1081"/>
      <c r="K509" s="349"/>
      <c r="L509" s="1084"/>
      <c r="M509" s="349"/>
      <c r="N509" s="350"/>
      <c r="O509" s="1075"/>
      <c r="P509" s="1075"/>
      <c r="Q509" s="407"/>
    </row>
    <row r="510" spans="1:24" s="111" customFormat="1">
      <c r="A510" s="381"/>
      <c r="B510" s="381"/>
      <c r="C510" s="1086"/>
      <c r="D510" s="349"/>
      <c r="E510" s="349"/>
      <c r="F510" s="349"/>
      <c r="G510" s="1083" t="s">
        <v>2251</v>
      </c>
      <c r="H510" s="1081"/>
      <c r="I510" s="1081"/>
      <c r="J510" s="1081"/>
      <c r="K510" s="349"/>
      <c r="L510" s="1084"/>
      <c r="M510" s="349"/>
      <c r="N510" s="350"/>
      <c r="O510" s="1075"/>
      <c r="P510" s="1075"/>
      <c r="Q510" s="407"/>
    </row>
    <row r="511" spans="1:24" s="111" customFormat="1">
      <c r="A511" s="381"/>
      <c r="B511" s="381"/>
      <c r="C511" s="1086"/>
      <c r="D511" s="349"/>
      <c r="E511" s="349"/>
      <c r="F511" s="349"/>
      <c r="G511" s="1083" t="s">
        <v>2252</v>
      </c>
      <c r="H511" s="1081"/>
      <c r="I511" s="1081"/>
      <c r="J511" s="1081"/>
      <c r="K511" s="349"/>
      <c r="L511" s="1084"/>
      <c r="M511" s="349"/>
      <c r="N511" s="350"/>
      <c r="O511" s="1075"/>
      <c r="P511" s="1075"/>
      <c r="Q511" s="407"/>
    </row>
    <row r="512" spans="1:24" s="111" customFormat="1">
      <c r="A512" s="381"/>
      <c r="B512" s="381"/>
      <c r="C512" s="1086"/>
      <c r="D512" s="349"/>
      <c r="E512" s="349"/>
      <c r="F512" s="349"/>
      <c r="G512" s="1083" t="s">
        <v>2253</v>
      </c>
      <c r="H512" s="1081"/>
      <c r="I512" s="1081"/>
      <c r="J512" s="1081"/>
      <c r="K512" s="349"/>
      <c r="L512" s="1084"/>
      <c r="M512" s="349"/>
      <c r="N512" s="350"/>
      <c r="O512" s="1075"/>
      <c r="P512" s="1075"/>
      <c r="Q512" s="407"/>
    </row>
    <row r="513" spans="1:17" s="111" customFormat="1">
      <c r="A513" s="381"/>
      <c r="B513" s="381"/>
      <c r="C513" s="1086"/>
      <c r="D513" s="349"/>
      <c r="E513" s="349"/>
      <c r="F513" s="349"/>
      <c r="G513" s="1083" t="s">
        <v>2254</v>
      </c>
      <c r="H513" s="1081"/>
      <c r="I513" s="1081"/>
      <c r="J513" s="1081"/>
      <c r="K513" s="349"/>
      <c r="L513" s="1084"/>
      <c r="M513" s="349"/>
      <c r="N513" s="350"/>
      <c r="O513" s="1075"/>
      <c r="P513" s="1075"/>
      <c r="Q513" s="407"/>
    </row>
    <row r="514" spans="1:17" s="111" customFormat="1">
      <c r="A514" s="381"/>
      <c r="B514" s="381"/>
      <c r="C514" s="1086"/>
      <c r="D514" s="349"/>
      <c r="E514" s="349"/>
      <c r="F514" s="349"/>
      <c r="G514" s="1083" t="s">
        <v>2255</v>
      </c>
      <c r="H514" s="1081"/>
      <c r="I514" s="1081"/>
      <c r="J514" s="1081"/>
      <c r="K514" s="349"/>
      <c r="L514" s="1081"/>
      <c r="M514" s="349"/>
      <c r="N514" s="350"/>
      <c r="O514" s="1075"/>
      <c r="P514" s="1075"/>
      <c r="Q514" s="407"/>
    </row>
    <row r="515" spans="1:17" s="111" customFormat="1">
      <c r="A515" s="381"/>
      <c r="B515" s="381"/>
      <c r="C515" s="1087"/>
      <c r="D515" s="349"/>
      <c r="E515" s="349"/>
      <c r="F515" s="349"/>
      <c r="G515" s="1083" t="s">
        <v>2256</v>
      </c>
      <c r="H515" s="1081"/>
      <c r="I515" s="1081"/>
      <c r="J515" s="1081"/>
      <c r="K515" s="349"/>
      <c r="L515" s="1081"/>
      <c r="M515" s="349"/>
      <c r="N515" s="350"/>
      <c r="O515" s="1075"/>
      <c r="P515" s="1075"/>
      <c r="Q515" s="407"/>
    </row>
    <row r="516" spans="1:17" s="111" customFormat="1">
      <c r="A516" s="381"/>
      <c r="B516" s="381"/>
      <c r="C516" s="1087"/>
      <c r="D516" s="349"/>
      <c r="E516" s="349"/>
      <c r="F516" s="349"/>
      <c r="G516" s="1083" t="s">
        <v>2257</v>
      </c>
      <c r="H516" s="1081"/>
      <c r="I516" s="1081"/>
      <c r="J516" s="1081"/>
      <c r="K516" s="349"/>
      <c r="L516" s="1081"/>
      <c r="M516" s="349"/>
      <c r="N516" s="350"/>
      <c r="O516" s="1075"/>
      <c r="P516" s="1075"/>
      <c r="Q516" s="407"/>
    </row>
    <row r="517" spans="1:17" s="111" customFormat="1">
      <c r="A517" s="381"/>
      <c r="B517" s="381"/>
      <c r="C517" s="349"/>
      <c r="D517" s="349"/>
      <c r="E517" s="349"/>
      <c r="F517" s="349"/>
      <c r="G517" s="1083" t="s">
        <v>2258</v>
      </c>
      <c r="H517" s="1081"/>
      <c r="I517" s="1081"/>
      <c r="J517" s="1081"/>
      <c r="K517" s="349"/>
      <c r="L517" s="1081"/>
      <c r="M517" s="349"/>
      <c r="N517" s="350"/>
      <c r="O517" s="1075"/>
      <c r="P517" s="1075"/>
      <c r="Q517" s="407"/>
    </row>
    <row r="518" spans="1:17" s="111" customFormat="1">
      <c r="A518" s="381"/>
      <c r="B518" s="381"/>
      <c r="C518" s="349"/>
      <c r="D518" s="349"/>
      <c r="E518" s="349"/>
      <c r="F518" s="349"/>
      <c r="G518" s="1083" t="s">
        <v>2259</v>
      </c>
      <c r="H518" s="1081"/>
      <c r="I518" s="1081"/>
      <c r="J518" s="1081"/>
      <c r="K518" s="1081"/>
      <c r="L518" s="349"/>
      <c r="M518" s="349"/>
      <c r="N518" s="350"/>
      <c r="O518" s="1075"/>
      <c r="P518" s="1075"/>
      <c r="Q518" s="407"/>
    </row>
    <row r="519" spans="1:17" s="111" customFormat="1">
      <c r="A519" s="381"/>
      <c r="B519" s="381"/>
      <c r="C519" s="349"/>
      <c r="D519" s="349"/>
      <c r="E519" s="349"/>
      <c r="F519" s="349"/>
      <c r="G519" s="1083" t="s">
        <v>2260</v>
      </c>
      <c r="H519" s="1081"/>
      <c r="I519" s="1081"/>
      <c r="J519" s="1081"/>
      <c r="K519" s="1081"/>
      <c r="L519" s="349"/>
      <c r="M519" s="349"/>
      <c r="N519" s="350"/>
      <c r="O519" s="1075"/>
      <c r="P519" s="1075"/>
      <c r="Q519" s="407"/>
    </row>
    <row r="520" spans="1:17" s="111" customFormat="1">
      <c r="A520" s="381"/>
      <c r="B520" s="381"/>
      <c r="C520" s="349"/>
      <c r="D520" s="349"/>
      <c r="E520" s="349"/>
      <c r="F520" s="349"/>
      <c r="G520" s="1083" t="s">
        <v>2261</v>
      </c>
      <c r="H520" s="1081"/>
      <c r="I520" s="1081"/>
      <c r="J520" s="1081"/>
      <c r="K520" s="1081"/>
      <c r="L520" s="349"/>
      <c r="M520" s="349"/>
      <c r="N520" s="350"/>
      <c r="O520" s="1075"/>
      <c r="P520" s="1075"/>
      <c r="Q520" s="407"/>
    </row>
    <row r="521" spans="1:17" s="111" customFormat="1">
      <c r="A521" s="381"/>
      <c r="B521" s="381"/>
      <c r="C521" s="349"/>
      <c r="D521" s="349"/>
      <c r="E521" s="349"/>
      <c r="F521" s="349"/>
      <c r="G521" s="1083" t="s">
        <v>2262</v>
      </c>
      <c r="H521" s="1081"/>
      <c r="I521" s="1081"/>
      <c r="J521" s="1081"/>
      <c r="K521" s="1081"/>
      <c r="L521" s="349"/>
      <c r="M521" s="349"/>
      <c r="N521" s="350"/>
      <c r="O521" s="1075"/>
      <c r="P521" s="1075"/>
      <c r="Q521" s="407"/>
    </row>
    <row r="522" spans="1:17" s="111" customFormat="1">
      <c r="A522" s="381"/>
      <c r="B522" s="381"/>
      <c r="C522" s="349"/>
      <c r="D522" s="349"/>
      <c r="E522" s="349"/>
      <c r="F522" s="349"/>
      <c r="G522" s="1083" t="s">
        <v>2263</v>
      </c>
      <c r="H522" s="1081"/>
      <c r="I522" s="1081"/>
      <c r="J522" s="1081"/>
      <c r="K522" s="1081"/>
      <c r="L522" s="349"/>
      <c r="M522" s="349"/>
      <c r="N522" s="350"/>
      <c r="O522" s="1075"/>
      <c r="P522" s="1075"/>
      <c r="Q522" s="407"/>
    </row>
    <row r="523" spans="1:17" s="111" customFormat="1">
      <c r="A523" s="381"/>
      <c r="B523" s="381"/>
      <c r="C523" s="349"/>
      <c r="D523" s="349"/>
      <c r="E523" s="349"/>
      <c r="F523" s="349"/>
      <c r="G523" s="1083" t="s">
        <v>2264</v>
      </c>
      <c r="H523" s="1081"/>
      <c r="I523" s="1081"/>
      <c r="J523" s="1081"/>
      <c r="K523" s="1081"/>
      <c r="L523" s="349"/>
      <c r="M523" s="349"/>
      <c r="N523" s="350"/>
      <c r="O523" s="1075"/>
      <c r="P523" s="1075"/>
      <c r="Q523" s="407"/>
    </row>
    <row r="524" spans="1:17" s="111" customFormat="1">
      <c r="A524" s="381"/>
      <c r="B524" s="381"/>
      <c r="C524" s="349"/>
      <c r="D524" s="349"/>
      <c r="E524" s="349"/>
      <c r="F524" s="349"/>
      <c r="G524" s="1083" t="s">
        <v>2265</v>
      </c>
      <c r="H524" s="1081"/>
      <c r="I524" s="1081"/>
      <c r="J524" s="1081"/>
      <c r="K524" s="1081"/>
      <c r="L524" s="349"/>
      <c r="M524" s="349"/>
      <c r="N524" s="350"/>
      <c r="O524" s="1075"/>
      <c r="P524" s="1075"/>
      <c r="Q524" s="407"/>
    </row>
    <row r="525" spans="1:17" s="111" customFormat="1">
      <c r="A525" s="381"/>
      <c r="B525" s="381"/>
      <c r="C525" s="349"/>
      <c r="D525" s="349"/>
      <c r="E525" s="349"/>
      <c r="F525" s="349"/>
      <c r="G525" s="1083" t="s">
        <v>2266</v>
      </c>
      <c r="H525" s="1081"/>
      <c r="I525" s="1081"/>
      <c r="J525" s="1081"/>
      <c r="K525" s="1081"/>
      <c r="L525" s="349"/>
      <c r="M525" s="349"/>
      <c r="N525" s="350"/>
      <c r="O525" s="1075"/>
      <c r="P525" s="1075"/>
      <c r="Q525" s="407"/>
    </row>
    <row r="526" spans="1:17" s="111" customFormat="1">
      <c r="A526" s="381"/>
      <c r="B526" s="381"/>
      <c r="C526" s="349"/>
      <c r="D526" s="349"/>
      <c r="E526" s="349"/>
      <c r="F526" s="349"/>
      <c r="G526" s="1083" t="s">
        <v>2267</v>
      </c>
      <c r="H526" s="1081"/>
      <c r="I526" s="1081"/>
      <c r="J526" s="1081"/>
      <c r="K526" s="1081"/>
      <c r="L526" s="349"/>
      <c r="M526" s="349"/>
      <c r="N526" s="350"/>
      <c r="O526" s="1075"/>
      <c r="P526" s="1075"/>
      <c r="Q526" s="407"/>
    </row>
    <row r="527" spans="1:17" s="111" customFormat="1">
      <c r="A527" s="381"/>
      <c r="B527" s="381"/>
      <c r="C527" s="349"/>
      <c r="D527" s="349"/>
      <c r="E527" s="349"/>
      <c r="F527" s="349"/>
      <c r="G527" s="1083" t="s">
        <v>2268</v>
      </c>
      <c r="H527" s="1081"/>
      <c r="I527" s="1081"/>
      <c r="J527" s="1081"/>
      <c r="K527" s="1081"/>
      <c r="L527" s="349"/>
      <c r="M527" s="349"/>
      <c r="N527" s="350"/>
      <c r="O527" s="1075"/>
      <c r="P527" s="1075"/>
      <c r="Q527" s="407"/>
    </row>
    <row r="528" spans="1:17" s="111" customFormat="1">
      <c r="A528" s="381"/>
      <c r="B528" s="381"/>
      <c r="C528" s="349"/>
      <c r="D528" s="349"/>
      <c r="E528" s="349"/>
      <c r="F528" s="349"/>
      <c r="G528" s="1076" t="s">
        <v>2269</v>
      </c>
      <c r="H528" s="1081"/>
      <c r="I528" s="1081"/>
      <c r="J528" s="1081"/>
      <c r="K528" s="1081"/>
      <c r="L528" s="349"/>
      <c r="M528" s="349"/>
      <c r="N528" s="350"/>
      <c r="O528" s="1075"/>
      <c r="P528" s="1075"/>
      <c r="Q528" s="407"/>
    </row>
    <row r="529" spans="1:24" s="111" customFormat="1">
      <c r="A529" s="381"/>
      <c r="B529" s="381"/>
      <c r="C529" s="349"/>
      <c r="D529" s="349"/>
      <c r="E529" s="349"/>
      <c r="F529" s="349"/>
      <c r="G529" s="1076" t="s">
        <v>2270</v>
      </c>
      <c r="H529" s="349"/>
      <c r="I529" s="349"/>
      <c r="J529" s="1081"/>
      <c r="K529" s="349"/>
      <c r="L529" s="349"/>
      <c r="M529" s="349"/>
      <c r="N529" s="350"/>
      <c r="O529" s="1075"/>
      <c r="P529" s="1075"/>
      <c r="Q529" s="407"/>
    </row>
    <row r="530" spans="1:24" s="111" customFormat="1">
      <c r="A530" s="381"/>
      <c r="B530" s="381"/>
      <c r="C530" s="349"/>
      <c r="D530" s="349"/>
      <c r="E530" s="349"/>
      <c r="F530" s="349"/>
      <c r="G530" s="1076" t="s">
        <v>2271</v>
      </c>
      <c r="H530" s="349"/>
      <c r="I530" s="349"/>
      <c r="J530" s="1081"/>
      <c r="K530" s="349"/>
      <c r="L530" s="349"/>
      <c r="M530" s="349"/>
      <c r="N530" s="350"/>
      <c r="O530" s="1075"/>
      <c r="P530" s="1075"/>
      <c r="Q530" s="407"/>
    </row>
    <row r="531" spans="1:24" s="111" customFormat="1">
      <c r="A531" s="381"/>
      <c r="B531" s="381"/>
      <c r="C531" s="349"/>
      <c r="D531" s="349"/>
      <c r="E531" s="349"/>
      <c r="F531" s="349"/>
      <c r="G531" s="1076" t="s">
        <v>2272</v>
      </c>
      <c r="H531" s="349"/>
      <c r="I531" s="349"/>
      <c r="J531" s="1081"/>
      <c r="K531" s="349"/>
      <c r="L531" s="349"/>
      <c r="M531" s="349"/>
      <c r="N531" s="350"/>
      <c r="O531" s="1075"/>
      <c r="P531" s="1075"/>
      <c r="Q531" s="407"/>
    </row>
    <row r="532" spans="1:24" s="111" customFormat="1">
      <c r="A532" s="381"/>
      <c r="B532" s="381"/>
      <c r="C532" s="349"/>
      <c r="D532" s="349"/>
      <c r="E532" s="349"/>
      <c r="F532" s="349"/>
      <c r="G532" s="1076" t="s">
        <v>2273</v>
      </c>
      <c r="H532" s="349"/>
      <c r="I532" s="349"/>
      <c r="J532" s="1081"/>
      <c r="K532" s="349"/>
      <c r="L532" s="349"/>
      <c r="M532" s="349"/>
      <c r="N532" s="350"/>
      <c r="O532" s="1075"/>
      <c r="P532" s="1075"/>
      <c r="Q532" s="407"/>
    </row>
    <row r="533" spans="1:24" s="111" customFormat="1">
      <c r="A533" s="381"/>
      <c r="B533" s="381"/>
      <c r="C533" s="349"/>
      <c r="D533" s="349"/>
      <c r="E533" s="349"/>
      <c r="F533" s="349"/>
      <c r="G533" s="1076" t="s">
        <v>2274</v>
      </c>
      <c r="H533" s="349"/>
      <c r="I533" s="349"/>
      <c r="J533" s="349"/>
      <c r="K533" s="349"/>
      <c r="L533" s="349"/>
      <c r="M533" s="349"/>
      <c r="N533" s="350"/>
      <c r="O533" s="1075"/>
      <c r="P533" s="1075"/>
      <c r="Q533" s="407"/>
    </row>
    <row r="534" spans="1:24">
      <c r="A534" s="381"/>
      <c r="B534" s="381"/>
      <c r="C534" s="349"/>
      <c r="D534" s="349"/>
      <c r="E534" s="349"/>
      <c r="F534" s="349"/>
      <c r="G534" s="1076" t="s">
        <v>2275</v>
      </c>
      <c r="H534" s="349"/>
      <c r="I534" s="349"/>
      <c r="J534" s="349"/>
      <c r="K534" s="349"/>
      <c r="L534" s="349"/>
      <c r="M534" s="349"/>
      <c r="N534" s="350"/>
      <c r="O534" s="1075"/>
      <c r="P534" s="1075"/>
      <c r="Q534" s="407"/>
      <c r="R534" s="111"/>
      <c r="S534" s="111"/>
      <c r="T534" s="111"/>
      <c r="U534" s="111"/>
      <c r="V534" s="111"/>
      <c r="W534" s="111"/>
      <c r="X534" s="111"/>
    </row>
    <row r="535" spans="1:24">
      <c r="A535" s="381"/>
      <c r="B535" s="381"/>
      <c r="C535" s="349"/>
      <c r="D535" s="349"/>
      <c r="E535" s="349"/>
      <c r="F535" s="349"/>
      <c r="G535" s="1076" t="s">
        <v>2276</v>
      </c>
      <c r="H535" s="349"/>
      <c r="I535" s="349"/>
      <c r="J535" s="349"/>
      <c r="K535" s="349"/>
      <c r="L535" s="349"/>
      <c r="M535" s="349"/>
      <c r="N535" s="350"/>
      <c r="O535" s="1075"/>
      <c r="P535" s="1075"/>
      <c r="Q535" s="407"/>
      <c r="R535" s="111"/>
      <c r="S535" s="111"/>
      <c r="T535" s="111"/>
      <c r="U535" s="111"/>
      <c r="V535" s="111"/>
      <c r="W535" s="111"/>
      <c r="X535" s="111"/>
    </row>
    <row r="536" spans="1:24">
      <c r="A536" s="381"/>
      <c r="B536" s="381"/>
      <c r="C536" s="349"/>
      <c r="D536" s="349"/>
      <c r="E536" s="349"/>
      <c r="F536" s="349"/>
      <c r="G536" s="1081" t="s">
        <v>2277</v>
      </c>
      <c r="H536" s="349"/>
      <c r="I536" s="349"/>
      <c r="J536" s="349"/>
      <c r="K536" s="349"/>
      <c r="L536" s="349"/>
      <c r="M536" s="349"/>
      <c r="N536" s="350"/>
      <c r="O536" s="1075"/>
      <c r="P536" s="1075"/>
      <c r="Q536" s="407"/>
      <c r="R536" s="111"/>
      <c r="S536" s="111"/>
      <c r="T536" s="111"/>
    </row>
    <row r="537" spans="1:24">
      <c r="A537" s="381"/>
      <c r="B537" s="381"/>
      <c r="C537" s="349"/>
      <c r="D537" s="349"/>
      <c r="E537" s="349"/>
      <c r="F537" s="349"/>
      <c r="G537" s="1081" t="s">
        <v>2278</v>
      </c>
      <c r="H537" s="349"/>
      <c r="I537" s="349"/>
      <c r="J537" s="349"/>
      <c r="K537" s="349"/>
      <c r="L537" s="349"/>
      <c r="M537" s="349"/>
      <c r="N537" s="350"/>
      <c r="O537" s="1075"/>
      <c r="P537" s="1075"/>
      <c r="Q537" s="407"/>
      <c r="R537" s="111"/>
      <c r="S537" s="111"/>
      <c r="T537" s="111"/>
    </row>
    <row r="538" spans="1:24">
      <c r="A538" s="381"/>
      <c r="B538" s="381"/>
      <c r="C538" s="349"/>
      <c r="D538" s="349"/>
      <c r="E538" s="349"/>
      <c r="F538" s="349"/>
      <c r="G538" s="1081" t="s">
        <v>43</v>
      </c>
      <c r="H538" s="349"/>
      <c r="I538" s="349"/>
      <c r="J538" s="349"/>
      <c r="K538" s="349"/>
      <c r="L538" s="349"/>
      <c r="M538" s="349"/>
      <c r="N538" s="350"/>
      <c r="O538" s="1075"/>
      <c r="P538" s="1075"/>
      <c r="Q538" s="407"/>
      <c r="R538" s="111"/>
      <c r="S538" s="111"/>
      <c r="T538" s="111"/>
    </row>
    <row r="539" spans="1:24">
      <c r="A539" s="381"/>
      <c r="B539" s="381"/>
      <c r="C539" s="381"/>
      <c r="D539" s="381"/>
      <c r="E539" s="381"/>
      <c r="F539" s="381"/>
      <c r="G539" s="381"/>
      <c r="H539" s="381"/>
      <c r="I539" s="381"/>
      <c r="J539" s="381"/>
      <c r="K539" s="381"/>
      <c r="L539" s="381"/>
      <c r="M539" s="381"/>
      <c r="N539" s="929"/>
      <c r="O539" s="930"/>
    </row>
    <row r="540" spans="1:24">
      <c r="G540" s="111"/>
      <c r="H540" s="111"/>
      <c r="I540" s="111"/>
      <c r="J540" s="111"/>
      <c r="N540" s="79"/>
    </row>
    <row r="541" spans="1:24">
      <c r="G541" s="111"/>
      <c r="H541" s="111"/>
      <c r="I541" s="111"/>
      <c r="J541" s="111"/>
      <c r="N541" s="79"/>
    </row>
  </sheetData>
  <sheetProtection algorithmName="SHA-512" hashValue="saqnrnMLxvf25OHXiiNGWcJSfI4YPUGJ5fiVKB8wt5C97KBtaZH37q4cNe7xvePcdfGXpzPWNEGIzGVr1cYY4g==" saltValue="5xCk7Cn6VTeXeZlQOOGMzA==" spinCount="100000" sheet="1" formatRows="0"/>
  <mergeCells count="361">
    <mergeCell ref="F73:I73"/>
    <mergeCell ref="O73:P73"/>
    <mergeCell ref="I80:L82"/>
    <mergeCell ref="F74:G74"/>
    <mergeCell ref="H74:I74"/>
    <mergeCell ref="J74:K74"/>
    <mergeCell ref="L74:M74"/>
    <mergeCell ref="Q31:S41"/>
    <mergeCell ref="A76:B77"/>
    <mergeCell ref="C81:H81"/>
    <mergeCell ref="O39:P39"/>
    <mergeCell ref="L77:M77"/>
    <mergeCell ref="H121:P121"/>
    <mergeCell ref="C195:G195"/>
    <mergeCell ref="L124:N124"/>
    <mergeCell ref="O124:P124"/>
    <mergeCell ref="A109:P109"/>
    <mergeCell ref="B95:H96"/>
    <mergeCell ref="I96:L96"/>
    <mergeCell ref="I87:L88"/>
    <mergeCell ref="A92:P92"/>
    <mergeCell ref="C193:I194"/>
    <mergeCell ref="M193:P193"/>
    <mergeCell ref="B158:D159"/>
    <mergeCell ref="E172:E173"/>
    <mergeCell ref="F172:F173"/>
    <mergeCell ref="M169:N169"/>
    <mergeCell ref="M168:N168"/>
    <mergeCell ref="M167:N167"/>
    <mergeCell ref="H161:H162"/>
    <mergeCell ref="O161:P162"/>
    <mergeCell ref="D162:F162"/>
    <mergeCell ref="A151:P151"/>
    <mergeCell ref="I158:L158"/>
    <mergeCell ref="F160:G160"/>
    <mergeCell ref="G147:P147"/>
    <mergeCell ref="I83:K84"/>
    <mergeCell ref="L83:L84"/>
    <mergeCell ref="A148:B150"/>
    <mergeCell ref="R67:U77"/>
    <mergeCell ref="C87:H87"/>
    <mergeCell ref="C86:H86"/>
    <mergeCell ref="C85:H85"/>
    <mergeCell ref="F76:G76"/>
    <mergeCell ref="J76:K76"/>
    <mergeCell ref="F77:G77"/>
    <mergeCell ref="I85:L86"/>
    <mergeCell ref="A107:P107"/>
    <mergeCell ref="O100:P100"/>
    <mergeCell ref="K102:L105"/>
    <mergeCell ref="O95:P99"/>
    <mergeCell ref="J77:K77"/>
    <mergeCell ref="H76:I76"/>
    <mergeCell ref="H77:I77"/>
    <mergeCell ref="G149:P149"/>
    <mergeCell ref="C149:F149"/>
    <mergeCell ref="J73:M73"/>
    <mergeCell ref="C146:F146"/>
    <mergeCell ref="C147:F147"/>
    <mergeCell ref="C148:F148"/>
    <mergeCell ref="Q274:R277"/>
    <mergeCell ref="D241:H241"/>
    <mergeCell ref="C248:P248"/>
    <mergeCell ref="C249:P249"/>
    <mergeCell ref="C250:P250"/>
    <mergeCell ref="C252:K252"/>
    <mergeCell ref="C253:K253"/>
    <mergeCell ref="C254:K254"/>
    <mergeCell ref="K277:K278"/>
    <mergeCell ref="C277:I279"/>
    <mergeCell ref="J277:J278"/>
    <mergeCell ref="N272:N274"/>
    <mergeCell ref="C258:M258"/>
    <mergeCell ref="L278:M278"/>
    <mergeCell ref="C256:M256"/>
    <mergeCell ref="J241:N241"/>
    <mergeCell ref="L254:M254"/>
    <mergeCell ref="N254:P254"/>
    <mergeCell ref="L251:M251"/>
    <mergeCell ref="N251:P251"/>
    <mergeCell ref="D243:H243"/>
    <mergeCell ref="J243:N243"/>
    <mergeCell ref="C259:M259"/>
    <mergeCell ref="C260:M260"/>
    <mergeCell ref="Q162:R162"/>
    <mergeCell ref="O30:P30"/>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A1:P1"/>
    <mergeCell ref="A3:L4"/>
    <mergeCell ref="O15:P15"/>
    <mergeCell ref="A16:E16"/>
    <mergeCell ref="G16:I16"/>
    <mergeCell ref="K16:N16"/>
    <mergeCell ref="O16:P16"/>
    <mergeCell ref="A14:E15"/>
    <mergeCell ref="G15:I15"/>
    <mergeCell ref="O14:P14"/>
    <mergeCell ref="K15:N15"/>
    <mergeCell ref="O24:P24"/>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I60:L62"/>
    <mergeCell ref="O38:P38"/>
    <mergeCell ref="O40:P40"/>
    <mergeCell ref="O41:P41"/>
    <mergeCell ref="O34:P34"/>
    <mergeCell ref="O35:P35"/>
    <mergeCell ref="O36:P36"/>
    <mergeCell ref="A55:P55"/>
    <mergeCell ref="I57:K57"/>
    <mergeCell ref="F39:N39"/>
    <mergeCell ref="F38:N38"/>
    <mergeCell ref="F37:N37"/>
    <mergeCell ref="F36:N36"/>
    <mergeCell ref="F35:N35"/>
    <mergeCell ref="F34:N34"/>
    <mergeCell ref="O31:P31"/>
    <mergeCell ref="O32:P32"/>
    <mergeCell ref="O33:P33"/>
    <mergeCell ref="O29:P29"/>
    <mergeCell ref="F41:N41"/>
    <mergeCell ref="H51:I51"/>
    <mergeCell ref="O37:P37"/>
    <mergeCell ref="F40:N40"/>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A410:P410"/>
    <mergeCell ref="A439:P439"/>
    <mergeCell ref="D236:H236"/>
    <mergeCell ref="J236:N236"/>
    <mergeCell ref="D237:F237"/>
    <mergeCell ref="C370:I370"/>
    <mergeCell ref="K308:L310"/>
    <mergeCell ref="B219:C219"/>
    <mergeCell ref="F30:N30"/>
    <mergeCell ref="F32:N32"/>
    <mergeCell ref="F31:N31"/>
    <mergeCell ref="H45:I45"/>
    <mergeCell ref="B46:F47"/>
    <mergeCell ref="K46:L46"/>
    <mergeCell ref="G47:J47"/>
    <mergeCell ref="F33:N33"/>
    <mergeCell ref="M195:P195"/>
    <mergeCell ref="M161:N162"/>
    <mergeCell ref="I161:L161"/>
    <mergeCell ref="M165:N165"/>
    <mergeCell ref="A63:P63"/>
    <mergeCell ref="A65:P65"/>
    <mergeCell ref="F75:G75"/>
    <mergeCell ref="H75:I75"/>
    <mergeCell ref="J75:K75"/>
    <mergeCell ref="L75:M75"/>
    <mergeCell ref="D117:P117"/>
    <mergeCell ref="C125:K125"/>
    <mergeCell ref="L125:N125"/>
    <mergeCell ref="O125:P125"/>
    <mergeCell ref="L76:M76"/>
    <mergeCell ref="C127:K127"/>
    <mergeCell ref="M373:P373"/>
    <mergeCell ref="J376:K376"/>
    <mergeCell ref="M376:P376"/>
    <mergeCell ref="A224:P224"/>
    <mergeCell ref="A226:P226"/>
    <mergeCell ref="L253:M253"/>
    <mergeCell ref="N253:P253"/>
    <mergeCell ref="M398:M400"/>
    <mergeCell ref="J380:K380"/>
    <mergeCell ref="A392:P392"/>
    <mergeCell ref="A394:P394"/>
    <mergeCell ref="J379:K379"/>
    <mergeCell ref="M379:P379"/>
    <mergeCell ref="M385:P385"/>
    <mergeCell ref="M377:P377"/>
    <mergeCell ref="J378:K378"/>
    <mergeCell ref="M378:P378"/>
    <mergeCell ref="M374:P374"/>
    <mergeCell ref="J373:K373"/>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A429:P429"/>
    <mergeCell ref="B423:P423"/>
    <mergeCell ref="A431:P431"/>
    <mergeCell ref="C403:M403"/>
    <mergeCell ref="C406:L406"/>
    <mergeCell ref="A412:P412"/>
    <mergeCell ref="D416:I416"/>
    <mergeCell ref="J375:K375"/>
    <mergeCell ref="Q164:R164"/>
    <mergeCell ref="D165:F165"/>
    <mergeCell ref="Q163:R163"/>
    <mergeCell ref="Q165:R165"/>
    <mergeCell ref="D163:F163"/>
    <mergeCell ref="D164:F164"/>
    <mergeCell ref="J222:K222"/>
    <mergeCell ref="R364:S366"/>
    <mergeCell ref="A314:P314"/>
    <mergeCell ref="H354:L354"/>
    <mergeCell ref="L356:P356"/>
    <mergeCell ref="L364:M366"/>
    <mergeCell ref="A322:P322"/>
    <mergeCell ref="A335:P335"/>
    <mergeCell ref="M287:M288"/>
    <mergeCell ref="A290:P290"/>
    <mergeCell ref="Q296:Z296"/>
    <mergeCell ref="A312:P312"/>
    <mergeCell ref="H348:K348"/>
    <mergeCell ref="A292:P292"/>
    <mergeCell ref="T173:X173"/>
    <mergeCell ref="T172:X172"/>
    <mergeCell ref="M196:P196"/>
    <mergeCell ref="M216:P216"/>
    <mergeCell ref="O422:P422"/>
    <mergeCell ref="O427:P427"/>
    <mergeCell ref="O426:P426"/>
    <mergeCell ref="M419:N420"/>
    <mergeCell ref="B419:L422"/>
    <mergeCell ref="B426:L427"/>
    <mergeCell ref="J383:K383"/>
    <mergeCell ref="J384:K384"/>
    <mergeCell ref="M384:P384"/>
    <mergeCell ref="C401:M401"/>
    <mergeCell ref="O421:P421"/>
    <mergeCell ref="O420:P420"/>
    <mergeCell ref="C398:I400"/>
    <mergeCell ref="C388:M388"/>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185:P185"/>
    <mergeCell ref="M200:P200"/>
    <mergeCell ref="O175:P175"/>
    <mergeCell ref="B175:D175"/>
    <mergeCell ref="M197:P197"/>
    <mergeCell ref="L126:N126"/>
    <mergeCell ref="G407:I407"/>
    <mergeCell ref="M380:P380"/>
    <mergeCell ref="J381:K381"/>
    <mergeCell ref="M381:P381"/>
    <mergeCell ref="A384:D385"/>
    <mergeCell ref="L127:N127"/>
    <mergeCell ref="O127:P127"/>
    <mergeCell ref="I135:N135"/>
    <mergeCell ref="C135:F135"/>
    <mergeCell ref="C128:K128"/>
    <mergeCell ref="L128:N128"/>
    <mergeCell ref="O128:P128"/>
    <mergeCell ref="C126:K126"/>
    <mergeCell ref="O126:P126"/>
    <mergeCell ref="J385:K385"/>
    <mergeCell ref="J377:K377"/>
    <mergeCell ref="J372:K372"/>
    <mergeCell ref="M372:P372"/>
    <mergeCell ref="G146:P146"/>
    <mergeCell ref="I338:P338"/>
    <mergeCell ref="J295:K295"/>
    <mergeCell ref="J374:K374"/>
    <mergeCell ref="G148:P148"/>
    <mergeCell ref="M164:N164"/>
    <mergeCell ref="M163:N163"/>
    <mergeCell ref="L222:M222"/>
    <mergeCell ref="G222:H222"/>
    <mergeCell ref="N252:P252"/>
    <mergeCell ref="L252:M252"/>
    <mergeCell ref="J371:K371"/>
    <mergeCell ref="C367:M368"/>
    <mergeCell ref="C209:K209"/>
    <mergeCell ref="C263:L263"/>
    <mergeCell ref="A266:P266"/>
    <mergeCell ref="L221:M221"/>
    <mergeCell ref="B220:C220"/>
    <mergeCell ref="B218:C218"/>
    <mergeCell ref="A218:A220"/>
    <mergeCell ref="D220:P220"/>
    <mergeCell ref="J370:K370"/>
    <mergeCell ref="M370:P370"/>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$G$476:$G$538</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4" sqref="A1:XFD1048576"/>
    </sheetView>
  </sheetViews>
  <sheetFormatPr defaultColWidth="9.140625" defaultRowHeight="12.75"/>
  <cols>
    <col min="1" max="1" width="88.42578125" style="12" customWidth="1"/>
    <col min="2" max="16384" width="9.140625" style="12"/>
  </cols>
  <sheetData>
    <row r="1" spans="1:6" ht="15.75">
      <c r="A1" s="740" t="s">
        <v>2279</v>
      </c>
    </row>
    <row r="2" spans="1:6" s="18" customFormat="1" ht="13.5" customHeight="1">
      <c r="A2" s="739" t="str">
        <f>'Part I-Project Information'!$F$34</f>
        <v>Mill at Stone Valley</v>
      </c>
    </row>
    <row r="3" spans="1:6" s="18" customFormat="1" ht="13.5" customHeight="1">
      <c r="A3" s="739" t="str">
        <f>CONCATENATE('Part I-Project Information'!$F$38,", ", 'Part I-Project Information'!$J$39," County")</f>
        <v>Ball Ground, Cherokee County</v>
      </c>
    </row>
    <row r="4" spans="1:6" ht="6.75" customHeight="1"/>
    <row r="5" spans="1:6" ht="113.25" customHeight="1">
      <c r="A5" s="2280" t="s">
        <v>4711</v>
      </c>
      <c r="B5" s="2145" t="s">
        <v>2280</v>
      </c>
      <c r="C5" s="2145"/>
      <c r="D5" s="2145"/>
      <c r="E5" s="2145"/>
      <c r="F5" s="2145"/>
    </row>
    <row r="6" spans="1:6" ht="6.6" customHeight="1">
      <c r="A6" s="2280"/>
      <c r="B6" s="2145"/>
      <c r="C6" s="2145"/>
      <c r="D6" s="2145"/>
      <c r="E6" s="2145"/>
      <c r="F6" s="2145"/>
    </row>
    <row r="7" spans="1:6" ht="134.25" customHeight="1">
      <c r="A7" s="2280"/>
      <c r="B7" s="2145"/>
      <c r="C7" s="2145"/>
      <c r="D7" s="2145"/>
      <c r="E7" s="2145"/>
      <c r="F7" s="2145"/>
    </row>
    <row r="8" spans="1:6" ht="6.6" customHeight="1">
      <c r="A8" s="2280"/>
    </row>
    <row r="9" spans="1:6" ht="111" customHeight="1">
      <c r="A9" s="2280"/>
    </row>
    <row r="10" spans="1:6" ht="6.6" customHeight="1">
      <c r="A10" s="2280"/>
    </row>
    <row r="11" spans="1:6" ht="111" customHeight="1">
      <c r="A11" s="2280"/>
    </row>
    <row r="12" spans="1:6" ht="6.6" customHeight="1">
      <c r="A12" s="2280"/>
    </row>
    <row r="13" spans="1:6" ht="111" customHeight="1">
      <c r="A13" s="2280"/>
    </row>
    <row r="14" spans="1:6" ht="6.6" customHeight="1">
      <c r="A14" s="2280"/>
    </row>
    <row r="15" spans="1:6" ht="111" customHeight="1">
      <c r="A15" s="2280"/>
    </row>
    <row r="16" spans="1:6" ht="6.6" customHeight="1">
      <c r="A16" s="2280"/>
    </row>
    <row r="17" spans="1:1" ht="111" customHeight="1">
      <c r="A17" s="2280"/>
    </row>
    <row r="18" spans="1:1" ht="6.6" customHeight="1">
      <c r="A18" s="2280"/>
    </row>
    <row r="19" spans="1:1" ht="105.75" customHeight="1">
      <c r="A19" s="2280"/>
    </row>
    <row r="20" spans="1:1" ht="6.6" customHeight="1">
      <c r="A20" s="2280"/>
    </row>
    <row r="21" spans="1:1" ht="105.75" customHeight="1">
      <c r="A21" s="2280"/>
    </row>
    <row r="22" spans="1:1" ht="6.6" customHeight="1">
      <c r="A22" s="2280"/>
    </row>
    <row r="23" spans="1:1" ht="105.75" customHeight="1">
      <c r="A23" s="2280"/>
    </row>
    <row r="24" spans="1:1" ht="6.6" customHeight="1">
      <c r="A24" s="738"/>
    </row>
  </sheetData>
  <sheetProtection algorithmName="SHA-512" hashValue="JQSGu0VuhqE49zhfz6JZ0z5PUCnGy6D+rxeisR4E7ARWVdyiWCl4yGP2DYfT3LzZplzRk5yvgseakcghr/Om+g==" saltValue="AoJlPv7KnG3elvvavnAMCA=="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123" customWidth="1"/>
    <col min="2" max="11" width="10.5703125" style="1123" customWidth="1"/>
    <col min="12" max="12" width="9.7109375" style="1123" customWidth="1"/>
    <col min="13" max="21" width="10.5703125" style="1123" customWidth="1"/>
    <col min="22" max="16384" width="9.140625" style="1123"/>
  </cols>
  <sheetData>
    <row r="1" spans="1:7" ht="3" customHeight="1"/>
    <row r="2" spans="1:7">
      <c r="A2" s="1122" t="s">
        <v>2281</v>
      </c>
    </row>
    <row r="3" spans="1:7" ht="3" customHeight="1"/>
    <row r="4" spans="1:7">
      <c r="A4" s="1123" t="s">
        <v>2282</v>
      </c>
      <c r="B4" s="1124">
        <f>+'Part IV-A-Uses of Funds'!$G$132</f>
        <v>13885091</v>
      </c>
    </row>
    <row r="5" spans="1:7">
      <c r="A5" s="1123" t="s">
        <v>2283</v>
      </c>
      <c r="B5" s="1124">
        <f>+B18+B26+B38</f>
        <v>2124788.9050645209</v>
      </c>
    </row>
    <row r="6" spans="1:7">
      <c r="A6" s="1123" t="s">
        <v>2284</v>
      </c>
      <c r="B6" s="1125">
        <f>+B5-B4</f>
        <v>-11760302.094935479</v>
      </c>
    </row>
    <row r="7" spans="1:7">
      <c r="A7" s="1123" t="s">
        <v>2285</v>
      </c>
      <c r="B7" s="1126">
        <f>+B6/B4</f>
        <v>-0.84697335400506046</v>
      </c>
    </row>
    <row r="8" spans="1:7" ht="9" customHeight="1"/>
    <row r="9" spans="1:7">
      <c r="A9" s="1123" t="s">
        <v>2286</v>
      </c>
      <c r="B9" s="1124">
        <f>+B18+B26+B33</f>
        <v>2124788.9050645209</v>
      </c>
    </row>
    <row r="10" spans="1:7">
      <c r="A10" s="1123" t="s">
        <v>2284</v>
      </c>
      <c r="B10" s="1125">
        <f>+B9-B4</f>
        <v>-11760302.094935479</v>
      </c>
    </row>
    <row r="11" spans="1:7">
      <c r="A11" s="1123" t="s">
        <v>2285</v>
      </c>
      <c r="B11" s="1126">
        <f>+B10/B4</f>
        <v>-0.84697335400506046</v>
      </c>
    </row>
    <row r="12" spans="1:7" ht="24" customHeight="1"/>
    <row r="13" spans="1:7">
      <c r="A13" s="1122" t="s">
        <v>2287</v>
      </c>
      <c r="D13" s="1192" t="s">
        <v>2288</v>
      </c>
      <c r="E13" s="1193"/>
    </row>
    <row r="14" spans="1:7">
      <c r="A14" s="1123" t="s">
        <v>2289</v>
      </c>
      <c r="B14" s="1127">
        <f>+SUM('Part III-Sources of Funds'!L49:M50)</f>
        <v>11135000</v>
      </c>
      <c r="D14" s="1193"/>
      <c r="E14" s="1193"/>
    </row>
    <row r="15" spans="1:7">
      <c r="A15" s="1123" t="s">
        <v>2290</v>
      </c>
      <c r="B15" s="1128">
        <f>+'Part IV-A-Uses of Funds'!J167</f>
        <v>1123509.1000000001</v>
      </c>
      <c r="D15" s="1193" t="s">
        <v>784</v>
      </c>
      <c r="G15" s="1194">
        <f>'Part IV-A-Uses of Funds'!J155</f>
        <v>10517120.944701884</v>
      </c>
    </row>
    <row r="16" spans="1:7" ht="12.75" customHeight="1">
      <c r="D16" s="1193" t="s">
        <v>2291</v>
      </c>
      <c r="G16" s="1198">
        <v>3.2800000000000003E-2</v>
      </c>
    </row>
    <row r="17" spans="1:7" ht="12.75" customHeight="1">
      <c r="A17" s="1123" t="s">
        <v>2292</v>
      </c>
      <c r="B17" s="1197">
        <v>1.45</v>
      </c>
      <c r="D17" s="1193" t="s">
        <v>2293</v>
      </c>
      <c r="G17" s="1199">
        <v>1.45</v>
      </c>
    </row>
    <row r="18" spans="1:7" ht="12.75" customHeight="1">
      <c r="A18" s="1123" t="s">
        <v>2294</v>
      </c>
      <c r="B18" s="1129">
        <f>+'Part IV-A-Uses of Funds'!J174*B17*10</f>
        <v>0</v>
      </c>
      <c r="D18" s="1193" t="s">
        <v>2295</v>
      </c>
      <c r="G18" s="1199">
        <v>3.28</v>
      </c>
    </row>
    <row r="19" spans="1:7" ht="12.75" customHeight="1">
      <c r="D19" s="1193" t="s">
        <v>2296</v>
      </c>
      <c r="G19" s="1195">
        <f>+G15*G16*G17*10</f>
        <v>5001942.7213002164</v>
      </c>
    </row>
    <row r="20" spans="1:7">
      <c r="A20" s="1123" t="s">
        <v>2297</v>
      </c>
      <c r="B20" s="1127">
        <f>+B18-B14</f>
        <v>-11135000</v>
      </c>
      <c r="D20" s="1193" t="s">
        <v>2298</v>
      </c>
      <c r="G20" s="1196">
        <f>+B14-G19</f>
        <v>6133057.2786997836</v>
      </c>
    </row>
    <row r="21" spans="1:7">
      <c r="A21" s="1123" t="s">
        <v>2299</v>
      </c>
      <c r="B21" s="1126">
        <f>+B20/B14</f>
        <v>-1</v>
      </c>
      <c r="D21" s="1193" t="s">
        <v>2300</v>
      </c>
      <c r="G21" s="1193" t="str">
        <f>+IF(G20&gt;(B28+B35),"No","Yes")</f>
        <v>No</v>
      </c>
    </row>
    <row r="22" spans="1:7" ht="24" customHeight="1"/>
    <row r="23" spans="1:7">
      <c r="A23" s="1122" t="s">
        <v>2301</v>
      </c>
    </row>
    <row r="24" spans="1:7">
      <c r="A24" s="1123" t="s">
        <v>2302</v>
      </c>
      <c r="B24" s="1130">
        <f>+SUM('Part III-Sources of Funds'!I37:J40)</f>
        <v>2650000</v>
      </c>
    </row>
    <row r="25" spans="1:7">
      <c r="A25" s="1123" t="s">
        <v>2303</v>
      </c>
      <c r="B25" s="1131">
        <f>IF('Part III-Sources of Funds'!B11="Yes","N/A",MAX(B46:P46))</f>
        <v>-15490.534745011391</v>
      </c>
    </row>
    <row r="26" spans="1:7">
      <c r="A26" s="1123" t="s">
        <v>2304</v>
      </c>
      <c r="B26" s="1121">
        <f>IFERROR(PV('Part III-Sources of Funds'!K37,'Part III-Sources of Funds'!L37,B25+B45),B24)</f>
        <v>2124788.9050645209</v>
      </c>
    </row>
    <row r="27" spans="1:7" ht="9" customHeight="1">
      <c r="B27" s="1121"/>
    </row>
    <row r="28" spans="1:7">
      <c r="A28" s="1123" t="s">
        <v>2305</v>
      </c>
      <c r="B28" s="1132">
        <f>+B26-B24</f>
        <v>-525211.09493547911</v>
      </c>
      <c r="C28" s="1133"/>
    </row>
    <row r="29" spans="1:7">
      <c r="A29" s="1123" t="s">
        <v>2299</v>
      </c>
      <c r="B29" s="1134">
        <f>+B28/B24</f>
        <v>-0.19819286601338834</v>
      </c>
    </row>
    <row r="30" spans="1:7" ht="24" customHeight="1"/>
    <row r="31" spans="1:7">
      <c r="A31" s="1122" t="s">
        <v>1235</v>
      </c>
    </row>
    <row r="32" spans="1:7">
      <c r="A32" s="1123" t="s">
        <v>2306</v>
      </c>
      <c r="B32" s="1135">
        <f>+'Part III-Sources of Funds'!I42</f>
        <v>100091</v>
      </c>
    </row>
    <row r="33" spans="1:11">
      <c r="A33" s="1123" t="s">
        <v>2307</v>
      </c>
      <c r="B33" s="1121"/>
    </row>
    <row r="34" spans="1:11" ht="9" customHeight="1">
      <c r="B34" s="1121"/>
    </row>
    <row r="35" spans="1:11">
      <c r="A35" s="1123" t="s">
        <v>2308</v>
      </c>
      <c r="B35" s="1135">
        <f>+B33-B32</f>
        <v>-100091</v>
      </c>
    </row>
    <row r="36" spans="1:11">
      <c r="A36" s="1123" t="s">
        <v>2309</v>
      </c>
      <c r="B36" s="1120">
        <f>+B35/B32</f>
        <v>-1</v>
      </c>
    </row>
    <row r="37" spans="1:11" ht="24" customHeight="1">
      <c r="B37" s="1121"/>
    </row>
    <row r="38" spans="1:11">
      <c r="A38" s="1122" t="s">
        <v>2310</v>
      </c>
      <c r="B38" s="1121">
        <f>+SUM('Part III-Sources of Funds'!I41,'Part III-Sources of Funds'!I47,'Part III-Sources of Funds'!I48,'Part III-Sources of Funds'!I51:I57)</f>
        <v>0</v>
      </c>
    </row>
    <row r="39" spans="1:11">
      <c r="B39" s="1121"/>
    </row>
    <row r="40" spans="1:11">
      <c r="B40" s="1121"/>
    </row>
    <row r="41" spans="1:11">
      <c r="B41" s="1121"/>
    </row>
    <row r="42" spans="1:11">
      <c r="A42" s="1122" t="s">
        <v>2311</v>
      </c>
      <c r="B42" s="1121"/>
    </row>
    <row r="43" spans="1:11">
      <c r="A43" s="1123" t="s">
        <v>627</v>
      </c>
      <c r="B43" s="1200">
        <v>1</v>
      </c>
      <c r="C43" s="1200">
        <v>2</v>
      </c>
      <c r="D43" s="1200">
        <v>3</v>
      </c>
      <c r="E43" s="1200">
        <v>4</v>
      </c>
      <c r="F43" s="1200">
        <v>5</v>
      </c>
      <c r="G43" s="1200">
        <v>6</v>
      </c>
      <c r="H43" s="1200">
        <v>7</v>
      </c>
      <c r="I43" s="1200">
        <v>8</v>
      </c>
      <c r="J43" s="1200">
        <v>9</v>
      </c>
      <c r="K43" s="1200">
        <v>10</v>
      </c>
    </row>
    <row r="44" spans="1:11">
      <c r="A44" s="1123" t="s">
        <v>1231</v>
      </c>
      <c r="B44" s="1124">
        <f>+'Part VII-Pro Forma'!B22</f>
        <v>208957.56240000005</v>
      </c>
      <c r="C44" s="1124">
        <f>+'Part VII-Pro Forma'!C22</f>
        <v>209450.77364799997</v>
      </c>
      <c r="D44" s="1124">
        <f>+'Part VII-Pro Forma'!D22</f>
        <v>209843.43272096009</v>
      </c>
      <c r="E44" s="1124">
        <f>+'Part VII-Pro Forma'!E22</f>
        <v>210129.45128337917</v>
      </c>
      <c r="F44" s="1124">
        <f>+'Part VII-Pro Forma'!F22</f>
        <v>210304.5397142868</v>
      </c>
      <c r="G44" s="1124">
        <f>+'Part VII-Pro Forma'!G22</f>
        <v>210362.20009596978</v>
      </c>
      <c r="H44" s="1124">
        <f>+'Part VII-Pro Forma'!H22</f>
        <v>210296.71897290825</v>
      </c>
      <c r="I44" s="1124">
        <f>+'Part VII-Pro Forma'!I22</f>
        <v>210101.15987363603</v>
      </c>
      <c r="J44" s="1124">
        <f>+'Part VII-Pro Forma'!J22</f>
        <v>209770.35558801657</v>
      </c>
      <c r="K44" s="1124">
        <f>+'Part VII-Pro Forma'!K22</f>
        <v>209296.90019219191</v>
      </c>
    </row>
    <row r="45" spans="1:11">
      <c r="A45" s="1123" t="s">
        <v>2312</v>
      </c>
      <c r="B45" s="1124">
        <f>SUM('Part VII-Pro Forma'!B23:B26)</f>
        <v>-158640.76725498866</v>
      </c>
      <c r="C45" s="1124">
        <f>SUM('Part VII-Pro Forma'!C23:C26)</f>
        <v>-158640.76725498866</v>
      </c>
      <c r="D45" s="1124">
        <f>SUM('Part VII-Pro Forma'!D23:D26)</f>
        <v>-158640.76725498866</v>
      </c>
      <c r="E45" s="1124">
        <f>SUM('Part VII-Pro Forma'!E23:E26)</f>
        <v>-158640.76725498866</v>
      </c>
      <c r="F45" s="1124">
        <f>SUM('Part VII-Pro Forma'!F23:F26)</f>
        <v>-158640.76725498866</v>
      </c>
      <c r="G45" s="1124">
        <f>SUM('Part VII-Pro Forma'!G23:G26)</f>
        <v>-158640.76725498866</v>
      </c>
      <c r="H45" s="1124">
        <f>SUM('Part VII-Pro Forma'!H23:H26)</f>
        <v>-158640.76725498866</v>
      </c>
      <c r="I45" s="1124">
        <f>SUM('Part VII-Pro Forma'!I23:I26)</f>
        <v>-158640.76725498866</v>
      </c>
      <c r="J45" s="1124">
        <f>SUM('Part VII-Pro Forma'!J23:J26)</f>
        <v>-158640.76725498866</v>
      </c>
      <c r="K45" s="1124">
        <f>SUM('Part VII-Pro Forma'!K23:K26)</f>
        <v>-158640.76725498866</v>
      </c>
    </row>
    <row r="46" spans="1:11">
      <c r="A46" s="1123" t="s">
        <v>2313</v>
      </c>
      <c r="B46" s="1125">
        <f t="shared" ref="B46:K46" si="0">-B44/B48-B45</f>
        <v>-15490.534745011391</v>
      </c>
      <c r="C46" s="1125">
        <f t="shared" si="0"/>
        <v>-15901.544118344667</v>
      </c>
      <c r="D46" s="1125">
        <f t="shared" si="0"/>
        <v>-16228.760012478073</v>
      </c>
      <c r="E46" s="1125">
        <f t="shared" si="0"/>
        <v>-16467.108814493986</v>
      </c>
      <c r="F46" s="1125">
        <f t="shared" si="0"/>
        <v>-16613.015840250358</v>
      </c>
      <c r="G46" s="1125">
        <f t="shared" si="0"/>
        <v>-16661.066158319503</v>
      </c>
      <c r="H46" s="1125">
        <f t="shared" si="0"/>
        <v>-16606.498555768223</v>
      </c>
      <c r="I46" s="1125">
        <f t="shared" si="0"/>
        <v>-16443.53263970805</v>
      </c>
      <c r="J46" s="1125">
        <f t="shared" si="0"/>
        <v>-16167.862401691818</v>
      </c>
      <c r="K46" s="1125">
        <f t="shared" si="0"/>
        <v>-15773.316238504602</v>
      </c>
    </row>
    <row r="48" spans="1:11">
      <c r="A48" s="1123" t="s">
        <v>2314</v>
      </c>
      <c r="B48" s="1123">
        <f>IF(B82="NC",1.2,1.25)</f>
        <v>1.2</v>
      </c>
      <c r="C48" s="1123">
        <f>+B48</f>
        <v>1.2</v>
      </c>
      <c r="D48" s="1123">
        <f t="shared" ref="D48:K48" si="1">+C48</f>
        <v>1.2</v>
      </c>
      <c r="E48" s="1123">
        <f t="shared" si="1"/>
        <v>1.2</v>
      </c>
      <c r="F48" s="1123">
        <f t="shared" si="1"/>
        <v>1.2</v>
      </c>
      <c r="G48" s="1123">
        <f t="shared" si="1"/>
        <v>1.2</v>
      </c>
      <c r="H48" s="1123">
        <f t="shared" si="1"/>
        <v>1.2</v>
      </c>
      <c r="I48" s="1123">
        <f t="shared" si="1"/>
        <v>1.2</v>
      </c>
      <c r="J48" s="1123">
        <f t="shared" si="1"/>
        <v>1.2</v>
      </c>
      <c r="K48" s="1123">
        <f t="shared" si="1"/>
        <v>1.2</v>
      </c>
    </row>
    <row r="50" spans="1:17">
      <c r="A50" s="1122" t="s">
        <v>595</v>
      </c>
    </row>
    <row r="51" spans="1:17">
      <c r="A51" s="1123" t="s">
        <v>1231</v>
      </c>
      <c r="B51" s="1125">
        <f>+B44</f>
        <v>208957.56240000005</v>
      </c>
      <c r="C51" s="1125">
        <f t="shared" ref="C51:K51" si="2">+C44</f>
        <v>209450.77364799997</v>
      </c>
      <c r="D51" s="1125">
        <f t="shared" si="2"/>
        <v>209843.43272096009</v>
      </c>
      <c r="E51" s="1125">
        <f t="shared" si="2"/>
        <v>210129.45128337917</v>
      </c>
      <c r="F51" s="1125">
        <f t="shared" si="2"/>
        <v>210304.5397142868</v>
      </c>
      <c r="G51" s="1125">
        <f t="shared" si="2"/>
        <v>210362.20009596978</v>
      </c>
      <c r="H51" s="1125">
        <f t="shared" si="2"/>
        <v>210296.71897290825</v>
      </c>
      <c r="I51" s="1125">
        <f t="shared" si="2"/>
        <v>210101.15987363603</v>
      </c>
      <c r="J51" s="1125">
        <f t="shared" si="2"/>
        <v>209770.35558801657</v>
      </c>
      <c r="K51" s="1125">
        <f t="shared" si="2"/>
        <v>209296.90019219191</v>
      </c>
    </row>
    <row r="52" spans="1:17">
      <c r="A52" s="1123" t="s">
        <v>2315</v>
      </c>
      <c r="B52" s="1125">
        <f>IF($B$25="N/A",B45,B45+$B$25)</f>
        <v>-174131.30200000005</v>
      </c>
      <c r="C52" s="1125">
        <f t="shared" ref="C52:K52" si="3">IF($B$25="N/A",C45,C45+$B$25)</f>
        <v>-174131.30200000005</v>
      </c>
      <c r="D52" s="1125">
        <f t="shared" si="3"/>
        <v>-174131.30200000005</v>
      </c>
      <c r="E52" s="1125">
        <f t="shared" si="3"/>
        <v>-174131.30200000005</v>
      </c>
      <c r="F52" s="1125">
        <f t="shared" si="3"/>
        <v>-174131.30200000005</v>
      </c>
      <c r="G52" s="1125">
        <f t="shared" si="3"/>
        <v>-174131.30200000005</v>
      </c>
      <c r="H52" s="1125">
        <f t="shared" si="3"/>
        <v>-174131.30200000005</v>
      </c>
      <c r="I52" s="1125">
        <f t="shared" si="3"/>
        <v>-174131.30200000005</v>
      </c>
      <c r="J52" s="1125">
        <f t="shared" si="3"/>
        <v>-174131.30200000005</v>
      </c>
      <c r="K52" s="1125">
        <f t="shared" si="3"/>
        <v>-174131.30200000005</v>
      </c>
    </row>
    <row r="53" spans="1:17">
      <c r="A53" s="1123" t="s">
        <v>2316</v>
      </c>
      <c r="B53" s="1124">
        <f>+'Part VII-Pro Forma'!B28</f>
        <v>-20000</v>
      </c>
      <c r="C53" s="1124">
        <f>+'Part VII-Pro Forma'!C28</f>
        <v>-20000</v>
      </c>
      <c r="D53" s="1124">
        <f>+'Part VII-Pro Forma'!D28</f>
        <v>-20000</v>
      </c>
      <c r="E53" s="1124">
        <f>+'Part VII-Pro Forma'!E28</f>
        <v>-20000</v>
      </c>
      <c r="F53" s="1124">
        <f>+'Part VII-Pro Forma'!F28</f>
        <v>-20000</v>
      </c>
      <c r="G53" s="1124">
        <f>+'Part VII-Pro Forma'!G28</f>
        <v>-20000</v>
      </c>
      <c r="H53" s="1124">
        <f>+'Part VII-Pro Forma'!H28</f>
        <v>-20000</v>
      </c>
      <c r="I53" s="1124">
        <f>+'Part VII-Pro Forma'!I28</f>
        <v>-20000</v>
      </c>
      <c r="J53" s="1124">
        <f>+'Part VII-Pro Forma'!J28</f>
        <v>-20000</v>
      </c>
      <c r="K53" s="1124">
        <f>+'Part VII-Pro Forma'!K28</f>
        <v>-20000</v>
      </c>
    </row>
    <row r="54" spans="1:17">
      <c r="A54" s="1123" t="s">
        <v>2317</v>
      </c>
      <c r="B54" s="1125">
        <f>+SUM(B51:B53)</f>
        <v>14826.260399999999</v>
      </c>
      <c r="C54" s="1125">
        <f t="shared" ref="C54:K54" si="4">+SUM(C51:C53)</f>
        <v>15319.471647999919</v>
      </c>
      <c r="D54" s="1125">
        <f t="shared" si="4"/>
        <v>15712.130720960035</v>
      </c>
      <c r="E54" s="1125">
        <f t="shared" si="4"/>
        <v>15998.149283379113</v>
      </c>
      <c r="F54" s="1125">
        <f t="shared" si="4"/>
        <v>16173.237714286748</v>
      </c>
      <c r="G54" s="1125">
        <f t="shared" si="4"/>
        <v>16230.898095969722</v>
      </c>
      <c r="H54" s="1125">
        <f t="shared" si="4"/>
        <v>16165.416972908191</v>
      </c>
      <c r="I54" s="1125">
        <f t="shared" si="4"/>
        <v>15969.857873635978</v>
      </c>
      <c r="J54" s="1125">
        <f t="shared" si="4"/>
        <v>15639.053588016512</v>
      </c>
      <c r="K54" s="1125">
        <f t="shared" si="4"/>
        <v>15165.598192191857</v>
      </c>
    </row>
    <row r="55" spans="1:17">
      <c r="A55" s="1123" t="s">
        <v>1235</v>
      </c>
      <c r="B55" s="1125">
        <f>-B54</f>
        <v>-14826.260399999999</v>
      </c>
      <c r="C55" s="1125">
        <f t="shared" ref="C55:K55" si="5">-C54</f>
        <v>-15319.471647999919</v>
      </c>
      <c r="D55" s="1125">
        <f t="shared" si="5"/>
        <v>-15712.130720960035</v>
      </c>
      <c r="E55" s="1125">
        <f t="shared" si="5"/>
        <v>-15998.149283379113</v>
      </c>
      <c r="F55" s="1125">
        <f t="shared" si="5"/>
        <v>-16173.237714286748</v>
      </c>
      <c r="G55" s="1125">
        <f t="shared" si="5"/>
        <v>-16230.898095969722</v>
      </c>
      <c r="H55" s="1125">
        <f t="shared" si="5"/>
        <v>-16165.416972908191</v>
      </c>
      <c r="I55" s="1125">
        <f t="shared" si="5"/>
        <v>-15969.857873635978</v>
      </c>
      <c r="J55" s="1125">
        <f t="shared" si="5"/>
        <v>-15639.053588016512</v>
      </c>
      <c r="K55" s="1125">
        <f t="shared" si="5"/>
        <v>-15165.598192191857</v>
      </c>
    </row>
    <row r="56" spans="1:17">
      <c r="A56" s="1123" t="s">
        <v>2318</v>
      </c>
      <c r="B56" s="1125">
        <f>+B54+B55</f>
        <v>0</v>
      </c>
      <c r="C56" s="1125">
        <f t="shared" ref="C56:K56" si="6">+C54+C55</f>
        <v>0</v>
      </c>
      <c r="D56" s="1125">
        <f t="shared" si="6"/>
        <v>0</v>
      </c>
      <c r="E56" s="1125">
        <f t="shared" si="6"/>
        <v>0</v>
      </c>
      <c r="F56" s="1125">
        <f t="shared" si="6"/>
        <v>0</v>
      </c>
      <c r="G56" s="1125">
        <f t="shared" si="6"/>
        <v>0</v>
      </c>
      <c r="H56" s="1125">
        <f t="shared" si="6"/>
        <v>0</v>
      </c>
      <c r="I56" s="1125">
        <f t="shared" si="6"/>
        <v>0</v>
      </c>
      <c r="J56" s="1125">
        <f t="shared" si="6"/>
        <v>0</v>
      </c>
      <c r="K56" s="1125">
        <f t="shared" si="6"/>
        <v>0</v>
      </c>
    </row>
    <row r="58" spans="1:17">
      <c r="A58" s="1123" t="s">
        <v>2319</v>
      </c>
      <c r="B58" s="1124">
        <f>IF($B$26="","",-FV('Part III-Sources of Funds'!$K$37/12,12,B52/12,B26))</f>
        <v>2060681.014421812</v>
      </c>
      <c r="C58" s="1124">
        <f>IF($B$26="","",-FV('Part III-Sources of Funds'!$K$37/12,12,C52/12,B58))</f>
        <v>1993125.2804662206</v>
      </c>
      <c r="D58" s="1124">
        <f>IF($B$26="","",-FV('Part III-Sources of Funds'!$K$37/12,12,D52/12,C58))</f>
        <v>1921936.2716792386</v>
      </c>
      <c r="E58" s="1124">
        <f>IF($B$26="","",-FV('Part III-Sources of Funds'!$K$37/12,12,E52/12,D58))</f>
        <v>1846918.5836854351</v>
      </c>
      <c r="F58" s="1124">
        <f>IF($B$26="","",-FV('Part III-Sources of Funds'!$K$37/12,12,F52/12,E58))</f>
        <v>1767866.3028933927</v>
      </c>
      <c r="G58" s="1124">
        <f>IF($B$26="","",-FV('Part III-Sources of Funds'!$K$37/12,12,G52/12,F58))</f>
        <v>1684562.4412902452</v>
      </c>
      <c r="H58" s="1124">
        <f>IF($B$26="","",-FV('Part III-Sources of Funds'!$K$37/12,12,H52/12,G58))</f>
        <v>1596778.3408383969</v>
      </c>
      <c r="I58" s="1124">
        <f>IF($B$26="","",-FV('Part III-Sources of Funds'!$K$37/12,12,I52/12,H58))</f>
        <v>1504273.0458395754</v>
      </c>
      <c r="J58" s="1124">
        <f>IF($B$26="","",-FV('Part III-Sources of Funds'!$K$37/12,12,J52/12,I58))</f>
        <v>1406792.6415434366</v>
      </c>
      <c r="K58" s="1124">
        <f>IF($B$26="","",-FV('Part III-Sources of Funds'!$K$37/12,12,K52/12,J58))</f>
        <v>1304069.5571852957</v>
      </c>
    </row>
    <row r="59" spans="1:17">
      <c r="A59" s="1123" t="s">
        <v>1243</v>
      </c>
      <c r="B59" s="1124" t="str">
        <f>IF(B33="","",-FV('Part III-Sources of Funds'!$K$42/12,12,B55/12,B33))</f>
        <v/>
      </c>
      <c r="C59" s="1124" t="str">
        <f>IF($B$33="","",-FV('Part III-Sources of Funds'!$K$42/12,12,C55/12,B59))</f>
        <v/>
      </c>
      <c r="D59" s="1124" t="str">
        <f>IF($B$33="","",-FV('Part III-Sources of Funds'!$K$42/12,12,D55/12,C59))</f>
        <v/>
      </c>
      <c r="E59" s="1124" t="str">
        <f>IF($B$33="","",-FV('Part III-Sources of Funds'!$K$42/12,12,E55/12,D59))</f>
        <v/>
      </c>
      <c r="F59" s="1124" t="str">
        <f>IF($B$33="","",-FV('Part III-Sources of Funds'!$K$42/12,12,F55/12,E59))</f>
        <v/>
      </c>
      <c r="G59" s="1124" t="str">
        <f>IF($B$33="","",-FV('Part III-Sources of Funds'!$K$42/12,12,G55/12,F59))</f>
        <v/>
      </c>
      <c r="H59" s="1124" t="str">
        <f>IF($B$33="","",-FV('Part III-Sources of Funds'!$K$42/12,12,H55/12,G59))</f>
        <v/>
      </c>
      <c r="I59" s="1124" t="str">
        <f>IF($B$33="","",-FV('Part III-Sources of Funds'!$K$42/12,12,I55/12,H59))</f>
        <v/>
      </c>
      <c r="J59" s="1124" t="str">
        <f>IF($B$33="","",-FV('Part III-Sources of Funds'!$K$42/12,12,J55/12,I59))</f>
        <v/>
      </c>
      <c r="K59" s="1124" t="str">
        <f>IF($B$33="","",-FV('Part III-Sources of Funds'!$K$42/12,12,K55/12,J59))</f>
        <v/>
      </c>
      <c r="L59" s="1124" t="str">
        <f>IF($B$33="","",-FV('Part III-Sources of Funds'!$K$42/12,12,B75/12,K59))</f>
        <v/>
      </c>
      <c r="M59" s="1124" t="str">
        <f>IF($B$33="","",-FV('Part III-Sources of Funds'!$K$42/12,12,C75/12,L59))</f>
        <v/>
      </c>
      <c r="N59" s="1124" t="str">
        <f>IF($B$33="","",-FV('Part III-Sources of Funds'!$K$42/12,12,D75/12,M59))</f>
        <v/>
      </c>
      <c r="O59" s="1124" t="str">
        <f>IF($B$33="","",-FV('Part III-Sources of Funds'!$K$42/12,12,E75/12,N59))</f>
        <v/>
      </c>
      <c r="P59" s="1124" t="str">
        <f>IF($B$33="","",-FV('Part III-Sources of Funds'!$K$42/12,12,F75/12,O59))</f>
        <v/>
      </c>
      <c r="Q59" s="1124"/>
    </row>
    <row r="60" spans="1:17" ht="18.75" customHeight="1"/>
    <row r="61" spans="1:17" ht="18.75" customHeight="1"/>
    <row r="62" spans="1:17">
      <c r="A62" s="1122" t="s">
        <v>2311</v>
      </c>
    </row>
    <row r="63" spans="1:17">
      <c r="A63" s="1123" t="s">
        <v>627</v>
      </c>
      <c r="B63" s="1200">
        <v>11</v>
      </c>
      <c r="C63" s="1200">
        <v>12</v>
      </c>
      <c r="D63" s="1200">
        <v>13</v>
      </c>
      <c r="E63" s="1200">
        <v>14</v>
      </c>
      <c r="F63" s="1200">
        <v>15</v>
      </c>
      <c r="G63" s="1200">
        <v>16</v>
      </c>
      <c r="H63" s="1200">
        <v>17</v>
      </c>
      <c r="I63" s="1200">
        <v>18</v>
      </c>
      <c r="J63" s="1200">
        <v>19</v>
      </c>
      <c r="K63" s="1200">
        <v>20</v>
      </c>
    </row>
    <row r="64" spans="1:17">
      <c r="A64" s="1123" t="s">
        <v>1231</v>
      </c>
      <c r="B64" s="1124">
        <f>+'Part VII-Pro Forma'!B52</f>
        <v>208673.14081322332</v>
      </c>
      <c r="C64" s="1124">
        <f>+'Part VII-Pro Forma'!C52</f>
        <v>207893.1691251907</v>
      </c>
      <c r="D64" s="1124">
        <f>+'Part VII-Pro Forma'!D52</f>
        <v>206948.8125682688</v>
      </c>
      <c r="E64" s="1124">
        <f>+'Part VII-Pro Forma'!E52</f>
        <v>205832.6252820256</v>
      </c>
      <c r="F64" s="1124">
        <f>+'Part VII-Pro Forma'!F52</f>
        <v>204536.87874392938</v>
      </c>
      <c r="G64" s="1124">
        <f>+'Part VII-Pro Forma'!G52</f>
        <v>203051.55210375867</v>
      </c>
      <c r="H64" s="1124">
        <f>+'Part VII-Pro Forma'!H52</f>
        <v>201370.32220433367</v>
      </c>
      <c r="I64" s="1124">
        <f>+'Part VII-Pro Forma'!I52</f>
        <v>199483.55327867501</v>
      </c>
      <c r="J64" s="1124">
        <f>+'Part VII-Pro Forma'!J52</f>
        <v>197380.28631341059</v>
      </c>
      <c r="K64" s="1124">
        <f>+'Part VII-Pro Forma'!K52</f>
        <v>195053.22806791577</v>
      </c>
    </row>
    <row r="65" spans="1:11">
      <c r="A65" s="1123" t="s">
        <v>2312</v>
      </c>
      <c r="B65" s="1124">
        <f>SUM('Part VII-Pro Forma'!B53:B56)</f>
        <v>-158640.76725498866</v>
      </c>
      <c r="C65" s="1124">
        <f>SUM('Part VII-Pro Forma'!C53:C56)</f>
        <v>-158640.76725498866</v>
      </c>
      <c r="D65" s="1124">
        <f>SUM('Part VII-Pro Forma'!D53:D56)</f>
        <v>-158640.76725498866</v>
      </c>
      <c r="E65" s="1124">
        <f>SUM('Part VII-Pro Forma'!E53:E56)</f>
        <v>-158640.76725498866</v>
      </c>
      <c r="F65" s="1124">
        <f>SUM('Part VII-Pro Forma'!F53:F56)</f>
        <v>-158640.76725498866</v>
      </c>
      <c r="G65" s="1124">
        <f>SUM('Part VII-Pro Forma'!G53:G56)</f>
        <v>-158640.76725498866</v>
      </c>
      <c r="H65" s="1124">
        <f>SUM('Part VII-Pro Forma'!H53:H56)</f>
        <v>-158640.76725498866</v>
      </c>
      <c r="I65" s="1124">
        <f>SUM('Part VII-Pro Forma'!I53:I56)</f>
        <v>-158640.76725498866</v>
      </c>
      <c r="J65" s="1124">
        <f>SUM('Part VII-Pro Forma'!J53:J56)</f>
        <v>-158640.76725498866</v>
      </c>
      <c r="K65" s="1124">
        <f>SUM('Part VII-Pro Forma'!K53:K56)</f>
        <v>-158640.76725498866</v>
      </c>
    </row>
    <row r="66" spans="1:11">
      <c r="A66" s="1123" t="s">
        <v>2313</v>
      </c>
      <c r="B66" s="1125">
        <f t="shared" ref="B66:K66" si="7">-B64/B68-B65</f>
        <v>-15253.516756030789</v>
      </c>
      <c r="C66" s="1125">
        <f t="shared" si="7"/>
        <v>-14603.540349336923</v>
      </c>
      <c r="D66" s="1125">
        <f t="shared" si="7"/>
        <v>-13816.576551902021</v>
      </c>
      <c r="E66" s="1125">
        <f t="shared" si="7"/>
        <v>-12886.420480032684</v>
      </c>
      <c r="F66" s="1125">
        <f t="shared" si="7"/>
        <v>-11806.631698285841</v>
      </c>
      <c r="G66" s="1125">
        <f t="shared" si="7"/>
        <v>-10568.859498143574</v>
      </c>
      <c r="H66" s="1125">
        <f t="shared" si="7"/>
        <v>-9167.8345819560636</v>
      </c>
      <c r="I66" s="1125">
        <f t="shared" si="7"/>
        <v>-7595.5271439071803</v>
      </c>
      <c r="J66" s="1125">
        <f t="shared" si="7"/>
        <v>-5842.8046728534973</v>
      </c>
      <c r="K66" s="1125">
        <f t="shared" si="7"/>
        <v>-3903.5894682744984</v>
      </c>
    </row>
    <row r="68" spans="1:11">
      <c r="A68" s="1123" t="s">
        <v>2314</v>
      </c>
      <c r="B68" s="1123">
        <f>+K48</f>
        <v>1.2</v>
      </c>
      <c r="C68" s="1123">
        <f t="shared" ref="C68:K68" si="8">+B68</f>
        <v>1.2</v>
      </c>
      <c r="D68" s="1123">
        <f t="shared" si="8"/>
        <v>1.2</v>
      </c>
      <c r="E68" s="1123">
        <f t="shared" si="8"/>
        <v>1.2</v>
      </c>
      <c r="F68" s="1123">
        <f t="shared" si="8"/>
        <v>1.2</v>
      </c>
      <c r="G68" s="1123">
        <f t="shared" si="8"/>
        <v>1.2</v>
      </c>
      <c r="H68" s="1123">
        <f t="shared" si="8"/>
        <v>1.2</v>
      </c>
      <c r="I68" s="1123">
        <f t="shared" si="8"/>
        <v>1.2</v>
      </c>
      <c r="J68" s="1123">
        <f t="shared" si="8"/>
        <v>1.2</v>
      </c>
      <c r="K68" s="1123">
        <f t="shared" si="8"/>
        <v>1.2</v>
      </c>
    </row>
    <row r="70" spans="1:11">
      <c r="A70" s="1122" t="s">
        <v>595</v>
      </c>
    </row>
    <row r="71" spans="1:11">
      <c r="A71" s="1123" t="s">
        <v>1231</v>
      </c>
      <c r="B71" s="1125">
        <f t="shared" ref="B71:G71" si="9">+B64</f>
        <v>208673.14081322332</v>
      </c>
      <c r="C71" s="1125">
        <f t="shared" si="9"/>
        <v>207893.1691251907</v>
      </c>
      <c r="D71" s="1125">
        <f t="shared" si="9"/>
        <v>206948.8125682688</v>
      </c>
      <c r="E71" s="1125">
        <f t="shared" si="9"/>
        <v>205832.6252820256</v>
      </c>
      <c r="F71" s="1125">
        <f t="shared" si="9"/>
        <v>204536.87874392938</v>
      </c>
      <c r="G71" s="1125">
        <f t="shared" si="9"/>
        <v>203051.55210375867</v>
      </c>
      <c r="H71" s="1125">
        <f t="shared" ref="H71:K71" si="10">+H64</f>
        <v>201370.32220433367</v>
      </c>
      <c r="I71" s="1125">
        <f t="shared" si="10"/>
        <v>199483.55327867501</v>
      </c>
      <c r="J71" s="1125">
        <f t="shared" si="10"/>
        <v>197380.28631341059</v>
      </c>
      <c r="K71" s="1125">
        <f t="shared" si="10"/>
        <v>195053.22806791577</v>
      </c>
    </row>
    <row r="72" spans="1:11">
      <c r="A72" s="1123" t="s">
        <v>2315</v>
      </c>
      <c r="B72" s="1125">
        <f t="shared" ref="B72:G72" si="11">IF($B$25="N/A",B65,B65+$B$25)</f>
        <v>-174131.30200000005</v>
      </c>
      <c r="C72" s="1125">
        <f t="shared" si="11"/>
        <v>-174131.30200000005</v>
      </c>
      <c r="D72" s="1125">
        <f t="shared" si="11"/>
        <v>-174131.30200000005</v>
      </c>
      <c r="E72" s="1125">
        <f t="shared" si="11"/>
        <v>-174131.30200000005</v>
      </c>
      <c r="F72" s="1125">
        <f t="shared" si="11"/>
        <v>-174131.30200000005</v>
      </c>
      <c r="G72" s="1125">
        <f t="shared" si="11"/>
        <v>-174131.30200000005</v>
      </c>
      <c r="H72" s="1125">
        <f t="shared" ref="H72:K72" si="12">IF($B$25="N/A",H65,H65+$B$25)</f>
        <v>-174131.30200000005</v>
      </c>
      <c r="I72" s="1125">
        <f t="shared" si="12"/>
        <v>-174131.30200000005</v>
      </c>
      <c r="J72" s="1125">
        <f t="shared" si="12"/>
        <v>-174131.30200000005</v>
      </c>
      <c r="K72" s="1125">
        <f t="shared" si="12"/>
        <v>-174131.30200000005</v>
      </c>
    </row>
    <row r="73" spans="1:11">
      <c r="A73" s="1123" t="s">
        <v>2316</v>
      </c>
      <c r="B73" s="1124">
        <f>+'Part VII-Pro Forma'!B58</f>
        <v>-20000</v>
      </c>
      <c r="C73" s="1124">
        <f>+'Part VII-Pro Forma'!C58</f>
        <v>-20000</v>
      </c>
      <c r="D73" s="1124">
        <f>+'Part VII-Pro Forma'!D58</f>
        <v>-20000</v>
      </c>
      <c r="E73" s="1124">
        <f>+'Part VII-Pro Forma'!E58</f>
        <v>-20000</v>
      </c>
      <c r="F73" s="1124">
        <f>+'Part VII-Pro Forma'!F58</f>
        <v>-20000</v>
      </c>
      <c r="G73" s="1124">
        <f>+'Part VII-Pro Forma'!G58</f>
        <v>-20000</v>
      </c>
      <c r="H73" s="1124">
        <f>+'Part VII-Pro Forma'!H58</f>
        <v>-20000</v>
      </c>
      <c r="I73" s="1124">
        <f>+'Part VII-Pro Forma'!I58</f>
        <v>-20000</v>
      </c>
      <c r="J73" s="1124">
        <f>+'Part VII-Pro Forma'!J58</f>
        <v>-20000</v>
      </c>
      <c r="K73" s="1124">
        <f>+'Part VII-Pro Forma'!K58</f>
        <v>-20000</v>
      </c>
    </row>
    <row r="74" spans="1:11">
      <c r="A74" s="1123" t="s">
        <v>2317</v>
      </c>
      <c r="B74" s="1125">
        <f t="shared" ref="B74:G74" si="13">+SUM(B71:B73)</f>
        <v>14541.838813223265</v>
      </c>
      <c r="C74" s="1125">
        <f t="shared" si="13"/>
        <v>13761.867125190649</v>
      </c>
      <c r="D74" s="1125">
        <f t="shared" si="13"/>
        <v>12817.510568268743</v>
      </c>
      <c r="E74" s="1125">
        <f t="shared" si="13"/>
        <v>11701.323282025551</v>
      </c>
      <c r="F74" s="1125">
        <f t="shared" si="13"/>
        <v>10405.576743929327</v>
      </c>
      <c r="G74" s="1125">
        <f t="shared" si="13"/>
        <v>8920.2501037586189</v>
      </c>
      <c r="H74" s="1125">
        <f t="shared" ref="H74:K74" si="14">+SUM(H71:H73)</f>
        <v>7239.0202043336176</v>
      </c>
      <c r="I74" s="1125">
        <f t="shared" si="14"/>
        <v>5352.2512786749576</v>
      </c>
      <c r="J74" s="1125">
        <f t="shared" si="14"/>
        <v>3248.9843134105322</v>
      </c>
      <c r="K74" s="1125">
        <f t="shared" si="14"/>
        <v>921.92606791571598</v>
      </c>
    </row>
    <row r="75" spans="1:11">
      <c r="A75" s="1123" t="s">
        <v>1235</v>
      </c>
      <c r="B75" s="1125">
        <f t="shared" ref="B75:G75" si="15">-B74</f>
        <v>-14541.838813223265</v>
      </c>
      <c r="C75" s="1125">
        <f t="shared" si="15"/>
        <v>-13761.867125190649</v>
      </c>
      <c r="D75" s="1125">
        <f t="shared" si="15"/>
        <v>-12817.510568268743</v>
      </c>
      <c r="E75" s="1125">
        <f t="shared" si="15"/>
        <v>-11701.323282025551</v>
      </c>
      <c r="F75" s="1125">
        <f t="shared" si="15"/>
        <v>-10405.576743929327</v>
      </c>
      <c r="G75" s="1125">
        <f t="shared" si="15"/>
        <v>-8920.2501037586189</v>
      </c>
      <c r="H75" s="1125">
        <f t="shared" ref="H75:K75" si="16">-H74</f>
        <v>-7239.0202043336176</v>
      </c>
      <c r="I75" s="1125">
        <f t="shared" si="16"/>
        <v>-5352.2512786749576</v>
      </c>
      <c r="J75" s="1125">
        <f t="shared" si="16"/>
        <v>-3248.9843134105322</v>
      </c>
      <c r="K75" s="1125">
        <f t="shared" si="16"/>
        <v>-921.92606791571598</v>
      </c>
    </row>
    <row r="76" spans="1:11">
      <c r="A76" s="1123" t="s">
        <v>2318</v>
      </c>
      <c r="B76" s="1125">
        <f t="shared" ref="B76:G76" si="17">+B74+B75</f>
        <v>0</v>
      </c>
      <c r="C76" s="1125">
        <f t="shared" si="17"/>
        <v>0</v>
      </c>
      <c r="D76" s="1125">
        <f t="shared" si="17"/>
        <v>0</v>
      </c>
      <c r="E76" s="1125">
        <f t="shared" si="17"/>
        <v>0</v>
      </c>
      <c r="F76" s="1125">
        <f t="shared" si="17"/>
        <v>0</v>
      </c>
      <c r="G76" s="1125">
        <f t="shared" si="17"/>
        <v>0</v>
      </c>
      <c r="H76" s="1125">
        <f t="shared" ref="H76:K76" si="18">+H74+H75</f>
        <v>0</v>
      </c>
      <c r="I76" s="1125">
        <f t="shared" si="18"/>
        <v>0</v>
      </c>
      <c r="J76" s="1125">
        <f t="shared" si="18"/>
        <v>0</v>
      </c>
      <c r="K76" s="1125">
        <f t="shared" si="18"/>
        <v>0</v>
      </c>
    </row>
    <row r="78" spans="1:11">
      <c r="A78" s="1123" t="s">
        <v>2319</v>
      </c>
      <c r="B78" s="1124">
        <f>IF($B$26="","",-FV('Part III-Sources of Funds'!$K$37/12,12,B72/12,K58))</f>
        <v>1195821.8315399098</v>
      </c>
      <c r="C78" s="1124">
        <f>IF($B$26="","",-FV('Part III-Sources of Funds'!$K$37/12,12,C72/12,B78))</f>
        <v>1081752.3389753583</v>
      </c>
      <c r="D78" s="1124">
        <f>IF($B$26="","",-FV('Part III-Sources of Funds'!$K$37/12,12,D72/12,C78))</f>
        <v>961547.97388264083</v>
      </c>
      <c r="E78" s="1124">
        <f>IF($B$26="","",-FV('Part III-Sources of Funds'!$K$37/12,12,E72/12,D78))</f>
        <v>834878.79124236037</v>
      </c>
      <c r="F78" s="1124">
        <f>IF($B$26="","",-FV('Part III-Sources of Funds'!$K$37/12,12,F72/12,E78))</f>
        <v>701397.10096946009</v>
      </c>
      <c r="G78" s="1124">
        <f>IF($B$26="","",-FV('Part III-Sources of Funds'!$K$37/12,12,G72/12,F78))</f>
        <v>560736.51355011249</v>
      </c>
      <c r="H78" s="1124">
        <f>IF($B$26="","",-FV('Part III-Sources of Funds'!$K$37/12,12,H72/12,G78))</f>
        <v>412510.93435115926</v>
      </c>
      <c r="I78" s="1124">
        <f>IF($B$26="","",-FV('Part III-Sources of Funds'!$K$37/12,12,I72/12,H78))</f>
        <v>256313.50384161549</v>
      </c>
      <c r="J78" s="1124">
        <f>IF($B$26="","",-FV('Part III-Sources of Funds'!$K$37/12,12,J72/12,I78))</f>
        <v>91715.480817286734</v>
      </c>
      <c r="K78" s="1124">
        <f>IF($B$26="","",-FV('Part III-Sources of Funds'!$K$37/12,12,K72/12,J78))</f>
        <v>-81734.934436900658</v>
      </c>
    </row>
    <row r="79" spans="1:11">
      <c r="A79" s="1123" t="s">
        <v>1243</v>
      </c>
    </row>
    <row r="82" spans="1:2">
      <c r="A82" s="1123" t="s">
        <v>2320</v>
      </c>
      <c r="B82" s="1197" t="s">
        <v>511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526" customWidth="1"/>
    <col min="4" max="4" width="15.42578125" style="526" customWidth="1"/>
    <col min="5" max="5" width="4.7109375" style="526" customWidth="1"/>
    <col min="6" max="9" width="12.7109375" style="526" customWidth="1"/>
    <col min="10" max="10" width="5.140625" style="526" customWidth="1"/>
    <col min="11" max="16384" width="9.140625" style="526"/>
  </cols>
  <sheetData>
    <row r="1" spans="1:11" ht="15.75">
      <c r="A1" s="2151" t="s">
        <v>2321</v>
      </c>
      <c r="B1" s="2151"/>
      <c r="C1" s="2151"/>
      <c r="D1" s="2151"/>
      <c r="E1" s="2151"/>
      <c r="F1" s="2151"/>
      <c r="G1" s="2151"/>
      <c r="H1" s="2151"/>
      <c r="I1" s="2151"/>
      <c r="J1" s="2151"/>
    </row>
    <row r="2" spans="1:11" ht="15.75">
      <c r="A2" s="2151" t="str">
        <f>Overview!C8</f>
        <v>Mill at Stone Valley</v>
      </c>
      <c r="B2" s="2151"/>
      <c r="C2" s="2151"/>
      <c r="D2" s="2151"/>
      <c r="E2" s="2151"/>
      <c r="F2" s="2151"/>
      <c r="G2" s="2151"/>
      <c r="H2" s="2151"/>
      <c r="I2" s="2151"/>
      <c r="J2" s="2151"/>
    </row>
    <row r="3" spans="1:11" ht="15.75">
      <c r="A3" s="2151" t="str">
        <f>'Subsidy Layering Memo'!F14</f>
        <v>Ball Ground, Cherokee</v>
      </c>
      <c r="B3" s="2151"/>
      <c r="C3" s="2151"/>
      <c r="D3" s="2151"/>
      <c r="E3" s="2151"/>
      <c r="F3" s="2151"/>
      <c r="G3" s="2151"/>
      <c r="H3" s="2151"/>
      <c r="I3" s="2151"/>
      <c r="J3" s="2151"/>
    </row>
    <row r="4" spans="1:11" ht="15.75">
      <c r="A4" s="2152" t="s">
        <v>2322</v>
      </c>
      <c r="B4" s="2151"/>
      <c r="C4" s="2151"/>
      <c r="D4" s="2151"/>
      <c r="E4" s="2151"/>
      <c r="F4" s="2151"/>
      <c r="G4" s="2151"/>
      <c r="H4" s="2151"/>
      <c r="I4" s="2151"/>
      <c r="J4" s="2151"/>
    </row>
    <row r="5" spans="1:11" ht="5.25" customHeight="1"/>
    <row r="6" spans="1:11" ht="5.25" customHeight="1"/>
    <row r="7" spans="1:11" ht="15.75">
      <c r="A7" s="2153" t="s">
        <v>2323</v>
      </c>
      <c r="B7" s="2153"/>
      <c r="C7" s="2154"/>
    </row>
    <row r="8" spans="1:11" ht="102.75" customHeight="1">
      <c r="A8" s="2147" t="s">
        <v>2324</v>
      </c>
      <c r="B8" s="2147"/>
      <c r="C8" s="2147"/>
      <c r="D8" s="2147"/>
      <c r="E8" s="2147"/>
      <c r="F8" s="2147"/>
      <c r="G8" s="2147"/>
      <c r="H8" s="2147"/>
      <c r="I8" s="2147"/>
      <c r="J8" s="2147"/>
      <c r="K8" s="527"/>
    </row>
    <row r="9" spans="1:11" ht="15.75">
      <c r="A9" s="528" t="s">
        <v>2325</v>
      </c>
    </row>
    <row r="10" spans="1:11" ht="21.75" customHeight="1">
      <c r="A10" s="2147" t="str">
        <f>'Subsidy Layering Memo'!A44</f>
        <v xml:space="preserve">Ownership entity:  (NAME) LP, a Georgia Limited Partnership, will be the ownership entity for the proposed project. </v>
      </c>
      <c r="B10" s="2148"/>
      <c r="C10" s="2148"/>
      <c r="D10" s="2148"/>
      <c r="E10" s="2148"/>
      <c r="F10" s="2148"/>
      <c r="G10" s="2148"/>
      <c r="H10" s="2148"/>
      <c r="I10" s="2148"/>
      <c r="J10" s="2147"/>
    </row>
    <row r="11" spans="1:11" ht="63.75" customHeight="1">
      <c r="A11" s="2147" t="s">
        <v>2326</v>
      </c>
      <c r="B11" s="2147"/>
      <c r="C11" s="2147"/>
      <c r="D11" s="2147"/>
      <c r="E11" s="2147"/>
      <c r="F11" s="2147"/>
      <c r="G11" s="2147"/>
      <c r="H11" s="2147"/>
      <c r="I11" s="2147"/>
      <c r="J11" s="2147"/>
    </row>
    <row r="12" spans="1:11" ht="48.75" customHeight="1">
      <c r="A12" s="2147" t="s">
        <v>2327</v>
      </c>
      <c r="B12" s="2147"/>
      <c r="C12" s="2147"/>
      <c r="D12" s="2147"/>
      <c r="E12" s="2147"/>
      <c r="F12" s="2147"/>
      <c r="G12" s="2147"/>
      <c r="H12" s="2147"/>
      <c r="I12" s="2147"/>
      <c r="J12" s="2147"/>
    </row>
    <row r="13" spans="1:11" ht="15.75">
      <c r="A13" s="528" t="s">
        <v>2328</v>
      </c>
      <c r="B13" s="529"/>
    </row>
    <row r="14" spans="1:11">
      <c r="A14" s="526" t="s">
        <v>2329</v>
      </c>
      <c r="E14" s="530" t="s">
        <v>2330</v>
      </c>
    </row>
    <row r="15" spans="1:11">
      <c r="A15" s="526" t="s">
        <v>2331</v>
      </c>
      <c r="D15" s="531">
        <f>Overview!C25</f>
        <v>2650000</v>
      </c>
    </row>
    <row r="16" spans="1:11">
      <c r="A16" s="532" t="s">
        <v>2332</v>
      </c>
      <c r="D16" s="533">
        <f>Overview!C13</f>
        <v>74</v>
      </c>
    </row>
    <row r="17" spans="1:11" ht="14.25" customHeight="1"/>
    <row r="18" spans="1:11" ht="15.75">
      <c r="A18" s="528" t="s">
        <v>2333</v>
      </c>
      <c r="B18" s="529"/>
      <c r="C18" s="529"/>
    </row>
    <row r="19" spans="1:11" ht="48.75" customHeight="1">
      <c r="A19" s="2149" t="s">
        <v>2334</v>
      </c>
      <c r="B19" s="2149"/>
      <c r="C19" s="2149"/>
      <c r="D19" s="2149"/>
      <c r="E19" s="2149"/>
      <c r="F19" s="2149"/>
      <c r="G19" s="2149"/>
      <c r="H19" s="2149"/>
      <c r="I19" s="2149"/>
      <c r="J19" s="2149"/>
    </row>
    <row r="20" spans="1:11" ht="72.75" customHeight="1">
      <c r="A20" s="2147" t="s">
        <v>2335</v>
      </c>
      <c r="B20" s="2147"/>
      <c r="C20" s="2147"/>
      <c r="D20" s="2147"/>
      <c r="E20" s="2147"/>
      <c r="F20" s="2147"/>
      <c r="G20" s="2147"/>
      <c r="H20" s="2147"/>
      <c r="I20" s="2147"/>
      <c r="J20" s="2147"/>
    </row>
    <row r="21" spans="1:11" ht="15.75">
      <c r="A21" s="528" t="s">
        <v>2336</v>
      </c>
      <c r="B21" s="529"/>
      <c r="C21" s="529"/>
      <c r="D21" s="529"/>
      <c r="E21" s="529"/>
      <c r="F21" s="529"/>
    </row>
    <row r="22" spans="1:11" ht="102.75" customHeight="1">
      <c r="A22" s="2150" t="s">
        <v>2337</v>
      </c>
      <c r="B22" s="2150"/>
      <c r="C22" s="2150"/>
      <c r="D22" s="2150"/>
      <c r="E22" s="2150"/>
      <c r="F22" s="2150"/>
      <c r="G22" s="2150"/>
      <c r="H22" s="2150"/>
      <c r="I22" s="2150"/>
      <c r="J22" s="2150"/>
      <c r="K22" s="1450"/>
    </row>
    <row r="23" spans="1:11" ht="15" customHeight="1">
      <c r="A23" s="2146"/>
      <c r="B23" s="2146"/>
      <c r="C23" s="2146"/>
      <c r="D23" s="2146"/>
      <c r="E23" s="2146"/>
      <c r="F23" s="2146"/>
      <c r="G23" s="2146"/>
      <c r="H23" s="2146"/>
      <c r="I23" s="2146"/>
      <c r="J23" s="2146"/>
      <c r="K23" s="526" t="s">
        <v>2338</v>
      </c>
    </row>
    <row r="24" spans="1:11" ht="15" customHeight="1">
      <c r="B24" s="1451"/>
      <c r="C24" s="1451"/>
      <c r="D24" s="1451"/>
      <c r="E24" s="1451"/>
      <c r="F24" s="1451"/>
      <c r="G24" s="1451"/>
      <c r="H24" s="1451"/>
      <c r="I24" s="1451" t="s">
        <v>2338</v>
      </c>
      <c r="J24" s="1451"/>
    </row>
    <row r="25" spans="1:11" ht="15.75">
      <c r="A25" s="529" t="s">
        <v>2339</v>
      </c>
    </row>
    <row r="27" spans="1:11" ht="15.75" thickBot="1">
      <c r="A27" s="534"/>
      <c r="B27" s="534"/>
      <c r="C27" s="534"/>
      <c r="D27" s="534"/>
      <c r="F27" s="534"/>
      <c r="G27" s="534"/>
      <c r="H27" s="534"/>
      <c r="I27" s="534"/>
    </row>
    <row r="28" spans="1:11">
      <c r="A28" s="526" t="s">
        <v>2340</v>
      </c>
      <c r="D28" s="526" t="s">
        <v>2341</v>
      </c>
      <c r="F28" s="526" t="s">
        <v>2342</v>
      </c>
      <c r="I28" s="526" t="s">
        <v>2341</v>
      </c>
      <c r="J28" s="526" t="s">
        <v>2338</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12" customWidth="1"/>
    <col min="2" max="3" width="26.140625" style="12" customWidth="1"/>
    <col min="4" max="4" width="9.42578125" style="12" customWidth="1"/>
    <col min="5" max="5" width="25.5703125" style="12" customWidth="1"/>
    <col min="6" max="6" width="8.5703125" style="12" customWidth="1"/>
    <col min="7" max="7" width="21.7109375" style="12" customWidth="1"/>
    <col min="8" max="8" width="6.5703125" style="12" customWidth="1"/>
    <col min="9" max="9" width="19.28515625" style="12" customWidth="1"/>
    <col min="10" max="10" width="6.5703125" style="12" customWidth="1"/>
    <col min="11" max="11" width="18.85546875" style="12" customWidth="1"/>
    <col min="12" max="12" width="7.5703125" style="12" customWidth="1"/>
    <col min="13" max="17" width="10.7109375" style="12" customWidth="1"/>
    <col min="18" max="16384" width="9.140625" style="12"/>
  </cols>
  <sheetData>
    <row r="1" spans="1:14" s="171" customFormat="1" ht="18">
      <c r="A1" s="1136" t="s">
        <v>2343</v>
      </c>
      <c r="B1" s="592"/>
      <c r="C1" s="592"/>
      <c r="D1" s="592"/>
      <c r="E1" s="592"/>
      <c r="F1" s="592"/>
      <c r="G1" s="592"/>
      <c r="H1" s="592"/>
      <c r="I1" s="592"/>
      <c r="J1" s="592"/>
      <c r="K1" s="592"/>
      <c r="L1" s="529"/>
      <c r="M1" s="529"/>
    </row>
    <row r="2" spans="1:14" s="171" customFormat="1" ht="18">
      <c r="A2" s="1136" t="str">
        <f>+"Financial Analysis for:  "&amp;E8&amp;"  "&amp;C8</f>
        <v>Financial Analysis for:  2018-008  Mill at Stone Valley</v>
      </c>
      <c r="B2" s="592"/>
      <c r="C2" s="592"/>
      <c r="D2" s="592"/>
      <c r="E2" s="592"/>
      <c r="F2" s="592"/>
      <c r="G2" s="592"/>
      <c r="H2" s="592"/>
      <c r="I2" s="592"/>
      <c r="J2" s="592"/>
      <c r="K2" s="592"/>
      <c r="L2" s="529"/>
      <c r="M2" s="529"/>
    </row>
    <row r="5" spans="1:14" ht="15.75">
      <c r="A5" s="563"/>
      <c r="B5" s="564"/>
      <c r="C5" s="565"/>
      <c r="D5" s="564"/>
      <c r="E5" s="564"/>
      <c r="F5" s="563"/>
      <c r="G5" s="564"/>
      <c r="H5" s="565"/>
      <c r="I5" s="564"/>
      <c r="J5" s="564"/>
      <c r="K5" s="564"/>
      <c r="L5" s="564"/>
      <c r="M5" s="526"/>
    </row>
    <row r="7" spans="1:14" ht="15.75">
      <c r="A7" s="529" t="s">
        <v>2344</v>
      </c>
      <c r="B7" s="526"/>
      <c r="C7" s="566"/>
      <c r="D7" s="567"/>
      <c r="E7" s="567"/>
      <c r="F7" s="529" t="s">
        <v>2345</v>
      </c>
      <c r="G7" s="526"/>
      <c r="H7" s="2156"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2156"/>
      <c r="J7" s="2156"/>
      <c r="K7" s="2156"/>
      <c r="L7" s="526"/>
      <c r="M7" s="526"/>
    </row>
    <row r="8" spans="1:14" ht="15.75">
      <c r="A8" s="529" t="s">
        <v>2346</v>
      </c>
      <c r="B8" s="529"/>
      <c r="C8" s="2156" t="str">
        <f>'Part I-Project Information'!F34</f>
        <v>Mill at Stone Valley</v>
      </c>
      <c r="D8" s="2156"/>
      <c r="E8" s="1452" t="str">
        <f>'Part I-Project Information'!O6</f>
        <v>2018-008</v>
      </c>
      <c r="F8" s="568" t="s">
        <v>2347</v>
      </c>
      <c r="G8" s="567"/>
      <c r="H8" s="2156" t="str">
        <f>CONCATENATE('Part I-Project Information'!F38,", ",'Part I-Project Information'!J39)</f>
        <v>Ball Ground, Cherokee</v>
      </c>
      <c r="I8" s="2156"/>
      <c r="J8" s="2156"/>
      <c r="K8" s="2156"/>
      <c r="L8" s="526"/>
      <c r="M8" s="569"/>
    </row>
    <row r="9" spans="1:14" ht="15.75">
      <c r="A9" s="529" t="s">
        <v>2348</v>
      </c>
      <c r="B9" s="529"/>
      <c r="C9" s="2156" t="s">
        <v>781</v>
      </c>
      <c r="D9" s="2156"/>
      <c r="E9" s="567"/>
      <c r="F9" s="568" t="s">
        <v>2349</v>
      </c>
      <c r="G9" s="567"/>
      <c r="H9" s="2156" t="str">
        <f>'Part II-Development Team'!H5</f>
        <v>TISHCO Ball Ground L.P.</v>
      </c>
      <c r="I9" s="2156"/>
      <c r="J9" s="2156"/>
      <c r="K9" s="2156"/>
      <c r="L9" s="2156"/>
      <c r="M9" s="569"/>
    </row>
    <row r="10" spans="1:14" ht="15.75">
      <c r="A10" s="529" t="s">
        <v>2350</v>
      </c>
      <c r="B10" s="526"/>
      <c r="C10" s="1452" t="str">
        <f>'Part II-Development Team'!H14</f>
        <v>TISHCO Cherokee LLC</v>
      </c>
      <c r="D10" s="567"/>
      <c r="E10" s="567"/>
      <c r="F10" s="568" t="s">
        <v>2351</v>
      </c>
      <c r="G10" s="567"/>
      <c r="H10" s="2156" t="str">
        <f>'Part II-Development Team'!H33</f>
        <v>Stratford Capital Group</v>
      </c>
      <c r="I10" s="2156"/>
      <c r="J10" s="2156"/>
      <c r="K10" s="2156" t="str">
        <f>'Part II-Development Team'!H39</f>
        <v>TSR SI LLC</v>
      </c>
      <c r="L10" s="2156"/>
    </row>
    <row r="11" spans="1:14" ht="15.75">
      <c r="A11" s="529" t="s">
        <v>2352</v>
      </c>
      <c r="B11" s="526"/>
      <c r="C11" s="1452" t="str">
        <f>IF('Part II-Development Team'!H20="","",'Part II-Development Team'!H20)</f>
        <v/>
      </c>
      <c r="D11" s="567"/>
      <c r="E11" s="1138" t="str">
        <f>IF('Part II-Development Team'!H26="","",'Part II-Development Team'!H26)</f>
        <v/>
      </c>
      <c r="F11" s="568" t="s">
        <v>396</v>
      </c>
      <c r="G11" s="567"/>
      <c r="H11" s="2156" t="str">
        <f>'Part II-Development Team'!H54</f>
        <v>TISHCO Development, Inc.</v>
      </c>
      <c r="I11" s="2156"/>
      <c r="J11" s="2156"/>
      <c r="K11" s="2156">
        <f>'Part II-Development Team'!H60</f>
        <v>0</v>
      </c>
      <c r="L11" s="2156"/>
      <c r="M11" s="2156">
        <f>'Part II-Development Team'!H66</f>
        <v>0</v>
      </c>
      <c r="N11" s="2156"/>
    </row>
    <row r="12" spans="1:14" ht="15.75">
      <c r="A12" s="529" t="s">
        <v>2353</v>
      </c>
      <c r="B12" s="526"/>
      <c r="C12" s="1452" t="str">
        <f>'Part II-Development Team'!H86</f>
        <v>TISHCO Construction, Inc.</v>
      </c>
      <c r="D12" s="567"/>
      <c r="E12" s="567"/>
      <c r="F12" s="568" t="s">
        <v>2354</v>
      </c>
      <c r="G12" s="567"/>
      <c r="H12" s="2156" t="str">
        <f>'Part II-Development Team'!H92</f>
        <v>TISHCO Properties, LLC</v>
      </c>
      <c r="I12" s="2156"/>
      <c r="J12" s="2156"/>
      <c r="K12" s="2156"/>
      <c r="L12" s="526"/>
      <c r="M12" s="526"/>
    </row>
    <row r="13" spans="1:14" ht="15.75">
      <c r="A13" s="529" t="s">
        <v>2355</v>
      </c>
      <c r="B13" s="568"/>
      <c r="C13" s="525">
        <f>'Part VI-Revenues &amp; Expenses'!$O$62</f>
        <v>74</v>
      </c>
      <c r="E13" s="1139">
        <f>'Part VI-Revenues &amp; Expenses'!$O$58</f>
        <v>63</v>
      </c>
      <c r="F13" s="568" t="s">
        <v>2356</v>
      </c>
      <c r="G13" s="567"/>
      <c r="H13" s="1202">
        <f>'Part I-Project Information'!H72</f>
        <v>5</v>
      </c>
      <c r="I13" s="1140"/>
      <c r="J13" s="1140"/>
      <c r="K13" s="1202">
        <f>'Part I-Project Information'!P71</f>
        <v>82232</v>
      </c>
      <c r="L13" s="526"/>
      <c r="M13" s="526"/>
    </row>
    <row r="14" spans="1:14" ht="15.75">
      <c r="A14" s="529" t="s">
        <v>2357</v>
      </c>
      <c r="B14" s="526"/>
      <c r="C14" s="1202" t="str">
        <f>'Part I-Project Information'!H78</f>
        <v>Family</v>
      </c>
      <c r="D14" s="2156" t="str">
        <f>IF('Part I-Project Information'!N70=0,"",'Part I-Project Information'!N70)</f>
        <v/>
      </c>
      <c r="E14" s="2156"/>
      <c r="F14" s="568" t="s">
        <v>2358</v>
      </c>
      <c r="G14" s="567"/>
      <c r="H14" s="2161" t="s">
        <v>2359</v>
      </c>
      <c r="I14" s="2161"/>
      <c r="J14" s="2161"/>
      <c r="K14" s="2161" t="s">
        <v>2359</v>
      </c>
      <c r="L14" s="2161"/>
      <c r="M14" s="526"/>
    </row>
    <row r="15" spans="1:14" ht="15.75">
      <c r="A15" s="529" t="s">
        <v>2360</v>
      </c>
      <c r="B15" s="526"/>
      <c r="C15" s="570" t="s">
        <v>781</v>
      </c>
      <c r="D15" s="567"/>
      <c r="E15" s="567"/>
      <c r="F15" s="568" t="s">
        <v>2361</v>
      </c>
      <c r="G15" s="567"/>
      <c r="H15" s="1452" t="str">
        <f>'Part I-Project Information'!K40</f>
        <v>Rural</v>
      </c>
      <c r="I15" s="567"/>
      <c r="J15" s="567"/>
      <c r="K15" s="567"/>
      <c r="L15" s="526"/>
      <c r="M15" s="526"/>
    </row>
    <row r="16" spans="1:14" ht="15.75">
      <c r="A16" s="529" t="s">
        <v>2362</v>
      </c>
      <c r="B16" s="526"/>
      <c r="C16" s="1452" t="str">
        <f>'Part I-Project Information'!H96</f>
        <v>No</v>
      </c>
      <c r="D16" s="571" t="s">
        <v>180</v>
      </c>
      <c r="E16" s="1452" t="str">
        <f>'Part I-Project Information'!H98</f>
        <v>No</v>
      </c>
      <c r="F16" s="568"/>
      <c r="G16" s="567"/>
      <c r="H16" s="567"/>
      <c r="I16" s="567"/>
      <c r="J16" s="567"/>
      <c r="K16" s="567"/>
      <c r="L16" s="526"/>
      <c r="M16" s="526"/>
    </row>
    <row r="17" spans="1:13" ht="15">
      <c r="A17" s="526"/>
      <c r="B17" s="526"/>
      <c r="C17" s="526"/>
      <c r="D17" s="567"/>
      <c r="E17" s="567"/>
      <c r="F17" s="567"/>
      <c r="G17" s="567"/>
      <c r="H17" s="567"/>
      <c r="I17" s="567"/>
      <c r="J17" s="526"/>
      <c r="K17" s="526"/>
      <c r="L17" s="526"/>
      <c r="M17" s="526"/>
    </row>
    <row r="18" spans="1:13" ht="15.75">
      <c r="A18" s="529" t="s">
        <v>2363</v>
      </c>
      <c r="B18" s="526"/>
      <c r="C18" s="1453">
        <f>'Part IV-A-Uses of Funds'!G132</f>
        <v>13885091</v>
      </c>
      <c r="D18" s="1184">
        <f>IF(C18=0,"",$C$29/C18)</f>
        <v>0.19085218814914501</v>
      </c>
      <c r="E18" s="567" t="s">
        <v>2364</v>
      </c>
      <c r="F18" s="568" t="s">
        <v>2365</v>
      </c>
      <c r="G18" s="567"/>
      <c r="H18" s="2155">
        <f>'Part IV-A-Uses of Funds'!B44</f>
        <v>8817900</v>
      </c>
      <c r="I18" s="2155"/>
      <c r="J18" s="1183">
        <f>IF(H18=0,"",$C$29/H18)</f>
        <v>0.30052506832692594</v>
      </c>
      <c r="K18" s="2156" t="s">
        <v>2366</v>
      </c>
      <c r="L18" s="2156"/>
      <c r="M18" s="526"/>
    </row>
    <row r="19" spans="1:13" ht="15.75">
      <c r="A19" s="529" t="s">
        <v>2367</v>
      </c>
      <c r="B19" s="526"/>
      <c r="C19" s="1454">
        <f>C18/C13</f>
        <v>187636.36486486485</v>
      </c>
      <c r="D19" s="567"/>
      <c r="E19" s="526"/>
      <c r="F19" s="529" t="s">
        <v>2367</v>
      </c>
      <c r="G19" s="526"/>
      <c r="H19" s="2157">
        <f>H18/C13</f>
        <v>119160.81081081081</v>
      </c>
      <c r="I19" s="2157"/>
      <c r="J19" s="526"/>
      <c r="K19" s="526"/>
      <c r="L19" s="526"/>
      <c r="M19" s="526"/>
    </row>
    <row r="20" spans="1:13" ht="15.75">
      <c r="A20" s="529" t="s">
        <v>2368</v>
      </c>
      <c r="B20" s="526"/>
      <c r="C20" s="1455">
        <f>C18/K13</f>
        <v>168.8526486039498</v>
      </c>
      <c r="D20" s="572"/>
      <c r="E20" s="573"/>
      <c r="F20" s="529" t="s">
        <v>2368</v>
      </c>
      <c r="G20" s="526"/>
      <c r="H20" s="2158">
        <f>H18/K13</f>
        <v>107.23197781885398</v>
      </c>
      <c r="I20" s="2157"/>
      <c r="J20" s="526"/>
      <c r="K20" s="526"/>
      <c r="L20" s="526"/>
      <c r="M20" s="526"/>
    </row>
    <row r="21" spans="1:13" ht="15.75">
      <c r="A21" s="529"/>
      <c r="B21" s="526"/>
      <c r="C21" s="574"/>
      <c r="D21" s="526"/>
      <c r="E21" s="526"/>
      <c r="F21" s="529"/>
      <c r="G21" s="526"/>
      <c r="H21" s="574"/>
      <c r="I21" s="526"/>
      <c r="J21" s="526"/>
      <c r="K21" s="526"/>
      <c r="L21" s="526"/>
      <c r="M21" s="526"/>
    </row>
    <row r="22" spans="1:13" ht="15">
      <c r="A22" s="564"/>
      <c r="B22" s="564"/>
      <c r="C22" s="564"/>
      <c r="D22" s="564"/>
      <c r="E22" s="564"/>
      <c r="F22" s="564"/>
      <c r="G22" s="564"/>
      <c r="H22" s="564"/>
      <c r="I22" s="564"/>
      <c r="J22" s="564"/>
      <c r="K22" s="564"/>
      <c r="L22" s="564"/>
      <c r="M22" s="569"/>
    </row>
    <row r="23" spans="1:13" ht="15.75">
      <c r="A23" s="575" t="s">
        <v>2369</v>
      </c>
      <c r="B23" s="576"/>
      <c r="C23" s="576"/>
      <c r="D23" s="576"/>
      <c r="E23" s="567"/>
      <c r="F23" s="567"/>
      <c r="G23" s="567"/>
      <c r="H23" s="567"/>
      <c r="I23" s="567"/>
      <c r="J23" s="567"/>
      <c r="K23" s="567"/>
      <c r="L23" s="526"/>
      <c r="M23" s="569"/>
    </row>
    <row r="24" spans="1:13" ht="27" customHeight="1">
      <c r="A24" s="526"/>
      <c r="B24" s="526"/>
      <c r="C24" s="526"/>
      <c r="D24" s="577" t="s">
        <v>2370</v>
      </c>
      <c r="E24" s="526"/>
      <c r="F24" s="526"/>
      <c r="G24" s="526"/>
      <c r="H24" s="526"/>
      <c r="I24" s="526"/>
      <c r="J24" s="526"/>
      <c r="K24" s="526"/>
      <c r="L24" s="526"/>
      <c r="M24" s="569"/>
    </row>
    <row r="25" spans="1:13" ht="15.75">
      <c r="A25" s="529" t="s">
        <v>2371</v>
      </c>
      <c r="B25" s="578" t="str">
        <f>'Part III-Sources of Funds'!E37</f>
        <v>Guardian Bank</v>
      </c>
      <c r="C25" s="579">
        <f>'Part III-Sources of Funds'!I37</f>
        <v>2650000</v>
      </c>
      <c r="D25" s="580" t="s">
        <v>2372</v>
      </c>
      <c r="E25" s="526"/>
      <c r="F25" s="567"/>
      <c r="G25" s="526" t="s">
        <v>2373</v>
      </c>
      <c r="H25" s="526"/>
      <c r="I25" s="526"/>
      <c r="K25" s="579"/>
      <c r="L25" s="567"/>
      <c r="M25" s="569"/>
    </row>
    <row r="26" spans="1:13" ht="15">
      <c r="A26" s="526"/>
      <c r="B26" s="578"/>
      <c r="C26" s="579"/>
      <c r="D26" s="580"/>
      <c r="E26" s="526"/>
      <c r="F26" s="567"/>
      <c r="G26" s="526" t="s">
        <v>2374</v>
      </c>
      <c r="H26" s="526"/>
      <c r="I26" s="526"/>
      <c r="K26" s="581" t="e">
        <f>C29/K25</f>
        <v>#DIV/0!</v>
      </c>
      <c r="L26" s="567"/>
      <c r="M26" s="526"/>
    </row>
    <row r="27" spans="1:13" ht="15">
      <c r="A27" s="526"/>
      <c r="B27" s="578"/>
      <c r="C27" s="579"/>
      <c r="D27" s="580"/>
      <c r="E27" s="526"/>
      <c r="F27" s="567"/>
      <c r="G27" s="526"/>
      <c r="H27" s="526"/>
      <c r="I27" s="526"/>
      <c r="K27" s="567"/>
      <c r="L27" s="567"/>
      <c r="M27" s="526"/>
    </row>
    <row r="28" spans="1:13" ht="15">
      <c r="A28" s="526"/>
      <c r="B28" s="526"/>
      <c r="C28" s="526"/>
      <c r="D28" s="526"/>
      <c r="E28" s="526"/>
      <c r="F28" s="567"/>
      <c r="G28" s="526" t="s">
        <v>2375</v>
      </c>
      <c r="H28" s="526"/>
      <c r="I28" s="526"/>
      <c r="K28" s="579"/>
      <c r="L28" s="567"/>
      <c r="M28" s="526"/>
    </row>
    <row r="29" spans="1:13" ht="16.5" thickBot="1">
      <c r="A29" s="526"/>
      <c r="B29" s="582" t="s">
        <v>2376</v>
      </c>
      <c r="C29" s="583">
        <f>SUM(C25:C27)</f>
        <v>2650000</v>
      </c>
      <c r="D29" s="526"/>
      <c r="E29" s="526"/>
      <c r="F29" s="567"/>
      <c r="G29" s="526" t="s">
        <v>2377</v>
      </c>
      <c r="H29" s="526"/>
      <c r="I29" s="526"/>
      <c r="K29" s="581" t="e">
        <f>C29/K28</f>
        <v>#DIV/0!</v>
      </c>
      <c r="L29" s="567"/>
      <c r="M29" s="526"/>
    </row>
    <row r="30" spans="1:13" ht="16.5" thickTop="1">
      <c r="A30" s="529" t="s">
        <v>2378</v>
      </c>
      <c r="B30" s="582"/>
      <c r="C30" s="584">
        <f>'Part III-Sources of Funds'!$I$49+'Part III-Sources of Funds'!$I$50</f>
        <v>11135000</v>
      </c>
      <c r="D30" s="526"/>
      <c r="E30" s="526"/>
      <c r="F30" s="567"/>
      <c r="G30" s="526"/>
      <c r="H30" s="526"/>
      <c r="I30" s="526"/>
      <c r="K30" s="585"/>
      <c r="L30" s="567"/>
      <c r="M30" s="526"/>
    </row>
    <row r="31" spans="1:13" ht="15">
      <c r="A31" s="586" t="s">
        <v>2379</v>
      </c>
      <c r="B31" s="578">
        <f>'Part III-Sources of Funds'!E38</f>
        <v>0</v>
      </c>
      <c r="C31" s="579">
        <f>'Part III-Sources of Funds'!I38</f>
        <v>0</v>
      </c>
      <c r="D31" s="580"/>
      <c r="E31" s="526"/>
      <c r="F31" s="567"/>
      <c r="G31" s="526"/>
      <c r="H31" s="526"/>
      <c r="I31" s="526"/>
      <c r="K31" s="526"/>
      <c r="L31" s="567"/>
      <c r="M31" s="526"/>
    </row>
    <row r="32" spans="1:13" ht="15">
      <c r="A32" s="586" t="s">
        <v>2379</v>
      </c>
      <c r="B32" s="578">
        <f>'Part III-Sources of Funds'!E39</f>
        <v>0</v>
      </c>
      <c r="C32" s="579">
        <f>'Part III-Sources of Funds'!I39</f>
        <v>0</v>
      </c>
      <c r="D32" s="580"/>
      <c r="E32" s="526" t="s">
        <v>2338</v>
      </c>
      <c r="F32" s="567"/>
      <c r="G32" s="526" t="s">
        <v>2380</v>
      </c>
      <c r="H32" s="526"/>
      <c r="I32" s="526"/>
      <c r="K32" s="579"/>
      <c r="L32" s="567"/>
      <c r="M32" s="567"/>
    </row>
    <row r="33" spans="1:13" ht="15">
      <c r="A33" s="526"/>
      <c r="B33" s="567"/>
      <c r="C33" s="587"/>
      <c r="D33" s="526"/>
      <c r="E33" s="526"/>
      <c r="F33" s="567"/>
      <c r="G33" s="1143" t="s">
        <v>2381</v>
      </c>
      <c r="H33" s="1143"/>
      <c r="I33" s="1143"/>
      <c r="K33" s="581" t="e">
        <f>$C$29/K32</f>
        <v>#DIV/0!</v>
      </c>
      <c r="L33" s="567"/>
      <c r="M33" s="588"/>
    </row>
    <row r="34" spans="1:13" ht="15.75">
      <c r="A34" s="526"/>
      <c r="B34" s="582" t="s">
        <v>2382</v>
      </c>
      <c r="C34" s="587">
        <f>SUM(C31:C32)</f>
        <v>0</v>
      </c>
      <c r="D34" s="526"/>
      <c r="E34" s="526"/>
      <c r="F34" s="526"/>
      <c r="G34" s="526"/>
      <c r="H34" s="526"/>
      <c r="I34" s="526"/>
      <c r="K34" s="567"/>
      <c r="L34" s="526"/>
      <c r="M34" s="588"/>
    </row>
    <row r="35" spans="1:13" ht="15.75">
      <c r="A35" s="526"/>
      <c r="B35" s="582"/>
      <c r="C35" s="526"/>
      <c r="D35" s="526"/>
      <c r="E35" s="526"/>
      <c r="F35" s="526"/>
      <c r="G35" s="1143" t="s">
        <v>2383</v>
      </c>
      <c r="H35" s="1143"/>
      <c r="I35" s="1143"/>
      <c r="K35" s="589" t="e">
        <f>(C36)/K25</f>
        <v>#DIV/0!</v>
      </c>
      <c r="L35" s="526"/>
      <c r="M35" s="567"/>
    </row>
    <row r="36" spans="1:13" ht="15.75">
      <c r="A36" s="526"/>
      <c r="B36" s="582" t="s">
        <v>2384</v>
      </c>
      <c r="C36" s="587">
        <f>C29+C34</f>
        <v>2650000</v>
      </c>
      <c r="D36" s="526"/>
      <c r="E36" s="526"/>
      <c r="F36" s="526"/>
      <c r="G36" s="526"/>
      <c r="H36" s="526"/>
      <c r="I36" s="526"/>
      <c r="K36" s="567"/>
      <c r="L36" s="526"/>
      <c r="M36" s="567"/>
    </row>
    <row r="37" spans="1:13" ht="15.75">
      <c r="A37" s="526"/>
      <c r="B37" s="582"/>
      <c r="C37" s="590"/>
      <c r="D37" s="526"/>
      <c r="E37" s="526"/>
      <c r="F37" s="526"/>
      <c r="G37" s="1143" t="s">
        <v>2385</v>
      </c>
      <c r="H37" s="1143"/>
      <c r="I37" s="1143"/>
      <c r="K37" s="1144" t="e">
        <f>+(C36)/K32</f>
        <v>#DIV/0!</v>
      </c>
      <c r="L37" s="526"/>
      <c r="M37" s="588"/>
    </row>
    <row r="38" spans="1:13" ht="15.75">
      <c r="A38" s="526"/>
      <c r="B38" s="582" t="s">
        <v>2386</v>
      </c>
      <c r="C38" s="591">
        <f>C36/C18</f>
        <v>0.19085218814914501</v>
      </c>
      <c r="D38" s="526"/>
      <c r="E38" s="526"/>
      <c r="F38" s="526"/>
      <c r="G38" s="526"/>
      <c r="H38" s="526"/>
      <c r="I38" s="526"/>
      <c r="K38" s="567"/>
      <c r="L38" s="526"/>
      <c r="M38" s="588"/>
    </row>
    <row r="39" spans="1:13" ht="15.75">
      <c r="A39" s="526"/>
      <c r="B39" s="582"/>
      <c r="C39" s="590"/>
      <c r="D39" s="526"/>
      <c r="E39" s="526"/>
      <c r="F39" s="526"/>
      <c r="G39" s="526"/>
      <c r="H39" s="526"/>
      <c r="I39" s="526"/>
      <c r="K39" s="567"/>
      <c r="L39" s="526"/>
      <c r="M39" s="526"/>
    </row>
    <row r="40" spans="1:13" ht="15.75">
      <c r="A40" s="526"/>
      <c r="B40" s="582" t="s">
        <v>2387</v>
      </c>
      <c r="C40" s="591">
        <f>C36/H18</f>
        <v>0.30052506832692594</v>
      </c>
      <c r="D40" s="526"/>
      <c r="E40" s="526"/>
      <c r="F40" s="529"/>
      <c r="G40" s="529" t="s">
        <v>2388</v>
      </c>
      <c r="H40" s="526"/>
      <c r="I40" s="526"/>
      <c r="K40" s="581">
        <f>C30/C18</f>
        <v>0.80193928869461495</v>
      </c>
      <c r="L40" s="526"/>
      <c r="M40" s="526"/>
    </row>
    <row r="46" spans="1:13" ht="15.75">
      <c r="A46" s="592" t="s">
        <v>2389</v>
      </c>
      <c r="B46" s="562"/>
      <c r="C46" s="562"/>
      <c r="D46" s="562"/>
      <c r="E46" s="562"/>
      <c r="F46" s="562"/>
      <c r="G46" s="562"/>
      <c r="H46" s="562"/>
      <c r="I46" s="562"/>
      <c r="J46" s="562"/>
      <c r="K46" s="562"/>
      <c r="L46" s="562"/>
      <c r="M46" s="526"/>
    </row>
    <row r="47" spans="1:13" ht="15.75">
      <c r="A47" s="592" t="str">
        <f>C8</f>
        <v>Mill at Stone Valley</v>
      </c>
      <c r="B47" s="562"/>
      <c r="C47" s="562"/>
      <c r="D47" s="562"/>
      <c r="E47" s="562"/>
      <c r="F47" s="562"/>
      <c r="G47" s="562"/>
      <c r="H47" s="562"/>
      <c r="I47" s="562"/>
      <c r="J47" s="562"/>
      <c r="K47" s="562"/>
      <c r="L47" s="562"/>
      <c r="M47" s="526"/>
    </row>
    <row r="50" spans="1:14" s="526" customFormat="1" ht="15.75">
      <c r="A50" s="529" t="s">
        <v>2390</v>
      </c>
      <c r="C50" s="593" t="s">
        <v>2391</v>
      </c>
      <c r="E50" s="594" t="s">
        <v>2392</v>
      </c>
      <c r="F50" s="595">
        <v>0.1</v>
      </c>
      <c r="G50" s="594" t="s">
        <v>2393</v>
      </c>
      <c r="H50" s="595">
        <v>0.05</v>
      </c>
      <c r="I50" s="594" t="s">
        <v>2394</v>
      </c>
      <c r="J50" s="595">
        <v>0.03</v>
      </c>
      <c r="K50" s="2159" t="s">
        <v>2395</v>
      </c>
      <c r="L50" s="2160"/>
      <c r="M50" s="12"/>
      <c r="N50" s="12"/>
    </row>
    <row r="51" spans="1:14" s="526" customFormat="1" ht="15.75">
      <c r="A51" s="529"/>
      <c r="C51" s="593"/>
      <c r="E51" s="593"/>
      <c r="F51" s="596"/>
      <c r="G51" s="593"/>
      <c r="H51" s="596"/>
      <c r="I51" s="593"/>
      <c r="J51" s="596"/>
      <c r="K51" s="593"/>
      <c r="M51" s="12"/>
      <c r="N51" s="12"/>
    </row>
    <row r="52" spans="1:14" s="526" customFormat="1" ht="18.75" customHeight="1">
      <c r="B52" s="597" t="s">
        <v>2396</v>
      </c>
      <c r="C52" s="598">
        <f>'Part VII-Pro Forma'!B14</f>
        <v>640884</v>
      </c>
      <c r="D52" s="598"/>
      <c r="E52" s="598">
        <f>$C$52</f>
        <v>640884</v>
      </c>
      <c r="F52" s="598"/>
      <c r="G52" s="598">
        <f>$C$52</f>
        <v>640884</v>
      </c>
      <c r="H52" s="598"/>
      <c r="I52" s="598">
        <f>$C$52</f>
        <v>640884</v>
      </c>
      <c r="J52" s="598"/>
      <c r="K52" s="598">
        <f>$C$52</f>
        <v>640884</v>
      </c>
      <c r="L52" s="599"/>
      <c r="M52" s="12"/>
      <c r="N52" s="12"/>
    </row>
    <row r="53" spans="1:14" s="526" customFormat="1" ht="18.75" customHeight="1">
      <c r="B53" s="597" t="s">
        <v>2397</v>
      </c>
      <c r="C53" s="598">
        <f>'Part VII-Pro Forma'!B15</f>
        <v>12817.68</v>
      </c>
      <c r="D53" s="598"/>
      <c r="E53" s="598">
        <f>$C$53</f>
        <v>12817.68</v>
      </c>
      <c r="F53" s="598"/>
      <c r="G53" s="598">
        <f>$C$53</f>
        <v>12817.68</v>
      </c>
      <c r="H53" s="598"/>
      <c r="I53" s="598">
        <f>$C$53</f>
        <v>12817.68</v>
      </c>
      <c r="J53" s="598"/>
      <c r="K53" s="598">
        <f>$C$53</f>
        <v>12817.68</v>
      </c>
      <c r="L53" s="599"/>
      <c r="M53" s="12"/>
      <c r="N53" s="12"/>
    </row>
    <row r="54" spans="1:14" s="526" customFormat="1" ht="18.75" customHeight="1">
      <c r="B54" s="597" t="s">
        <v>2398</v>
      </c>
      <c r="C54" s="598">
        <f>'Part VII-Pro Forma'!B16</f>
        <v>-45759.117600000005</v>
      </c>
      <c r="D54" s="598"/>
      <c r="E54" s="598">
        <f>-($C$52+E53)*F50</f>
        <v>-65370.168000000005</v>
      </c>
      <c r="F54" s="600"/>
      <c r="G54" s="598">
        <f>-($C$52+G53)*0.07</f>
        <v>-45759.117600000005</v>
      </c>
      <c r="H54" s="598"/>
      <c r="I54" s="598">
        <f>-($C$52+I53)*0.07</f>
        <v>-45759.117600000005</v>
      </c>
      <c r="J54" s="598"/>
      <c r="K54" s="598">
        <f>-($C$52+K53)*L54</f>
        <v>-65370.168000000005</v>
      </c>
      <c r="L54" s="601">
        <v>0.1</v>
      </c>
      <c r="M54" s="12"/>
      <c r="N54" s="12"/>
    </row>
    <row r="55" spans="1:14" s="526" customFormat="1" ht="18.75" customHeight="1">
      <c r="B55" s="597" t="s">
        <v>2399</v>
      </c>
      <c r="C55" s="598">
        <f>'Part VII-Pro Forma'!B17</f>
        <v>0</v>
      </c>
      <c r="D55" s="598"/>
      <c r="E55" s="598">
        <f>$C$55</f>
        <v>0</v>
      </c>
      <c r="F55" s="600"/>
      <c r="G55" s="598">
        <f>$C$55</f>
        <v>0</v>
      </c>
      <c r="H55" s="598"/>
      <c r="I55" s="598">
        <f>$C$55</f>
        <v>0</v>
      </c>
      <c r="J55" s="598"/>
      <c r="K55" s="598">
        <f>$C$55</f>
        <v>0</v>
      </c>
      <c r="L55" s="602"/>
      <c r="M55" s="12"/>
      <c r="N55" s="12"/>
    </row>
    <row r="56" spans="1:14" s="526" customFormat="1" ht="18.75" customHeight="1">
      <c r="B56" s="1363" t="s">
        <v>2400</v>
      </c>
      <c r="C56" s="1364">
        <f>SUM(C52:C55)</f>
        <v>607942.56240000005</v>
      </c>
      <c r="D56" s="598"/>
      <c r="E56" s="1364">
        <f>SUM(E52:E55)</f>
        <v>588331.5120000001</v>
      </c>
      <c r="F56" s="598"/>
      <c r="G56" s="1364">
        <f>SUM(G52:G55)</f>
        <v>607942.56240000005</v>
      </c>
      <c r="H56" s="598"/>
      <c r="I56" s="1364">
        <f>SUM(I52:I55)</f>
        <v>607942.56240000005</v>
      </c>
      <c r="J56" s="598"/>
      <c r="K56" s="1364">
        <f>SUM(K52:K55)</f>
        <v>588331.5120000001</v>
      </c>
      <c r="L56" s="599"/>
      <c r="M56" s="12"/>
      <c r="N56" s="12"/>
    </row>
    <row r="57" spans="1:14" s="526" customFormat="1" ht="24" customHeight="1">
      <c r="B57" s="597"/>
      <c r="C57" s="603"/>
      <c r="D57" s="598"/>
      <c r="E57" s="603"/>
      <c r="F57" s="598"/>
      <c r="G57" s="603"/>
      <c r="H57" s="598"/>
      <c r="I57" s="603"/>
      <c r="J57" s="598"/>
      <c r="K57" s="603"/>
      <c r="L57" s="599"/>
      <c r="M57" s="12"/>
      <c r="N57" s="12"/>
    </row>
    <row r="58" spans="1:14" s="526" customFormat="1" ht="18.75" customHeight="1">
      <c r="B58" s="597" t="s">
        <v>2401</v>
      </c>
      <c r="C58" s="598">
        <f>+'Part VI-Revenues &amp; Expenses'!F168+'Part VI-Revenues &amp; Expenses'!F177+'Part VI-Revenues &amp; Expenses'!K166+'Part VI-Revenues &amp; Expenses'!K175</f>
        <v>134688</v>
      </c>
      <c r="D58" s="598"/>
      <c r="E58" s="598">
        <f>$C$58</f>
        <v>134688</v>
      </c>
      <c r="F58" s="598"/>
      <c r="G58" s="598">
        <f>$C$58</f>
        <v>134688</v>
      </c>
      <c r="H58" s="598"/>
      <c r="I58" s="598">
        <f>$C$58</f>
        <v>134688</v>
      </c>
      <c r="J58" s="598"/>
      <c r="K58" s="598">
        <f>$C$58</f>
        <v>134688</v>
      </c>
      <c r="L58" s="599"/>
      <c r="M58" s="12"/>
      <c r="N58" s="12"/>
    </row>
    <row r="59" spans="1:14" s="526" customFormat="1" ht="18.75" customHeight="1">
      <c r="B59" s="597" t="s">
        <v>2402</v>
      </c>
      <c r="C59" s="598">
        <f>+'Part VI-Revenues &amp; Expenses'!F188</f>
        <v>49800</v>
      </c>
      <c r="D59" s="598"/>
      <c r="E59" s="598">
        <f>$C$59</f>
        <v>49800</v>
      </c>
      <c r="F59" s="598"/>
      <c r="G59" s="598">
        <f>$C$59</f>
        <v>49800</v>
      </c>
      <c r="H59" s="598"/>
      <c r="I59" s="598">
        <f>$C$59</f>
        <v>49800</v>
      </c>
      <c r="J59" s="598"/>
      <c r="K59" s="598">
        <f>$C$59*(1+$L$59)</f>
        <v>51792</v>
      </c>
      <c r="L59" s="604">
        <v>0.04</v>
      </c>
      <c r="M59" s="12"/>
      <c r="N59" s="12"/>
    </row>
    <row r="60" spans="1:14" s="526" customFormat="1" ht="18.75" customHeight="1">
      <c r="B60" s="597" t="s">
        <v>1176</v>
      </c>
      <c r="C60" s="598">
        <f>+'Part VI-Revenues &amp; Expenses'!K185</f>
        <v>32400</v>
      </c>
      <c r="D60" s="598"/>
      <c r="E60" s="598">
        <f>$C$60</f>
        <v>32400</v>
      </c>
      <c r="F60" s="598"/>
      <c r="G60" s="598">
        <f>$C$60</f>
        <v>32400</v>
      </c>
      <c r="H60" s="598"/>
      <c r="I60" s="598">
        <f>$C$60*(1+$J$50)</f>
        <v>33372</v>
      </c>
      <c r="J60" s="600"/>
      <c r="K60" s="598">
        <f>$C$60*(1+$J$50)</f>
        <v>33372</v>
      </c>
      <c r="L60" s="601">
        <v>0.03</v>
      </c>
      <c r="M60" s="12"/>
      <c r="N60" s="12"/>
    </row>
    <row r="61" spans="1:14" s="526" customFormat="1" ht="18.75" customHeight="1">
      <c r="B61" s="597" t="s">
        <v>1149</v>
      </c>
      <c r="C61" s="598">
        <f>+'Part VI-Revenues &amp; Expenses'!P167</f>
        <v>133200</v>
      </c>
      <c r="D61" s="598"/>
      <c r="E61" s="598">
        <f>$C$61</f>
        <v>133200</v>
      </c>
      <c r="F61" s="598"/>
      <c r="G61" s="598">
        <f>$C$61*(1+H50)</f>
        <v>139860</v>
      </c>
      <c r="H61" s="600"/>
      <c r="I61" s="598">
        <f>$C$61</f>
        <v>133200</v>
      </c>
      <c r="J61" s="598"/>
      <c r="K61" s="598">
        <f>$C$61*(1+$L$61)</f>
        <v>139860</v>
      </c>
      <c r="L61" s="601">
        <v>0.05</v>
      </c>
      <c r="M61" s="12"/>
      <c r="N61" s="12"/>
    </row>
    <row r="62" spans="1:14" s="526" customFormat="1" ht="18.75" customHeight="1">
      <c r="B62" s="1363" t="s">
        <v>2403</v>
      </c>
      <c r="C62" s="1364">
        <f>SUM(C58:C61)</f>
        <v>350088</v>
      </c>
      <c r="D62" s="598"/>
      <c r="E62" s="1364">
        <f>SUM(E58:E61)</f>
        <v>350088</v>
      </c>
      <c r="F62" s="598"/>
      <c r="G62" s="1364">
        <f>SUM(G58:G61)</f>
        <v>356748</v>
      </c>
      <c r="H62" s="598"/>
      <c r="I62" s="1364">
        <f>SUM(I58:I61)</f>
        <v>351060</v>
      </c>
      <c r="J62" s="598"/>
      <c r="K62" s="1364">
        <f>SUM(K58:K61)</f>
        <v>359712</v>
      </c>
      <c r="L62" s="605"/>
      <c r="M62" s="12"/>
      <c r="N62" s="12"/>
    </row>
    <row r="63" spans="1:14" s="526" customFormat="1" ht="24" customHeight="1">
      <c r="B63" s="606"/>
      <c r="C63" s="603"/>
      <c r="D63" s="603"/>
      <c r="E63" s="603"/>
      <c r="F63" s="603"/>
      <c r="G63" s="603"/>
      <c r="H63" s="603"/>
      <c r="I63" s="603"/>
      <c r="J63" s="603"/>
      <c r="K63" s="603"/>
      <c r="L63" s="605"/>
      <c r="M63" s="12"/>
      <c r="N63" s="12"/>
    </row>
    <row r="64" spans="1:14" s="526" customFormat="1" ht="15.75">
      <c r="A64" s="12"/>
      <c r="B64" s="607" t="s">
        <v>2404</v>
      </c>
      <c r="C64" s="608">
        <f>C56-C62</f>
        <v>257854.56240000005</v>
      </c>
      <c r="D64" s="608"/>
      <c r="E64" s="608">
        <f>E56-E62</f>
        <v>238243.5120000001</v>
      </c>
      <c r="F64" s="608"/>
      <c r="G64" s="608">
        <f>G56-G62</f>
        <v>251194.56240000005</v>
      </c>
      <c r="H64" s="608"/>
      <c r="I64" s="608">
        <f>I56-I62</f>
        <v>256882.56240000005</v>
      </c>
      <c r="J64" s="608"/>
      <c r="K64" s="608">
        <f>K56-K62</f>
        <v>228619.5120000001</v>
      </c>
      <c r="L64" s="18"/>
      <c r="M64" s="12"/>
      <c r="N64" s="12"/>
    </row>
    <row r="65" spans="1:14" s="526" customFormat="1" ht="24" customHeight="1">
      <c r="A65" s="12"/>
      <c r="B65" s="606"/>
      <c r="C65" s="603"/>
      <c r="D65" s="603"/>
      <c r="E65" s="603"/>
      <c r="F65" s="603"/>
      <c r="G65" s="603"/>
      <c r="H65" s="603"/>
      <c r="I65" s="603"/>
      <c r="J65" s="603"/>
      <c r="K65" s="603"/>
      <c r="L65" s="18"/>
      <c r="M65" s="12"/>
      <c r="N65" s="12"/>
    </row>
    <row r="66" spans="1:14" s="526" customFormat="1" ht="15">
      <c r="A66" s="12"/>
      <c r="B66" s="606" t="s">
        <v>2405</v>
      </c>
      <c r="C66" s="603">
        <f>'Part VI-Revenues &amp; Expenses'!P179</f>
        <v>18500</v>
      </c>
      <c r="D66" s="603"/>
      <c r="E66" s="603">
        <f>$C$66</f>
        <v>18500</v>
      </c>
      <c r="F66" s="603"/>
      <c r="G66" s="603">
        <f>$C$66</f>
        <v>18500</v>
      </c>
      <c r="H66" s="603"/>
      <c r="I66" s="603">
        <f>$C$66</f>
        <v>18500</v>
      </c>
      <c r="J66" s="603"/>
      <c r="K66" s="603">
        <f>$C$66</f>
        <v>18500</v>
      </c>
      <c r="L66" s="18"/>
      <c r="M66" s="12"/>
      <c r="N66" s="12"/>
    </row>
    <row r="67" spans="1:14" s="526" customFormat="1" ht="6" customHeight="1">
      <c r="A67" s="12"/>
      <c r="B67" s="606"/>
      <c r="C67" s="603"/>
      <c r="D67" s="603"/>
      <c r="E67" s="603"/>
      <c r="F67" s="603"/>
      <c r="G67" s="603"/>
      <c r="H67" s="603"/>
      <c r="I67" s="603"/>
      <c r="J67" s="603"/>
      <c r="K67" s="603"/>
      <c r="L67" s="18"/>
      <c r="M67" s="12"/>
      <c r="N67" s="12"/>
    </row>
    <row r="68" spans="1:14" s="526" customFormat="1" ht="15">
      <c r="A68" s="12"/>
      <c r="B68" s="606" t="s">
        <v>2406</v>
      </c>
      <c r="C68" s="603">
        <f>'Part VI-Revenues &amp; Expenses'!P170</f>
        <v>30397</v>
      </c>
      <c r="D68" s="603"/>
      <c r="E68" s="603">
        <f>$C$68</f>
        <v>30397</v>
      </c>
      <c r="F68" s="603"/>
      <c r="G68" s="603">
        <f>$C$68</f>
        <v>30397</v>
      </c>
      <c r="H68" s="603"/>
      <c r="I68" s="603">
        <f>$C$68</f>
        <v>30397</v>
      </c>
      <c r="J68" s="603"/>
      <c r="K68" s="603">
        <f>$C$68</f>
        <v>30397</v>
      </c>
      <c r="L68" s="18"/>
      <c r="M68" s="12"/>
      <c r="N68" s="12"/>
    </row>
    <row r="69" spans="1:14" s="526" customFormat="1" ht="24" customHeight="1">
      <c r="A69" s="12"/>
      <c r="B69" s="609"/>
      <c r="C69" s="603"/>
      <c r="D69" s="598"/>
      <c r="E69" s="603"/>
      <c r="F69" s="598"/>
      <c r="G69" s="603"/>
      <c r="H69" s="598"/>
      <c r="I69" s="603"/>
      <c r="J69" s="598"/>
      <c r="K69" s="603"/>
      <c r="L69" s="18"/>
      <c r="M69" s="12"/>
      <c r="N69" s="12"/>
    </row>
    <row r="70" spans="1:14" s="526" customFormat="1" ht="15.75">
      <c r="A70" s="12"/>
      <c r="B70" s="1365" t="s">
        <v>2407</v>
      </c>
      <c r="C70" s="1366">
        <f>C64-C66-C68</f>
        <v>208957.56240000005</v>
      </c>
      <c r="D70" s="610"/>
      <c r="E70" s="1366">
        <f>E64-E66-E68</f>
        <v>189346.5120000001</v>
      </c>
      <c r="F70" s="610"/>
      <c r="G70" s="1366">
        <f>G64-G66-G68</f>
        <v>202297.56240000005</v>
      </c>
      <c r="H70" s="610"/>
      <c r="I70" s="1366">
        <f>I64-I66-I68</f>
        <v>207985.56240000005</v>
      </c>
      <c r="J70" s="610"/>
      <c r="K70" s="1366">
        <f>K64-K66-K68</f>
        <v>179722.5120000001</v>
      </c>
      <c r="L70" s="18"/>
      <c r="M70" s="12"/>
      <c r="N70" s="12"/>
    </row>
    <row r="71" spans="1:14" s="526" customFormat="1" ht="30" customHeight="1">
      <c r="A71" s="12"/>
      <c r="B71" s="597"/>
      <c r="C71" s="598"/>
      <c r="D71" s="598"/>
      <c r="E71" s="598"/>
      <c r="F71" s="598"/>
      <c r="G71" s="598"/>
      <c r="H71" s="598"/>
      <c r="I71" s="598"/>
      <c r="J71" s="598"/>
      <c r="K71" s="598"/>
      <c r="L71" s="18"/>
      <c r="M71" s="12"/>
      <c r="N71" s="12"/>
    </row>
    <row r="72" spans="1:14" s="529" customFormat="1" ht="18.75" customHeight="1">
      <c r="A72" s="171"/>
      <c r="B72" s="611" t="s">
        <v>2408</v>
      </c>
      <c r="C72" s="1185">
        <f>-C70/C75</f>
        <v>1.3171744313624978</v>
      </c>
      <c r="D72" s="612"/>
      <c r="E72" s="1185">
        <f>-E70/E75</f>
        <v>1.1935551956557111</v>
      </c>
      <c r="F72" s="612"/>
      <c r="G72" s="1185">
        <f>-G70/G75</f>
        <v>1.2751927887164107</v>
      </c>
      <c r="H72" s="612"/>
      <c r="I72" s="1185">
        <f>-I70/I75</f>
        <v>1.3110473808141501</v>
      </c>
      <c r="J72" s="612"/>
      <c r="K72" s="1185">
        <f>-K70/K75</f>
        <v>1.1328898309671311</v>
      </c>
      <c r="L72" s="613"/>
      <c r="M72" s="171"/>
      <c r="N72" s="171"/>
    </row>
    <row r="73" spans="1:14" s="526" customFormat="1" ht="18.75" customHeight="1">
      <c r="A73" s="12"/>
      <c r="B73" s="597" t="s">
        <v>2409</v>
      </c>
      <c r="C73" s="1186">
        <f>C76/C62</f>
        <v>0.14372613498609318</v>
      </c>
      <c r="D73" s="614"/>
      <c r="E73" s="1186">
        <f>E76/E62</f>
        <v>8.7708646811691465E-2</v>
      </c>
      <c r="F73" s="614"/>
      <c r="G73" s="1186">
        <f>G76/G62</f>
        <v>0.12237432345804711</v>
      </c>
      <c r="H73" s="614"/>
      <c r="I73" s="1186">
        <f>I76/I62</f>
        <v>0.14055943469780491</v>
      </c>
      <c r="J73" s="614"/>
      <c r="K73" s="1186">
        <f>K76/K62</f>
        <v>5.8607287899796065E-2</v>
      </c>
      <c r="L73" s="18"/>
      <c r="M73" s="12"/>
      <c r="N73" s="12"/>
    </row>
    <row r="74" spans="1:14" s="526" customFormat="1" ht="24" customHeight="1">
      <c r="A74" s="12"/>
      <c r="B74" s="597"/>
      <c r="C74" s="598"/>
      <c r="D74" s="598"/>
      <c r="E74" s="598"/>
      <c r="F74" s="598"/>
      <c r="G74" s="598"/>
      <c r="H74" s="598"/>
      <c r="I74" s="598"/>
      <c r="J74" s="598"/>
      <c r="K74" s="598"/>
      <c r="L74" s="18"/>
      <c r="M74" s="12"/>
      <c r="N74" s="12"/>
    </row>
    <row r="75" spans="1:14" s="526" customFormat="1" ht="18.75" customHeight="1">
      <c r="A75" s="12"/>
      <c r="B75" s="597" t="s">
        <v>2410</v>
      </c>
      <c r="C75" s="598">
        <f>+SUM('Part VII-Pro Forma'!B23:B26)</f>
        <v>-158640.76725498866</v>
      </c>
      <c r="D75" s="598"/>
      <c r="E75" s="598">
        <f>$C$75</f>
        <v>-158640.76725498866</v>
      </c>
      <c r="F75" s="598"/>
      <c r="G75" s="598">
        <f>$C$75</f>
        <v>-158640.76725498866</v>
      </c>
      <c r="H75" s="598"/>
      <c r="I75" s="598">
        <f>$C$75</f>
        <v>-158640.76725498866</v>
      </c>
      <c r="J75" s="598"/>
      <c r="K75" s="598">
        <f>$C$75</f>
        <v>-158640.76725498866</v>
      </c>
      <c r="L75" s="18"/>
      <c r="M75" s="12"/>
      <c r="N75" s="12"/>
    </row>
    <row r="76" spans="1:14" s="526" customFormat="1" ht="18.75" customHeight="1">
      <c r="A76" s="12"/>
      <c r="B76" s="597" t="s">
        <v>595</v>
      </c>
      <c r="C76" s="598">
        <f>C70+C75</f>
        <v>50316.795145011391</v>
      </c>
      <c r="D76" s="598"/>
      <c r="E76" s="598">
        <f>E70+E75</f>
        <v>30705.744745011441</v>
      </c>
      <c r="F76" s="598"/>
      <c r="G76" s="598">
        <f>G70+G75</f>
        <v>43656.795145011391</v>
      </c>
      <c r="H76" s="598"/>
      <c r="I76" s="598">
        <f>I70+I75</f>
        <v>49344.795145011391</v>
      </c>
      <c r="J76" s="598"/>
      <c r="K76" s="598">
        <f>K70+K75</f>
        <v>21081.744745011441</v>
      </c>
      <c r="L76" s="18"/>
      <c r="M76" s="12"/>
      <c r="N76" s="12"/>
    </row>
    <row r="77" spans="1:14" s="526" customFormat="1" ht="15" hidden="1">
      <c r="A77" s="12"/>
      <c r="B77" s="597" t="s">
        <v>2411</v>
      </c>
      <c r="C77" s="615" t="e">
        <f>PV(intrate/12,30*12,C75/12,0)</f>
        <v>#NAME?</v>
      </c>
      <c r="D77" s="597"/>
      <c r="E77" s="615" t="e">
        <f>PV(intrate/12,30*12,E75/12,0)</f>
        <v>#NAME?</v>
      </c>
      <c r="F77" s="597"/>
      <c r="G77" s="615" t="e">
        <f>PV(intrate/12,30*12,G75/12,0)</f>
        <v>#NAME?</v>
      </c>
      <c r="H77" s="597"/>
      <c r="I77" s="615" t="e">
        <f>PV(intrate/12,30*12,I75/12,0)</f>
        <v>#NAME?</v>
      </c>
      <c r="J77" s="597"/>
      <c r="K77" s="615" t="e">
        <f>PV(intrate/12,30*12,K75/12,0)</f>
        <v>#NAME?</v>
      </c>
      <c r="L77" s="18"/>
      <c r="M77" s="12"/>
      <c r="N77" s="12"/>
    </row>
    <row r="78" spans="1:14" s="526" customFormat="1" ht="15" hidden="1">
      <c r="A78" s="12"/>
      <c r="B78" s="616" t="s">
        <v>2412</v>
      </c>
      <c r="C78" s="605"/>
      <c r="D78" s="605"/>
      <c r="E78" s="605"/>
      <c r="F78" s="605"/>
      <c r="G78" s="605"/>
      <c r="H78" s="605"/>
      <c r="I78" s="605"/>
      <c r="J78" s="605"/>
      <c r="K78" s="605"/>
      <c r="L78" s="18"/>
      <c r="M78" s="12"/>
      <c r="N78" s="12"/>
    </row>
    <row r="79" spans="1:14" s="526" customFormat="1" ht="15" hidden="1">
      <c r="A79" s="12"/>
      <c r="B79" s="605"/>
      <c r="C79" s="605"/>
      <c r="D79" s="605"/>
      <c r="E79" s="605"/>
      <c r="F79" s="605"/>
      <c r="G79" s="605"/>
      <c r="H79" s="605"/>
      <c r="I79" s="605"/>
      <c r="J79" s="605"/>
      <c r="K79" s="605"/>
      <c r="L79" s="18"/>
      <c r="M79" s="12"/>
      <c r="N79" s="12"/>
    </row>
    <row r="80" spans="1:14" s="526" customFormat="1" ht="15.75" hidden="1" thickBot="1">
      <c r="A80" s="12"/>
      <c r="B80" s="605" t="s">
        <v>2413</v>
      </c>
      <c r="C80" s="617" t="e">
        <f>MIN(C77,E77,G77,I77,K77)</f>
        <v>#NAME?</v>
      </c>
      <c r="D80" s="605"/>
      <c r="E80" s="605" t="s">
        <v>2414</v>
      </c>
      <c r="F80" s="618">
        <v>0.06</v>
      </c>
      <c r="G80" s="18"/>
      <c r="H80" s="18"/>
      <c r="I80" s="18"/>
      <c r="J80" s="18"/>
      <c r="K80" s="18"/>
      <c r="L80" s="18"/>
      <c r="M80" s="12"/>
      <c r="N80" s="12"/>
    </row>
    <row r="81" spans="1:14" s="526" customFormat="1" ht="15" hidden="1">
      <c r="A81" s="12"/>
      <c r="B81" s="605" t="s">
        <v>2415</v>
      </c>
      <c r="C81" s="617" t="e">
        <f>MAX(C77,E77,G77,I77,K77)</f>
        <v>#NAME?</v>
      </c>
      <c r="D81" s="605"/>
      <c r="E81" s="605"/>
      <c r="F81" s="605"/>
      <c r="G81" s="18"/>
      <c r="H81" s="18"/>
      <c r="I81" s="18"/>
      <c r="J81" s="18"/>
      <c r="K81" s="18"/>
      <c r="L81" s="18"/>
      <c r="M81" s="12"/>
      <c r="N81" s="12"/>
    </row>
    <row r="82" spans="1:14" s="526" customFormat="1" ht="15">
      <c r="A82" s="12"/>
      <c r="B82" s="605"/>
      <c r="C82" s="605"/>
      <c r="D82" s="605"/>
      <c r="E82" s="605" t="s">
        <v>2338</v>
      </c>
      <c r="F82" s="605"/>
      <c r="G82" s="18"/>
      <c r="H82" s="18"/>
      <c r="I82" s="18"/>
      <c r="J82" s="18"/>
      <c r="K82" s="18"/>
      <c r="L82" s="18"/>
      <c r="M82" s="12"/>
      <c r="N82" s="12"/>
    </row>
    <row r="83" spans="1:14" s="526" customFormat="1" ht="15">
      <c r="A83" s="12"/>
      <c r="G83" s="12"/>
      <c r="H83" s="12"/>
      <c r="I83" s="12"/>
      <c r="J83" s="12"/>
      <c r="K83" s="12"/>
      <c r="L83" s="12"/>
      <c r="M83" s="12"/>
      <c r="N83" s="12"/>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538"/>
    <col min="2" max="2" width="7.7109375" style="538" customWidth="1"/>
    <col min="3" max="3" width="14.85546875" style="538" customWidth="1"/>
    <col min="4" max="4" width="20.28515625" style="538" customWidth="1"/>
    <col min="5" max="5" width="8" style="538" customWidth="1"/>
    <col min="6" max="6" width="5.140625" style="538" customWidth="1"/>
    <col min="7" max="7" width="5.42578125" style="538" customWidth="1"/>
    <col min="8" max="8" width="8.5703125" style="538" customWidth="1"/>
    <col min="9" max="9" width="28.5703125" style="538" customWidth="1"/>
    <col min="10" max="10" width="4.140625" style="538" hidden="1" customWidth="1"/>
    <col min="11" max="11" width="9.140625" style="538"/>
    <col min="12" max="12" width="16.140625" style="538" customWidth="1"/>
    <col min="13" max="13" width="11.28515625" style="538" customWidth="1"/>
    <col min="14" max="14" width="10.85546875" style="538" bestFit="1" customWidth="1"/>
    <col min="15" max="15" width="28.5703125" style="538" customWidth="1"/>
    <col min="16" max="16384" width="9.140625" style="538"/>
  </cols>
  <sheetData>
    <row r="2" spans="1:10" ht="15">
      <c r="A2" s="535" t="s">
        <v>2416</v>
      </c>
      <c r="B2" s="536"/>
      <c r="C2" s="536"/>
      <c r="D2" s="536"/>
      <c r="E2" s="537"/>
      <c r="F2" s="536"/>
      <c r="G2" s="536"/>
      <c r="H2" s="536"/>
      <c r="I2" s="536"/>
      <c r="J2" s="536"/>
    </row>
    <row r="3" spans="1:10" ht="15">
      <c r="A3" s="539"/>
    </row>
    <row r="4" spans="1:10" ht="15">
      <c r="A4" s="539" t="s">
        <v>2417</v>
      </c>
      <c r="D4" s="538" t="s">
        <v>2418</v>
      </c>
    </row>
    <row r="5" spans="1:10" ht="15">
      <c r="A5" s="539"/>
    </row>
    <row r="6" spans="1:10" ht="15">
      <c r="A6" s="539" t="s">
        <v>2419</v>
      </c>
      <c r="D6" s="538" t="s">
        <v>2420</v>
      </c>
    </row>
    <row r="7" spans="1:10" ht="15">
      <c r="A7" s="539"/>
    </row>
    <row r="8" spans="1:10" ht="15">
      <c r="A8" s="539" t="s">
        <v>2421</v>
      </c>
      <c r="D8" s="540" t="s">
        <v>2422</v>
      </c>
    </row>
    <row r="9" spans="1:10" ht="15">
      <c r="A9" s="539"/>
    </row>
    <row r="10" spans="1:10" ht="15">
      <c r="A10" s="539" t="s">
        <v>2423</v>
      </c>
      <c r="D10" s="540" t="s">
        <v>2424</v>
      </c>
    </row>
    <row r="11" spans="1:10" ht="15">
      <c r="A11" s="539"/>
      <c r="D11" s="1461"/>
    </row>
    <row r="12" spans="1:10" ht="15">
      <c r="A12" s="539" t="s">
        <v>2425</v>
      </c>
      <c r="D12" s="538" t="s">
        <v>59</v>
      </c>
      <c r="F12" s="1461" t="str">
        <f>Overview!$C$8</f>
        <v>Mill at Stone Valley</v>
      </c>
    </row>
    <row r="13" spans="1:10" ht="15">
      <c r="A13" s="539"/>
      <c r="D13" s="538" t="s">
        <v>2426</v>
      </c>
      <c r="F13" s="1461" t="str">
        <f>Overview!E8</f>
        <v>2018-008</v>
      </c>
    </row>
    <row r="14" spans="1:10" ht="15">
      <c r="A14" s="539"/>
      <c r="D14" s="538" t="s">
        <v>2427</v>
      </c>
      <c r="F14" s="1461" t="str">
        <f>Overview!H8</f>
        <v>Ball Ground, Cherokee</v>
      </c>
    </row>
    <row r="15" spans="1:10" ht="15">
      <c r="A15" s="539"/>
      <c r="D15" s="538" t="s">
        <v>2428</v>
      </c>
      <c r="F15" s="2162">
        <f>Overview!$C$25</f>
        <v>2650000</v>
      </c>
      <c r="G15" s="2162"/>
      <c r="H15" s="2162"/>
    </row>
    <row r="16" spans="1:10" ht="15">
      <c r="A16" s="539"/>
      <c r="D16" s="541" t="s">
        <v>2429</v>
      </c>
      <c r="F16" s="542">
        <f>Overview!C13</f>
        <v>74</v>
      </c>
      <c r="G16" s="543" t="s">
        <v>2430</v>
      </c>
      <c r="H16" s="1141">
        <f>Overview!E13</f>
        <v>63</v>
      </c>
    </row>
    <row r="17" spans="1:18" ht="15">
      <c r="A17" s="539"/>
      <c r="D17" s="541" t="s">
        <v>1909</v>
      </c>
      <c r="F17" s="542" t="str">
        <f>Overview!C14</f>
        <v>Family</v>
      </c>
    </row>
    <row r="18" spans="1:18" ht="15">
      <c r="A18" s="539"/>
      <c r="D18" s="541" t="s">
        <v>2431</v>
      </c>
      <c r="F18" s="1461" t="str">
        <f>Overview!H15</f>
        <v>Rural</v>
      </c>
    </row>
    <row r="19" spans="1:18" ht="15">
      <c r="A19" s="539"/>
      <c r="D19" s="541" t="s">
        <v>2432</v>
      </c>
      <c r="F19" s="1461" t="str">
        <f>Overview!E16</f>
        <v>No</v>
      </c>
    </row>
    <row r="20" spans="1:18" ht="15">
      <c r="A20" s="539"/>
      <c r="D20" s="541"/>
    </row>
    <row r="21" spans="1:18" ht="15">
      <c r="A21" s="544" t="s">
        <v>2433</v>
      </c>
    </row>
    <row r="22" spans="1:18" ht="111.75" customHeight="1">
      <c r="A22" s="2169" t="s">
        <v>2434</v>
      </c>
      <c r="B22" s="2169"/>
      <c r="C22" s="2169"/>
      <c r="D22" s="2169"/>
      <c r="E22" s="2169"/>
      <c r="F22" s="2169"/>
      <c r="G22" s="2169"/>
      <c r="H22" s="2169"/>
      <c r="I22" s="2169"/>
      <c r="J22" s="2169"/>
      <c r="L22" s="2177" t="s">
        <v>2435</v>
      </c>
      <c r="M22" s="2177"/>
      <c r="N22" s="2177"/>
      <c r="O22" s="2177"/>
      <c r="P22" s="2177"/>
      <c r="Q22" s="2177"/>
      <c r="R22" s="2177"/>
    </row>
    <row r="23" spans="1:18" ht="0.75" hidden="1" customHeight="1">
      <c r="A23" s="1449"/>
      <c r="B23" s="1449"/>
      <c r="C23" s="1449"/>
      <c r="D23" s="1449"/>
      <c r="E23" s="1449"/>
      <c r="F23" s="1449"/>
      <c r="G23" s="1449"/>
      <c r="H23" s="1449"/>
      <c r="I23" s="1449"/>
      <c r="J23" s="1449"/>
    </row>
    <row r="24" spans="1:18" ht="9.75" hidden="1" customHeight="1">
      <c r="A24" s="2178"/>
      <c r="B24" s="2178"/>
      <c r="C24" s="2178"/>
      <c r="D24" s="2178"/>
      <c r="E24" s="2178"/>
      <c r="F24" s="2178"/>
      <c r="G24" s="2178"/>
      <c r="H24" s="2178"/>
      <c r="I24" s="2178"/>
      <c r="J24" s="2178"/>
    </row>
    <row r="25" spans="1:18" ht="10.5" hidden="1" customHeight="1">
      <c r="A25" s="2179"/>
      <c r="B25" s="2179"/>
      <c r="C25" s="2179"/>
      <c r="D25" s="2179"/>
      <c r="E25" s="2179"/>
      <c r="F25" s="2179"/>
      <c r="G25" s="2179"/>
      <c r="H25" s="2179"/>
      <c r="I25" s="2179"/>
      <c r="J25" s="2179"/>
    </row>
    <row r="26" spans="1:18" ht="15">
      <c r="A26" s="544" t="s">
        <v>2436</v>
      </c>
    </row>
    <row r="27" spans="1:18" ht="14.25" customHeight="1">
      <c r="A27" s="2180" t="s">
        <v>2337</v>
      </c>
      <c r="B27" s="2180"/>
      <c r="C27" s="2180"/>
      <c r="D27" s="2180"/>
      <c r="E27" s="2180"/>
      <c r="F27" s="2180"/>
      <c r="G27" s="2180"/>
      <c r="H27" s="2180"/>
      <c r="I27" s="2180"/>
      <c r="J27" s="2180"/>
    </row>
    <row r="28" spans="1:18" ht="14.25" customHeight="1">
      <c r="A28" s="2180"/>
      <c r="B28" s="2180"/>
      <c r="C28" s="2180"/>
      <c r="D28" s="2180"/>
      <c r="E28" s="2180"/>
      <c r="F28" s="2180"/>
      <c r="G28" s="2180"/>
      <c r="H28" s="2180"/>
      <c r="I28" s="2180"/>
      <c r="J28" s="2180"/>
    </row>
    <row r="29" spans="1:18" ht="6.75" customHeight="1">
      <c r="A29" s="2180"/>
      <c r="B29" s="2180"/>
      <c r="C29" s="2180"/>
      <c r="D29" s="2180"/>
      <c r="E29" s="2180"/>
      <c r="F29" s="2180"/>
      <c r="G29" s="2180"/>
      <c r="H29" s="2180"/>
      <c r="I29" s="2180"/>
      <c r="J29" s="2180"/>
    </row>
    <row r="30" spans="1:18" ht="14.25" customHeight="1">
      <c r="A30" s="2180"/>
      <c r="B30" s="2180"/>
      <c r="C30" s="2180"/>
      <c r="D30" s="2180"/>
      <c r="E30" s="2180"/>
      <c r="F30" s="2180"/>
      <c r="G30" s="2180"/>
      <c r="H30" s="2180"/>
      <c r="I30" s="2180"/>
      <c r="J30" s="2180"/>
    </row>
    <row r="31" spans="1:18" ht="14.25" customHeight="1">
      <c r="A31" s="2180"/>
      <c r="B31" s="2180"/>
      <c r="C31" s="2180"/>
      <c r="D31" s="2180"/>
      <c r="E31" s="2180"/>
      <c r="F31" s="2180"/>
      <c r="G31" s="2180"/>
      <c r="H31" s="2180"/>
      <c r="I31" s="2180"/>
      <c r="J31" s="2180"/>
    </row>
    <row r="32" spans="1:18" ht="54.75" customHeight="1">
      <c r="A32" s="2180"/>
      <c r="B32" s="2180"/>
      <c r="C32" s="2180"/>
      <c r="D32" s="2180"/>
      <c r="E32" s="2180"/>
      <c r="F32" s="2180"/>
      <c r="G32" s="2180"/>
      <c r="H32" s="2180"/>
      <c r="I32" s="2180"/>
      <c r="J32" s="2180"/>
    </row>
    <row r="33" spans="1:10" ht="0.75" hidden="1" customHeight="1">
      <c r="A33" s="2180"/>
      <c r="B33" s="2180"/>
      <c r="C33" s="2180"/>
      <c r="D33" s="2180"/>
      <c r="E33" s="2180"/>
      <c r="F33" s="2180"/>
      <c r="G33" s="2180"/>
      <c r="H33" s="2180"/>
      <c r="I33" s="2180"/>
      <c r="J33" s="2180"/>
    </row>
    <row r="34" spans="1:10" ht="3.75" hidden="1" customHeight="1">
      <c r="A34" s="2180"/>
      <c r="B34" s="2180"/>
      <c r="C34" s="2180"/>
      <c r="D34" s="2180"/>
      <c r="E34" s="2180"/>
      <c r="F34" s="2180"/>
      <c r="G34" s="2180"/>
      <c r="H34" s="2180"/>
      <c r="I34" s="2180"/>
      <c r="J34" s="2180"/>
    </row>
    <row r="35" spans="1:10" ht="5.25" customHeight="1">
      <c r="A35" s="1457"/>
      <c r="B35" s="1457"/>
      <c r="C35" s="1457"/>
      <c r="D35" s="1457"/>
      <c r="E35" s="1457"/>
      <c r="F35" s="1457"/>
      <c r="G35" s="1457"/>
      <c r="H35" s="1457"/>
      <c r="I35" s="1457"/>
      <c r="J35" s="1457"/>
    </row>
    <row r="36" spans="1:10" ht="19.5" customHeight="1">
      <c r="A36" s="2178" t="s">
        <v>2437</v>
      </c>
      <c r="B36" s="2178"/>
      <c r="C36" s="2178"/>
      <c r="D36" s="1449"/>
      <c r="E36" s="1449"/>
      <c r="F36" s="1449"/>
      <c r="G36" s="1449"/>
      <c r="H36" s="1449"/>
      <c r="I36" s="1449"/>
      <c r="J36" s="1449"/>
    </row>
    <row r="37" spans="1:10" ht="15" customHeight="1">
      <c r="A37" s="2147"/>
      <c r="B37" s="2147"/>
      <c r="C37" s="2147"/>
      <c r="D37" s="2147"/>
      <c r="E37" s="2147"/>
      <c r="F37" s="2147"/>
      <c r="G37" s="2147"/>
      <c r="H37" s="2147"/>
      <c r="I37" s="2147"/>
      <c r="J37" s="2147"/>
    </row>
    <row r="38" spans="1:10" ht="33.75" customHeight="1">
      <c r="A38" s="2147"/>
      <c r="B38" s="2147"/>
      <c r="C38" s="2147"/>
      <c r="D38" s="2147"/>
      <c r="E38" s="2147"/>
      <c r="F38" s="2147"/>
      <c r="G38" s="2147"/>
      <c r="H38" s="2147"/>
      <c r="I38" s="2147"/>
      <c r="J38" s="2147"/>
    </row>
    <row r="39" spans="1:10" ht="2.25" customHeight="1">
      <c r="A39" s="1449"/>
      <c r="B39" s="1449"/>
      <c r="C39" s="1449"/>
      <c r="D39" s="1449"/>
      <c r="E39" s="1449"/>
      <c r="F39" s="1449"/>
      <c r="G39" s="1449"/>
      <c r="H39" s="1449"/>
      <c r="I39" s="1449"/>
      <c r="J39" s="1449"/>
    </row>
    <row r="40" spans="1:10" ht="15">
      <c r="A40" s="544" t="s">
        <v>2438</v>
      </c>
    </row>
    <row r="41" spans="1:10" ht="135" customHeight="1">
      <c r="A41" s="2179" t="s">
        <v>2439</v>
      </c>
      <c r="B41" s="2179"/>
      <c r="C41" s="2179"/>
      <c r="D41" s="2179"/>
      <c r="E41" s="2179"/>
      <c r="F41" s="2179"/>
      <c r="G41" s="2179"/>
      <c r="H41" s="2179"/>
      <c r="I41" s="2179"/>
      <c r="J41" s="2179"/>
    </row>
    <row r="42" spans="1:10" ht="6" customHeight="1">
      <c r="A42" s="1456"/>
      <c r="B42" s="1456"/>
      <c r="C42" s="1456"/>
      <c r="D42" s="1456"/>
      <c r="E42" s="1456"/>
      <c r="F42" s="1456"/>
      <c r="G42" s="1456"/>
      <c r="H42" s="1456"/>
      <c r="I42" s="1456"/>
      <c r="J42" s="1456"/>
    </row>
    <row r="43" spans="1:10" ht="15">
      <c r="A43" s="544" t="s">
        <v>2440</v>
      </c>
    </row>
    <row r="44" spans="1:10" ht="33" customHeight="1">
      <c r="A44" s="2147" t="s">
        <v>2441</v>
      </c>
      <c r="B44" s="2148"/>
      <c r="C44" s="2148"/>
      <c r="D44" s="2148"/>
      <c r="E44" s="2148"/>
      <c r="F44" s="2148"/>
      <c r="G44" s="2148"/>
      <c r="H44" s="2148"/>
      <c r="I44" s="2148"/>
      <c r="J44" s="2147"/>
    </row>
    <row r="45" spans="1:10" ht="3" customHeight="1"/>
    <row r="46" spans="1:10" ht="72.75" customHeight="1">
      <c r="A46" s="2147" t="s">
        <v>2442</v>
      </c>
      <c r="B46" s="2147"/>
      <c r="C46" s="2147"/>
      <c r="D46" s="2147"/>
      <c r="E46" s="2147"/>
      <c r="F46" s="2147"/>
      <c r="G46" s="2147"/>
      <c r="H46" s="2147"/>
      <c r="I46" s="2147"/>
      <c r="J46" s="2147"/>
    </row>
    <row r="47" spans="1:10" ht="3" customHeight="1">
      <c r="A47" s="1449"/>
      <c r="B47" s="1449"/>
      <c r="C47" s="1449"/>
      <c r="D47" s="1449"/>
      <c r="E47" s="1449"/>
      <c r="F47" s="1449"/>
      <c r="G47" s="1449"/>
      <c r="H47" s="1449"/>
      <c r="I47" s="1449"/>
      <c r="J47" s="1449"/>
    </row>
    <row r="48" spans="1:10" ht="56.25" customHeight="1">
      <c r="A48" s="2147" t="s">
        <v>2443</v>
      </c>
      <c r="B48" s="2147"/>
      <c r="C48" s="2147"/>
      <c r="D48" s="2147"/>
      <c r="E48" s="2147"/>
      <c r="F48" s="2147"/>
      <c r="G48" s="2147"/>
      <c r="H48" s="2147"/>
      <c r="I48" s="2147"/>
      <c r="J48" s="2147"/>
    </row>
    <row r="49" spans="1:17" ht="3" customHeight="1">
      <c r="A49" s="1449"/>
      <c r="B49" s="1449"/>
      <c r="C49" s="1449"/>
      <c r="D49" s="1449"/>
      <c r="E49" s="1449"/>
      <c r="F49" s="1449"/>
      <c r="G49" s="1449"/>
      <c r="H49" s="1449"/>
      <c r="I49" s="1449"/>
      <c r="J49" s="1449"/>
    </row>
    <row r="50" spans="1:17" ht="49.5" customHeight="1">
      <c r="A50" s="2147" t="s">
        <v>2444</v>
      </c>
      <c r="B50" s="2147"/>
      <c r="C50" s="2147"/>
      <c r="D50" s="2147"/>
      <c r="E50" s="2147"/>
      <c r="F50" s="2147"/>
      <c r="G50" s="2147"/>
      <c r="H50" s="2147"/>
      <c r="I50" s="2147"/>
      <c r="J50" s="1449"/>
    </row>
    <row r="51" spans="1:17" ht="3" customHeight="1">
      <c r="A51" s="1449"/>
      <c r="B51" s="1449"/>
      <c r="C51" s="1449"/>
      <c r="D51" s="1449"/>
      <c r="E51" s="1449"/>
      <c r="F51" s="1449"/>
      <c r="G51" s="1449"/>
      <c r="H51" s="1449"/>
      <c r="I51" s="1449"/>
      <c r="J51" s="1449"/>
    </row>
    <row r="52" spans="1:17" ht="54.75" customHeight="1">
      <c r="A52" s="2168" t="s">
        <v>2445</v>
      </c>
      <c r="B52" s="2166"/>
      <c r="C52" s="2166"/>
      <c r="D52" s="2166"/>
      <c r="E52" s="2166"/>
      <c r="F52" s="2166"/>
      <c r="G52" s="2166"/>
      <c r="H52" s="2166"/>
      <c r="I52" s="2166"/>
      <c r="J52" s="1449"/>
    </row>
    <row r="53" spans="1:17" ht="3" customHeight="1">
      <c r="A53" s="1449"/>
      <c r="B53" s="1449"/>
      <c r="C53" s="1449"/>
      <c r="D53" s="1449"/>
      <c r="E53" s="1449"/>
      <c r="F53" s="1449"/>
      <c r="G53" s="1449"/>
      <c r="H53" s="1449"/>
      <c r="I53" s="1449"/>
      <c r="J53" s="1449"/>
    </row>
    <row r="54" spans="1:17" ht="62.25" customHeight="1">
      <c r="A54" s="2166" t="s">
        <v>2446</v>
      </c>
      <c r="B54" s="2166"/>
      <c r="C54" s="2166"/>
      <c r="D54" s="2166"/>
      <c r="E54" s="2166"/>
      <c r="F54" s="2166"/>
      <c r="G54" s="2166"/>
      <c r="H54" s="2166"/>
      <c r="I54" s="2166"/>
      <c r="J54" s="2166"/>
    </row>
    <row r="55" spans="1:17" ht="3" customHeight="1"/>
    <row r="56" spans="1:17" ht="73.5" customHeight="1">
      <c r="A56" s="2147" t="s">
        <v>2447</v>
      </c>
      <c r="B56" s="2147"/>
      <c r="C56" s="2147"/>
      <c r="D56" s="2147"/>
      <c r="E56" s="2147"/>
      <c r="F56" s="2147"/>
      <c r="G56" s="2147"/>
      <c r="H56" s="2147"/>
      <c r="I56" s="2147"/>
      <c r="J56" s="2147"/>
    </row>
    <row r="57" spans="1:17" ht="6" customHeight="1">
      <c r="A57" s="1449" t="s">
        <v>2338</v>
      </c>
      <c r="B57" s="1449"/>
      <c r="C57" s="1449"/>
      <c r="D57" s="1449"/>
      <c r="E57" s="1449"/>
      <c r="F57" s="1449"/>
      <c r="G57" s="1449"/>
      <c r="H57" s="1449"/>
      <c r="I57" s="1449"/>
      <c r="J57" s="1449"/>
    </row>
    <row r="58" spans="1:17" ht="15">
      <c r="A58" s="544" t="s">
        <v>2448</v>
      </c>
      <c r="L58" s="545" t="s">
        <v>2449</v>
      </c>
    </row>
    <row r="59" spans="1:17" ht="73.5" customHeight="1">
      <c r="A59" s="2169" t="s">
        <v>2334</v>
      </c>
      <c r="B59" s="2169"/>
      <c r="C59" s="2169"/>
      <c r="D59" s="2169"/>
      <c r="E59" s="2169"/>
      <c r="F59" s="2169"/>
      <c r="G59" s="2169"/>
      <c r="H59" s="2169"/>
      <c r="I59" s="2169"/>
      <c r="J59" s="2169"/>
      <c r="L59" s="546">
        <f>'Closing term sheet'!C133</f>
        <v>732454.5</v>
      </c>
      <c r="M59" s="547"/>
      <c r="N59" s="547"/>
      <c r="O59" s="547"/>
    </row>
    <row r="60" spans="1:17" ht="7.5" customHeight="1">
      <c r="A60" s="1449"/>
      <c r="B60" s="1449"/>
      <c r="C60" s="1449"/>
      <c r="D60" s="1449"/>
      <c r="E60" s="1449"/>
      <c r="F60" s="1449"/>
      <c r="G60" s="1449"/>
      <c r="H60" s="1449"/>
      <c r="I60" s="1449"/>
      <c r="J60" s="1449"/>
      <c r="L60" s="548" t="s">
        <v>2450</v>
      </c>
      <c r="M60" s="549" t="s">
        <v>2451</v>
      </c>
      <c r="N60" s="550" t="s">
        <v>2452</v>
      </c>
      <c r="O60" s="548" t="s">
        <v>2453</v>
      </c>
      <c r="P60" s="549" t="s">
        <v>2454</v>
      </c>
      <c r="Q60" s="550" t="s">
        <v>2455</v>
      </c>
    </row>
    <row r="61" spans="1:17" ht="78.75" customHeight="1">
      <c r="A61" s="2166" t="s">
        <v>2335</v>
      </c>
      <c r="B61" s="2166"/>
      <c r="C61" s="2166"/>
      <c r="D61" s="2166"/>
      <c r="E61" s="2166"/>
      <c r="F61" s="2166"/>
      <c r="G61" s="2166"/>
      <c r="H61" s="2166"/>
      <c r="I61" s="2166"/>
      <c r="J61" s="551"/>
      <c r="L61" s="552">
        <f>'Part III-Sources of Funds'!I49</f>
        <v>7480000</v>
      </c>
      <c r="M61" s="553">
        <f>'Part IV-A-Uses of Funds'!$J$175</f>
        <v>850000</v>
      </c>
      <c r="N61" s="554">
        <f>'Part IV-A-Uses of Funds'!N168</f>
        <v>0.88</v>
      </c>
      <c r="O61" s="552">
        <f>'Part III-Sources of Funds'!I50</f>
        <v>3655000</v>
      </c>
      <c r="P61" s="553">
        <f>M61</f>
        <v>850000</v>
      </c>
      <c r="Q61" s="554">
        <f>'Part IV-A-Uses of Funds'!Q168</f>
        <v>0.43</v>
      </c>
    </row>
    <row r="62" spans="1:17" ht="18.75" customHeight="1">
      <c r="A62" s="555" t="s">
        <v>2456</v>
      </c>
    </row>
    <row r="63" spans="1:17" ht="159.75" customHeight="1">
      <c r="A63" s="2166" t="s">
        <v>2457</v>
      </c>
      <c r="B63" s="2166"/>
      <c r="C63" s="2166"/>
      <c r="D63" s="2166"/>
      <c r="E63" s="2166"/>
      <c r="F63" s="2166"/>
      <c r="G63" s="2166"/>
      <c r="H63" s="2166"/>
      <c r="I63" s="2166"/>
      <c r="J63" s="2166"/>
      <c r="L63" s="556">
        <f>'Part VII-Pro Forma'!K67</f>
        <v>1961887.4211852259</v>
      </c>
      <c r="M63" s="2170" t="s">
        <v>2458</v>
      </c>
      <c r="N63" s="2171"/>
    </row>
    <row r="64" spans="1:17" ht="6" customHeight="1">
      <c r="A64" s="544"/>
    </row>
    <row r="65" spans="1:10" ht="15">
      <c r="A65" s="544" t="s">
        <v>2459</v>
      </c>
    </row>
    <row r="66" spans="1:10" ht="66.75" customHeight="1">
      <c r="A66" s="2166" t="s">
        <v>2460</v>
      </c>
      <c r="B66" s="2166"/>
      <c r="C66" s="2166"/>
      <c r="D66" s="2166"/>
      <c r="E66" s="2166"/>
      <c r="F66" s="2166"/>
      <c r="G66" s="2166"/>
      <c r="H66" s="2166"/>
      <c r="I66" s="2166"/>
      <c r="J66" s="2166"/>
    </row>
    <row r="67" spans="1:10" ht="36" customHeight="1">
      <c r="A67" s="2166" t="s">
        <v>2461</v>
      </c>
      <c r="B67" s="2166"/>
      <c r="C67" s="2166"/>
      <c r="D67" s="2166"/>
      <c r="E67" s="2166"/>
      <c r="F67" s="2166"/>
      <c r="G67" s="2166"/>
      <c r="H67" s="2166"/>
      <c r="I67" s="2166"/>
      <c r="J67" s="2166"/>
    </row>
    <row r="68" spans="1:10" ht="6" customHeight="1">
      <c r="A68" s="544"/>
    </row>
    <row r="69" spans="1:10" ht="15">
      <c r="A69" s="544" t="s">
        <v>2462</v>
      </c>
    </row>
    <row r="70" spans="1:10" ht="105.75" customHeight="1">
      <c r="A70" s="2147" t="s">
        <v>2463</v>
      </c>
      <c r="B70" s="2147"/>
      <c r="C70" s="2147"/>
      <c r="D70" s="2147"/>
      <c r="E70" s="2147"/>
      <c r="F70" s="2147"/>
      <c r="G70" s="2147"/>
      <c r="H70" s="2147"/>
      <c r="I70" s="2147"/>
      <c r="J70" s="2147"/>
    </row>
    <row r="71" spans="1:10" ht="6" customHeight="1">
      <c r="A71" s="544"/>
    </row>
    <row r="72" spans="1:10" ht="15">
      <c r="A72" s="544" t="s">
        <v>2464</v>
      </c>
    </row>
    <row r="73" spans="1:10" ht="66" customHeight="1">
      <c r="A73" s="2147" t="s">
        <v>2465</v>
      </c>
      <c r="B73" s="2147"/>
      <c r="C73" s="2147"/>
      <c r="D73" s="2147"/>
      <c r="E73" s="2147"/>
      <c r="F73" s="2147"/>
      <c r="G73" s="2147"/>
      <c r="H73" s="2147"/>
      <c r="I73" s="2147"/>
      <c r="J73" s="2147"/>
    </row>
    <row r="74" spans="1:10" s="1203" customFormat="1" ht="6" customHeight="1">
      <c r="A74" s="2147"/>
      <c r="B74" s="2147"/>
      <c r="C74" s="2147"/>
      <c r="D74" s="2147"/>
      <c r="E74" s="2147"/>
      <c r="F74" s="2147"/>
      <c r="G74" s="2147"/>
      <c r="H74" s="2147"/>
      <c r="I74" s="2147"/>
      <c r="J74" s="2147"/>
    </row>
    <row r="75" spans="1:10" ht="16.5" customHeight="1">
      <c r="A75" s="1459" t="s">
        <v>2466</v>
      </c>
      <c r="B75" s="543"/>
      <c r="C75" s="543"/>
      <c r="D75" s="1461"/>
      <c r="E75" s="543"/>
      <c r="F75" s="543"/>
      <c r="G75" s="543"/>
      <c r="H75" s="543"/>
      <c r="I75" s="543"/>
      <c r="J75" s="557"/>
    </row>
    <row r="76" spans="1:10" s="1203" customFormat="1" ht="63" customHeight="1">
      <c r="A76" s="2147" t="s">
        <v>2467</v>
      </c>
      <c r="B76" s="2147"/>
      <c r="C76" s="2147"/>
      <c r="D76" s="2147"/>
      <c r="E76" s="2147"/>
      <c r="F76" s="2147"/>
      <c r="G76" s="2147"/>
      <c r="H76" s="2147"/>
      <c r="I76" s="2147"/>
      <c r="J76" s="2147"/>
    </row>
    <row r="77" spans="1:10" s="1203" customFormat="1" ht="6" customHeight="1">
      <c r="A77" s="1449"/>
      <c r="B77" s="1449"/>
      <c r="C77" s="1449"/>
      <c r="D77" s="1449"/>
      <c r="E77" s="1449"/>
      <c r="F77" s="1449"/>
      <c r="G77" s="1449"/>
      <c r="H77" s="1449"/>
      <c r="I77" s="1449"/>
      <c r="J77" s="1449"/>
    </row>
    <row r="78" spans="1:10" ht="16.5" customHeight="1">
      <c r="A78" s="2173" t="s">
        <v>2468</v>
      </c>
      <c r="B78" s="2174"/>
      <c r="C78" s="2174"/>
      <c r="D78" s="543"/>
      <c r="E78" s="543"/>
      <c r="F78" s="543"/>
      <c r="G78" s="543"/>
      <c r="H78" s="543"/>
      <c r="I78" s="543"/>
      <c r="J78" s="557"/>
    </row>
    <row r="79" spans="1:10" ht="41.25" customHeight="1">
      <c r="A79" s="2166" t="s">
        <v>2469</v>
      </c>
      <c r="B79" s="2175"/>
      <c r="C79" s="2175"/>
      <c r="D79" s="2175"/>
      <c r="E79" s="2175"/>
      <c r="F79" s="2175"/>
      <c r="G79" s="2175"/>
      <c r="H79" s="2175"/>
      <c r="I79" s="2175"/>
      <c r="J79" s="2175"/>
    </row>
    <row r="80" spans="1:10" ht="6" customHeight="1">
      <c r="A80" s="558"/>
      <c r="B80" s="543"/>
      <c r="C80" s="543"/>
      <c r="D80" s="543"/>
      <c r="E80" s="543"/>
      <c r="F80" s="543"/>
      <c r="G80" s="543"/>
      <c r="H80" s="543"/>
      <c r="I80" s="543"/>
      <c r="J80" s="557"/>
    </row>
    <row r="81" spans="1:15" ht="15">
      <c r="A81" s="544" t="s">
        <v>2470</v>
      </c>
    </row>
    <row r="82" spans="1:15" ht="139.5" customHeight="1">
      <c r="A82" s="2166" t="s">
        <v>2471</v>
      </c>
      <c r="B82" s="2166"/>
      <c r="C82" s="2166"/>
      <c r="D82" s="2166"/>
      <c r="E82" s="2166"/>
      <c r="F82" s="2166"/>
      <c r="G82" s="2166"/>
      <c r="H82" s="2166"/>
      <c r="I82" s="2166"/>
      <c r="J82" s="2166"/>
      <c r="L82" s="2176" t="s">
        <v>2472</v>
      </c>
      <c r="M82" s="2176"/>
      <c r="N82" s="2176"/>
    </row>
    <row r="83" spans="1:15" ht="6" customHeight="1">
      <c r="A83" s="1458"/>
      <c r="B83" s="1458"/>
      <c r="C83" s="1458"/>
      <c r="D83" s="1458"/>
      <c r="E83" s="1458"/>
      <c r="F83" s="1458"/>
      <c r="G83" s="1458"/>
      <c r="H83" s="1458"/>
      <c r="I83" s="1458"/>
      <c r="J83" s="1458"/>
      <c r="L83" s="1460"/>
      <c r="M83" s="1460"/>
      <c r="N83" s="1460"/>
    </row>
    <row r="84" spans="1:15" ht="17.25" customHeight="1">
      <c r="A84" s="544" t="s">
        <v>2473</v>
      </c>
    </row>
    <row r="85" spans="1:15" ht="111" customHeight="1">
      <c r="A85" s="2166" t="s">
        <v>2474</v>
      </c>
      <c r="B85" s="2166"/>
      <c r="C85" s="2166"/>
      <c r="D85" s="2166"/>
      <c r="E85" s="2166"/>
      <c r="F85" s="2166"/>
      <c r="G85" s="2166"/>
      <c r="H85" s="2166"/>
      <c r="I85" s="2166"/>
      <c r="J85" s="2166"/>
      <c r="L85" s="2176" t="s">
        <v>2475</v>
      </c>
      <c r="M85" s="2176"/>
      <c r="N85" s="559" t="e">
        <f>'After-Tax Analysis'!G66</f>
        <v>#VALUE!</v>
      </c>
      <c r="O85" s="560" t="s">
        <v>2476</v>
      </c>
    </row>
    <row r="86" spans="1:15" ht="6" customHeight="1">
      <c r="A86" s="544"/>
    </row>
    <row r="87" spans="1:15" ht="15">
      <c r="A87" s="544" t="s">
        <v>2477</v>
      </c>
    </row>
    <row r="88" spans="1:15" ht="118.5" customHeight="1">
      <c r="A88" s="2147" t="s">
        <v>2478</v>
      </c>
      <c r="B88" s="2147"/>
      <c r="C88" s="2147"/>
      <c r="D88" s="2147"/>
      <c r="E88" s="2147"/>
      <c r="F88" s="2147"/>
      <c r="G88" s="2147"/>
      <c r="H88" s="2147"/>
      <c r="I88" s="2147"/>
      <c r="J88" s="2147"/>
    </row>
    <row r="89" spans="1:15" ht="20.25" customHeight="1">
      <c r="A89" s="2148" t="s">
        <v>2479</v>
      </c>
      <c r="B89" s="2148"/>
      <c r="C89" s="2148"/>
      <c r="D89" s="2147"/>
      <c r="E89" s="1449"/>
      <c r="F89" s="1449"/>
      <c r="G89" s="1449"/>
      <c r="H89" s="1449"/>
      <c r="I89" s="1449"/>
      <c r="J89" s="1449"/>
    </row>
    <row r="90" spans="1:15" ht="109.5" customHeight="1">
      <c r="A90" s="2164" t="s">
        <v>2480</v>
      </c>
      <c r="B90" s="2165"/>
      <c r="C90" s="2165"/>
      <c r="D90" s="2165"/>
      <c r="E90" s="2165"/>
      <c r="F90" s="2165"/>
      <c r="G90" s="2165"/>
      <c r="H90" s="2165"/>
      <c r="I90" s="2165"/>
      <c r="J90" s="2165"/>
    </row>
    <row r="91" spans="1:15" ht="11.25" customHeight="1">
      <c r="A91" s="544"/>
    </row>
    <row r="92" spans="1:15" ht="15">
      <c r="A92" s="544" t="s">
        <v>2481</v>
      </c>
    </row>
    <row r="93" spans="1:15" ht="122.25" customHeight="1">
      <c r="A93" s="2169" t="s">
        <v>2482</v>
      </c>
      <c r="B93" s="2169"/>
      <c r="C93" s="2169"/>
      <c r="D93" s="2169"/>
      <c r="E93" s="2169"/>
      <c r="F93" s="2169"/>
      <c r="G93" s="2169"/>
      <c r="H93" s="2169"/>
      <c r="I93" s="2169"/>
      <c r="J93" s="2169"/>
      <c r="L93" s="1145">
        <f>'Part VII-Pro Forma'!K67</f>
        <v>1961887.4211852259</v>
      </c>
      <c r="M93" s="2172" t="s">
        <v>2483</v>
      </c>
      <c r="N93" s="2172"/>
    </row>
    <row r="94" spans="1:15" ht="11.25" hidden="1" customHeight="1">
      <c r="A94" s="1449"/>
      <c r="B94" s="1449"/>
      <c r="C94" s="1449"/>
      <c r="D94" s="1449"/>
      <c r="E94" s="1449"/>
      <c r="F94" s="1449"/>
      <c r="G94" s="1449"/>
      <c r="H94" s="1449"/>
      <c r="I94" s="1449"/>
      <c r="J94" s="1449"/>
    </row>
    <row r="95" spans="1:15" ht="12" hidden="1" customHeight="1">
      <c r="A95" s="1449"/>
      <c r="B95" s="1449"/>
      <c r="C95" s="1449"/>
      <c r="D95" s="1449"/>
      <c r="E95" s="1449"/>
      <c r="F95" s="1449"/>
      <c r="G95" s="1449"/>
      <c r="H95" s="1449"/>
      <c r="I95" s="1449"/>
      <c r="J95" s="557"/>
    </row>
    <row r="96" spans="1:15" ht="6" customHeight="1">
      <c r="A96" s="1449"/>
      <c r="B96" s="1449"/>
      <c r="C96" s="1449"/>
      <c r="D96" s="1449"/>
      <c r="E96" s="1449"/>
      <c r="F96" s="1449"/>
      <c r="G96" s="1449"/>
      <c r="H96" s="1449"/>
      <c r="I96" s="1449"/>
      <c r="J96" s="557"/>
    </row>
    <row r="97" spans="1:10" ht="17.25" customHeight="1">
      <c r="A97" s="2148" t="s">
        <v>2484</v>
      </c>
      <c r="B97" s="2148"/>
      <c r="C97" s="2148"/>
      <c r="D97" s="1449"/>
      <c r="E97" s="1449"/>
      <c r="F97" s="1449"/>
      <c r="G97" s="1449"/>
      <c r="H97" s="1449"/>
      <c r="I97" s="1449"/>
      <c r="J97" s="557"/>
    </row>
    <row r="98" spans="1:10" ht="37.5" customHeight="1">
      <c r="A98" s="2166" t="s">
        <v>2485</v>
      </c>
      <c r="B98" s="2166"/>
      <c r="C98" s="2166"/>
      <c r="D98" s="2166"/>
      <c r="E98" s="2166"/>
      <c r="F98" s="2166"/>
      <c r="G98" s="2166"/>
      <c r="H98" s="2166"/>
      <c r="I98" s="2166"/>
      <c r="J98" s="2166"/>
    </row>
    <row r="99" spans="1:10" ht="6" customHeight="1">
      <c r="A99" s="544"/>
    </row>
    <row r="100" spans="1:10" ht="15">
      <c r="A100" s="544" t="s">
        <v>2486</v>
      </c>
    </row>
    <row r="101" spans="1:10" ht="43.5" customHeight="1">
      <c r="A101" s="2147" t="s">
        <v>2487</v>
      </c>
      <c r="B101" s="2147"/>
      <c r="C101" s="2147"/>
      <c r="D101" s="2147"/>
      <c r="E101" s="2147"/>
      <c r="F101" s="2147"/>
      <c r="G101" s="2147"/>
      <c r="H101" s="2147"/>
      <c r="I101" s="2147"/>
      <c r="J101" s="2147"/>
    </row>
    <row r="102" spans="1:10" ht="6" customHeight="1">
      <c r="A102" s="1449"/>
      <c r="B102" s="1449"/>
      <c r="C102" s="1449"/>
      <c r="D102" s="1449"/>
      <c r="E102" s="1449"/>
      <c r="F102" s="1449"/>
      <c r="G102" s="1449"/>
      <c r="H102" s="1449"/>
      <c r="I102" s="1449"/>
      <c r="J102" s="1449"/>
    </row>
    <row r="103" spans="1:10" ht="15">
      <c r="A103" s="544" t="s">
        <v>2488</v>
      </c>
    </row>
    <row r="105" spans="1:10">
      <c r="A105" s="2167" t="s">
        <v>2489</v>
      </c>
      <c r="B105" s="2167"/>
      <c r="C105" s="2167"/>
      <c r="D105" s="2167"/>
      <c r="E105" s="2167"/>
      <c r="F105" s="2167"/>
      <c r="G105" s="2167"/>
      <c r="H105" s="2167"/>
      <c r="I105" s="2167"/>
      <c r="J105" s="2167"/>
    </row>
    <row r="107" spans="1:10" ht="15" thickBot="1">
      <c r="A107" s="561"/>
      <c r="B107" s="538" t="s">
        <v>2490</v>
      </c>
    </row>
    <row r="110" spans="1:10" ht="15" thickBot="1">
      <c r="A110" s="561"/>
      <c r="B110" s="538" t="s">
        <v>2491</v>
      </c>
    </row>
    <row r="112" spans="1:10">
      <c r="A112" s="538" t="s">
        <v>2492</v>
      </c>
    </row>
    <row r="115" spans="1:10" ht="15" thickBot="1">
      <c r="A115" s="561"/>
      <c r="B115" s="561"/>
      <c r="C115" s="561"/>
      <c r="D115" s="561"/>
      <c r="E115" s="561"/>
      <c r="H115" s="561"/>
      <c r="I115" s="561"/>
      <c r="J115" s="561"/>
    </row>
    <row r="116" spans="1:10">
      <c r="A116" s="2163" t="s">
        <v>2493</v>
      </c>
      <c r="B116" s="2163"/>
      <c r="C116" s="2163"/>
      <c r="D116" s="2163"/>
      <c r="E116" s="2163"/>
      <c r="H116" s="2163" t="s">
        <v>2494</v>
      </c>
      <c r="I116" s="2163"/>
      <c r="J116" s="2163"/>
    </row>
    <row r="118" spans="1:10" ht="15" thickBot="1">
      <c r="A118" s="538" t="s">
        <v>2495</v>
      </c>
      <c r="B118" s="561"/>
      <c r="C118" s="561"/>
      <c r="H118" s="538" t="s">
        <v>2495</v>
      </c>
      <c r="I118" s="561"/>
    </row>
    <row r="206" spans="1:1">
      <c r="A206" s="53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538" customWidth="1"/>
    <col min="2" max="2" width="1.7109375" style="538" customWidth="1"/>
    <col min="3" max="3" width="13" style="538" customWidth="1"/>
    <col min="4" max="4" width="11.28515625" style="538" customWidth="1"/>
    <col min="5" max="5" width="14.7109375" style="538" customWidth="1"/>
    <col min="6" max="6" width="15.140625" style="538" customWidth="1"/>
    <col min="7" max="7" width="11.7109375" style="538" customWidth="1"/>
    <col min="8" max="8" width="11.42578125" style="538" customWidth="1"/>
    <col min="9" max="9" width="10.5703125" style="538" customWidth="1"/>
    <col min="10" max="10" width="6" style="538" customWidth="1"/>
    <col min="11" max="11" width="12.7109375" style="538" customWidth="1"/>
    <col min="12" max="12" width="10.85546875" style="538" customWidth="1"/>
    <col min="13" max="13" width="26.28515625" style="538" customWidth="1"/>
    <col min="14" max="14" width="9.140625" style="538"/>
    <col min="15" max="15" width="12.42578125" style="538" customWidth="1"/>
    <col min="16" max="16" width="9.140625" style="538"/>
    <col min="17" max="17" width="11.7109375" style="538" bestFit="1" customWidth="1"/>
    <col min="18" max="16384" width="9.140625" style="538"/>
  </cols>
  <sheetData>
    <row r="1" spans="1:15" ht="13.5" customHeight="1">
      <c r="A1" s="539" t="s">
        <v>2496</v>
      </c>
      <c r="B1" s="619"/>
      <c r="C1" s="538" t="str">
        <f>Overview!C8</f>
        <v>Mill at Stone Valley</v>
      </c>
    </row>
    <row r="2" spans="1:15" ht="13.5" customHeight="1"/>
    <row r="3" spans="1:15" ht="13.5" customHeight="1">
      <c r="A3" s="539" t="s">
        <v>2497</v>
      </c>
      <c r="C3" s="538" t="s">
        <v>2498</v>
      </c>
      <c r="E3" s="620">
        <f>SUM('Part IV-A-Uses of Funds'!J149,'Part IV-A-Uses of Funds'!M149,'Part IV-A-Uses of Funds'!P149)</f>
        <v>12122824</v>
      </c>
      <c r="F3" s="1461" t="s">
        <v>2499</v>
      </c>
      <c r="H3" s="1187">
        <v>27.5</v>
      </c>
      <c r="I3" s="538" t="s">
        <v>643</v>
      </c>
      <c r="K3" s="543" t="s">
        <v>2500</v>
      </c>
      <c r="M3" s="1461"/>
      <c r="O3" s="621"/>
    </row>
    <row r="4" spans="1:15" ht="13.5" customHeight="1">
      <c r="C4" s="538" t="s">
        <v>2501</v>
      </c>
      <c r="E4" s="620">
        <f>SUM('Part IV-A-Uses of Funds'!G85:H89)</f>
        <v>145100</v>
      </c>
      <c r="F4" s="1461" t="s">
        <v>2502</v>
      </c>
      <c r="H4" s="539">
        <f>'Part III-Sources of Funds'!M37</f>
        <v>40</v>
      </c>
      <c r="I4" s="538" t="s">
        <v>643</v>
      </c>
      <c r="K4" s="622" t="s">
        <v>2503</v>
      </c>
      <c r="M4" s="1461"/>
    </row>
    <row r="5" spans="1:15" ht="13.5" customHeight="1">
      <c r="C5" s="538" t="s">
        <v>2504</v>
      </c>
      <c r="E5" s="620">
        <f>SUM('Part IV-A-Uses of Funds'!G96:H102)</f>
        <v>141700</v>
      </c>
      <c r="F5" s="1461" t="s">
        <v>2505</v>
      </c>
      <c r="H5" s="1187">
        <v>15</v>
      </c>
      <c r="I5" s="538" t="s">
        <v>643</v>
      </c>
      <c r="K5" s="621">
        <f>-E6</f>
        <v>-11135000</v>
      </c>
    </row>
    <row r="6" spans="1:15" ht="13.5" customHeight="1">
      <c r="C6" s="538" t="s">
        <v>2506</v>
      </c>
      <c r="E6" s="623">
        <f>'Part III-Sources of Funds'!$I$49+'Part III-Sources of Funds'!$I$50</f>
        <v>11135000</v>
      </c>
      <c r="F6" s="1461" t="s">
        <v>2507</v>
      </c>
      <c r="H6" s="624">
        <v>0.35</v>
      </c>
      <c r="K6" s="621" t="e">
        <f>C24</f>
        <v>#VALUE!</v>
      </c>
      <c r="M6" s="538" t="s">
        <v>2508</v>
      </c>
      <c r="O6" s="625">
        <f>Overview!K32</f>
        <v>0</v>
      </c>
    </row>
    <row r="7" spans="1:15" ht="13.5" customHeight="1">
      <c r="K7" s="621" t="e">
        <f>D24</f>
        <v>#VALUE!</v>
      </c>
      <c r="O7" s="626"/>
    </row>
    <row r="8" spans="1:15" ht="13.5" customHeight="1">
      <c r="A8" s="539" t="s">
        <v>627</v>
      </c>
      <c r="C8" s="627">
        <v>1</v>
      </c>
      <c r="D8" s="627">
        <v>2</v>
      </c>
      <c r="E8" s="627">
        <v>3</v>
      </c>
      <c r="F8" s="627">
        <v>4</v>
      </c>
      <c r="G8" s="627">
        <v>5</v>
      </c>
      <c r="H8" s="627">
        <v>6</v>
      </c>
      <c r="I8" s="627">
        <v>7</v>
      </c>
      <c r="K8" s="621" t="e">
        <f>E24</f>
        <v>#VALUE!</v>
      </c>
      <c r="M8" s="538" t="s">
        <v>2509</v>
      </c>
      <c r="O8" s="1151" t="e">
        <f>'Part VII-Pro Forma'!$K$67+'Part VII-Pro Forma'!$K$68+'Part VII-Pro Forma'!$K$69</f>
        <v>#VALUE!</v>
      </c>
    </row>
    <row r="9" spans="1:15" ht="13.5" customHeight="1">
      <c r="A9" s="538" t="s">
        <v>2510</v>
      </c>
      <c r="C9" s="628">
        <f>'Part VII-Pro Forma'!B30</f>
        <v>-0.20485498860944062</v>
      </c>
      <c r="D9" s="628">
        <f>'Part VII-Pro Forma'!C30</f>
        <v>6.3930113101378083E-3</v>
      </c>
      <c r="E9" s="628">
        <f>'Part VII-Pro Forma'!D30</f>
        <v>-0.33453402857412584</v>
      </c>
      <c r="F9" s="628">
        <f>'Part VII-Pro Forma'!E30</f>
        <v>23727.684028390504</v>
      </c>
      <c r="G9" s="628">
        <f>'Part VII-Pro Forma'!F30</f>
        <v>31663.772459298139</v>
      </c>
      <c r="H9" s="628">
        <f>'Part VII-Pro Forma'!G30</f>
        <v>31721.432840981113</v>
      </c>
      <c r="I9" s="628">
        <f>'Part VII-Pro Forma'!H30</f>
        <v>31655.951717919583</v>
      </c>
      <c r="K9" s="621" t="e">
        <f>F24</f>
        <v>#VALUE!</v>
      </c>
      <c r="N9" s="629" t="s">
        <v>2511</v>
      </c>
    </row>
    <row r="10" spans="1:15" ht="13.5" customHeight="1">
      <c r="A10" s="538" t="s">
        <v>2512</v>
      </c>
      <c r="C10" s="1148">
        <f>'Part III-Sources of Funds'!I37-'Part VII-Pro Forma'!B37</f>
        <v>19992.281598234549</v>
      </c>
      <c r="D10" s="630">
        <f>'Part VII-Pro Forma'!B37-'Part VII-Pro Forma'!C37</f>
        <v>21067.504222574178</v>
      </c>
      <c r="E10" s="630">
        <f>'Part VII-Pro Forma'!C37-'Part VII-Pro Forma'!D37</f>
        <v>22200.554348303005</v>
      </c>
      <c r="F10" s="630">
        <f>'Part VII-Pro Forma'!D37-'Part VII-Pro Forma'!E37</f>
        <v>23394.542047550436</v>
      </c>
      <c r="G10" s="630">
        <f>'Part VII-Pro Forma'!E37-'Part VII-Pro Forma'!F37</f>
        <v>24652.744657992385</v>
      </c>
      <c r="H10" s="630">
        <f>'Part VII-Pro Forma'!F37-'Part VII-Pro Forma'!G37</f>
        <v>25978.615778709762</v>
      </c>
      <c r="I10" s="630">
        <f>'Part VII-Pro Forma'!G37-'Part VII-Pro Forma'!H37</f>
        <v>27375.794749856461</v>
      </c>
      <c r="K10" s="621" t="e">
        <f>G24</f>
        <v>#VALUE!</v>
      </c>
      <c r="N10" s="629" t="s">
        <v>2513</v>
      </c>
      <c r="O10" s="626"/>
    </row>
    <row r="11" spans="1:15" ht="13.5" customHeight="1">
      <c r="A11" s="538" t="s">
        <v>2512</v>
      </c>
      <c r="C11" s="1148" t="e">
        <f>'Part III-Sources of Funds'!I38-'Part VII-Pro Forma'!B38</f>
        <v>#VALUE!</v>
      </c>
      <c r="D11" s="630" t="e">
        <f>'Part VII-Pro Forma'!B38-'Part VII-Pro Forma'!C38</f>
        <v>#VALUE!</v>
      </c>
      <c r="E11" s="630" t="e">
        <f>'Part VII-Pro Forma'!C38-'Part VII-Pro Forma'!D38</f>
        <v>#VALUE!</v>
      </c>
      <c r="F11" s="630" t="e">
        <f>'Part VII-Pro Forma'!D38-'Part VII-Pro Forma'!E38</f>
        <v>#VALUE!</v>
      </c>
      <c r="G11" s="630" t="e">
        <f>'Part VII-Pro Forma'!E38-'Part VII-Pro Forma'!F38</f>
        <v>#VALUE!</v>
      </c>
      <c r="H11" s="630" t="e">
        <f>'Part VII-Pro Forma'!F38-'Part VII-Pro Forma'!G38</f>
        <v>#VALUE!</v>
      </c>
      <c r="I11" s="630" t="e">
        <f>'Part VII-Pro Forma'!G38-'Part VII-Pro Forma'!H38</f>
        <v>#VALUE!</v>
      </c>
      <c r="K11" s="621" t="e">
        <f>H24</f>
        <v>#VALUE!</v>
      </c>
      <c r="O11" s="626"/>
    </row>
    <row r="12" spans="1:15" ht="13.5" customHeight="1">
      <c r="A12" s="538" t="s">
        <v>2512</v>
      </c>
      <c r="C12" s="1148" t="e">
        <f>'Part III-Sources of Funds'!I39-'Part VII-Pro Forma'!B39</f>
        <v>#VALUE!</v>
      </c>
      <c r="D12" s="630" t="e">
        <f>'Part VII-Pro Forma'!B39-'Part VII-Pro Forma'!C39</f>
        <v>#VALUE!</v>
      </c>
      <c r="E12" s="630" t="e">
        <f>'Part VII-Pro Forma'!C39-'Part VII-Pro Forma'!D39</f>
        <v>#VALUE!</v>
      </c>
      <c r="F12" s="630" t="e">
        <f>'Part VII-Pro Forma'!D39-'Part VII-Pro Forma'!E39</f>
        <v>#VALUE!</v>
      </c>
      <c r="G12" s="630" t="e">
        <f>'Part VII-Pro Forma'!E39-'Part VII-Pro Forma'!F39</f>
        <v>#VALUE!</v>
      </c>
      <c r="H12" s="630" t="e">
        <f>'Part VII-Pro Forma'!F39-'Part VII-Pro Forma'!G39</f>
        <v>#VALUE!</v>
      </c>
      <c r="I12" s="630" t="e">
        <f>'Part VII-Pro Forma'!G39-'Part VII-Pro Forma'!H39</f>
        <v>#VALUE!</v>
      </c>
      <c r="K12" s="621" t="e">
        <f>I24</f>
        <v>#VALUE!</v>
      </c>
      <c r="M12" s="538" t="s">
        <v>2514</v>
      </c>
      <c r="N12" s="631">
        <v>0.06</v>
      </c>
      <c r="O12" s="626">
        <f>N12*O6</f>
        <v>0</v>
      </c>
    </row>
    <row r="13" spans="1:15" ht="13.5" customHeight="1">
      <c r="A13" s="632" t="s">
        <v>2515</v>
      </c>
      <c r="B13" s="633"/>
      <c r="C13" s="1149">
        <f>'Part VII-Pro Forma'!B21</f>
        <v>-18500</v>
      </c>
      <c r="D13" s="1149">
        <f>'Part VII-Pro Forma'!C21</f>
        <v>-19055</v>
      </c>
      <c r="E13" s="1149">
        <f>'Part VII-Pro Forma'!D21</f>
        <v>-19626.649999999998</v>
      </c>
      <c r="F13" s="1149">
        <f>'Part VII-Pro Forma'!E21</f>
        <v>-20215.449499999999</v>
      </c>
      <c r="G13" s="1149">
        <f>'Part VII-Pro Forma'!F21</f>
        <v>-20821.912984999999</v>
      </c>
      <c r="H13" s="1149">
        <f>'Part VII-Pro Forma'!G21</f>
        <v>-21446.570374549996</v>
      </c>
      <c r="I13" s="1149">
        <f>'Part VII-Pro Forma'!H21</f>
        <v>-22089.967485786499</v>
      </c>
      <c r="K13" s="621" t="e">
        <f>C44</f>
        <v>#VALUE!</v>
      </c>
      <c r="O13" s="626"/>
    </row>
    <row r="14" spans="1:15" ht="13.5" customHeight="1">
      <c r="A14" s="632" t="s">
        <v>2516</v>
      </c>
      <c r="B14" s="633"/>
      <c r="C14" s="1149">
        <f>'Part VII-Pro Forma'!B29</f>
        <v>-30317</v>
      </c>
      <c r="D14" s="1149">
        <f>'Part VII-Pro Forma'!C29</f>
        <v>-30810</v>
      </c>
      <c r="E14" s="1149">
        <f>'Part VII-Pro Forma'!D29</f>
        <v>-31203</v>
      </c>
      <c r="F14" s="1149">
        <f>'Part VII-Pro Forma'!E29</f>
        <v>-7761</v>
      </c>
      <c r="G14" s="1149">
        <f>'Part VII-Pro Forma'!F29</f>
        <v>0</v>
      </c>
      <c r="H14" s="1149">
        <f>'Part VII-Pro Forma'!G29</f>
        <v>0</v>
      </c>
      <c r="I14" s="1149">
        <f>'Part VII-Pro Forma'!H29</f>
        <v>0</v>
      </c>
      <c r="K14" s="621" t="e">
        <f>D44</f>
        <v>#VALUE!</v>
      </c>
      <c r="M14" s="538" t="s">
        <v>2517</v>
      </c>
      <c r="O14" s="626" t="e">
        <f>O6-O8-O12</f>
        <v>#VALUE!</v>
      </c>
    </row>
    <row r="15" spans="1:15" ht="13.5" customHeight="1">
      <c r="A15" s="634" t="s">
        <v>2518</v>
      </c>
      <c r="C15" s="635">
        <f t="shared" ref="C15:I15" si="0">$E$3/$H$3</f>
        <v>440829.96363636362</v>
      </c>
      <c r="D15" s="635">
        <f t="shared" si="0"/>
        <v>440829.96363636362</v>
      </c>
      <c r="E15" s="635">
        <f t="shared" si="0"/>
        <v>440829.96363636362</v>
      </c>
      <c r="F15" s="635">
        <f t="shared" si="0"/>
        <v>440829.96363636362</v>
      </c>
      <c r="G15" s="635">
        <f t="shared" si="0"/>
        <v>440829.96363636362</v>
      </c>
      <c r="H15" s="635">
        <f t="shared" si="0"/>
        <v>440829.96363636362</v>
      </c>
      <c r="I15" s="635">
        <f t="shared" si="0"/>
        <v>440829.96363636362</v>
      </c>
      <c r="K15" s="621" t="e">
        <f>E44</f>
        <v>#VALUE!</v>
      </c>
      <c r="O15" s="626"/>
    </row>
    <row r="16" spans="1:15" ht="13.5" customHeight="1">
      <c r="A16" s="634" t="s">
        <v>2519</v>
      </c>
      <c r="C16" s="635">
        <f>IF(C$8&lt;=$H$4,($E$4/$H$4),0)+IF(C$8&lt;=$H$5,($E$5/$H$5),0)</f>
        <v>13074.166666666666</v>
      </c>
      <c r="D16" s="635">
        <f t="shared" ref="D16:I16" si="1">IF(D$8&lt;=$H$4,($E$4/$H$4),0)+IF(D$8&lt;=$H$5,($E$5/$H$5),0)</f>
        <v>13074.166666666666</v>
      </c>
      <c r="E16" s="635">
        <f t="shared" si="1"/>
        <v>13074.166666666666</v>
      </c>
      <c r="F16" s="635">
        <f t="shared" si="1"/>
        <v>13074.166666666666</v>
      </c>
      <c r="G16" s="635">
        <f t="shared" si="1"/>
        <v>13074.166666666666</v>
      </c>
      <c r="H16" s="635">
        <f t="shared" si="1"/>
        <v>13074.166666666666</v>
      </c>
      <c r="I16" s="635">
        <f t="shared" si="1"/>
        <v>13074.166666666666</v>
      </c>
      <c r="K16" s="621" t="e">
        <f>F44</f>
        <v>#VALUE!</v>
      </c>
      <c r="M16" s="538" t="s">
        <v>2520</v>
      </c>
      <c r="O16" s="626">
        <f>E3</f>
        <v>12122824</v>
      </c>
    </row>
    <row r="17" spans="1:17" ht="13.5" customHeight="1">
      <c r="A17" s="634" t="s">
        <v>2521</v>
      </c>
      <c r="C17" s="630" t="e">
        <f t="shared" ref="C17:I17" si="2">C9+C10+C11+C12+C13+C14-C15-C16</f>
        <v>#VALUE!</v>
      </c>
      <c r="D17" s="630" t="e">
        <f t="shared" si="2"/>
        <v>#VALUE!</v>
      </c>
      <c r="E17" s="630" t="e">
        <f t="shared" si="2"/>
        <v>#VALUE!</v>
      </c>
      <c r="F17" s="630" t="e">
        <f t="shared" si="2"/>
        <v>#VALUE!</v>
      </c>
      <c r="G17" s="630" t="e">
        <f t="shared" si="2"/>
        <v>#VALUE!</v>
      </c>
      <c r="H17" s="630" t="e">
        <f t="shared" si="2"/>
        <v>#VALUE!</v>
      </c>
      <c r="I17" s="630" t="e">
        <f t="shared" si="2"/>
        <v>#VALUE!</v>
      </c>
      <c r="K17" s="621" t="e">
        <f>G44</f>
        <v>#VALUE!</v>
      </c>
      <c r="M17" s="538" t="s">
        <v>2518</v>
      </c>
      <c r="O17" s="626">
        <f>20*(E3/H3)</f>
        <v>8816599.2727272734</v>
      </c>
    </row>
    <row r="18" spans="1:17" ht="13.5" customHeight="1">
      <c r="A18" s="634" t="s">
        <v>2522</v>
      </c>
      <c r="C18" s="636" t="e">
        <f t="shared" ref="C18:I18" si="3">C17*$H$6</f>
        <v>#VALUE!</v>
      </c>
      <c r="D18" s="636" t="e">
        <f t="shared" si="3"/>
        <v>#VALUE!</v>
      </c>
      <c r="E18" s="636" t="e">
        <f t="shared" si="3"/>
        <v>#VALUE!</v>
      </c>
      <c r="F18" s="636" t="e">
        <f t="shared" si="3"/>
        <v>#VALUE!</v>
      </c>
      <c r="G18" s="636" t="e">
        <f t="shared" si="3"/>
        <v>#VALUE!</v>
      </c>
      <c r="H18" s="636" t="e">
        <f t="shared" si="3"/>
        <v>#VALUE!</v>
      </c>
      <c r="I18" s="636" t="e">
        <f t="shared" si="3"/>
        <v>#VALUE!</v>
      </c>
      <c r="K18" s="621" t="e">
        <f>H44</f>
        <v>#VALUE!</v>
      </c>
      <c r="O18" s="626"/>
    </row>
    <row r="19" spans="1:17" ht="13.5" customHeight="1">
      <c r="A19" s="634"/>
      <c r="C19" s="628"/>
      <c r="D19" s="628"/>
      <c r="E19" s="628"/>
      <c r="F19" s="628"/>
      <c r="G19" s="628"/>
      <c r="H19" s="628"/>
      <c r="I19" s="628"/>
      <c r="K19" s="621" t="e">
        <f>I44</f>
        <v>#VALUE!</v>
      </c>
      <c r="M19" s="538" t="s">
        <v>2523</v>
      </c>
      <c r="O19" s="626">
        <f>O16-O17</f>
        <v>3306224.7272727266</v>
      </c>
    </row>
    <row r="20" spans="1:17" ht="13.5" customHeight="1">
      <c r="A20" s="538" t="s">
        <v>2524</v>
      </c>
      <c r="C20" s="630" t="e">
        <f t="shared" ref="C20:I20" si="4">C9-C18</f>
        <v>#VALUE!</v>
      </c>
      <c r="D20" s="630" t="e">
        <f t="shared" si="4"/>
        <v>#VALUE!</v>
      </c>
      <c r="E20" s="630" t="e">
        <f t="shared" si="4"/>
        <v>#VALUE!</v>
      </c>
      <c r="F20" s="630" t="e">
        <f t="shared" si="4"/>
        <v>#VALUE!</v>
      </c>
      <c r="G20" s="630" t="e">
        <f t="shared" si="4"/>
        <v>#VALUE!</v>
      </c>
      <c r="H20" s="630" t="e">
        <f t="shared" si="4"/>
        <v>#VALUE!</v>
      </c>
      <c r="I20" s="630" t="e">
        <f t="shared" si="4"/>
        <v>#VALUE!</v>
      </c>
      <c r="K20" s="621" t="e">
        <f>C64</f>
        <v>#VALUE!</v>
      </c>
      <c r="O20" s="626"/>
    </row>
    <row r="21" spans="1:17" ht="13.5" customHeight="1">
      <c r="A21" s="538" t="s">
        <v>2525</v>
      </c>
      <c r="C21" s="636">
        <f>'Part IV-A-Uses of Funds'!$J$175</f>
        <v>850000</v>
      </c>
      <c r="D21" s="636">
        <f t="shared" ref="D21:I21" si="5">C21</f>
        <v>850000</v>
      </c>
      <c r="E21" s="636">
        <f t="shared" si="5"/>
        <v>850000</v>
      </c>
      <c r="F21" s="636">
        <f t="shared" si="5"/>
        <v>850000</v>
      </c>
      <c r="G21" s="636">
        <f t="shared" si="5"/>
        <v>850000</v>
      </c>
      <c r="H21" s="636">
        <f t="shared" si="5"/>
        <v>850000</v>
      </c>
      <c r="I21" s="636">
        <f t="shared" si="5"/>
        <v>850000</v>
      </c>
      <c r="J21" s="538" t="s">
        <v>2338</v>
      </c>
      <c r="K21" s="621" t="e">
        <f>D64</f>
        <v>#VALUE!</v>
      </c>
      <c r="O21" s="626"/>
    </row>
    <row r="22" spans="1:17" ht="13.5" customHeight="1">
      <c r="A22" s="538" t="s">
        <v>2526</v>
      </c>
      <c r="C22" s="636">
        <f>C21</f>
        <v>850000</v>
      </c>
      <c r="D22" s="636">
        <f t="shared" ref="D22:I22" si="6">D21</f>
        <v>850000</v>
      </c>
      <c r="E22" s="636">
        <f t="shared" si="6"/>
        <v>850000</v>
      </c>
      <c r="F22" s="636">
        <f t="shared" si="6"/>
        <v>850000</v>
      </c>
      <c r="G22" s="636">
        <f t="shared" si="6"/>
        <v>850000</v>
      </c>
      <c r="H22" s="636">
        <f t="shared" si="6"/>
        <v>850000</v>
      </c>
      <c r="I22" s="636">
        <f t="shared" si="6"/>
        <v>850000</v>
      </c>
      <c r="K22" s="621" t="e">
        <f>E64</f>
        <v>#VALUE!</v>
      </c>
      <c r="M22" s="538" t="s">
        <v>2508</v>
      </c>
      <c r="O22" s="626">
        <f>O6</f>
        <v>0</v>
      </c>
    </row>
    <row r="23" spans="1:17" ht="13.5" customHeight="1">
      <c r="A23" s="538" t="s">
        <v>2527</v>
      </c>
      <c r="C23" s="628">
        <v>0</v>
      </c>
      <c r="D23" s="628">
        <v>0</v>
      </c>
      <c r="E23" s="628">
        <v>0</v>
      </c>
      <c r="F23" s="628">
        <v>0</v>
      </c>
      <c r="G23" s="628">
        <v>0</v>
      </c>
      <c r="H23" s="628">
        <v>0</v>
      </c>
      <c r="I23" s="628">
        <v>0</v>
      </c>
      <c r="K23" s="621" t="e">
        <f>F64</f>
        <v>#VALUE!</v>
      </c>
      <c r="M23" s="538" t="s">
        <v>2528</v>
      </c>
      <c r="O23" s="626">
        <f>O19</f>
        <v>3306224.7272727266</v>
      </c>
    </row>
    <row r="24" spans="1:17" ht="13.5" customHeight="1">
      <c r="A24" s="538" t="s">
        <v>2500</v>
      </c>
      <c r="C24" s="630" t="e">
        <f t="shared" ref="C24:I24" si="7">SUM(C20:C23)</f>
        <v>#VALUE!</v>
      </c>
      <c r="D24" s="630" t="e">
        <f t="shared" si="7"/>
        <v>#VALUE!</v>
      </c>
      <c r="E24" s="630" t="e">
        <f t="shared" si="7"/>
        <v>#VALUE!</v>
      </c>
      <c r="F24" s="630" t="e">
        <f t="shared" si="7"/>
        <v>#VALUE!</v>
      </c>
      <c r="G24" s="630" t="e">
        <f t="shared" si="7"/>
        <v>#VALUE!</v>
      </c>
      <c r="H24" s="630" t="e">
        <f t="shared" si="7"/>
        <v>#VALUE!</v>
      </c>
      <c r="I24" s="630" t="e">
        <f t="shared" si="7"/>
        <v>#VALUE!</v>
      </c>
      <c r="K24" s="621" t="e">
        <f>G64</f>
        <v>#VALUE!</v>
      </c>
      <c r="O24" s="626"/>
    </row>
    <row r="25" spans="1:17" ht="13.5" customHeight="1">
      <c r="K25" s="621" t="e">
        <f>H64</f>
        <v>#VALUE!</v>
      </c>
      <c r="M25" s="538" t="s">
        <v>2529</v>
      </c>
      <c r="O25" s="626">
        <f>O22-O23</f>
        <v>-3306224.7272727266</v>
      </c>
      <c r="Q25" s="637"/>
    </row>
    <row r="26" spans="1:17" ht="13.5" customHeight="1">
      <c r="A26" s="638"/>
      <c r="B26" s="638"/>
      <c r="C26" s="638"/>
      <c r="D26" s="638"/>
      <c r="E26" s="638"/>
      <c r="F26" s="638"/>
      <c r="G26" s="638"/>
      <c r="H26" s="638"/>
      <c r="I26" s="638"/>
      <c r="K26" s="621"/>
      <c r="O26" s="626"/>
    </row>
    <row r="27" spans="1:17" ht="13.5" customHeight="1">
      <c r="K27" s="621"/>
      <c r="M27" s="538" t="s">
        <v>2530</v>
      </c>
      <c r="N27" s="639"/>
      <c r="O27" s="631">
        <v>0.2</v>
      </c>
    </row>
    <row r="28" spans="1:17" ht="13.5" customHeight="1">
      <c r="A28" s="539" t="s">
        <v>627</v>
      </c>
      <c r="B28" s="539"/>
      <c r="C28" s="627">
        <v>8</v>
      </c>
      <c r="D28" s="627">
        <v>9</v>
      </c>
      <c r="E28" s="627">
        <v>10</v>
      </c>
      <c r="F28" s="627">
        <v>11</v>
      </c>
      <c r="G28" s="627">
        <v>12</v>
      </c>
      <c r="H28" s="627">
        <v>13</v>
      </c>
      <c r="I28" s="627">
        <v>14</v>
      </c>
      <c r="N28" s="639"/>
      <c r="O28" s="639"/>
    </row>
    <row r="29" spans="1:17" ht="13.5" customHeight="1">
      <c r="A29" s="538" t="s">
        <v>2510</v>
      </c>
      <c r="C29" s="628">
        <f>'Part VII-Pro Forma'!I30</f>
        <v>31460.392618647369</v>
      </c>
      <c r="D29" s="628">
        <f>'Part VII-Pro Forma'!J30</f>
        <v>31129.588333027903</v>
      </c>
      <c r="E29" s="628">
        <f>'Part VII-Pro Forma'!K30</f>
        <v>30656.132937203249</v>
      </c>
      <c r="F29" s="628">
        <f>'Part VII-Pro Forma'!B60</f>
        <v>30032.373558234656</v>
      </c>
      <c r="G29" s="628">
        <f>'Part VII-Pro Forma'!C60</f>
        <v>29252.40187020204</v>
      </c>
      <c r="H29" s="628">
        <f>'Part VII-Pro Forma'!D60</f>
        <v>28308.045313280134</v>
      </c>
      <c r="I29" s="628">
        <f>'Part VII-Pro Forma'!E60</f>
        <v>27191.858027036942</v>
      </c>
      <c r="N29" s="639"/>
      <c r="O29" s="639"/>
    </row>
    <row r="30" spans="1:17" ht="13.5" customHeight="1">
      <c r="A30" s="538" t="s">
        <v>2512</v>
      </c>
      <c r="C30" s="630">
        <f>'Part VII-Pro Forma'!H37-'Part VII-Pro Forma'!I37</f>
        <v>28848.116642167792</v>
      </c>
      <c r="D30" s="630">
        <f>'Part VII-Pro Forma'!I37-'Part VII-Pro Forma'!J37</f>
        <v>30399.622783717234</v>
      </c>
      <c r="E30" s="630">
        <f>'Part VII-Pro Forma'!J37-'Part VII-Pro Forma'!K37</f>
        <v>32034.571852828842</v>
      </c>
      <c r="F30" s="1146">
        <f>'Part VII-Pro Forma'!K37-'Part VII-Pro Forma'!B67</f>
        <v>33757.451567580458</v>
      </c>
      <c r="G30" s="1146">
        <f>'Part VII-Pro Forma'!B67-'Part VII-Pro Forma'!C67</f>
        <v>35572.991003995761</v>
      </c>
      <c r="H30" s="1146">
        <f>'Part VII-Pro Forma'!C67-'Part VII-Pro Forma'!D67</f>
        <v>37486.173576729838</v>
      </c>
      <c r="I30" s="1146">
        <f>'Part VII-Pro Forma'!D67-'Part VII-Pro Forma'!E67</f>
        <v>39502.250717879273</v>
      </c>
    </row>
    <row r="31" spans="1:17" ht="13.5" customHeight="1">
      <c r="A31" s="538" t="s">
        <v>2512</v>
      </c>
      <c r="C31" s="630" t="e">
        <f>'Part VII-Pro Forma'!H38-'Part VII-Pro Forma'!I38</f>
        <v>#VALUE!</v>
      </c>
      <c r="D31" s="630" t="e">
        <f>'Part VII-Pro Forma'!I38-'Part VII-Pro Forma'!J38</f>
        <v>#VALUE!</v>
      </c>
      <c r="E31" s="630" t="e">
        <f>'Part VII-Pro Forma'!J38-'Part VII-Pro Forma'!K38</f>
        <v>#VALUE!</v>
      </c>
      <c r="F31" s="1146" t="e">
        <f>'Part VII-Pro Forma'!K38-'Part VII-Pro Forma'!B68</f>
        <v>#VALUE!</v>
      </c>
      <c r="G31" s="1146" t="e">
        <f>'Part VII-Pro Forma'!B68-'Part VII-Pro Forma'!C68</f>
        <v>#VALUE!</v>
      </c>
      <c r="H31" s="1146" t="e">
        <f>'Part VII-Pro Forma'!C68-'Part VII-Pro Forma'!D68</f>
        <v>#VALUE!</v>
      </c>
      <c r="I31" s="1146" t="e">
        <f>'Part VII-Pro Forma'!D68-'Part VII-Pro Forma'!E68</f>
        <v>#VALUE!</v>
      </c>
      <c r="K31" s="538" t="s">
        <v>2338</v>
      </c>
      <c r="M31" s="538" t="s">
        <v>2531</v>
      </c>
      <c r="O31" s="628">
        <f>O25*O27</f>
        <v>-661244.94545454532</v>
      </c>
    </row>
    <row r="32" spans="1:17" ht="13.5" customHeight="1">
      <c r="A32" s="538" t="s">
        <v>2512</v>
      </c>
      <c r="C32" s="630" t="e">
        <f>'Part VII-Pro Forma'!H39-'Part VII-Pro Forma'!I39</f>
        <v>#VALUE!</v>
      </c>
      <c r="D32" s="630" t="e">
        <f>'Part VII-Pro Forma'!I39-'Part VII-Pro Forma'!J39</f>
        <v>#VALUE!</v>
      </c>
      <c r="E32" s="630" t="e">
        <f>'Part VII-Pro Forma'!J39-'Part VII-Pro Forma'!K39</f>
        <v>#VALUE!</v>
      </c>
      <c r="F32" s="1146" t="e">
        <f>'Part VII-Pro Forma'!K39-'Part VII-Pro Forma'!B69</f>
        <v>#VALUE!</v>
      </c>
      <c r="G32" s="1146" t="e">
        <f>'Part VII-Pro Forma'!B69-'Part VII-Pro Forma'!C69</f>
        <v>#VALUE!</v>
      </c>
      <c r="H32" s="1146" t="e">
        <f>'Part VII-Pro Forma'!C69-'Part VII-Pro Forma'!D69</f>
        <v>#VALUE!</v>
      </c>
      <c r="I32" s="1146" t="e">
        <f>'Part VII-Pro Forma'!D69-'Part VII-Pro Forma'!E69</f>
        <v>#VALUE!</v>
      </c>
    </row>
    <row r="33" spans="1:15" ht="13.5" customHeight="1">
      <c r="A33" s="632" t="s">
        <v>2515</v>
      </c>
      <c r="B33" s="633"/>
      <c r="C33" s="1149">
        <f>'Part VII-Pro Forma'!I21</f>
        <v>-22752.666510360094</v>
      </c>
      <c r="D33" s="1149">
        <f>'Part VII-Pro Forma'!J21</f>
        <v>-23435.246505670893</v>
      </c>
      <c r="E33" s="1149">
        <f>'Part VII-Pro Forma'!K21</f>
        <v>-24138.303900841023</v>
      </c>
      <c r="F33" s="1149">
        <f>'Part VII-Pro Forma'!B51</f>
        <v>-24862.453017866254</v>
      </c>
      <c r="G33" s="1149">
        <f>'Part VII-Pro Forma'!C51</f>
        <v>-25608.32660840224</v>
      </c>
      <c r="H33" s="1149">
        <f>'Part VII-Pro Forma'!D51</f>
        <v>-26376.576406654305</v>
      </c>
      <c r="I33" s="1149">
        <f>'Part VII-Pro Forma'!E51</f>
        <v>-27167.873698853931</v>
      </c>
      <c r="K33" s="538" t="s">
        <v>2338</v>
      </c>
      <c r="M33" s="538" t="s">
        <v>2532</v>
      </c>
      <c r="O33" s="628" t="e">
        <f>O14-O31</f>
        <v>#VALUE!</v>
      </c>
    </row>
    <row r="34" spans="1:15" ht="13.5" customHeight="1">
      <c r="A34" s="632" t="s">
        <v>2516</v>
      </c>
      <c r="B34" s="633"/>
      <c r="C34" s="1149">
        <f>'Part VII-Pro Forma'!I29</f>
        <v>0</v>
      </c>
      <c r="D34" s="1149">
        <f>'Part VII-Pro Forma'!J29</f>
        <v>0</v>
      </c>
      <c r="E34" s="1149">
        <f>'Part VII-Pro Forma'!K29</f>
        <v>0</v>
      </c>
      <c r="F34" s="1149">
        <f>'Part VII-Pro Forma'!B59</f>
        <v>0</v>
      </c>
      <c r="G34" s="1149">
        <f>'Part VII-Pro Forma'!C59</f>
        <v>0</v>
      </c>
      <c r="H34" s="1149">
        <f>'Part VII-Pro Forma'!D59</f>
        <v>0</v>
      </c>
      <c r="I34" s="1149">
        <f>'Part VII-Pro Forma'!E59</f>
        <v>0</v>
      </c>
    </row>
    <row r="35" spans="1:15" ht="13.5" customHeight="1">
      <c r="A35" s="634" t="s">
        <v>2518</v>
      </c>
      <c r="C35" s="635">
        <f t="shared" ref="C35:I35" si="8">$E$3/$H$3</f>
        <v>440829.96363636362</v>
      </c>
      <c r="D35" s="635">
        <f t="shared" si="8"/>
        <v>440829.96363636362</v>
      </c>
      <c r="E35" s="635">
        <f t="shared" si="8"/>
        <v>440829.96363636362</v>
      </c>
      <c r="F35" s="635">
        <f t="shared" si="8"/>
        <v>440829.96363636362</v>
      </c>
      <c r="G35" s="635">
        <f t="shared" si="8"/>
        <v>440829.96363636362</v>
      </c>
      <c r="H35" s="635">
        <f t="shared" si="8"/>
        <v>440829.96363636362</v>
      </c>
      <c r="I35" s="635">
        <f t="shared" si="8"/>
        <v>440829.96363636362</v>
      </c>
    </row>
    <row r="36" spans="1:15" ht="13.5" customHeight="1">
      <c r="A36" s="634" t="s">
        <v>2519</v>
      </c>
      <c r="C36" s="628">
        <f>IF(C$28&lt;=$H$4,($E$4/$H$4),0)+IF(C$28&lt;=$H$5,($E$5/$H$5),0)</f>
        <v>13074.166666666666</v>
      </c>
      <c r="D36" s="628">
        <f t="shared" ref="D36:I36" si="9">IF(D$28&lt;=$H$4,($E$4/$H$4),0)+IF(D$28&lt;=$H$5,($E$5/$H$5),0)</f>
        <v>13074.166666666666</v>
      </c>
      <c r="E36" s="628">
        <f t="shared" si="9"/>
        <v>13074.166666666666</v>
      </c>
      <c r="F36" s="628">
        <f t="shared" si="9"/>
        <v>13074.166666666666</v>
      </c>
      <c r="G36" s="628">
        <f t="shared" si="9"/>
        <v>13074.166666666666</v>
      </c>
      <c r="H36" s="628">
        <f t="shared" si="9"/>
        <v>13074.166666666666</v>
      </c>
      <c r="I36" s="628">
        <f t="shared" si="9"/>
        <v>13074.166666666666</v>
      </c>
    </row>
    <row r="37" spans="1:15" ht="13.5" customHeight="1">
      <c r="A37" s="634" t="s">
        <v>2521</v>
      </c>
      <c r="C37" s="630" t="e">
        <f t="shared" ref="C37:I37" si="10">C29+C30+C31+C32+C33+C34-C35-C36</f>
        <v>#VALUE!</v>
      </c>
      <c r="D37" s="630" t="e">
        <f t="shared" si="10"/>
        <v>#VALUE!</v>
      </c>
      <c r="E37" s="630" t="e">
        <f t="shared" si="10"/>
        <v>#VALUE!</v>
      </c>
      <c r="F37" s="630" t="e">
        <f t="shared" si="10"/>
        <v>#VALUE!</v>
      </c>
      <c r="G37" s="630" t="e">
        <f t="shared" si="10"/>
        <v>#VALUE!</v>
      </c>
      <c r="H37" s="630" t="e">
        <f t="shared" si="10"/>
        <v>#VALUE!</v>
      </c>
      <c r="I37" s="630" t="e">
        <f t="shared" si="10"/>
        <v>#VALUE!</v>
      </c>
    </row>
    <row r="38" spans="1:15" ht="13.5" customHeight="1">
      <c r="A38" s="538" t="s">
        <v>2522</v>
      </c>
      <c r="C38" s="636" t="e">
        <f t="shared" ref="C38:I38" si="11">C37*$H$6</f>
        <v>#VALUE!</v>
      </c>
      <c r="D38" s="636" t="e">
        <f t="shared" si="11"/>
        <v>#VALUE!</v>
      </c>
      <c r="E38" s="636" t="e">
        <f t="shared" si="11"/>
        <v>#VALUE!</v>
      </c>
      <c r="F38" s="636" t="e">
        <f t="shared" si="11"/>
        <v>#VALUE!</v>
      </c>
      <c r="G38" s="636" t="e">
        <f t="shared" si="11"/>
        <v>#VALUE!</v>
      </c>
      <c r="H38" s="636" t="e">
        <f t="shared" si="11"/>
        <v>#VALUE!</v>
      </c>
      <c r="I38" s="636" t="e">
        <f t="shared" si="11"/>
        <v>#VALUE!</v>
      </c>
    </row>
    <row r="39" spans="1:15" ht="13.5" customHeight="1">
      <c r="C39" s="630"/>
      <c r="D39" s="630"/>
      <c r="E39" s="630"/>
      <c r="F39" s="630"/>
      <c r="G39" s="630"/>
      <c r="H39" s="630"/>
      <c r="I39" s="630"/>
    </row>
    <row r="40" spans="1:15" ht="13.5" customHeight="1">
      <c r="A40" s="538" t="s">
        <v>2524</v>
      </c>
      <c r="C40" s="630" t="e">
        <f t="shared" ref="C40:I40" si="12">C29-C38</f>
        <v>#VALUE!</v>
      </c>
      <c r="D40" s="630" t="e">
        <f t="shared" si="12"/>
        <v>#VALUE!</v>
      </c>
      <c r="E40" s="630" t="e">
        <f t="shared" si="12"/>
        <v>#VALUE!</v>
      </c>
      <c r="F40" s="630" t="e">
        <f t="shared" si="12"/>
        <v>#VALUE!</v>
      </c>
      <c r="G40" s="630" t="e">
        <f t="shared" si="12"/>
        <v>#VALUE!</v>
      </c>
      <c r="H40" s="630" t="e">
        <f t="shared" si="12"/>
        <v>#VALUE!</v>
      </c>
      <c r="I40" s="630" t="e">
        <f t="shared" si="12"/>
        <v>#VALUE!</v>
      </c>
    </row>
    <row r="41" spans="1:15" ht="13.5" customHeight="1">
      <c r="A41" s="538" t="s">
        <v>2525</v>
      </c>
      <c r="C41" s="636">
        <f>C21</f>
        <v>850000</v>
      </c>
      <c r="D41" s="636">
        <f>C41</f>
        <v>850000</v>
      </c>
      <c r="E41" s="636">
        <f>D41</f>
        <v>850000</v>
      </c>
      <c r="F41" s="636">
        <v>0</v>
      </c>
      <c r="G41" s="636">
        <v>0</v>
      </c>
      <c r="H41" s="636">
        <v>0</v>
      </c>
      <c r="I41" s="636">
        <v>0</v>
      </c>
    </row>
    <row r="42" spans="1:15" ht="13.5" customHeight="1">
      <c r="A42" s="538" t="s">
        <v>2526</v>
      </c>
      <c r="C42" s="636">
        <f>C22</f>
        <v>850000</v>
      </c>
      <c r="D42" s="636">
        <f>C42</f>
        <v>850000</v>
      </c>
      <c r="E42" s="636">
        <f>D42</f>
        <v>850000</v>
      </c>
      <c r="F42" s="636">
        <v>0</v>
      </c>
      <c r="G42" s="636">
        <v>0</v>
      </c>
      <c r="H42" s="636">
        <v>0</v>
      </c>
      <c r="I42" s="636">
        <v>0</v>
      </c>
    </row>
    <row r="43" spans="1:15" ht="13.5" customHeight="1">
      <c r="A43" s="538" t="s">
        <v>2527</v>
      </c>
      <c r="C43" s="630">
        <v>0</v>
      </c>
      <c r="D43" s="630">
        <v>0</v>
      </c>
      <c r="E43" s="630">
        <v>0</v>
      </c>
      <c r="F43" s="630">
        <v>0</v>
      </c>
      <c r="G43" s="630">
        <v>0</v>
      </c>
      <c r="H43" s="630">
        <v>0</v>
      </c>
      <c r="I43" s="630">
        <v>0</v>
      </c>
    </row>
    <row r="44" spans="1:15" ht="13.5" customHeight="1">
      <c r="A44" s="538" t="s">
        <v>2500</v>
      </c>
      <c r="C44" s="630" t="e">
        <f t="shared" ref="C44:I44" si="13">SUM(C40:C43)</f>
        <v>#VALUE!</v>
      </c>
      <c r="D44" s="630" t="e">
        <f t="shared" si="13"/>
        <v>#VALUE!</v>
      </c>
      <c r="E44" s="630" t="e">
        <f t="shared" si="13"/>
        <v>#VALUE!</v>
      </c>
      <c r="F44" s="630" t="e">
        <f t="shared" si="13"/>
        <v>#VALUE!</v>
      </c>
      <c r="G44" s="630" t="e">
        <f t="shared" si="13"/>
        <v>#VALUE!</v>
      </c>
      <c r="H44" s="630" t="e">
        <f t="shared" si="13"/>
        <v>#VALUE!</v>
      </c>
      <c r="I44" s="630" t="e">
        <f t="shared" si="13"/>
        <v>#VALUE!</v>
      </c>
    </row>
    <row r="45" spans="1:15" ht="13.5" customHeight="1"/>
    <row r="46" spans="1:15" ht="13.5" customHeight="1">
      <c r="A46" s="638"/>
      <c r="B46" s="638"/>
      <c r="C46" s="638"/>
      <c r="D46" s="638"/>
      <c r="E46" s="638"/>
      <c r="F46" s="638"/>
      <c r="G46" s="638"/>
      <c r="H46" s="638"/>
      <c r="I46" s="638"/>
    </row>
    <row r="47" spans="1:15" ht="13.5" customHeight="1">
      <c r="I47" s="543"/>
    </row>
    <row r="48" spans="1:15" ht="13.5" customHeight="1">
      <c r="A48" s="539" t="s">
        <v>627</v>
      </c>
      <c r="B48" s="539"/>
      <c r="C48" s="627">
        <v>15</v>
      </c>
      <c r="D48" s="539">
        <v>16</v>
      </c>
      <c r="E48" s="539">
        <v>17</v>
      </c>
      <c r="F48" s="539">
        <v>18</v>
      </c>
      <c r="G48" s="539">
        <v>19</v>
      </c>
      <c r="H48" s="539">
        <v>20</v>
      </c>
    </row>
    <row r="49" spans="1:10" ht="13.5" customHeight="1">
      <c r="A49" s="538" t="s">
        <v>2510</v>
      </c>
      <c r="C49" s="628">
        <f>'Part VII-Pro Forma'!F60</f>
        <v>25896.111488940718</v>
      </c>
      <c r="D49" s="628">
        <f>'Part VII-Pro Forma'!G57</f>
        <v>0</v>
      </c>
      <c r="E49" s="628">
        <f>'Part VII-Pro Forma'!H57</f>
        <v>0</v>
      </c>
      <c r="F49" s="628">
        <f>'Part VII-Pro Forma'!I57</f>
        <v>0</v>
      </c>
      <c r="G49" s="628">
        <f>'Part VII-Pro Forma'!J57</f>
        <v>0</v>
      </c>
      <c r="H49" s="628">
        <f>'Part VII-Pro Forma'!K57</f>
        <v>0</v>
      </c>
    </row>
    <row r="50" spans="1:10" ht="13.5" customHeight="1">
      <c r="A50" s="538" t="s">
        <v>2512</v>
      </c>
      <c r="C50" s="1147">
        <f>'Part VII-Pro Forma'!E67-'Part VII-Pro Forma'!F67</f>
        <v>41626.756291468162</v>
      </c>
      <c r="D50" s="1147">
        <f>'Part VII-Pro Forma'!F67-'Part VII-Pro Forma'!G67</f>
        <v>43865.521783167496</v>
      </c>
      <c r="E50" s="1147">
        <f>'Part VII-Pro Forma'!G67-'Part VII-Pro Forma'!H67</f>
        <v>46224.692306950688</v>
      </c>
      <c r="F50" s="1147">
        <f>'Part VII-Pro Forma'!H67-'Part VII-Pro Forma'!I67</f>
        <v>48710.74347261549</v>
      </c>
      <c r="G50" s="1147">
        <f>'Part VII-Pro Forma'!I67-'Part VII-Pro Forma'!J67</f>
        <v>51330.499160469975</v>
      </c>
      <c r="H50" s="1147">
        <f>'Part VII-Pro Forma'!J67-'Part VII-Pro Forma'!K67</f>
        <v>54091.150251982268</v>
      </c>
    </row>
    <row r="51" spans="1:10" ht="13.5" customHeight="1">
      <c r="A51" s="538" t="s">
        <v>2512</v>
      </c>
      <c r="C51" s="1147" t="e">
        <f>'Part VII-Pro Forma'!E68-'Part VII-Pro Forma'!F68</f>
        <v>#VALUE!</v>
      </c>
      <c r="D51" s="1147" t="e">
        <f>'Part VII-Pro Forma'!F68-'Part VII-Pro Forma'!G68</f>
        <v>#VALUE!</v>
      </c>
      <c r="E51" s="1147" t="e">
        <f>'Part VII-Pro Forma'!G68-'Part VII-Pro Forma'!H68</f>
        <v>#VALUE!</v>
      </c>
      <c r="F51" s="1147" t="e">
        <f>'Part VII-Pro Forma'!H68-'Part VII-Pro Forma'!I68</f>
        <v>#VALUE!</v>
      </c>
      <c r="G51" s="1147" t="e">
        <f>'Part VII-Pro Forma'!I68-'Part VII-Pro Forma'!J68</f>
        <v>#VALUE!</v>
      </c>
      <c r="H51" s="1147" t="e">
        <f>'Part VII-Pro Forma'!J68-'Part VII-Pro Forma'!K68</f>
        <v>#VALUE!</v>
      </c>
    </row>
    <row r="52" spans="1:10" ht="13.5" customHeight="1">
      <c r="A52" s="538" t="s">
        <v>2512</v>
      </c>
      <c r="C52" s="640" t="e">
        <f>'Part VII-Pro Forma'!E69-'Part VII-Pro Forma'!F69</f>
        <v>#VALUE!</v>
      </c>
      <c r="D52" s="640" t="e">
        <f>'Part VII-Pro Forma'!F69-'Part VII-Pro Forma'!G69</f>
        <v>#VALUE!</v>
      </c>
      <c r="E52" s="640" t="e">
        <f>'Part VII-Pro Forma'!G69-'Part VII-Pro Forma'!H69</f>
        <v>#VALUE!</v>
      </c>
      <c r="F52" s="640" t="e">
        <f>'Part VII-Pro Forma'!H69-'Part VII-Pro Forma'!I69</f>
        <v>#VALUE!</v>
      </c>
      <c r="G52" s="640" t="e">
        <f>'Part VII-Pro Forma'!I69-'Part VII-Pro Forma'!J69</f>
        <v>#VALUE!</v>
      </c>
      <c r="H52" s="640" t="e">
        <f>'Part VII-Pro Forma'!J69-'Part VII-Pro Forma'!K69</f>
        <v>#VALUE!</v>
      </c>
    </row>
    <row r="53" spans="1:10" ht="13.5" customHeight="1">
      <c r="A53" s="632" t="s">
        <v>2515</v>
      </c>
      <c r="B53" s="633"/>
      <c r="C53" s="1149">
        <f>'Part VII-Pro Forma'!F51</f>
        <v>-27982.909909819555</v>
      </c>
      <c r="D53" s="1149">
        <f>'Part VII-Pro Forma'!G51</f>
        <v>-28822.397207114143</v>
      </c>
      <c r="E53" s="1149">
        <f>'Part VII-Pro Forma'!H51</f>
        <v>-29687.069123327561</v>
      </c>
      <c r="F53" s="1149">
        <f>'Part VII-Pro Forma'!I51</f>
        <v>-30577.681197027388</v>
      </c>
      <c r="G53" s="1149">
        <f>'Part VII-Pro Forma'!J51</f>
        <v>-31495.011632938211</v>
      </c>
      <c r="H53" s="1149">
        <f>'Part VII-Pro Forma'!K51</f>
        <v>-32439.861981926355</v>
      </c>
    </row>
    <row r="54" spans="1:10" ht="13.5" customHeight="1">
      <c r="A54" s="632" t="s">
        <v>2516</v>
      </c>
      <c r="C54" s="1150">
        <f>'Part VII-Pro Forma'!F59</f>
        <v>0</v>
      </c>
      <c r="D54" s="1150">
        <f>'Part VII-Pro Forma'!G59</f>
        <v>0</v>
      </c>
      <c r="E54" s="1150">
        <f>'Part VII-Pro Forma'!H59</f>
        <v>0</v>
      </c>
      <c r="F54" s="1150">
        <f>'Part VII-Pro Forma'!I59</f>
        <v>0</v>
      </c>
      <c r="G54" s="1150">
        <f>'Part VII-Pro Forma'!J59</f>
        <v>0</v>
      </c>
      <c r="H54" s="1150">
        <f>'Part VII-Pro Forma'!K59</f>
        <v>0</v>
      </c>
    </row>
    <row r="55" spans="1:10" ht="13.5" customHeight="1">
      <c r="A55" s="634" t="s">
        <v>2518</v>
      </c>
      <c r="C55" s="635">
        <f t="shared" ref="C55:H55" si="14">$E$3/$H$3</f>
        <v>440829.96363636362</v>
      </c>
      <c r="D55" s="635">
        <f t="shared" si="14"/>
        <v>440829.96363636362</v>
      </c>
      <c r="E55" s="635">
        <f t="shared" si="14"/>
        <v>440829.96363636362</v>
      </c>
      <c r="F55" s="635">
        <f t="shared" si="14"/>
        <v>440829.96363636362</v>
      </c>
      <c r="G55" s="635">
        <f t="shared" si="14"/>
        <v>440829.96363636362</v>
      </c>
      <c r="H55" s="635">
        <f t="shared" si="14"/>
        <v>440829.96363636362</v>
      </c>
    </row>
    <row r="56" spans="1:10" ht="13.5" customHeight="1">
      <c r="A56" s="634" t="s">
        <v>2519</v>
      </c>
      <c r="C56" s="628">
        <f t="shared" ref="C56:H56" si="15">IF(C$48&lt;=$H$4,($E$4/$H$4),0)+IF(C$48&lt;=$H$5,($E$5/$H$5),0)</f>
        <v>13074.166666666666</v>
      </c>
      <c r="D56" s="628">
        <f t="shared" si="15"/>
        <v>3627.5</v>
      </c>
      <c r="E56" s="628">
        <f t="shared" si="15"/>
        <v>3627.5</v>
      </c>
      <c r="F56" s="628">
        <f t="shared" si="15"/>
        <v>3627.5</v>
      </c>
      <c r="G56" s="628">
        <f t="shared" si="15"/>
        <v>3627.5</v>
      </c>
      <c r="H56" s="628">
        <f t="shared" si="15"/>
        <v>3627.5</v>
      </c>
    </row>
    <row r="57" spans="1:10" ht="13.5" customHeight="1">
      <c r="A57" s="634" t="s">
        <v>2521</v>
      </c>
      <c r="C57" s="628" t="e">
        <f t="shared" ref="C57:H57" si="16">C49+C50+C51+C52+C53+C54-C55-C56</f>
        <v>#VALUE!</v>
      </c>
      <c r="D57" s="628" t="e">
        <f t="shared" si="16"/>
        <v>#VALUE!</v>
      </c>
      <c r="E57" s="628" t="e">
        <f t="shared" si="16"/>
        <v>#VALUE!</v>
      </c>
      <c r="F57" s="628" t="e">
        <f t="shared" si="16"/>
        <v>#VALUE!</v>
      </c>
      <c r="G57" s="628" t="e">
        <f t="shared" si="16"/>
        <v>#VALUE!</v>
      </c>
      <c r="H57" s="628" t="e">
        <f t="shared" si="16"/>
        <v>#VALUE!</v>
      </c>
    </row>
    <row r="58" spans="1:10" ht="13.5" customHeight="1">
      <c r="A58" s="538" t="s">
        <v>2522</v>
      </c>
      <c r="C58" s="635" t="e">
        <f t="shared" ref="C58:H58" si="17">C57*$H$6</f>
        <v>#VALUE!</v>
      </c>
      <c r="D58" s="635" t="e">
        <f t="shared" si="17"/>
        <v>#VALUE!</v>
      </c>
      <c r="E58" s="635" t="e">
        <f t="shared" si="17"/>
        <v>#VALUE!</v>
      </c>
      <c r="F58" s="635" t="e">
        <f t="shared" si="17"/>
        <v>#VALUE!</v>
      </c>
      <c r="G58" s="635" t="e">
        <f t="shared" si="17"/>
        <v>#VALUE!</v>
      </c>
      <c r="H58" s="635" t="e">
        <f t="shared" si="17"/>
        <v>#VALUE!</v>
      </c>
      <c r="J58" s="538" t="s">
        <v>2338</v>
      </c>
    </row>
    <row r="59" spans="1:10" s="641" customFormat="1" ht="16.5" customHeight="1">
      <c r="A59" s="538"/>
      <c r="B59" s="538"/>
      <c r="C59" s="628"/>
      <c r="D59" s="628"/>
      <c r="E59" s="628"/>
      <c r="F59" s="628"/>
      <c r="G59" s="628"/>
      <c r="H59" s="628"/>
      <c r="I59" s="538"/>
      <c r="J59" s="538"/>
    </row>
    <row r="60" spans="1:10">
      <c r="A60" s="538" t="s">
        <v>2524</v>
      </c>
      <c r="C60" s="628" t="e">
        <f t="shared" ref="C60:H60" si="18">C49-C58</f>
        <v>#VALUE!</v>
      </c>
      <c r="D60" s="628" t="e">
        <f t="shared" si="18"/>
        <v>#VALUE!</v>
      </c>
      <c r="E60" s="628" t="e">
        <f t="shared" si="18"/>
        <v>#VALUE!</v>
      </c>
      <c r="F60" s="628" t="e">
        <f t="shared" si="18"/>
        <v>#VALUE!</v>
      </c>
      <c r="G60" s="628" t="e">
        <f t="shared" si="18"/>
        <v>#VALUE!</v>
      </c>
      <c r="H60" s="628" t="e">
        <f t="shared" si="18"/>
        <v>#VALUE!</v>
      </c>
    </row>
    <row r="61" spans="1:10">
      <c r="A61" s="538" t="s">
        <v>2525</v>
      </c>
      <c r="C61" s="635">
        <v>0</v>
      </c>
      <c r="D61" s="635">
        <v>0</v>
      </c>
      <c r="E61" s="635">
        <v>0</v>
      </c>
      <c r="F61" s="635">
        <v>0</v>
      </c>
      <c r="G61" s="635">
        <v>0</v>
      </c>
      <c r="H61" s="628">
        <v>0</v>
      </c>
    </row>
    <row r="62" spans="1:10">
      <c r="A62" s="538" t="s">
        <v>2526</v>
      </c>
      <c r="C62" s="635">
        <v>0</v>
      </c>
      <c r="D62" s="628">
        <v>0</v>
      </c>
      <c r="E62" s="628">
        <v>0</v>
      </c>
      <c r="F62" s="628">
        <v>0</v>
      </c>
      <c r="G62" s="628">
        <v>0</v>
      </c>
      <c r="H62" s="628">
        <v>0</v>
      </c>
    </row>
    <row r="63" spans="1:10">
      <c r="A63" s="538" t="s">
        <v>2527</v>
      </c>
      <c r="C63" s="628">
        <v>0</v>
      </c>
      <c r="D63" s="628">
        <v>0</v>
      </c>
      <c r="E63" s="628">
        <v>0</v>
      </c>
      <c r="F63" s="628">
        <v>0</v>
      </c>
      <c r="G63" s="628">
        <v>0</v>
      </c>
      <c r="H63" s="628" t="e">
        <f>O33</f>
        <v>#VALUE!</v>
      </c>
    </row>
    <row r="64" spans="1:10">
      <c r="A64" s="538" t="s">
        <v>2500</v>
      </c>
      <c r="C64" s="628" t="e">
        <f t="shared" ref="C64:H64" si="19">SUM(C60:C63)</f>
        <v>#VALUE!</v>
      </c>
      <c r="D64" s="628" t="e">
        <f t="shared" si="19"/>
        <v>#VALUE!</v>
      </c>
      <c r="E64" s="628" t="e">
        <f t="shared" si="19"/>
        <v>#VALUE!</v>
      </c>
      <c r="F64" s="628" t="e">
        <f t="shared" si="19"/>
        <v>#VALUE!</v>
      </c>
      <c r="G64" s="628" t="e">
        <f t="shared" si="19"/>
        <v>#VALUE!</v>
      </c>
      <c r="H64" s="628" t="e">
        <f t="shared" si="19"/>
        <v>#VALUE!</v>
      </c>
    </row>
    <row r="66" spans="1:10" ht="15">
      <c r="A66" s="1488"/>
      <c r="B66" s="1489"/>
      <c r="C66" s="1489"/>
      <c r="D66" s="1489"/>
      <c r="E66" s="1489"/>
      <c r="F66" s="1490" t="s">
        <v>2533</v>
      </c>
      <c r="G66" s="2181" t="e">
        <f>IRR(K5:K25)</f>
        <v>#VALUE!</v>
      </c>
      <c r="H66" s="2182"/>
      <c r="I66" s="641"/>
      <c r="J66" s="641"/>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Normal="100" workbookViewId="0">
      <selection activeCell="A4" sqref="A1:XFD1048576"/>
    </sheetView>
  </sheetViews>
  <sheetFormatPr defaultColWidth="9.140625" defaultRowHeight="12.75"/>
  <cols>
    <col min="1" max="1" width="3.28515625" style="221" customWidth="1"/>
    <col min="2" max="2" width="2.28515625" style="238" customWidth="1"/>
    <col min="3" max="16" width="8.85546875" style="221" customWidth="1"/>
    <col min="17" max="16384" width="9.140625" style="221"/>
  </cols>
  <sheetData>
    <row r="1" spans="1:16" s="204" customFormat="1" ht="13.9" customHeight="1">
      <c r="A1" s="1582" t="str">
        <f>CONCATENATE("PART ONE - PROJECT INFORMATION"," - ",$O$6," ",$F$34,", ",'Part I-Project Information'!F38,", ",'Part I-Project Information'!J39," County")</f>
        <v>PART ONE - PROJECT INFORMATION - 2018-008 Mill at Stone Valley, Ball Ground, Cherokee County</v>
      </c>
      <c r="B1" s="1583"/>
      <c r="C1" s="1583"/>
      <c r="D1" s="1583"/>
      <c r="E1" s="1583"/>
      <c r="F1" s="1583"/>
      <c r="G1" s="1583"/>
      <c r="H1" s="1583"/>
      <c r="I1" s="1583"/>
      <c r="J1" s="1583"/>
      <c r="K1" s="1583"/>
      <c r="L1" s="1583"/>
      <c r="M1" s="1583"/>
      <c r="N1" s="1583"/>
      <c r="O1" s="1583"/>
      <c r="P1" s="1584"/>
    </row>
    <row r="2" spans="1:16" s="204" customFormat="1" ht="6" customHeight="1">
      <c r="A2" s="751"/>
      <c r="B2" s="751"/>
      <c r="C2" s="751"/>
      <c r="D2" s="751"/>
      <c r="E2" s="751"/>
      <c r="F2" s="751"/>
      <c r="G2" s="751"/>
      <c r="H2" s="751"/>
      <c r="I2" s="751"/>
      <c r="J2" s="751"/>
      <c r="K2" s="751"/>
      <c r="L2" s="751"/>
      <c r="M2" s="751"/>
      <c r="N2" s="751"/>
      <c r="O2" s="751"/>
      <c r="P2" s="751"/>
    </row>
    <row r="3" spans="1:16" s="204" customFormat="1" ht="37.5" customHeight="1">
      <c r="A3" s="1589" t="s">
        <v>2</v>
      </c>
      <c r="B3" s="1589"/>
      <c r="C3" s="1589"/>
      <c r="D3" s="1589"/>
      <c r="E3" s="1589"/>
      <c r="F3" s="1589"/>
      <c r="G3" s="1589"/>
      <c r="H3" s="1589"/>
      <c r="I3" s="1589"/>
      <c r="J3" s="1589"/>
      <c r="K3" s="1589"/>
      <c r="L3" s="1589"/>
      <c r="M3" s="1589"/>
      <c r="N3" s="1589"/>
      <c r="O3" s="1589"/>
      <c r="P3" s="1589"/>
    </row>
    <row r="4" spans="1:16" s="204" customFormat="1" ht="6" customHeight="1">
      <c r="A4" s="751"/>
      <c r="B4" s="751"/>
      <c r="C4" s="751"/>
      <c r="D4" s="751"/>
      <c r="E4" s="751"/>
      <c r="F4" s="751"/>
      <c r="G4" s="751"/>
      <c r="H4" s="751"/>
      <c r="I4" s="751"/>
      <c r="J4" s="751"/>
      <c r="K4" s="751"/>
      <c r="L4" s="751"/>
      <c r="M4" s="751"/>
      <c r="N4" s="751"/>
      <c r="O4" s="751"/>
      <c r="P4" s="751"/>
    </row>
    <row r="5" spans="1:16" s="204" customFormat="1" ht="12" customHeight="1" thickBot="1">
      <c r="B5" s="180" t="s">
        <v>3</v>
      </c>
      <c r="F5" s="1371"/>
      <c r="G5" s="182" t="s">
        <v>4</v>
      </c>
      <c r="L5" s="751"/>
      <c r="P5" s="967" t="s">
        <v>5</v>
      </c>
    </row>
    <row r="6" spans="1:16" s="204" customFormat="1" ht="12" customHeight="1" thickBot="1">
      <c r="B6" s="1591" t="s">
        <v>6</v>
      </c>
      <c r="C6" s="1591"/>
      <c r="D6" s="1591"/>
      <c r="E6" s="1181"/>
      <c r="F6" s="1372"/>
      <c r="G6" s="182" t="s">
        <v>7</v>
      </c>
      <c r="H6" s="1511"/>
      <c r="I6" s="1511"/>
      <c r="J6" s="1511"/>
      <c r="O6" s="2941" t="s">
        <v>4738</v>
      </c>
      <c r="P6" s="2942"/>
    </row>
    <row r="7" spans="1:16" s="204" customFormat="1" ht="12" customHeight="1">
      <c r="B7" s="1591"/>
      <c r="C7" s="1591"/>
      <c r="D7" s="1591"/>
      <c r="E7" s="1181"/>
      <c r="F7" s="1373"/>
      <c r="G7" s="124" t="s">
        <v>8</v>
      </c>
      <c r="H7" s="1511"/>
      <c r="I7" s="1511"/>
      <c r="J7" s="1511"/>
    </row>
    <row r="8" spans="1:16" s="204" customFormat="1" ht="6" customHeight="1">
      <c r="A8" s="379"/>
      <c r="B8" s="205"/>
      <c r="C8" s="205"/>
      <c r="D8" s="205"/>
      <c r="E8" s="1511"/>
      <c r="H8" s="1511"/>
      <c r="I8" s="1511"/>
      <c r="M8" s="1511"/>
    </row>
    <row r="9" spans="1:16" s="204" customFormat="1" ht="13.15" customHeight="1">
      <c r="A9" s="205" t="s">
        <v>9</v>
      </c>
      <c r="B9" s="205" t="s">
        <v>10</v>
      </c>
      <c r="D9" s="183"/>
      <c r="E9" s="206"/>
      <c r="F9" s="207" t="s">
        <v>11</v>
      </c>
      <c r="I9" s="1585">
        <f>'Part IV-A-Uses of Funds'!$J$175</f>
        <v>850000</v>
      </c>
      <c r="J9" s="1586"/>
      <c r="L9" s="204" t="s">
        <v>12</v>
      </c>
      <c r="O9" s="1587">
        <f>'Part III-Sources of Funds'!$E$11</f>
        <v>0</v>
      </c>
      <c r="P9" s="1588"/>
    </row>
    <row r="10" spans="1:16" s="204" customFormat="1" ht="6" customHeight="1">
      <c r="A10" s="205"/>
      <c r="B10" s="205"/>
      <c r="D10" s="183"/>
      <c r="E10" s="206"/>
      <c r="F10" s="206"/>
      <c r="I10" s="208"/>
      <c r="N10" s="209"/>
    </row>
    <row r="11" spans="1:16" s="204" customFormat="1" ht="13.15" customHeight="1">
      <c r="A11" s="208" t="s">
        <v>13</v>
      </c>
      <c r="B11" s="205" t="s">
        <v>14</v>
      </c>
      <c r="F11" s="2943" t="s">
        <v>15</v>
      </c>
      <c r="G11" s="2944"/>
      <c r="H11" s="2945"/>
      <c r="I11" s="2946" t="s">
        <v>16</v>
      </c>
      <c r="J11" s="400" t="s">
        <v>17</v>
      </c>
      <c r="K11" s="213"/>
      <c r="L11" s="1511"/>
      <c r="O11" s="2781" t="s">
        <v>18</v>
      </c>
      <c r="P11" s="2782"/>
    </row>
    <row r="12" spans="1:16" s="204" customFormat="1" ht="12.75" customHeight="1">
      <c r="A12" s="379"/>
      <c r="B12" s="1590" t="s">
        <v>19</v>
      </c>
      <c r="C12" s="1590"/>
      <c r="D12" s="1590"/>
      <c r="H12" s="1511"/>
      <c r="J12" s="401" t="s">
        <v>20</v>
      </c>
      <c r="K12" s="180"/>
      <c r="M12" s="1511"/>
      <c r="O12" s="2947" t="s">
        <v>21</v>
      </c>
      <c r="P12" s="2948"/>
    </row>
    <row r="13" spans="1:16" s="204" customFormat="1" ht="3" customHeight="1">
      <c r="A13" s="379"/>
      <c r="B13" s="1590"/>
      <c r="C13" s="1590"/>
      <c r="D13" s="1590"/>
      <c r="H13" s="1511"/>
      <c r="J13" s="401"/>
      <c r="K13" s="180"/>
      <c r="M13" s="1511"/>
    </row>
    <row r="14" spans="1:16" s="204" customFormat="1" ht="12.75" customHeight="1">
      <c r="A14" s="379"/>
      <c r="B14" s="1590"/>
      <c r="C14" s="1590"/>
      <c r="D14" s="1590"/>
      <c r="F14" s="2949" t="s">
        <v>22</v>
      </c>
      <c r="G14" s="1499" t="s">
        <v>23</v>
      </c>
    </row>
    <row r="15" spans="1:16" s="204" customFormat="1" ht="12.75" customHeight="1">
      <c r="A15" s="379"/>
      <c r="B15" s="204" t="s">
        <v>24</v>
      </c>
      <c r="D15" s="213"/>
      <c r="F15" s="2898" t="s">
        <v>25</v>
      </c>
      <c r="G15" s="2899"/>
      <c r="H15" s="2899"/>
      <c r="I15" s="2899"/>
      <c r="J15" s="2899"/>
      <c r="K15" s="2900"/>
      <c r="L15" s="204" t="s">
        <v>26</v>
      </c>
      <c r="O15" s="2886" t="s">
        <v>27</v>
      </c>
      <c r="P15" s="2908"/>
    </row>
    <row r="16" spans="1:16" s="204" customFormat="1" ht="12.75" customHeight="1">
      <c r="A16" s="379"/>
      <c r="B16" s="204" t="s">
        <v>28</v>
      </c>
      <c r="F16" s="2949" t="s">
        <v>21</v>
      </c>
      <c r="G16" s="204" t="s">
        <v>29</v>
      </c>
      <c r="H16" s="1511"/>
      <c r="I16" s="124"/>
      <c r="J16" s="401"/>
      <c r="M16" s="2950" t="s">
        <v>30</v>
      </c>
      <c r="N16" s="2951"/>
      <c r="O16" s="2951"/>
      <c r="P16" s="2952"/>
    </row>
    <row r="17" spans="1:16" s="204" customFormat="1" ht="6" customHeight="1">
      <c r="I17" s="183"/>
      <c r="J17" s="183"/>
      <c r="K17" s="183"/>
      <c r="L17" s="183"/>
      <c r="M17" s="183"/>
      <c r="N17" s="183"/>
      <c r="O17" s="183"/>
      <c r="P17" s="183"/>
    </row>
    <row r="18" spans="1:16" s="204" customFormat="1" ht="13.15" customHeight="1">
      <c r="A18" s="208" t="s">
        <v>31</v>
      </c>
      <c r="B18" s="205" t="s">
        <v>32</v>
      </c>
      <c r="D18" s="207"/>
      <c r="E18" s="206"/>
      <c r="G18" s="210"/>
      <c r="H18" s="210"/>
      <c r="I18" s="210"/>
      <c r="L18" s="209"/>
    </row>
    <row r="19" spans="1:16" s="204" customFormat="1" ht="1.5" customHeight="1">
      <c r="A19" s="208"/>
      <c r="B19" s="206"/>
      <c r="C19" s="205"/>
      <c r="D19" s="207"/>
      <c r="E19" s="206"/>
      <c r="G19" s="210"/>
      <c r="H19" s="210"/>
      <c r="I19" s="210"/>
      <c r="K19" s="209"/>
      <c r="L19" s="209"/>
      <c r="O19" s="751"/>
    </row>
    <row r="20" spans="1:16" s="204" customFormat="1" ht="13.15" customHeight="1">
      <c r="B20" s="204" t="s">
        <v>33</v>
      </c>
      <c r="F20" s="2953" t="s">
        <v>34</v>
      </c>
      <c r="G20" s="2954"/>
      <c r="H20" s="2955"/>
      <c r="I20" s="204" t="s">
        <v>35</v>
      </c>
      <c r="J20" s="2953" t="s">
        <v>36</v>
      </c>
      <c r="K20" s="2954"/>
      <c r="L20" s="2955"/>
      <c r="M20" s="232" t="s">
        <v>37</v>
      </c>
      <c r="N20" s="2886" t="s">
        <v>38</v>
      </c>
      <c r="O20" s="2907"/>
      <c r="P20" s="2908"/>
    </row>
    <row r="21" spans="1:16" s="204" customFormat="1" ht="13.15" customHeight="1">
      <c r="B21" s="207" t="s">
        <v>39</v>
      </c>
      <c r="F21" s="2956" t="s">
        <v>40</v>
      </c>
      <c r="G21" s="2957"/>
      <c r="H21" s="2957"/>
      <c r="I21" s="2958"/>
      <c r="J21" s="2957"/>
      <c r="K21" s="2958"/>
      <c r="L21" s="2959"/>
      <c r="M21" s="1580" t="s">
        <v>41</v>
      </c>
      <c r="N21" s="1581"/>
      <c r="O21" s="1581"/>
      <c r="P21" s="1581"/>
    </row>
    <row r="22" spans="1:16" s="204" customFormat="1" ht="13.15" customHeight="1">
      <c r="B22" s="207" t="s">
        <v>42</v>
      </c>
      <c r="F22" s="2956" t="s">
        <v>43</v>
      </c>
      <c r="G22" s="2957"/>
      <c r="H22" s="2960"/>
      <c r="I22" s="207" t="s">
        <v>44</v>
      </c>
      <c r="J22" s="2961" t="s">
        <v>45</v>
      </c>
      <c r="M22" s="1580"/>
      <c r="N22" s="1580"/>
      <c r="O22" s="1580"/>
      <c r="P22" s="1580"/>
    </row>
    <row r="23" spans="1:16" s="204" customFormat="1" ht="13.15" customHeight="1">
      <c r="B23" s="1499" t="s">
        <v>46</v>
      </c>
      <c r="F23" s="2962">
        <v>316015526</v>
      </c>
      <c r="G23" s="2963"/>
      <c r="H23" s="2964"/>
      <c r="I23" s="207" t="s">
        <v>47</v>
      </c>
      <c r="J23" s="2965">
        <v>2292427759</v>
      </c>
      <c r="K23" s="2966"/>
      <c r="L23" s="1501" t="s">
        <v>48</v>
      </c>
      <c r="M23" s="2814">
        <v>2232</v>
      </c>
      <c r="N23" s="1499" t="s">
        <v>49</v>
      </c>
      <c r="O23" s="2967">
        <v>2293162232</v>
      </c>
      <c r="P23" s="2966"/>
    </row>
    <row r="24" spans="1:16" s="204" customFormat="1" ht="13.15" customHeight="1">
      <c r="B24" s="1499" t="s">
        <v>50</v>
      </c>
      <c r="F24" s="2968" t="s">
        <v>51</v>
      </c>
      <c r="G24" s="2969"/>
      <c r="H24" s="2969"/>
      <c r="I24" s="2907"/>
      <c r="J24" s="2969"/>
      <c r="K24" s="2970"/>
      <c r="N24" s="1499" t="s">
        <v>52</v>
      </c>
      <c r="O24" s="2971">
        <v>2295615959</v>
      </c>
      <c r="P24" s="2972"/>
    </row>
    <row r="25" spans="1:16" s="204" customFormat="1" ht="13.5" customHeight="1">
      <c r="A25" s="379"/>
      <c r="B25" s="205" t="s">
        <v>53</v>
      </c>
      <c r="C25" s="211"/>
      <c r="D25" s="1510"/>
      <c r="E25" s="1510"/>
      <c r="F25" s="1510"/>
      <c r="H25" s="1511"/>
      <c r="I25" s="1510"/>
      <c r="J25" s="211"/>
      <c r="K25" s="1510"/>
      <c r="P25" s="212"/>
    </row>
    <row r="26" spans="1:16" s="204" customFormat="1" ht="13.15" customHeight="1">
      <c r="B26" s="204" t="s">
        <v>33</v>
      </c>
      <c r="F26" s="2953" t="s">
        <v>34</v>
      </c>
      <c r="G26" s="2954"/>
      <c r="H26" s="2955"/>
      <c r="I26" s="204" t="s">
        <v>35</v>
      </c>
      <c r="J26" s="2953" t="s">
        <v>54</v>
      </c>
      <c r="K26" s="2954"/>
      <c r="L26" s="2955"/>
      <c r="M26" s="232" t="s">
        <v>37</v>
      </c>
      <c r="N26" s="2886" t="s">
        <v>55</v>
      </c>
      <c r="O26" s="2907"/>
      <c r="P26" s="2908"/>
    </row>
    <row r="27" spans="1:16" s="204" customFormat="1" ht="13.15" customHeight="1">
      <c r="B27" s="207" t="s">
        <v>39</v>
      </c>
      <c r="F27" s="2956" t="s">
        <v>40</v>
      </c>
      <c r="G27" s="2957"/>
      <c r="H27" s="2957"/>
      <c r="I27" s="2958"/>
      <c r="J27" s="2957"/>
      <c r="K27" s="2958"/>
      <c r="L27" s="2959"/>
      <c r="M27" s="1580" t="s">
        <v>41</v>
      </c>
      <c r="N27" s="1581"/>
      <c r="O27" s="1581"/>
      <c r="P27" s="1581"/>
    </row>
    <row r="28" spans="1:16" s="204" customFormat="1" ht="13.15" customHeight="1">
      <c r="B28" s="207" t="s">
        <v>42</v>
      </c>
      <c r="F28" s="2956" t="s">
        <v>43</v>
      </c>
      <c r="G28" s="2957"/>
      <c r="H28" s="2960"/>
      <c r="I28" s="207" t="s">
        <v>44</v>
      </c>
      <c r="J28" s="2961" t="s">
        <v>45</v>
      </c>
      <c r="M28" s="1580"/>
      <c r="N28" s="1580"/>
      <c r="O28" s="1580"/>
      <c r="P28" s="1580"/>
    </row>
    <row r="29" spans="1:16" s="204" customFormat="1" ht="13.15" customHeight="1">
      <c r="B29" s="1499" t="s">
        <v>46</v>
      </c>
      <c r="F29" s="2962">
        <v>316015526</v>
      </c>
      <c r="G29" s="2963"/>
      <c r="H29" s="2964"/>
      <c r="I29" s="207" t="s">
        <v>47</v>
      </c>
      <c r="J29" s="2965">
        <v>2292427759</v>
      </c>
      <c r="K29" s="2966"/>
      <c r="L29" s="1501" t="s">
        <v>48</v>
      </c>
      <c r="M29" s="2814">
        <v>2212</v>
      </c>
      <c r="N29" s="1499" t="s">
        <v>49</v>
      </c>
      <c r="O29" s="2967">
        <v>2293162212</v>
      </c>
      <c r="P29" s="2966"/>
    </row>
    <row r="30" spans="1:16" s="204" customFormat="1" ht="13.15" customHeight="1">
      <c r="B30" s="1499" t="s">
        <v>50</v>
      </c>
      <c r="F30" s="2968" t="s">
        <v>56</v>
      </c>
      <c r="G30" s="2969"/>
      <c r="H30" s="2969"/>
      <c r="I30" s="2907"/>
      <c r="J30" s="2969"/>
      <c r="K30" s="2970"/>
      <c r="N30" s="1499" t="s">
        <v>52</v>
      </c>
      <c r="O30" s="2971">
        <v>8503401334</v>
      </c>
      <c r="P30" s="2972"/>
    </row>
    <row r="31" spans="1:16" s="204" customFormat="1" ht="6" customHeight="1">
      <c r="A31" s="379"/>
      <c r="B31" s="379"/>
      <c r="C31" s="211"/>
      <c r="D31" s="1510"/>
      <c r="E31" s="1510"/>
      <c r="F31" s="1510"/>
      <c r="H31" s="1511"/>
      <c r="I31" s="1510"/>
      <c r="J31" s="211"/>
      <c r="K31" s="1510"/>
      <c r="P31" s="212"/>
    </row>
    <row r="32" spans="1:16" s="204" customFormat="1" ht="13.15" customHeight="1">
      <c r="A32" s="208" t="s">
        <v>57</v>
      </c>
      <c r="B32" s="205" t="s">
        <v>58</v>
      </c>
      <c r="D32" s="183"/>
      <c r="E32" s="206"/>
      <c r="F32" s="206"/>
      <c r="G32" s="207"/>
      <c r="H32" s="206"/>
      <c r="I32" s="206"/>
      <c r="J32" s="210"/>
      <c r="L32" s="209"/>
      <c r="M32" s="209"/>
    </row>
    <row r="33" spans="1:16" s="204" customFormat="1" ht="1.5" customHeight="1">
      <c r="A33" s="208"/>
      <c r="B33" s="205"/>
      <c r="D33" s="183"/>
      <c r="E33" s="206"/>
      <c r="F33" s="206"/>
      <c r="G33" s="207"/>
      <c r="H33" s="206"/>
      <c r="I33" s="206"/>
      <c r="J33" s="210"/>
      <c r="L33" s="209"/>
    </row>
    <row r="34" spans="1:16" s="204" customFormat="1" ht="13.15" customHeight="1">
      <c r="A34" s="205"/>
      <c r="B34" s="204" t="s">
        <v>59</v>
      </c>
      <c r="D34" s="213"/>
      <c r="F34" s="2973" t="s">
        <v>25</v>
      </c>
      <c r="G34" s="2974"/>
      <c r="H34" s="2974"/>
      <c r="I34" s="2974"/>
      <c r="J34" s="2974"/>
      <c r="K34" s="2975"/>
      <c r="L34" s="1499" t="s">
        <v>60</v>
      </c>
      <c r="O34" s="2953" t="s">
        <v>21</v>
      </c>
      <c r="P34" s="2955"/>
    </row>
    <row r="35" spans="1:16" s="204" customFormat="1" ht="13.15" customHeight="1">
      <c r="A35" s="214"/>
      <c r="B35" s="204" t="s">
        <v>61</v>
      </c>
      <c r="D35" s="215"/>
      <c r="F35" s="2976" t="s">
        <v>62</v>
      </c>
      <c r="G35" s="2977"/>
      <c r="H35" s="2977"/>
      <c r="I35" s="2977"/>
      <c r="J35" s="2977"/>
      <c r="K35" s="2978"/>
      <c r="L35" s="204" t="s">
        <v>63</v>
      </c>
      <c r="O35" s="2979" t="s">
        <v>64</v>
      </c>
      <c r="P35" s="2960"/>
    </row>
    <row r="36" spans="1:16" s="204" customFormat="1" ht="13.15" customHeight="1">
      <c r="A36" s="214"/>
      <c r="B36" s="204" t="s">
        <v>65</v>
      </c>
      <c r="D36" s="215"/>
      <c r="F36" s="2979" t="s">
        <v>66</v>
      </c>
      <c r="G36" s="2957"/>
      <c r="H36" s="2957"/>
      <c r="I36" s="2958"/>
      <c r="J36" s="2957"/>
      <c r="K36" s="2960"/>
      <c r="L36" s="1499" t="s">
        <v>67</v>
      </c>
      <c r="N36" s="2814" t="s">
        <v>21</v>
      </c>
      <c r="O36" s="1511" t="s">
        <v>68</v>
      </c>
      <c r="P36" s="2799" t="s">
        <v>64</v>
      </c>
    </row>
    <row r="37" spans="1:16" s="204" customFormat="1" ht="13.15" customHeight="1">
      <c r="A37" s="214"/>
      <c r="B37" s="204" t="s">
        <v>69</v>
      </c>
      <c r="D37" s="215"/>
      <c r="F37" s="204" t="s">
        <v>70</v>
      </c>
      <c r="G37" s="2980">
        <v>34.329286000000003</v>
      </c>
      <c r="H37" s="2981"/>
      <c r="I37" s="1501" t="s">
        <v>71</v>
      </c>
      <c r="J37" s="2980">
        <v>-84.386528999999996</v>
      </c>
      <c r="K37" s="2981"/>
      <c r="L37" s="1499" t="s">
        <v>72</v>
      </c>
      <c r="O37" s="2982">
        <v>7.54</v>
      </c>
      <c r="P37" s="2983"/>
    </row>
    <row r="38" spans="1:16" s="204" customFormat="1" ht="13.15" customHeight="1">
      <c r="A38" s="379"/>
      <c r="B38" s="204" t="s">
        <v>42</v>
      </c>
      <c r="F38" s="2953" t="s">
        <v>73</v>
      </c>
      <c r="G38" s="2984"/>
      <c r="H38" s="2985"/>
      <c r="I38" s="219" t="s">
        <v>74</v>
      </c>
      <c r="J38" s="2962">
        <v>301070000</v>
      </c>
      <c r="K38" s="2964"/>
      <c r="L38" s="271" t="str">
        <f>IF(AND(NOT(F34=""),NOT(F38="Select from list"),J38=""),"Enter Zip!","")</f>
        <v/>
      </c>
      <c r="M38" s="217" t="s">
        <v>75</v>
      </c>
      <c r="O38" s="2986" t="s">
        <v>76</v>
      </c>
      <c r="P38" s="2987"/>
    </row>
    <row r="39" spans="1:16" s="204" customFormat="1" ht="13.15" customHeight="1">
      <c r="A39" s="379"/>
      <c r="B39" s="1510" t="s">
        <v>77</v>
      </c>
      <c r="D39" s="1510"/>
      <c r="F39" s="2979" t="s">
        <v>78</v>
      </c>
      <c r="G39" s="2958"/>
      <c r="H39" s="2959"/>
      <c r="I39" s="216" t="s">
        <v>79</v>
      </c>
      <c r="J39" s="2988" t="str">
        <f>IF($F$38="","",VLOOKUP($F$38,'DCA Underwriting Assumptions'!$T$155:$U$785,2,FALSE))</f>
        <v>Cherokee</v>
      </c>
      <c r="K39" s="2989"/>
      <c r="M39" s="1499" t="s">
        <v>80</v>
      </c>
      <c r="N39" s="2990" t="s">
        <v>21</v>
      </c>
      <c r="O39" s="1511" t="s">
        <v>81</v>
      </c>
      <c r="P39" s="2991" t="s">
        <v>21</v>
      </c>
    </row>
    <row r="40" spans="1:16" s="204" customFormat="1" ht="13.15" customHeight="1">
      <c r="A40" s="379"/>
      <c r="B40" s="205"/>
      <c r="C40" s="204" t="s">
        <v>82</v>
      </c>
      <c r="F40" s="2992" t="s">
        <v>22</v>
      </c>
      <c r="G40" s="1576" t="s">
        <v>83</v>
      </c>
      <c r="H40" s="1577"/>
      <c r="I40" s="1374" t="str">
        <f>IF($J$39="","",IF(VLOOKUP($J$39,'DCA Underwriting Assumptions'!G155:M314,7,FALSE)="Rural","Yes",IF(VLOOKUP($J$39,'DCA Underwriting Assumptions'!G155:M314,7,FALSE)="Urban","No","")))</f>
        <v>No</v>
      </c>
      <c r="J40" s="1501" t="s">
        <v>84</v>
      </c>
      <c r="K40" s="1501" t="str">
        <f>IF(OR(F40="Yes",I40="Yes"),"Rural","Urban")</f>
        <v>Rural</v>
      </c>
      <c r="M40" s="1499" t="s">
        <v>85</v>
      </c>
      <c r="N40" s="317" t="str">
        <f>VLOOKUP($J$39,'DCA Underwriting Assumptions'!$G$155:$J$314,4)</f>
        <v>MSA</v>
      </c>
      <c r="O40" s="2993" t="str">
        <f>IF($F$38="","",VLOOKUP($J$39,'DCA Underwriting Assumptions'!$G$155:$L$314,3,FALSE))</f>
        <v>Atlanta-Sandy Springs-Marietta</v>
      </c>
      <c r="P40" s="2994"/>
    </row>
    <row r="41" spans="1:16" s="204" customFormat="1" ht="6" customHeight="1">
      <c r="A41" s="379"/>
      <c r="B41" s="205"/>
      <c r="C41" s="205"/>
      <c r="I41" s="207"/>
      <c r="J41" s="1510"/>
      <c r="L41" s="1520"/>
      <c r="M41" s="1520"/>
      <c r="N41" s="1520"/>
      <c r="O41" s="1520"/>
      <c r="P41" s="1520"/>
    </row>
    <row r="42" spans="1:16" s="204" customFormat="1" ht="13.15" customHeight="1">
      <c r="A42" s="379"/>
      <c r="C42" s="204" t="s">
        <v>86</v>
      </c>
      <c r="F42" s="1578" t="s">
        <v>87</v>
      </c>
      <c r="G42" s="1578"/>
      <c r="H42" s="1579" t="s">
        <v>88</v>
      </c>
      <c r="I42" s="1579"/>
      <c r="J42" s="1579" t="s">
        <v>89</v>
      </c>
      <c r="K42" s="1579"/>
      <c r="L42" s="397" t="s">
        <v>90</v>
      </c>
    </row>
    <row r="43" spans="1:16" s="204" customFormat="1" ht="13.15" customHeight="1">
      <c r="A43" s="379"/>
      <c r="B43" s="204" t="s">
        <v>91</v>
      </c>
      <c r="D43" s="205"/>
      <c r="F43" s="2995">
        <v>11</v>
      </c>
      <c r="G43" s="2996"/>
      <c r="H43" s="2995">
        <v>21</v>
      </c>
      <c r="I43" s="2996"/>
      <c r="J43" s="2995">
        <v>22</v>
      </c>
      <c r="K43" s="2996"/>
      <c r="L43" s="393" t="s">
        <v>92</v>
      </c>
      <c r="N43" s="1574" t="s">
        <v>93</v>
      </c>
      <c r="O43" s="1574"/>
      <c r="P43" s="1574"/>
    </row>
    <row r="44" spans="1:16" s="204" customFormat="1" ht="12.75" customHeight="1">
      <c r="A44" s="379"/>
      <c r="B44" s="207" t="s">
        <v>94</v>
      </c>
      <c r="F44" s="2997"/>
      <c r="G44" s="2998"/>
      <c r="H44" s="2997"/>
      <c r="I44" s="2998"/>
      <c r="J44" s="2997"/>
      <c r="K44" s="2998"/>
      <c r="L44" s="393" t="s">
        <v>95</v>
      </c>
      <c r="N44" s="1575" t="s">
        <v>96</v>
      </c>
      <c r="O44" s="1575"/>
    </row>
    <row r="45" spans="1:16" s="204" customFormat="1" ht="3" customHeight="1">
      <c r="A45" s="379"/>
      <c r="I45" s="1520"/>
      <c r="J45" s="1520"/>
      <c r="K45" s="1520"/>
      <c r="L45" s="1510"/>
      <c r="M45" s="1510"/>
      <c r="N45" s="1510"/>
      <c r="O45" s="1510"/>
      <c r="P45" s="1510"/>
    </row>
    <row r="46" spans="1:16" s="204" customFormat="1" ht="13.15" customHeight="1">
      <c r="A46" s="379"/>
      <c r="B46" s="205" t="s">
        <v>97</v>
      </c>
      <c r="F46" s="2999" t="s">
        <v>98</v>
      </c>
      <c r="G46" s="3000"/>
      <c r="H46" s="3000"/>
      <c r="I46" s="3001"/>
      <c r="J46" s="3000"/>
      <c r="K46" s="3002"/>
      <c r="L46" s="750" t="s">
        <v>99</v>
      </c>
      <c r="M46" s="2886" t="s">
        <v>100</v>
      </c>
      <c r="N46" s="2907"/>
      <c r="O46" s="2907"/>
      <c r="P46" s="2908"/>
    </row>
    <row r="47" spans="1:16" s="204" customFormat="1" ht="13.15" customHeight="1">
      <c r="A47" s="379"/>
      <c r="B47" s="204" t="s">
        <v>101</v>
      </c>
      <c r="F47" s="3003" t="s">
        <v>102</v>
      </c>
      <c r="G47" s="3004"/>
      <c r="H47" s="3005"/>
      <c r="I47" s="1502" t="s">
        <v>37</v>
      </c>
      <c r="J47" s="2976" t="s">
        <v>103</v>
      </c>
      <c r="K47" s="2978"/>
      <c r="L47" s="750"/>
    </row>
    <row r="48" spans="1:16" s="204" customFormat="1" ht="13.15" customHeight="1">
      <c r="A48" s="379"/>
      <c r="B48" s="204" t="s">
        <v>39</v>
      </c>
      <c r="F48" s="3006" t="s">
        <v>104</v>
      </c>
      <c r="G48" s="3007"/>
      <c r="H48" s="3008"/>
      <c r="I48" s="3000"/>
      <c r="J48" s="3007"/>
      <c r="K48" s="3009"/>
      <c r="L48" s="233" t="s">
        <v>42</v>
      </c>
      <c r="M48" s="3010" t="s">
        <v>73</v>
      </c>
      <c r="N48" s="3011"/>
      <c r="O48" s="3011"/>
      <c r="P48" s="3012"/>
    </row>
    <row r="49" spans="1:19" s="204" customFormat="1" ht="13.15" customHeight="1">
      <c r="A49" s="379"/>
      <c r="B49" s="1499" t="s">
        <v>46</v>
      </c>
      <c r="F49" s="3013">
        <v>301074049</v>
      </c>
      <c r="G49" s="3014"/>
      <c r="H49" s="1501" t="s">
        <v>105</v>
      </c>
      <c r="I49" s="3015">
        <v>7707352123</v>
      </c>
      <c r="J49" s="3016"/>
      <c r="K49" s="3017"/>
      <c r="L49" s="207" t="s">
        <v>106</v>
      </c>
      <c r="M49" s="3018" t="s">
        <v>107</v>
      </c>
      <c r="N49" s="3019"/>
      <c r="O49" s="3019"/>
      <c r="P49" s="3020"/>
    </row>
    <row r="50" spans="1:19" s="204" customFormat="1" ht="6" customHeight="1">
      <c r="A50" s="379"/>
      <c r="B50" s="379"/>
      <c r="C50" s="218"/>
      <c r="D50" s="219"/>
      <c r="E50" s="219"/>
      <c r="F50" s="1511"/>
      <c r="G50" s="1511"/>
      <c r="H50" s="1511"/>
      <c r="I50" s="1511"/>
      <c r="J50" s="219"/>
      <c r="K50" s="1511"/>
      <c r="L50" s="1511"/>
      <c r="N50" s="1510"/>
      <c r="O50" s="1510"/>
      <c r="P50" s="212"/>
    </row>
    <row r="51" spans="1:19" s="204" customFormat="1" ht="6" customHeight="1">
      <c r="A51" s="379"/>
      <c r="B51" s="379"/>
      <c r="C51" s="218"/>
      <c r="D51" s="219"/>
      <c r="E51" s="219"/>
      <c r="F51" s="1511"/>
      <c r="G51" s="1511"/>
      <c r="H51" s="1511"/>
      <c r="I51" s="1511"/>
      <c r="J51" s="219"/>
      <c r="K51" s="1511"/>
      <c r="L51" s="1511"/>
      <c r="N51" s="1510"/>
      <c r="O51" s="1510"/>
      <c r="P51" s="212"/>
    </row>
    <row r="52" spans="1:19" s="204" customFormat="1" ht="12" customHeight="1">
      <c r="A52" s="208" t="s">
        <v>108</v>
      </c>
      <c r="B52" s="205" t="s">
        <v>109</v>
      </c>
      <c r="F52" s="220"/>
      <c r="I52" s="1499"/>
      <c r="J52" s="1510"/>
      <c r="K52" s="1510"/>
      <c r="L52" s="1510"/>
      <c r="M52" s="1510"/>
    </row>
    <row r="53" spans="1:19" s="204" customFormat="1" ht="1.5" customHeight="1">
      <c r="A53" s="379"/>
      <c r="B53" s="205"/>
      <c r="C53" s="205"/>
      <c r="I53" s="1499"/>
      <c r="J53" s="1510"/>
      <c r="K53" s="1510"/>
      <c r="L53" s="1510"/>
      <c r="M53" s="1510"/>
      <c r="N53" s="1510"/>
      <c r="O53" s="1510"/>
      <c r="P53" s="1510"/>
      <c r="Q53" s="1510"/>
    </row>
    <row r="54" spans="1:19" s="204" customFormat="1">
      <c r="A54" s="379"/>
      <c r="B54" s="379" t="s">
        <v>110</v>
      </c>
      <c r="C54" s="205" t="s">
        <v>111</v>
      </c>
      <c r="I54" s="1510"/>
      <c r="J54" s="1510"/>
      <c r="K54" s="394"/>
      <c r="L54" s="1510"/>
      <c r="M54" s="396"/>
      <c r="N54" s="396"/>
      <c r="O54" s="396"/>
      <c r="P54" s="396"/>
      <c r="Q54" s="1511"/>
    </row>
    <row r="55" spans="1:19" ht="13.15" customHeight="1">
      <c r="B55" s="379"/>
      <c r="C55" s="204" t="s">
        <v>112</v>
      </c>
      <c r="D55" s="204"/>
      <c r="E55" s="204"/>
      <c r="H55" s="957">
        <f>'Part VI-Revenues &amp; Expenses'!$O$74</f>
        <v>74</v>
      </c>
      <c r="K55" s="207" t="s">
        <v>113</v>
      </c>
      <c r="L55" s="204"/>
      <c r="M55" s="803" t="s">
        <v>114</v>
      </c>
      <c r="N55" s="1375">
        <f>'Part VI-Revenues &amp; Expenses'!$O$81</f>
        <v>0</v>
      </c>
      <c r="O55" s="804" t="s">
        <v>115</v>
      </c>
      <c r="P55" s="1375">
        <f>'Part VI-Revenues &amp; Expenses'!$O$82</f>
        <v>0</v>
      </c>
      <c r="Q55" s="1511"/>
    </row>
    <row r="56" spans="1:19" s="204" customFormat="1">
      <c r="A56" s="379"/>
      <c r="B56" s="379"/>
      <c r="C56" s="222" t="s">
        <v>116</v>
      </c>
      <c r="H56" s="958">
        <f>'Part VI-Revenues &amp; Expenses'!$O$80</f>
        <v>0</v>
      </c>
      <c r="K56" s="222" t="s">
        <v>117</v>
      </c>
      <c r="P56" s="1375">
        <f>'Part VI-Revenues &amp; Expenses'!$O$84</f>
        <v>0</v>
      </c>
    </row>
    <row r="57" spans="1:19" s="204" customFormat="1" ht="13.15" customHeight="1">
      <c r="B57" s="379"/>
      <c r="C57" s="207" t="s">
        <v>118</v>
      </c>
      <c r="D57" s="1510"/>
      <c r="H57" s="959">
        <f>'Part VI-Revenues &amp; Expenses'!$O$77</f>
        <v>0</v>
      </c>
      <c r="I57" s="380" t="s">
        <v>119</v>
      </c>
      <c r="K57" s="204" t="s">
        <v>120</v>
      </c>
      <c r="P57" s="3021"/>
      <c r="Q57" s="1511"/>
    </row>
    <row r="58" spans="1:19" s="204" customFormat="1" ht="3.6" customHeight="1">
      <c r="A58" s="379"/>
      <c r="P58" s="1510"/>
    </row>
    <row r="59" spans="1:19" s="204" customFormat="1">
      <c r="A59" s="379"/>
      <c r="B59" s="379" t="s">
        <v>121</v>
      </c>
      <c r="C59" s="205" t="s">
        <v>122</v>
      </c>
      <c r="H59" s="2814" t="s">
        <v>22</v>
      </c>
      <c r="K59" s="1510"/>
      <c r="L59" s="1510"/>
      <c r="M59" s="1510"/>
      <c r="N59" s="1510"/>
      <c r="O59" s="396"/>
      <c r="P59" s="394"/>
      <c r="Q59" s="1510"/>
    </row>
    <row r="60" spans="1:19" s="204" customFormat="1" ht="3" customHeight="1">
      <c r="A60" s="379"/>
      <c r="I60" s="1510"/>
      <c r="J60" s="394"/>
      <c r="K60" s="395"/>
      <c r="L60" s="394"/>
      <c r="M60" s="395"/>
      <c r="N60" s="395"/>
      <c r="O60" s="395"/>
      <c r="P60" s="395"/>
      <c r="Q60" s="1510"/>
    </row>
    <row r="61" spans="1:19" s="204" customFormat="1" ht="13.15" customHeight="1">
      <c r="A61" s="379"/>
      <c r="B61" s="214" t="s">
        <v>123</v>
      </c>
      <c r="C61" s="213" t="s">
        <v>124</v>
      </c>
      <c r="D61" s="1510"/>
      <c r="I61" s="1512" t="s">
        <v>125</v>
      </c>
      <c r="J61" s="214" t="s">
        <v>126</v>
      </c>
      <c r="K61" s="223" t="s">
        <v>127</v>
      </c>
      <c r="M61" s="1510"/>
      <c r="N61" s="1510"/>
      <c r="O61" s="1510"/>
      <c r="P61" s="1511"/>
      <c r="Q61" s="1511"/>
      <c r="R61" s="1511"/>
      <c r="S61" s="1510"/>
    </row>
    <row r="62" spans="1:19" s="204" customFormat="1" ht="13.15" customHeight="1">
      <c r="A62" s="379"/>
      <c r="B62" s="1500"/>
      <c r="C62" s="211" t="s">
        <v>128</v>
      </c>
      <c r="D62" s="1510"/>
      <c r="E62" s="1510"/>
      <c r="H62" s="1376">
        <f>SUM(H63:H64)</f>
        <v>63</v>
      </c>
      <c r="I62" s="1376">
        <f>SUM(I63:I64)</f>
        <v>0</v>
      </c>
      <c r="J62" s="379"/>
      <c r="K62" s="211" t="s">
        <v>129</v>
      </c>
      <c r="M62" s="1510"/>
      <c r="N62" s="1510"/>
      <c r="O62" s="1510"/>
      <c r="P62" s="721">
        <f>'Part VI-Revenues &amp; Expenses'!$O$115</f>
        <v>67398</v>
      </c>
    </row>
    <row r="63" spans="1:19" s="204" customFormat="1" ht="13.15" customHeight="1">
      <c r="A63" s="379"/>
      <c r="B63" s="221"/>
      <c r="D63" s="224" t="s">
        <v>130</v>
      </c>
      <c r="E63" s="1510"/>
      <c r="H63" s="721">
        <f>'Part VI-Revenues &amp; Expenses'!$O$57</f>
        <v>15</v>
      </c>
      <c r="I63" s="721">
        <f>'Part VI-Revenues &amp; Expenses'!$O$65</f>
        <v>0</v>
      </c>
      <c r="K63" s="211" t="s">
        <v>131</v>
      </c>
      <c r="M63" s="1510"/>
      <c r="N63" s="1510"/>
      <c r="O63" s="1510"/>
      <c r="P63" s="960">
        <f>'Part VI-Revenues &amp; Expenses'!$O$116</f>
        <v>10290</v>
      </c>
    </row>
    <row r="64" spans="1:19" s="204" customFormat="1" ht="13.15" customHeight="1">
      <c r="A64" s="379"/>
      <c r="D64" s="224" t="s">
        <v>132</v>
      </c>
      <c r="E64" s="224"/>
      <c r="H64" s="722">
        <f>'Part VI-Revenues &amp; Expenses'!$O$56</f>
        <v>48</v>
      </c>
      <c r="I64" s="722">
        <f>'Part VI-Revenues &amp; Expenses'!$O$64</f>
        <v>0</v>
      </c>
      <c r="K64" s="211" t="s">
        <v>133</v>
      </c>
      <c r="M64" s="1510"/>
      <c r="N64" s="1510"/>
      <c r="O64" s="1510"/>
      <c r="P64" s="721">
        <f>P62+P63</f>
        <v>77688</v>
      </c>
    </row>
    <row r="65" spans="1:16" s="204" customFormat="1" ht="13.15" customHeight="1">
      <c r="A65" s="379"/>
      <c r="C65" s="211" t="s">
        <v>134</v>
      </c>
      <c r="D65" s="1510"/>
      <c r="E65" s="1510"/>
      <c r="H65" s="1376">
        <f>'Part VI-Revenues &amp; Expenses'!$O$59</f>
        <v>9</v>
      </c>
      <c r="J65" s="379"/>
      <c r="K65" s="211" t="s">
        <v>135</v>
      </c>
      <c r="M65" s="1510"/>
      <c r="N65" s="1510"/>
      <c r="O65" s="1510"/>
      <c r="P65" s="722">
        <f>'Part VI-Revenues &amp; Expenses'!$O$118</f>
        <v>2444</v>
      </c>
    </row>
    <row r="66" spans="1:16" s="204" customFormat="1" ht="13.15" customHeight="1">
      <c r="A66" s="379"/>
      <c r="C66" s="211" t="s">
        <v>136</v>
      </c>
      <c r="D66" s="1510"/>
      <c r="E66" s="1510"/>
      <c r="H66" s="721">
        <f>H62+H65</f>
        <v>72</v>
      </c>
      <c r="J66" s="379"/>
      <c r="K66" s="211" t="s">
        <v>137</v>
      </c>
      <c r="M66" s="1510"/>
      <c r="N66" s="1510"/>
      <c r="O66" s="1510"/>
      <c r="P66" s="1376">
        <f>+P64+P65</f>
        <v>80132</v>
      </c>
    </row>
    <row r="67" spans="1:16" s="204" customFormat="1" ht="13.15" customHeight="1">
      <c r="A67" s="379"/>
      <c r="C67" s="211" t="s">
        <v>138</v>
      </c>
      <c r="D67" s="1510"/>
      <c r="E67" s="1510"/>
      <c r="H67" s="722">
        <f>'Part VI-Revenues &amp; Expenses'!$O$61</f>
        <v>2</v>
      </c>
      <c r="J67" s="379"/>
    </row>
    <row r="68" spans="1:16" s="204" customFormat="1" ht="13.15" customHeight="1">
      <c r="A68" s="379"/>
      <c r="C68" s="211" t="s">
        <v>139</v>
      </c>
      <c r="D68" s="1510"/>
      <c r="E68" s="1510"/>
      <c r="H68" s="1376">
        <f>+H66+H67</f>
        <v>74</v>
      </c>
      <c r="J68" s="1510"/>
    </row>
    <row r="69" spans="1:16" s="204" customFormat="1" ht="3" customHeight="1">
      <c r="A69" s="379"/>
      <c r="I69" s="1511"/>
      <c r="L69" s="1511"/>
      <c r="M69" s="1511"/>
      <c r="N69" s="1510"/>
      <c r="P69" s="212"/>
    </row>
    <row r="70" spans="1:16" s="204" customFormat="1" ht="13.15" customHeight="1">
      <c r="A70" s="379"/>
      <c r="B70" s="379" t="s">
        <v>140</v>
      </c>
      <c r="C70" s="213" t="s">
        <v>141</v>
      </c>
      <c r="D70" s="224" t="s">
        <v>142</v>
      </c>
      <c r="G70" s="1510"/>
      <c r="H70" s="3022">
        <v>4</v>
      </c>
      <c r="K70" s="211" t="s">
        <v>143</v>
      </c>
      <c r="O70" s="1510"/>
      <c r="P70" s="3023">
        <v>2100</v>
      </c>
    </row>
    <row r="71" spans="1:16" s="204" customFormat="1" ht="13.15" customHeight="1">
      <c r="A71" s="379"/>
      <c r="B71" s="379"/>
      <c r="D71" s="1500" t="s">
        <v>144</v>
      </c>
      <c r="H71" s="3024">
        <v>1</v>
      </c>
      <c r="I71" s="1510"/>
      <c r="K71" s="211" t="s">
        <v>145</v>
      </c>
      <c r="O71" s="1510"/>
      <c r="P71" s="1376">
        <f>+P66+P70</f>
        <v>82232</v>
      </c>
    </row>
    <row r="72" spans="1:16" s="204" customFormat="1" ht="13.15" customHeight="1">
      <c r="A72" s="379"/>
      <c r="B72" s="379"/>
      <c r="D72" s="1500" t="s">
        <v>146</v>
      </c>
      <c r="H72" s="1376">
        <f>+H70+H71</f>
        <v>5</v>
      </c>
      <c r="I72" s="1510"/>
    </row>
    <row r="73" spans="1:16" s="204" customFormat="1" ht="3" customHeight="1">
      <c r="A73" s="379"/>
      <c r="B73" s="379"/>
      <c r="C73" s="1510"/>
      <c r="D73" s="1510"/>
      <c r="E73" s="1510"/>
      <c r="F73" s="1510"/>
      <c r="G73" s="1511"/>
      <c r="I73" s="211"/>
      <c r="J73" s="1510"/>
      <c r="P73" s="212"/>
    </row>
    <row r="74" spans="1:16" s="204" customFormat="1" ht="13.15" customHeight="1">
      <c r="A74" s="379"/>
      <c r="B74" s="379" t="s">
        <v>147</v>
      </c>
      <c r="C74" s="213" t="s">
        <v>148</v>
      </c>
      <c r="D74" s="1510"/>
      <c r="E74" s="1510"/>
      <c r="F74" s="1510"/>
      <c r="G74" s="1510"/>
      <c r="H74" s="3023">
        <v>149</v>
      </c>
      <c r="K74" s="1573" t="s">
        <v>149</v>
      </c>
      <c r="L74" s="1573"/>
      <c r="M74" s="1573"/>
      <c r="N74" s="1573"/>
      <c r="O74" s="1573"/>
      <c r="P74" s="1573"/>
    </row>
    <row r="75" spans="1:16" s="204" customFormat="1" ht="4.5" customHeight="1">
      <c r="A75" s="379"/>
      <c r="B75" s="379"/>
      <c r="C75" s="211"/>
      <c r="D75" s="1510"/>
      <c r="E75" s="1510"/>
      <c r="F75" s="1510"/>
      <c r="G75" s="1511"/>
      <c r="H75" s="1510"/>
      <c r="I75" s="211"/>
      <c r="J75" s="211"/>
      <c r="K75" s="1573"/>
      <c r="L75" s="1573"/>
      <c r="M75" s="1573"/>
      <c r="N75" s="1573"/>
      <c r="O75" s="1573"/>
      <c r="P75" s="1573"/>
    </row>
    <row r="76" spans="1:16" s="204" customFormat="1" ht="13.15" customHeight="1">
      <c r="A76" s="379" t="s">
        <v>150</v>
      </c>
      <c r="B76" s="225" t="s">
        <v>151</v>
      </c>
      <c r="D76" s="225"/>
      <c r="E76" s="225"/>
      <c r="F76" s="1510"/>
      <c r="G76" s="1511"/>
      <c r="H76" s="403"/>
      <c r="K76" s="1573"/>
      <c r="L76" s="1573"/>
      <c r="M76" s="1573"/>
      <c r="N76" s="1573"/>
      <c r="O76" s="1573"/>
      <c r="P76" s="1573"/>
    </row>
    <row r="77" spans="1:16" s="204" customFormat="1" ht="3" customHeight="1">
      <c r="A77" s="379"/>
      <c r="C77" s="1503"/>
      <c r="D77" s="1503"/>
      <c r="E77" s="1503"/>
      <c r="F77" s="1510"/>
      <c r="G77" s="1511"/>
      <c r="K77" s="1510"/>
      <c r="P77" s="212"/>
    </row>
    <row r="78" spans="1:16" s="204" customFormat="1" ht="13.15" customHeight="1">
      <c r="A78" s="379"/>
      <c r="B78" s="379" t="s">
        <v>110</v>
      </c>
      <c r="C78" s="180" t="s">
        <v>152</v>
      </c>
      <c r="D78" s="1503"/>
      <c r="E78" s="1503"/>
      <c r="F78" s="1510"/>
      <c r="G78" s="1511"/>
      <c r="H78" s="3025" t="s">
        <v>153</v>
      </c>
      <c r="I78" s="3026"/>
      <c r="K78" s="1562" t="s">
        <v>154</v>
      </c>
      <c r="L78" s="1562"/>
      <c r="M78" s="2886" t="s">
        <v>64</v>
      </c>
      <c r="N78" s="2907"/>
      <c r="O78" s="2907"/>
      <c r="P78" s="2908"/>
    </row>
    <row r="79" spans="1:16" s="204" customFormat="1" ht="3" customHeight="1">
      <c r="A79" s="379"/>
      <c r="B79" s="379"/>
      <c r="D79" s="1500"/>
      <c r="E79" s="1500"/>
      <c r="F79" s="1500"/>
      <c r="G79" s="1500"/>
      <c r="I79" s="1511"/>
      <c r="K79" s="1499"/>
      <c r="L79" s="1499"/>
      <c r="M79" s="1511"/>
      <c r="N79" s="1510"/>
      <c r="P79" s="212"/>
    </row>
    <row r="80" spans="1:16" s="204" customFormat="1" ht="13.15" customHeight="1">
      <c r="A80" s="379"/>
      <c r="B80" s="379"/>
      <c r="E80" s="1503"/>
      <c r="H80" s="1572" t="s">
        <v>155</v>
      </c>
      <c r="I80" s="1572"/>
      <c r="K80" s="226" t="s">
        <v>153</v>
      </c>
      <c r="L80" s="3022" t="s">
        <v>64</v>
      </c>
      <c r="M80" s="226" t="s">
        <v>156</v>
      </c>
      <c r="N80" s="3022" t="s">
        <v>64</v>
      </c>
      <c r="P80" s="215" t="s">
        <v>157</v>
      </c>
    </row>
    <row r="81" spans="1:16" s="204" customFormat="1" ht="13.15" customHeight="1">
      <c r="A81" s="379"/>
      <c r="B81" s="379"/>
      <c r="D81" s="1499"/>
      <c r="E81" s="1503"/>
      <c r="H81" s="1572"/>
      <c r="I81" s="1572"/>
      <c r="K81" s="215" t="s">
        <v>158</v>
      </c>
      <c r="L81" s="3024" t="s">
        <v>64</v>
      </c>
      <c r="M81" s="215" t="s">
        <v>159</v>
      </c>
      <c r="N81" s="3024" t="s">
        <v>64</v>
      </c>
      <c r="P81" s="3023" t="s">
        <v>64</v>
      </c>
    </row>
    <row r="82" spans="1:16" s="204" customFormat="1" ht="3" customHeight="1">
      <c r="A82" s="379"/>
      <c r="B82" s="379"/>
      <c r="D82" s="1500"/>
      <c r="E82" s="1500"/>
      <c r="F82" s="1500"/>
      <c r="G82" s="1500"/>
      <c r="I82" s="1511"/>
      <c r="K82" s="1499"/>
      <c r="L82" s="1499"/>
      <c r="M82" s="1511"/>
      <c r="N82" s="1510"/>
      <c r="P82" s="212"/>
    </row>
    <row r="83" spans="1:16" s="204" customFormat="1" ht="13.15" customHeight="1">
      <c r="A83" s="379"/>
      <c r="B83" s="379" t="s">
        <v>121</v>
      </c>
      <c r="C83" s="213" t="s">
        <v>160</v>
      </c>
      <c r="D83" s="1510"/>
      <c r="E83" s="224"/>
      <c r="F83" s="1500" t="s">
        <v>161</v>
      </c>
      <c r="H83" s="1376">
        <f>'Part VIII-Threshold Criteria'!K301</f>
        <v>4</v>
      </c>
      <c r="K83" s="1562" t="s">
        <v>162</v>
      </c>
      <c r="L83" s="1562"/>
      <c r="N83" s="1377">
        <f>IF('Part VI-Revenues &amp; Expenses'!$O$62=0,0,H83/'Part VI-Revenues &amp; Expenses'!$O$62)</f>
        <v>5.4054054054054057E-2</v>
      </c>
      <c r="O83" s="215" t="s">
        <v>163</v>
      </c>
      <c r="P83" s="813">
        <f>'DCA Underwriting Assumptions'!$Q$136</f>
        <v>0.05</v>
      </c>
    </row>
    <row r="84" spans="1:16" s="204" customFormat="1" ht="12.75" customHeight="1">
      <c r="A84" s="379"/>
      <c r="B84" s="379"/>
      <c r="D84" s="1500" t="s">
        <v>164</v>
      </c>
      <c r="E84" s="1500"/>
      <c r="F84" s="1500" t="s">
        <v>161</v>
      </c>
      <c r="H84" s="1376">
        <f>'Part VIII-Threshold Criteria'!K303</f>
        <v>2</v>
      </c>
      <c r="K84" s="1510" t="s">
        <v>165</v>
      </c>
      <c r="L84" s="1510"/>
      <c r="N84" s="1377">
        <f>IF(H83=0,0,H84/H83)</f>
        <v>0.5</v>
      </c>
      <c r="O84" s="215" t="s">
        <v>163</v>
      </c>
      <c r="P84" s="813">
        <f>'DCA Underwriting Assumptions'!$Q$137</f>
        <v>0.4</v>
      </c>
    </row>
    <row r="85" spans="1:16" s="204" customFormat="1" ht="3" customHeight="1">
      <c r="A85" s="379"/>
      <c r="B85" s="379"/>
      <c r="D85" s="1500"/>
      <c r="E85" s="1500"/>
      <c r="F85" s="1500"/>
      <c r="I85" s="1511"/>
      <c r="K85" s="1499"/>
      <c r="L85" s="1499"/>
      <c r="M85" s="1511"/>
      <c r="N85" s="1511"/>
      <c r="P85" s="1501"/>
    </row>
    <row r="86" spans="1:16" s="204" customFormat="1" ht="13.15" customHeight="1">
      <c r="A86" s="379"/>
      <c r="B86" s="379" t="s">
        <v>123</v>
      </c>
      <c r="C86" s="213" t="s">
        <v>166</v>
      </c>
      <c r="D86" s="224"/>
      <c r="E86" s="224"/>
      <c r="F86" s="1500" t="s">
        <v>161</v>
      </c>
      <c r="H86" s="1376">
        <f>'Part VIII-Threshold Criteria'!K305</f>
        <v>2</v>
      </c>
      <c r="K86" s="1562" t="s">
        <v>162</v>
      </c>
      <c r="L86" s="1562"/>
      <c r="N86" s="1377">
        <f>IF('Part VI-Revenues &amp; Expenses'!$O$62=0,0,H86/'Part VI-Revenues &amp; Expenses'!$O$62)</f>
        <v>2.7027027027027029E-2</v>
      </c>
      <c r="O86" s="215" t="s">
        <v>163</v>
      </c>
      <c r="P86" s="813">
        <f>'DCA Underwriting Assumptions'!$Q$138</f>
        <v>0.02</v>
      </c>
    </row>
    <row r="87" spans="1:16" s="204" customFormat="1" ht="4.5" customHeight="1">
      <c r="A87" s="379"/>
      <c r="B87" s="379"/>
      <c r="D87" s="1500"/>
      <c r="E87" s="1500"/>
      <c r="F87" s="1500"/>
      <c r="G87" s="1500"/>
      <c r="I87" s="1511"/>
      <c r="J87" s="1511"/>
      <c r="K87" s="1511"/>
      <c r="L87" s="1511"/>
      <c r="M87" s="1511"/>
      <c r="N87" s="1510"/>
      <c r="P87" s="212"/>
    </row>
    <row r="88" spans="1:16" s="204" customFormat="1" ht="13.15" customHeight="1">
      <c r="A88" s="227" t="s">
        <v>167</v>
      </c>
      <c r="B88" s="1503" t="s">
        <v>168</v>
      </c>
      <c r="D88" s="1500"/>
      <c r="E88" s="1500"/>
      <c r="F88" s="1500"/>
      <c r="G88" s="1500"/>
      <c r="H88" s="1500"/>
      <c r="I88" s="1511"/>
      <c r="M88" s="1511"/>
      <c r="N88" s="1510"/>
      <c r="P88" s="212"/>
    </row>
    <row r="89" spans="1:16" s="204" customFormat="1" ht="3" customHeight="1">
      <c r="A89" s="379"/>
      <c r="B89" s="379"/>
      <c r="C89" s="1503"/>
      <c r="D89" s="1500"/>
      <c r="E89" s="1500"/>
      <c r="F89" s="1500"/>
      <c r="L89" s="1511"/>
      <c r="M89" s="1511"/>
      <c r="N89" s="1510"/>
      <c r="P89" s="212"/>
    </row>
    <row r="90" spans="1:16" s="204" customFormat="1" ht="13.15" customHeight="1">
      <c r="A90" s="379"/>
      <c r="B90" s="379" t="s">
        <v>110</v>
      </c>
      <c r="C90" s="180" t="s">
        <v>169</v>
      </c>
      <c r="D90" s="1500"/>
      <c r="E90" s="1500"/>
      <c r="F90" s="1500"/>
      <c r="H90" s="3025" t="s">
        <v>170</v>
      </c>
      <c r="I90" s="3027"/>
      <c r="J90" s="3026"/>
      <c r="M90" s="1511"/>
      <c r="N90" s="1511"/>
      <c r="P90" s="212"/>
    </row>
    <row r="91" spans="1:16" s="204" customFormat="1" ht="3" customHeight="1">
      <c r="A91" s="379"/>
      <c r="B91" s="379"/>
      <c r="D91" s="1500"/>
      <c r="E91" s="1500"/>
      <c r="F91" s="1500"/>
      <c r="G91" s="1500"/>
      <c r="I91" s="1511"/>
      <c r="J91" s="1511"/>
      <c r="K91" s="1511"/>
      <c r="L91" s="1511"/>
      <c r="M91" s="1511"/>
      <c r="N91" s="1510"/>
      <c r="P91" s="212"/>
    </row>
    <row r="92" spans="1:16" s="204" customFormat="1" ht="13.15" customHeight="1">
      <c r="B92" s="379" t="s">
        <v>121</v>
      </c>
      <c r="C92" s="205" t="s">
        <v>171</v>
      </c>
      <c r="K92" s="207" t="s">
        <v>172</v>
      </c>
      <c r="N92" s="228"/>
      <c r="P92" s="2814" t="s">
        <v>21</v>
      </c>
    </row>
    <row r="93" spans="1:16" s="204" customFormat="1" ht="4.5" customHeight="1">
      <c r="A93" s="379"/>
      <c r="B93" s="379"/>
      <c r="C93" s="205"/>
      <c r="D93" s="1500"/>
      <c r="E93" s="1500"/>
      <c r="F93" s="1500"/>
      <c r="G93" s="1500"/>
      <c r="I93" s="1511"/>
      <c r="J93" s="1511"/>
      <c r="K93" s="1511"/>
      <c r="L93" s="1511"/>
      <c r="M93" s="1511"/>
      <c r="N93" s="1510"/>
      <c r="P93" s="212"/>
    </row>
    <row r="94" spans="1:16" s="204" customFormat="1" ht="13.15" customHeight="1">
      <c r="A94" s="227" t="s">
        <v>173</v>
      </c>
      <c r="B94" s="1503" t="s">
        <v>174</v>
      </c>
      <c r="D94" s="1500"/>
    </row>
    <row r="95" spans="1:16" s="204" customFormat="1" ht="3" customHeight="1">
      <c r="A95" s="379"/>
      <c r="B95" s="379"/>
      <c r="D95" s="1500"/>
      <c r="N95" s="1510"/>
      <c r="P95" s="212"/>
    </row>
    <row r="96" spans="1:16" s="204" customFormat="1" ht="13.15" customHeight="1">
      <c r="A96" s="227"/>
      <c r="B96" s="379" t="s">
        <v>110</v>
      </c>
      <c r="C96" s="205" t="s">
        <v>175</v>
      </c>
      <c r="F96" s="224" t="s">
        <v>176</v>
      </c>
      <c r="H96" s="2814" t="s">
        <v>21</v>
      </c>
      <c r="K96" s="224" t="s">
        <v>177</v>
      </c>
      <c r="L96" s="2814" t="s">
        <v>21</v>
      </c>
      <c r="O96" s="209" t="s">
        <v>178</v>
      </c>
      <c r="P96" s="2814" t="s">
        <v>21</v>
      </c>
    </row>
    <row r="97" spans="1:16" s="204" customFormat="1" ht="3" customHeight="1">
      <c r="A97" s="379"/>
      <c r="B97" s="379"/>
      <c r="C97" s="1503"/>
      <c r="F97" s="1500"/>
      <c r="H97" s="1500"/>
      <c r="J97" s="1511"/>
      <c r="K97" s="1511"/>
      <c r="L97" s="1511"/>
      <c r="M97" s="1511"/>
      <c r="N97" s="1511"/>
      <c r="P97" s="212"/>
    </row>
    <row r="98" spans="1:16" s="204" customFormat="1" ht="13.15" customHeight="1">
      <c r="A98" s="227"/>
      <c r="B98" s="379" t="s">
        <v>121</v>
      </c>
      <c r="C98" s="205" t="s">
        <v>179</v>
      </c>
      <c r="F98" s="1499" t="s">
        <v>180</v>
      </c>
      <c r="H98" s="2814" t="s">
        <v>21</v>
      </c>
      <c r="I98" s="374" t="s">
        <v>181</v>
      </c>
      <c r="J98" s="1511"/>
      <c r="L98" s="1511"/>
    </row>
    <row r="99" spans="1:16" s="204" customFormat="1" ht="4.5" customHeight="1">
      <c r="A99" s="379"/>
      <c r="B99" s="379"/>
      <c r="C99" s="205"/>
      <c r="D99" s="1500"/>
      <c r="E99" s="1500"/>
      <c r="F99" s="1500"/>
      <c r="G99" s="1500"/>
      <c r="I99" s="1511"/>
      <c r="J99" s="1511"/>
      <c r="K99" s="1511"/>
      <c r="L99" s="1511"/>
      <c r="M99" s="1511"/>
      <c r="N99" s="1510"/>
      <c r="P99" s="212"/>
    </row>
    <row r="100" spans="1:16" s="204" customFormat="1" ht="13.15" customHeight="1">
      <c r="A100" s="227" t="s">
        <v>182</v>
      </c>
      <c r="B100" s="1503" t="s">
        <v>183</v>
      </c>
      <c r="D100" s="1500"/>
      <c r="H100" s="2886" t="s">
        <v>184</v>
      </c>
      <c r="I100" s="2908"/>
      <c r="J100" s="1511"/>
    </row>
    <row r="101" spans="1:16" s="204" customFormat="1" ht="4.5" customHeight="1">
      <c r="A101" s="379"/>
      <c r="D101" s="219"/>
      <c r="E101" s="1510"/>
      <c r="I101" s="219"/>
      <c r="J101" s="211"/>
      <c r="K101" s="1510"/>
      <c r="P101" s="212"/>
    </row>
    <row r="102" spans="1:16" s="204" customFormat="1" ht="13.15" customHeight="1">
      <c r="A102" s="227" t="s">
        <v>185</v>
      </c>
      <c r="B102" s="223" t="s">
        <v>186</v>
      </c>
      <c r="D102" s="1510"/>
      <c r="E102" s="1510"/>
      <c r="F102" s="1510"/>
      <c r="G102" s="1510"/>
      <c r="H102" s="1510"/>
      <c r="I102" s="219"/>
      <c r="J102" s="211"/>
      <c r="K102" s="1510"/>
      <c r="P102" s="212"/>
    </row>
    <row r="103" spans="1:16" s="204" customFormat="1" ht="3" customHeight="1">
      <c r="A103" s="227"/>
      <c r="B103" s="379"/>
      <c r="C103" s="223"/>
      <c r="D103" s="1510"/>
      <c r="E103" s="1510"/>
      <c r="F103" s="1510"/>
      <c r="G103" s="1510"/>
      <c r="H103" s="1510"/>
      <c r="I103" s="219"/>
      <c r="J103" s="211"/>
      <c r="K103" s="1510"/>
    </row>
    <row r="104" spans="1:16" s="204" customFormat="1" ht="13.15" customHeight="1">
      <c r="A104" s="379"/>
      <c r="B104" s="379"/>
      <c r="C104" s="211" t="s">
        <v>187</v>
      </c>
      <c r="D104" s="1510"/>
      <c r="E104" s="2953"/>
      <c r="F104" s="2954"/>
      <c r="G104" s="2954"/>
      <c r="H104" s="2954"/>
      <c r="I104" s="2954"/>
      <c r="J104" s="2954"/>
      <c r="K104" s="2954"/>
      <c r="L104" s="2955"/>
      <c r="M104" s="1571" t="s">
        <v>188</v>
      </c>
      <c r="N104" s="1571"/>
      <c r="O104" s="3028"/>
      <c r="P104" s="3029"/>
    </row>
    <row r="105" spans="1:16" s="204" customFormat="1" ht="13.15" customHeight="1">
      <c r="C105" s="207" t="s">
        <v>189</v>
      </c>
      <c r="D105" s="215"/>
      <c r="E105" s="2956"/>
      <c r="F105" s="2957"/>
      <c r="G105" s="2957"/>
      <c r="H105" s="2958"/>
      <c r="I105" s="2957"/>
      <c r="J105" s="2958"/>
      <c r="K105" s="2957"/>
      <c r="L105" s="2960"/>
      <c r="M105" s="1571" t="s">
        <v>190</v>
      </c>
      <c r="N105" s="1571"/>
      <c r="O105" s="3030"/>
      <c r="P105" s="3031"/>
    </row>
    <row r="106" spans="1:16" s="204" customFormat="1" ht="13.15" customHeight="1">
      <c r="C106" s="207" t="s">
        <v>42</v>
      </c>
      <c r="E106" s="2976"/>
      <c r="F106" s="3032"/>
      <c r="G106" s="3033"/>
      <c r="H106" s="1501" t="s">
        <v>44</v>
      </c>
      <c r="I106" s="3034"/>
      <c r="J106" s="1348" t="s">
        <v>46</v>
      </c>
      <c r="K106" s="3035"/>
      <c r="L106" s="3036"/>
      <c r="M106" s="183" t="s">
        <v>191</v>
      </c>
      <c r="N106" s="183"/>
      <c r="O106" s="3037"/>
      <c r="P106" s="3038"/>
    </row>
    <row r="107" spans="1:16" s="204" customFormat="1" ht="13.15" customHeight="1">
      <c r="C107" s="204" t="s">
        <v>192</v>
      </c>
      <c r="E107" s="2976"/>
      <c r="F107" s="3032"/>
      <c r="G107" s="3033"/>
      <c r="H107" s="839" t="s">
        <v>37</v>
      </c>
      <c r="I107" s="3039"/>
      <c r="J107" s="3040"/>
      <c r="K107" s="2888"/>
      <c r="L107" s="1513" t="s">
        <v>50</v>
      </c>
      <c r="M107" s="2953"/>
      <c r="N107" s="3041"/>
      <c r="O107" s="3042"/>
      <c r="P107" s="3043"/>
    </row>
    <row r="108" spans="1:16" s="204" customFormat="1" ht="13.15" customHeight="1">
      <c r="C108" s="207" t="s">
        <v>193</v>
      </c>
      <c r="E108" s="2971"/>
      <c r="F108" s="3044"/>
      <c r="G108" s="2972"/>
      <c r="H108" s="839" t="s">
        <v>194</v>
      </c>
      <c r="I108" s="2971"/>
      <c r="J108" s="3045"/>
      <c r="K108" s="1501" t="s">
        <v>99</v>
      </c>
      <c r="L108" s="2898"/>
      <c r="M108" s="3046"/>
      <c r="N108" s="3046"/>
      <c r="O108" s="3046"/>
      <c r="P108" s="3047"/>
    </row>
    <row r="109" spans="1:16" s="204" customFormat="1" ht="3" customHeight="1">
      <c r="A109" s="379"/>
      <c r="B109" s="379"/>
      <c r="G109" s="219"/>
      <c r="H109" s="1511"/>
      <c r="I109" s="1511"/>
      <c r="M109" s="212"/>
    </row>
    <row r="110" spans="1:16" s="204" customFormat="1" ht="13.15" customHeight="1">
      <c r="A110" s="227" t="s">
        <v>195</v>
      </c>
      <c r="B110" s="1503" t="s">
        <v>196</v>
      </c>
      <c r="D110" s="219"/>
      <c r="E110" s="219"/>
      <c r="F110" s="1511"/>
      <c r="G110" s="1511"/>
      <c r="H110" s="1511"/>
      <c r="N110" s="1510"/>
      <c r="O110" s="1510"/>
      <c r="P110" s="212"/>
    </row>
    <row r="111" spans="1:16" s="204" customFormat="1" ht="3.6" customHeight="1">
      <c r="A111" s="227"/>
      <c r="B111" s="1503"/>
      <c r="D111" s="219"/>
      <c r="E111" s="219"/>
      <c r="F111" s="1511"/>
      <c r="G111" s="1511"/>
      <c r="H111" s="1511"/>
      <c r="I111" s="1511"/>
      <c r="J111" s="219"/>
      <c r="K111" s="1511"/>
      <c r="L111" s="1511"/>
      <c r="N111" s="1510"/>
      <c r="O111" s="1510"/>
      <c r="P111" s="212"/>
    </row>
    <row r="112" spans="1:16" s="204" customFormat="1" ht="13.15" customHeight="1">
      <c r="B112" s="224" t="s">
        <v>197</v>
      </c>
      <c r="D112" s="229"/>
      <c r="E112" s="229"/>
      <c r="F112" s="229"/>
      <c r="G112" s="229"/>
      <c r="H112" s="229"/>
      <c r="I112" s="229"/>
      <c r="J112" s="229"/>
      <c r="K112" s="229"/>
      <c r="L112" s="229"/>
      <c r="M112" s="229"/>
      <c r="N112" s="229"/>
      <c r="O112" s="229"/>
      <c r="P112" s="229"/>
    </row>
    <row r="113" spans="1:16" s="204" customFormat="1" ht="4.9000000000000004" customHeight="1">
      <c r="A113" s="379"/>
      <c r="B113" s="379"/>
      <c r="C113" s="230"/>
      <c r="D113" s="230"/>
      <c r="E113" s="230"/>
      <c r="F113" s="230"/>
      <c r="G113" s="230"/>
      <c r="H113" s="230"/>
      <c r="I113" s="230"/>
      <c r="J113" s="230"/>
      <c r="K113" s="230"/>
      <c r="L113" s="230"/>
      <c r="M113" s="230"/>
      <c r="N113" s="230"/>
      <c r="O113" s="230"/>
      <c r="P113" s="230"/>
    </row>
    <row r="114" spans="1:16" s="204" customFormat="1" ht="13.15" customHeight="1">
      <c r="A114" s="379"/>
      <c r="B114" s="379" t="s">
        <v>110</v>
      </c>
      <c r="C114" s="1503" t="s">
        <v>198</v>
      </c>
      <c r="D114" s="1500"/>
      <c r="E114" s="1500"/>
      <c r="F114" s="1511"/>
      <c r="G114" s="1511"/>
      <c r="H114" s="3048">
        <v>1</v>
      </c>
      <c r="N114" s="1510"/>
      <c r="O114" s="1510"/>
    </row>
    <row r="115" spans="1:16" s="204" customFormat="1" ht="3.6" customHeight="1">
      <c r="A115" s="379"/>
      <c r="B115" s="379"/>
      <c r="C115" s="230"/>
      <c r="D115" s="230"/>
      <c r="E115" s="230"/>
      <c r="F115" s="230"/>
      <c r="G115" s="230"/>
      <c r="H115" s="230"/>
      <c r="J115" s="230"/>
      <c r="M115" s="230"/>
      <c r="N115" s="230"/>
      <c r="O115" s="230"/>
    </row>
    <row r="116" spans="1:16" s="204" customFormat="1" ht="13.15" customHeight="1">
      <c r="A116" s="379"/>
      <c r="B116" s="379" t="s">
        <v>121</v>
      </c>
      <c r="C116" s="1503" t="s">
        <v>199</v>
      </c>
      <c r="D116" s="1500"/>
      <c r="E116" s="1500"/>
      <c r="F116" s="1511"/>
      <c r="G116" s="1511"/>
      <c r="H116" s="3049">
        <v>850000</v>
      </c>
      <c r="J116" s="219"/>
      <c r="K116" s="1499"/>
      <c r="N116" s="1510"/>
    </row>
    <row r="117" spans="1:16" s="204" customFormat="1" ht="3.6" customHeight="1">
      <c r="A117" s="379"/>
      <c r="B117" s="379"/>
      <c r="C117" s="230"/>
      <c r="D117" s="230"/>
      <c r="E117" s="230"/>
      <c r="F117" s="230"/>
      <c r="G117" s="230"/>
      <c r="H117" s="230"/>
      <c r="I117" s="230"/>
      <c r="J117" s="230"/>
      <c r="K117" s="230"/>
      <c r="M117" s="230"/>
      <c r="N117" s="230"/>
      <c r="O117" s="230"/>
      <c r="P117" s="230"/>
    </row>
    <row r="118" spans="1:16" s="204" customFormat="1" ht="13.15" customHeight="1">
      <c r="B118" s="379" t="s">
        <v>123</v>
      </c>
      <c r="C118" s="1503" t="s">
        <v>200</v>
      </c>
      <c r="D118" s="1500"/>
      <c r="E118" s="1500"/>
      <c r="F118" s="1511"/>
      <c r="G118" s="1511"/>
      <c r="H118" s="1511"/>
      <c r="I118" s="1511"/>
      <c r="J118" s="219"/>
      <c r="K118" s="1511"/>
      <c r="L118" s="1511"/>
      <c r="N118" s="1510"/>
      <c r="O118" s="1510"/>
    </row>
    <row r="119" spans="1:16" s="204" customFormat="1" ht="13.15" customHeight="1">
      <c r="B119" s="379"/>
      <c r="C119" s="1500" t="s">
        <v>201</v>
      </c>
      <c r="D119" s="1500"/>
      <c r="F119" s="1500" t="s">
        <v>202</v>
      </c>
      <c r="G119" s="1511"/>
      <c r="H119" s="1511"/>
      <c r="I119" s="1511" t="s">
        <v>203</v>
      </c>
      <c r="J119" s="1500" t="s">
        <v>201</v>
      </c>
      <c r="K119" s="1500"/>
      <c r="M119" s="1500" t="s">
        <v>202</v>
      </c>
      <c r="N119" s="1511"/>
      <c r="O119" s="1511"/>
      <c r="P119" s="1511" t="s">
        <v>203</v>
      </c>
    </row>
    <row r="120" spans="1:16" s="204" customFormat="1" ht="13.15" customHeight="1">
      <c r="A120" s="379"/>
      <c r="B120" s="379"/>
      <c r="C120" s="3050" t="s">
        <v>204</v>
      </c>
      <c r="D120" s="3051"/>
      <c r="E120" s="3051"/>
      <c r="F120" s="3052" t="s">
        <v>25</v>
      </c>
      <c r="G120" s="2816"/>
      <c r="H120" s="3053"/>
      <c r="I120" s="3054" t="s">
        <v>205</v>
      </c>
      <c r="J120" s="3050">
        <v>7</v>
      </c>
      <c r="K120" s="3051"/>
      <c r="L120" s="3051"/>
      <c r="M120" s="3052"/>
      <c r="N120" s="2816"/>
      <c r="O120" s="3053"/>
      <c r="P120" s="3054"/>
    </row>
    <row r="121" spans="1:16" s="204" customFormat="1" ht="13.15" customHeight="1">
      <c r="A121" s="379"/>
      <c r="B121" s="379"/>
      <c r="C121" s="3055">
        <v>2</v>
      </c>
      <c r="D121" s="3056"/>
      <c r="E121" s="3056"/>
      <c r="F121" s="3057"/>
      <c r="G121" s="3058"/>
      <c r="H121" s="3059"/>
      <c r="I121" s="3060"/>
      <c r="J121" s="3055">
        <v>8</v>
      </c>
      <c r="K121" s="3056"/>
      <c r="L121" s="3056"/>
      <c r="M121" s="3057"/>
      <c r="N121" s="3058"/>
      <c r="O121" s="3059"/>
      <c r="P121" s="3060"/>
    </row>
    <row r="122" spans="1:16" s="204" customFormat="1" ht="13.15" customHeight="1">
      <c r="A122" s="379"/>
      <c r="B122" s="379"/>
      <c r="C122" s="3055">
        <v>3</v>
      </c>
      <c r="D122" s="3056"/>
      <c r="E122" s="3056"/>
      <c r="F122" s="3057"/>
      <c r="G122" s="3058"/>
      <c r="H122" s="3059"/>
      <c r="I122" s="3060"/>
      <c r="J122" s="3055">
        <v>9</v>
      </c>
      <c r="K122" s="3056"/>
      <c r="L122" s="3056"/>
      <c r="M122" s="3057"/>
      <c r="N122" s="3058"/>
      <c r="O122" s="3059"/>
      <c r="P122" s="3060"/>
    </row>
    <row r="123" spans="1:16" s="204" customFormat="1" ht="13.15" customHeight="1">
      <c r="A123" s="379"/>
      <c r="B123" s="379"/>
      <c r="C123" s="3055">
        <v>4</v>
      </c>
      <c r="D123" s="3056"/>
      <c r="E123" s="3056"/>
      <c r="F123" s="3057"/>
      <c r="G123" s="3058"/>
      <c r="H123" s="3059"/>
      <c r="I123" s="3060"/>
      <c r="J123" s="3055">
        <v>10</v>
      </c>
      <c r="K123" s="3056"/>
      <c r="L123" s="3056"/>
      <c r="M123" s="3057"/>
      <c r="N123" s="3058"/>
      <c r="O123" s="3059"/>
      <c r="P123" s="3060"/>
    </row>
    <row r="124" spans="1:16" s="204" customFormat="1" ht="13.15" customHeight="1">
      <c r="A124" s="379"/>
      <c r="B124" s="379"/>
      <c r="C124" s="3055">
        <v>5</v>
      </c>
      <c r="D124" s="3056"/>
      <c r="E124" s="3056"/>
      <c r="F124" s="3057"/>
      <c r="G124" s="3058"/>
      <c r="H124" s="3059"/>
      <c r="I124" s="3060"/>
      <c r="J124" s="3055">
        <v>11</v>
      </c>
      <c r="K124" s="3056"/>
      <c r="L124" s="3056"/>
      <c r="M124" s="3057"/>
      <c r="N124" s="3058"/>
      <c r="O124" s="3059"/>
      <c r="P124" s="3060"/>
    </row>
    <row r="125" spans="1:16" s="204" customFormat="1" ht="13.15" customHeight="1">
      <c r="A125" s="379"/>
      <c r="B125" s="379"/>
      <c r="C125" s="3061">
        <v>6</v>
      </c>
      <c r="D125" s="3062"/>
      <c r="E125" s="3062"/>
      <c r="F125" s="3063"/>
      <c r="G125" s="3064"/>
      <c r="H125" s="3065"/>
      <c r="I125" s="3066"/>
      <c r="J125" s="3061">
        <v>12</v>
      </c>
      <c r="K125" s="3062"/>
      <c r="L125" s="3062"/>
      <c r="M125" s="3063"/>
      <c r="N125" s="3064"/>
      <c r="O125" s="3065"/>
      <c r="P125" s="3066"/>
    </row>
    <row r="126" spans="1:16" s="204" customFormat="1" ht="4.9000000000000004" customHeight="1">
      <c r="A126" s="379"/>
      <c r="B126" s="379"/>
      <c r="C126" s="230"/>
      <c r="D126" s="230"/>
      <c r="E126" s="230"/>
      <c r="F126" s="230"/>
      <c r="G126" s="230"/>
      <c r="H126" s="230"/>
      <c r="I126" s="230"/>
      <c r="J126" s="230"/>
      <c r="K126" s="230"/>
      <c r="L126" s="230"/>
      <c r="M126" s="230"/>
      <c r="N126" s="230"/>
      <c r="O126" s="230"/>
      <c r="P126" s="230"/>
    </row>
    <row r="127" spans="1:16" s="204" customFormat="1" ht="13.15" customHeight="1">
      <c r="A127" s="379"/>
      <c r="B127" s="379" t="s">
        <v>126</v>
      </c>
      <c r="C127" s="1570" t="s">
        <v>206</v>
      </c>
      <c r="D127" s="1570"/>
      <c r="E127" s="1570"/>
      <c r="F127" s="1570"/>
      <c r="G127" s="1570"/>
      <c r="H127" s="1570"/>
      <c r="I127" s="1570"/>
      <c r="J127" s="1570"/>
      <c r="K127" s="1570"/>
      <c r="L127" s="1570"/>
      <c r="M127" s="1570"/>
      <c r="N127" s="1570"/>
      <c r="O127" s="1570"/>
      <c r="P127" s="1570"/>
    </row>
    <row r="128" spans="1:16" s="204" customFormat="1" ht="13.15" customHeight="1">
      <c r="A128" s="379"/>
      <c r="B128" s="379"/>
      <c r="C128" s="1570"/>
      <c r="D128" s="1570"/>
      <c r="E128" s="1570"/>
      <c r="F128" s="1570"/>
      <c r="G128" s="1570"/>
      <c r="H128" s="1570"/>
      <c r="I128" s="1570"/>
      <c r="J128" s="1570"/>
      <c r="K128" s="1570"/>
      <c r="L128" s="1570"/>
      <c r="M128" s="1570"/>
      <c r="N128" s="1570"/>
      <c r="O128" s="1570"/>
      <c r="P128" s="1570"/>
    </row>
    <row r="129" spans="1:16" s="204" customFormat="1" ht="13.15" customHeight="1">
      <c r="B129" s="379"/>
      <c r="C129" s="1500" t="s">
        <v>201</v>
      </c>
      <c r="D129" s="1500"/>
      <c r="F129" s="1500" t="s">
        <v>202</v>
      </c>
      <c r="G129" s="1511"/>
      <c r="H129" s="1511"/>
      <c r="I129" s="1511"/>
      <c r="J129" s="1500" t="s">
        <v>201</v>
      </c>
      <c r="K129" s="1500"/>
      <c r="M129" s="1500" t="s">
        <v>202</v>
      </c>
      <c r="N129" s="1511"/>
      <c r="O129" s="1511"/>
      <c r="P129" s="1511"/>
    </row>
    <row r="130" spans="1:16" s="204" customFormat="1" ht="13.15" customHeight="1">
      <c r="A130" s="379"/>
      <c r="B130" s="379"/>
      <c r="C130" s="3050">
        <v>1</v>
      </c>
      <c r="D130" s="3051"/>
      <c r="E130" s="3051"/>
      <c r="F130" s="3052"/>
      <c r="G130" s="2816"/>
      <c r="H130" s="2816"/>
      <c r="I130" s="2817"/>
      <c r="J130" s="3050">
        <v>7</v>
      </c>
      <c r="K130" s="3051"/>
      <c r="L130" s="3051"/>
      <c r="M130" s="3052"/>
      <c r="N130" s="2816"/>
      <c r="O130" s="2816"/>
      <c r="P130" s="2817"/>
    </row>
    <row r="131" spans="1:16" s="204" customFormat="1" ht="13.15" customHeight="1">
      <c r="A131" s="379"/>
      <c r="B131" s="379"/>
      <c r="C131" s="3055">
        <v>2</v>
      </c>
      <c r="D131" s="3056"/>
      <c r="E131" s="3056"/>
      <c r="F131" s="3057"/>
      <c r="G131" s="3058"/>
      <c r="H131" s="3058"/>
      <c r="I131" s="3067"/>
      <c r="J131" s="3055">
        <v>8</v>
      </c>
      <c r="K131" s="3056"/>
      <c r="L131" s="3056"/>
      <c r="M131" s="3057"/>
      <c r="N131" s="3058"/>
      <c r="O131" s="3058"/>
      <c r="P131" s="3067"/>
    </row>
    <row r="132" spans="1:16" s="204" customFormat="1" ht="13.15" customHeight="1">
      <c r="A132" s="379"/>
      <c r="B132" s="379"/>
      <c r="C132" s="3055">
        <v>3</v>
      </c>
      <c r="D132" s="3056"/>
      <c r="E132" s="3056"/>
      <c r="F132" s="3057"/>
      <c r="G132" s="3058"/>
      <c r="H132" s="3058"/>
      <c r="I132" s="3067"/>
      <c r="J132" s="3055">
        <v>9</v>
      </c>
      <c r="K132" s="3056"/>
      <c r="L132" s="3056"/>
      <c r="M132" s="3057"/>
      <c r="N132" s="3058"/>
      <c r="O132" s="3058"/>
      <c r="P132" s="3067"/>
    </row>
    <row r="133" spans="1:16" s="204" customFormat="1" ht="13.15" customHeight="1">
      <c r="A133" s="379"/>
      <c r="B133" s="379"/>
      <c r="C133" s="3055">
        <v>4</v>
      </c>
      <c r="D133" s="3056"/>
      <c r="E133" s="3056"/>
      <c r="F133" s="3057"/>
      <c r="G133" s="3058"/>
      <c r="H133" s="3058"/>
      <c r="I133" s="3067"/>
      <c r="J133" s="3055">
        <v>10</v>
      </c>
      <c r="K133" s="3056"/>
      <c r="L133" s="3056"/>
      <c r="M133" s="3057"/>
      <c r="N133" s="3058"/>
      <c r="O133" s="3058"/>
      <c r="P133" s="3067"/>
    </row>
    <row r="134" spans="1:16" s="204" customFormat="1" ht="13.15" customHeight="1">
      <c r="A134" s="379"/>
      <c r="B134" s="379"/>
      <c r="C134" s="3055">
        <v>5</v>
      </c>
      <c r="D134" s="3056"/>
      <c r="E134" s="3056"/>
      <c r="F134" s="3057"/>
      <c r="G134" s="3058"/>
      <c r="H134" s="3058"/>
      <c r="I134" s="3067"/>
      <c r="J134" s="3055">
        <v>11</v>
      </c>
      <c r="K134" s="3056"/>
      <c r="L134" s="3056"/>
      <c r="M134" s="3057"/>
      <c r="N134" s="3058"/>
      <c r="O134" s="3058"/>
      <c r="P134" s="3067"/>
    </row>
    <row r="135" spans="1:16" s="204" customFormat="1" ht="13.15" customHeight="1">
      <c r="A135" s="379"/>
      <c r="B135" s="379"/>
      <c r="C135" s="3061">
        <v>6</v>
      </c>
      <c r="D135" s="3062"/>
      <c r="E135" s="3062"/>
      <c r="F135" s="3063"/>
      <c r="G135" s="3064"/>
      <c r="H135" s="3064"/>
      <c r="I135" s="3068"/>
      <c r="J135" s="3061">
        <v>12</v>
      </c>
      <c r="K135" s="3062"/>
      <c r="L135" s="3062"/>
      <c r="M135" s="3063"/>
      <c r="N135" s="3064"/>
      <c r="O135" s="3064"/>
      <c r="P135" s="3068"/>
    </row>
    <row r="136" spans="1:16" s="204" customFormat="1" ht="4.5" customHeight="1">
      <c r="A136" s="379"/>
      <c r="B136" s="379"/>
      <c r="C136" s="1500"/>
      <c r="D136" s="1500"/>
      <c r="E136" s="1500"/>
      <c r="F136" s="1511"/>
      <c r="G136" s="1511"/>
      <c r="H136" s="1511"/>
      <c r="I136" s="1511"/>
      <c r="J136" s="219"/>
      <c r="K136" s="1511"/>
      <c r="L136" s="1511"/>
      <c r="N136" s="1510"/>
      <c r="O136" s="1510"/>
      <c r="P136" s="212"/>
    </row>
    <row r="137" spans="1:16" s="204" customFormat="1" ht="3" customHeight="1">
      <c r="A137" s="379"/>
      <c r="B137" s="379"/>
      <c r="C137" s="1500"/>
      <c r="D137" s="1500"/>
      <c r="E137" s="1500"/>
      <c r="F137" s="1511"/>
      <c r="G137" s="1511"/>
      <c r="H137" s="1511"/>
      <c r="I137" s="1511"/>
      <c r="J137" s="219"/>
      <c r="K137" s="1511"/>
      <c r="L137" s="1511"/>
      <c r="N137" s="1510"/>
      <c r="O137" s="1510"/>
      <c r="P137" s="212"/>
    </row>
    <row r="138" spans="1:16" s="204" customFormat="1" ht="13.15" customHeight="1">
      <c r="A138" s="227" t="s">
        <v>207</v>
      </c>
      <c r="B138" s="225" t="s">
        <v>208</v>
      </c>
      <c r="D138" s="225"/>
      <c r="E138" s="225"/>
      <c r="F138" s="225"/>
      <c r="I138" s="2814" t="s">
        <v>21</v>
      </c>
      <c r="M138" s="1511"/>
      <c r="N138" s="1510"/>
      <c r="O138" s="1510"/>
      <c r="P138" s="212"/>
    </row>
    <row r="139" spans="1:16" s="204" customFormat="1" ht="3" customHeight="1">
      <c r="A139" s="227"/>
      <c r="B139" s="379"/>
      <c r="C139" s="1503"/>
      <c r="D139" s="1503"/>
      <c r="E139" s="1503"/>
      <c r="F139" s="1503"/>
      <c r="G139" s="1511"/>
      <c r="M139" s="1511"/>
      <c r="N139" s="1510"/>
      <c r="O139" s="1510"/>
    </row>
    <row r="140" spans="1:16" s="204" customFormat="1" ht="13.15" customHeight="1">
      <c r="A140" s="379"/>
      <c r="B140" s="379" t="s">
        <v>110</v>
      </c>
      <c r="C140" s="208" t="s">
        <v>209</v>
      </c>
      <c r="I140" s="2796"/>
      <c r="M140" s="1511"/>
      <c r="N140" s="1510"/>
      <c r="O140" s="1510"/>
      <c r="P140" s="212"/>
    </row>
    <row r="141" spans="1:16" s="204" customFormat="1" ht="13.15" customHeight="1">
      <c r="A141" s="379"/>
      <c r="B141" s="379"/>
      <c r="C141" s="1500" t="s">
        <v>210</v>
      </c>
      <c r="D141" s="1500"/>
      <c r="E141" s="1500"/>
      <c r="F141" s="1511"/>
      <c r="I141" s="3069"/>
      <c r="N141" s="1510"/>
      <c r="O141" s="1510"/>
      <c r="P141" s="212"/>
    </row>
    <row r="142" spans="1:16" s="204" customFormat="1" ht="13.15" customHeight="1">
      <c r="A142" s="379"/>
      <c r="B142" s="379"/>
      <c r="C142" s="231" t="s">
        <v>211</v>
      </c>
      <c r="D142" s="207"/>
      <c r="I142" s="2799"/>
      <c r="P142" s="212"/>
    </row>
    <row r="143" spans="1:16" s="204" customFormat="1" ht="13.15" customHeight="1">
      <c r="A143" s="379"/>
      <c r="B143" s="379"/>
      <c r="C143" s="1500" t="s">
        <v>212</v>
      </c>
      <c r="D143" s="1500"/>
      <c r="E143" s="1500"/>
      <c r="F143" s="1511"/>
      <c r="I143" s="3069"/>
      <c r="K143" s="183" t="s">
        <v>213</v>
      </c>
      <c r="O143" s="2953" t="s">
        <v>214</v>
      </c>
      <c r="P143" s="2955"/>
    </row>
    <row r="144" spans="1:16" s="204" customFormat="1" ht="13.15" customHeight="1">
      <c r="A144" s="379"/>
      <c r="B144" s="379"/>
      <c r="C144" s="1500" t="s">
        <v>215</v>
      </c>
      <c r="F144" s="1511"/>
      <c r="I144" s="3070"/>
      <c r="K144" s="183" t="s">
        <v>216</v>
      </c>
      <c r="O144" s="2979" t="s">
        <v>214</v>
      </c>
      <c r="P144" s="2959"/>
    </row>
    <row r="145" spans="1:16" s="204" customFormat="1" ht="13.15" customHeight="1">
      <c r="A145" s="379"/>
      <c r="B145" s="379"/>
      <c r="C145" s="1500" t="s">
        <v>217</v>
      </c>
      <c r="D145" s="1500"/>
      <c r="E145" s="1500"/>
      <c r="F145" s="1511"/>
      <c r="I145" s="3071"/>
      <c r="J145" s="3072"/>
      <c r="N145" s="1510"/>
      <c r="O145" s="1510"/>
      <c r="P145" s="212"/>
    </row>
    <row r="146" spans="1:16" s="204" customFormat="1" ht="3" customHeight="1">
      <c r="A146" s="379"/>
      <c r="B146" s="379"/>
      <c r="C146" s="1500"/>
      <c r="D146" s="1500"/>
      <c r="E146" s="1500"/>
      <c r="F146" s="1511"/>
      <c r="N146" s="1510"/>
      <c r="O146" s="1510"/>
      <c r="P146" s="212"/>
    </row>
    <row r="147" spans="1:16" s="204" customFormat="1" ht="13.15" customHeight="1">
      <c r="A147" s="379"/>
      <c r="B147" s="379" t="s">
        <v>121</v>
      </c>
      <c r="C147" s="1503" t="s">
        <v>218</v>
      </c>
      <c r="D147" s="1500"/>
      <c r="E147" s="1500"/>
      <c r="F147" s="1511"/>
      <c r="I147" s="3048" t="s">
        <v>21</v>
      </c>
      <c r="N147" s="1510"/>
      <c r="O147" s="1510"/>
      <c r="P147" s="212"/>
    </row>
    <row r="148" spans="1:16" s="204" customFormat="1" ht="3" customHeight="1">
      <c r="A148" s="379"/>
      <c r="B148" s="379"/>
      <c r="C148" s="1500"/>
      <c r="D148" s="1500"/>
      <c r="E148" s="1500"/>
      <c r="F148" s="1511"/>
      <c r="G148" s="1511"/>
      <c r="M148" s="1511"/>
      <c r="N148" s="1510"/>
      <c r="O148" s="1510"/>
      <c r="P148" s="212"/>
    </row>
    <row r="149" spans="1:16" s="204" customFormat="1" ht="13.15" customHeight="1">
      <c r="A149" s="379"/>
      <c r="B149" s="379" t="s">
        <v>123</v>
      </c>
      <c r="C149" s="1503" t="s">
        <v>219</v>
      </c>
      <c r="D149" s="1500"/>
      <c r="E149" s="1500"/>
      <c r="F149" s="1511"/>
      <c r="G149" s="1511"/>
      <c r="N149" s="1510"/>
      <c r="O149" s="1510"/>
      <c r="P149" s="212"/>
    </row>
    <row r="150" spans="1:16" s="204" customFormat="1" ht="13.15" customHeight="1">
      <c r="A150" s="379"/>
      <c r="B150" s="379"/>
      <c r="C150" s="1500" t="s">
        <v>220</v>
      </c>
      <c r="D150" s="1500"/>
      <c r="E150" s="1500"/>
      <c r="F150" s="1511"/>
      <c r="G150" s="1511"/>
      <c r="I150" s="3048" t="s">
        <v>21</v>
      </c>
      <c r="K150" s="1500" t="s">
        <v>221</v>
      </c>
      <c r="L150" s="1500"/>
      <c r="M150" s="1511"/>
      <c r="N150" s="1511"/>
      <c r="O150" s="3048" t="s">
        <v>21</v>
      </c>
      <c r="P150" s="212"/>
    </row>
    <row r="151" spans="1:16" s="204" customFormat="1" ht="6" customHeight="1">
      <c r="A151" s="379"/>
      <c r="B151" s="379"/>
      <c r="C151" s="1500"/>
      <c r="D151" s="1500"/>
      <c r="E151" s="1500"/>
      <c r="F151" s="1511"/>
      <c r="G151" s="1511"/>
      <c r="H151" s="1511"/>
      <c r="I151" s="1511"/>
      <c r="J151" s="219"/>
      <c r="K151" s="1511"/>
      <c r="L151" s="1511"/>
      <c r="N151" s="1510"/>
      <c r="O151" s="1510"/>
      <c r="P151" s="212"/>
    </row>
    <row r="152" spans="1:16" s="204" customFormat="1" ht="13.15" customHeight="1">
      <c r="A152" s="227" t="s">
        <v>222</v>
      </c>
      <c r="B152" s="225" t="s">
        <v>223</v>
      </c>
      <c r="D152" s="225"/>
      <c r="E152" s="225"/>
      <c r="F152" s="225"/>
      <c r="G152" s="1511"/>
      <c r="H152" s="1511"/>
      <c r="I152" s="1511"/>
      <c r="J152" s="219"/>
      <c r="K152" s="1511"/>
      <c r="L152" s="1511"/>
      <c r="N152" s="1510"/>
      <c r="O152" s="1510"/>
      <c r="P152" s="212"/>
    </row>
    <row r="153" spans="1:16" s="204" customFormat="1" ht="1.9" customHeight="1">
      <c r="A153" s="227"/>
      <c r="B153" s="379"/>
      <c r="C153" s="1503"/>
      <c r="D153" s="1503"/>
      <c r="E153" s="1503"/>
      <c r="F153" s="1503"/>
      <c r="G153" s="1511"/>
      <c r="H153" s="1511"/>
      <c r="I153" s="1511"/>
      <c r="J153" s="219"/>
      <c r="K153" s="1511"/>
      <c r="L153" s="1511"/>
      <c r="N153" s="1510"/>
      <c r="O153" s="1510"/>
    </row>
    <row r="154" spans="1:16" s="204" customFormat="1" ht="13.15" customHeight="1">
      <c r="A154" s="379"/>
      <c r="B154" s="379" t="s">
        <v>110</v>
      </c>
      <c r="C154" s="218" t="s">
        <v>224</v>
      </c>
      <c r="F154" s="1511"/>
      <c r="G154" s="1511"/>
      <c r="H154" s="1511"/>
      <c r="I154" s="1511"/>
      <c r="J154" s="219"/>
      <c r="K154" s="1511"/>
      <c r="L154" s="1511"/>
      <c r="N154" s="1510"/>
      <c r="O154" s="1510"/>
      <c r="P154" s="212"/>
    </row>
    <row r="155" spans="1:16" s="204" customFormat="1" ht="12.6" customHeight="1">
      <c r="A155" s="379"/>
      <c r="B155" s="379"/>
      <c r="C155" s="224" t="s">
        <v>225</v>
      </c>
      <c r="D155" s="219"/>
      <c r="E155" s="219"/>
      <c r="F155" s="1511"/>
      <c r="G155" s="1511"/>
      <c r="H155" s="1511"/>
      <c r="I155" s="1511"/>
      <c r="K155" s="3073" t="s">
        <v>21</v>
      </c>
      <c r="N155" s="1510"/>
      <c r="O155" s="1510"/>
      <c r="P155" s="212"/>
    </row>
    <row r="156" spans="1:16" s="204" customFormat="1" ht="12.6" customHeight="1">
      <c r="A156" s="379"/>
      <c r="B156" s="379"/>
      <c r="C156" s="204" t="s">
        <v>226</v>
      </c>
      <c r="K156" s="3074"/>
      <c r="L156" s="207" t="s">
        <v>227</v>
      </c>
      <c r="P156" s="1378">
        <f>IF('Part VI-Revenues &amp; Expenses'!O$60=0,0,K156/'Part VI-Revenues &amp; Expenses'!$O$60)</f>
        <v>0</v>
      </c>
    </row>
    <row r="157" spans="1:16" s="204" customFormat="1" ht="12.6" customHeight="1">
      <c r="A157" s="379"/>
      <c r="B157" s="379"/>
      <c r="C157" s="204" t="s">
        <v>228</v>
      </c>
      <c r="H157" s="3023"/>
      <c r="I157" s="124"/>
      <c r="J157" s="725" t="s">
        <v>229</v>
      </c>
      <c r="K157" s="3074"/>
      <c r="L157" s="207" t="s">
        <v>227</v>
      </c>
      <c r="O157" s="1378">
        <f>IF('Part VI-Revenues &amp; Expenses'!$O$60=0,0,H157/'Part VI-Revenues &amp; Expenses'!$O$60)</f>
        <v>0</v>
      </c>
      <c r="P157" s="1378">
        <f>IF('Part VI-Revenues &amp; Expenses'!O$60=0,0,K157/'Part VI-Revenues &amp; Expenses'!$O$60)</f>
        <v>0</v>
      </c>
    </row>
    <row r="158" spans="1:16" s="204" customFormat="1" ht="12.6" customHeight="1">
      <c r="A158" s="379"/>
      <c r="B158" s="379"/>
      <c r="C158" s="204" t="s">
        <v>230</v>
      </c>
      <c r="E158" s="2953"/>
      <c r="F158" s="2954"/>
      <c r="G158" s="2954"/>
      <c r="H158" s="2954"/>
      <c r="I158" s="2954"/>
      <c r="J158" s="2954"/>
      <c r="K158" s="2985"/>
      <c r="L158" s="232" t="s">
        <v>35</v>
      </c>
      <c r="M158" s="3075"/>
      <c r="N158" s="3076"/>
      <c r="O158" s="3076"/>
      <c r="P158" s="2908"/>
    </row>
    <row r="159" spans="1:16" s="204" customFormat="1" ht="12.6" customHeight="1">
      <c r="A159" s="379"/>
      <c r="B159" s="379"/>
      <c r="C159" s="207" t="s">
        <v>231</v>
      </c>
      <c r="D159" s="215"/>
      <c r="E159" s="2956"/>
      <c r="F159" s="2957"/>
      <c r="G159" s="2957"/>
      <c r="H159" s="2957"/>
      <c r="I159" s="2958"/>
      <c r="J159" s="2957"/>
      <c r="K159" s="2960"/>
      <c r="L159" s="232" t="s">
        <v>194</v>
      </c>
      <c r="M159" s="3077"/>
      <c r="N159" s="3078"/>
      <c r="O159" s="3079"/>
    </row>
    <row r="160" spans="1:16" s="204" customFormat="1" ht="12.6" customHeight="1">
      <c r="A160" s="379"/>
      <c r="B160" s="379"/>
      <c r="C160" s="207" t="s">
        <v>42</v>
      </c>
      <c r="E160" s="2979"/>
      <c r="F160" s="2958"/>
      <c r="G160" s="2958"/>
      <c r="H160" s="2959"/>
      <c r="I160" s="1348" t="s">
        <v>46</v>
      </c>
      <c r="J160" s="2962"/>
      <c r="K160" s="2964"/>
      <c r="L160" s="233" t="s">
        <v>52</v>
      </c>
      <c r="M160" s="3077"/>
      <c r="N160" s="3078"/>
      <c r="O160" s="3079"/>
    </row>
    <row r="161" spans="1:16" s="204" customFormat="1" ht="12.6" customHeight="1">
      <c r="A161" s="379"/>
      <c r="B161" s="379"/>
      <c r="C161" s="207" t="s">
        <v>232</v>
      </c>
      <c r="E161" s="2971"/>
      <c r="F161" s="3044"/>
      <c r="G161" s="2972"/>
      <c r="H161" s="1497"/>
      <c r="I161" s="1502" t="s">
        <v>106</v>
      </c>
      <c r="J161" s="3080"/>
      <c r="K161" s="3046"/>
      <c r="L161" s="2899"/>
      <c r="M161" s="3046"/>
      <c r="N161" s="3046"/>
      <c r="O161" s="3046"/>
      <c r="P161" s="2900"/>
    </row>
    <row r="162" spans="1:16" s="204" customFormat="1" ht="6" customHeight="1">
      <c r="A162" s="379"/>
      <c r="B162" s="379"/>
      <c r="C162" s="207"/>
      <c r="E162" s="234"/>
      <c r="F162" s="234"/>
      <c r="G162" s="234"/>
      <c r="H162" s="1511"/>
      <c r="I162" s="234"/>
      <c r="J162" s="234"/>
      <c r="K162" s="1511"/>
      <c r="L162" s="234"/>
      <c r="M162" s="234"/>
      <c r="N162" s="1511"/>
      <c r="O162" s="234"/>
      <c r="P162" s="234"/>
    </row>
    <row r="163" spans="1:16" s="204" customFormat="1" ht="12.6" customHeight="1">
      <c r="A163" s="379"/>
      <c r="B163" s="379" t="s">
        <v>121</v>
      </c>
      <c r="C163" s="1503" t="s">
        <v>233</v>
      </c>
      <c r="D163" s="1503"/>
      <c r="E163" s="1503"/>
      <c r="F163" s="1503"/>
      <c r="G163" s="1503"/>
      <c r="I163" s="3048"/>
      <c r="J163" s="1563" t="s">
        <v>234</v>
      </c>
      <c r="K163" s="1564"/>
      <c r="L163" s="3048"/>
      <c r="M163" s="1565" t="s">
        <v>235</v>
      </c>
      <c r="N163" s="1566"/>
      <c r="O163" s="1567"/>
      <c r="P163" s="3081"/>
    </row>
    <row r="164" spans="1:16" s="204" customFormat="1" ht="6" customHeight="1">
      <c r="A164" s="379"/>
      <c r="B164" s="379"/>
      <c r="C164" s="1503"/>
      <c r="D164" s="1503"/>
      <c r="E164" s="205"/>
      <c r="F164" s="1503"/>
      <c r="G164" s="1503"/>
      <c r="J164" s="211"/>
      <c r="K164" s="235"/>
      <c r="M164" s="1510"/>
      <c r="O164" s="1511"/>
      <c r="P164" s="212"/>
    </row>
    <row r="165" spans="1:16" s="204" customFormat="1" ht="12.6" customHeight="1">
      <c r="A165" s="379"/>
      <c r="B165" s="379"/>
      <c r="C165" s="1503" t="s">
        <v>236</v>
      </c>
      <c r="D165" s="1503"/>
      <c r="E165" s="1503"/>
      <c r="F165" s="1503"/>
      <c r="G165" s="1503"/>
      <c r="I165" s="3048" t="s">
        <v>22</v>
      </c>
      <c r="J165" s="1563" t="s">
        <v>234</v>
      </c>
      <c r="K165" s="1564"/>
      <c r="L165" s="3048">
        <v>2040</v>
      </c>
      <c r="M165" s="1565" t="s">
        <v>235</v>
      </c>
      <c r="N165" s="1566"/>
      <c r="O165" s="1567"/>
      <c r="P165" s="3081">
        <v>5</v>
      </c>
    </row>
    <row r="166" spans="1:16" s="204" customFormat="1" ht="6" customHeight="1">
      <c r="A166" s="379"/>
      <c r="B166" s="379"/>
      <c r="C166" s="1503"/>
      <c r="D166" s="1503"/>
      <c r="E166" s="205"/>
      <c r="F166" s="1503"/>
      <c r="G166" s="1503"/>
      <c r="J166" s="211"/>
      <c r="K166" s="235"/>
      <c r="M166" s="1510"/>
      <c r="O166" s="1511"/>
      <c r="P166" s="212"/>
    </row>
    <row r="167" spans="1:16" s="204" customFormat="1" ht="12.6" customHeight="1">
      <c r="A167" s="379"/>
      <c r="B167" s="379" t="s">
        <v>123</v>
      </c>
      <c r="C167" s="1503" t="s">
        <v>237</v>
      </c>
      <c r="D167" s="1503"/>
      <c r="E167" s="1503"/>
      <c r="F167" s="1503"/>
      <c r="G167" s="1503"/>
      <c r="I167" s="3048" t="s">
        <v>21</v>
      </c>
      <c r="L167" s="183"/>
      <c r="M167" s="183"/>
      <c r="P167" s="212"/>
    </row>
    <row r="168" spans="1:16" s="204" customFormat="1" ht="6" customHeight="1">
      <c r="A168" s="379"/>
      <c r="B168" s="379"/>
      <c r="C168" s="207"/>
      <c r="E168" s="234"/>
      <c r="F168" s="234"/>
      <c r="G168" s="234"/>
      <c r="I168" s="234"/>
      <c r="J168" s="234"/>
      <c r="K168" s="1511"/>
      <c r="L168" s="234"/>
      <c r="M168" s="234"/>
      <c r="N168" s="1511"/>
      <c r="O168" s="234"/>
      <c r="P168" s="234"/>
    </row>
    <row r="169" spans="1:16" s="204" customFormat="1" ht="12.6" customHeight="1">
      <c r="A169" s="379"/>
      <c r="B169" s="379" t="s">
        <v>126</v>
      </c>
      <c r="C169" s="1568" t="s">
        <v>238</v>
      </c>
      <c r="D169" s="1568"/>
      <c r="E169" s="1568"/>
      <c r="F169" s="1568"/>
      <c r="G169" s="1503"/>
      <c r="I169" s="3048" t="s">
        <v>21</v>
      </c>
      <c r="J169" s="236" t="s">
        <v>239</v>
      </c>
      <c r="L169" s="1569" t="s">
        <v>240</v>
      </c>
      <c r="M169" s="1569"/>
      <c r="N169" s="1503"/>
      <c r="O169" s="1503"/>
      <c r="P169" s="3022"/>
    </row>
    <row r="170" spans="1:16" s="204" customFormat="1" ht="12.6" customHeight="1">
      <c r="B170" s="379"/>
      <c r="L170" s="1562" t="s">
        <v>241</v>
      </c>
      <c r="M170" s="1562"/>
      <c r="N170" s="1503"/>
      <c r="O170" s="1503"/>
      <c r="P170" s="3024"/>
    </row>
    <row r="171" spans="1:16" s="204" customFormat="1" ht="12.6" customHeight="1">
      <c r="A171" s="379"/>
      <c r="B171" s="379"/>
      <c r="L171" s="1562" t="s">
        <v>242</v>
      </c>
      <c r="M171" s="1562"/>
      <c r="N171" s="1503"/>
      <c r="O171" s="1503"/>
      <c r="P171" s="1379" t="str">
        <f>IF(P169="","",P170/P169)</f>
        <v/>
      </c>
    </row>
    <row r="172" spans="1:16" s="204" customFormat="1" ht="13.15" customHeight="1">
      <c r="A172" s="379"/>
      <c r="B172" s="379" t="s">
        <v>140</v>
      </c>
      <c r="C172" s="180" t="s">
        <v>243</v>
      </c>
      <c r="D172" s="1500"/>
      <c r="E172" s="1500"/>
      <c r="F172" s="1500"/>
      <c r="G172" s="1500"/>
      <c r="H172" s="1511"/>
      <c r="J172" s="211"/>
      <c r="K172" s="219"/>
      <c r="M172" s="1510"/>
      <c r="O172" s="1511"/>
      <c r="P172" s="212"/>
    </row>
    <row r="173" spans="1:16" s="204" customFormat="1" ht="12.6" customHeight="1">
      <c r="A173" s="379"/>
      <c r="B173" s="379"/>
      <c r="C173" s="1510" t="s">
        <v>244</v>
      </c>
      <c r="D173" s="213"/>
      <c r="E173" s="1510"/>
      <c r="F173" s="1510"/>
      <c r="I173" s="3073" t="s">
        <v>21</v>
      </c>
      <c r="L173" s="1510" t="s">
        <v>245</v>
      </c>
      <c r="M173" s="1510"/>
      <c r="N173" s="1510"/>
      <c r="P173" s="3073" t="s">
        <v>22</v>
      </c>
    </row>
    <row r="174" spans="1:16" s="204" customFormat="1" ht="12.6" customHeight="1">
      <c r="A174" s="379"/>
      <c r="B174" s="379"/>
      <c r="C174" s="1510" t="s">
        <v>246</v>
      </c>
      <c r="I174" s="3070" t="s">
        <v>21</v>
      </c>
      <c r="L174" s="1510" t="s">
        <v>247</v>
      </c>
      <c r="M174" s="1510"/>
      <c r="N174" s="1510"/>
      <c r="P174" s="3070" t="s">
        <v>21</v>
      </c>
    </row>
    <row r="175" spans="1:16" s="204" customFormat="1" ht="12.6" customHeight="1">
      <c r="A175" s="379"/>
      <c r="C175" s="1510" t="s">
        <v>248</v>
      </c>
      <c r="I175" s="3070" t="s">
        <v>21</v>
      </c>
      <c r="L175" s="1510" t="s">
        <v>249</v>
      </c>
      <c r="N175" s="3082"/>
      <c r="O175" s="3083"/>
      <c r="P175" s="3070" t="s">
        <v>21</v>
      </c>
    </row>
    <row r="176" spans="1:16" s="204" customFormat="1" ht="12.6" customHeight="1">
      <c r="A176" s="379"/>
      <c r="B176" s="379"/>
      <c r="C176" s="1510" t="s">
        <v>250</v>
      </c>
      <c r="D176" s="237"/>
      <c r="I176" s="3070" t="s">
        <v>21</v>
      </c>
      <c r="K176" s="213"/>
      <c r="L176" s="1510" t="s">
        <v>251</v>
      </c>
      <c r="M176" s="1510"/>
      <c r="N176" s="1510"/>
      <c r="P176" s="3070" t="s">
        <v>21</v>
      </c>
    </row>
    <row r="177" spans="1:21" s="204" customFormat="1" ht="12.6" customHeight="1">
      <c r="A177" s="379"/>
      <c r="B177" s="205"/>
      <c r="C177" s="1510" t="s">
        <v>252</v>
      </c>
      <c r="I177" s="3070" t="s">
        <v>21</v>
      </c>
      <c r="J177" s="236" t="s">
        <v>253</v>
      </c>
      <c r="O177" s="3084"/>
      <c r="P177" s="3085"/>
    </row>
    <row r="178" spans="1:21" s="204" customFormat="1" ht="12.6" customHeight="1">
      <c r="A178" s="379"/>
      <c r="B178" s="379"/>
      <c r="C178" s="1510" t="s">
        <v>254</v>
      </c>
      <c r="I178" s="3086" t="s">
        <v>21</v>
      </c>
      <c r="J178" s="236" t="s">
        <v>253</v>
      </c>
      <c r="O178" s="3087"/>
      <c r="P178" s="3088"/>
    </row>
    <row r="179" spans="1:21" s="204" customFormat="1" ht="3" customHeight="1">
      <c r="A179" s="379"/>
      <c r="B179" s="379"/>
      <c r="P179" s="211"/>
    </row>
    <row r="180" spans="1:21" s="204" customFormat="1" ht="13.15" customHeight="1">
      <c r="B180" s="379" t="s">
        <v>147</v>
      </c>
      <c r="C180" s="208" t="s">
        <v>255</v>
      </c>
    </row>
    <row r="181" spans="1:21" s="204" customFormat="1" ht="12.6" customHeight="1">
      <c r="A181" s="379"/>
      <c r="B181" s="379"/>
      <c r="C181" s="207" t="s">
        <v>256</v>
      </c>
      <c r="D181" s="1500"/>
      <c r="E181" s="1500"/>
      <c r="F181" s="1511"/>
      <c r="G181" s="1511"/>
      <c r="H181" s="3028" t="s">
        <v>64</v>
      </c>
      <c r="I181" s="3029"/>
      <c r="N181" s="1510"/>
      <c r="O181" s="1510"/>
      <c r="P181" s="212"/>
    </row>
    <row r="182" spans="1:21" s="204" customFormat="1" ht="12.6" customHeight="1">
      <c r="A182" s="379"/>
      <c r="B182" s="379"/>
      <c r="C182" s="207" t="s">
        <v>257</v>
      </c>
      <c r="D182" s="1500"/>
      <c r="E182" s="1500"/>
      <c r="F182" s="1511"/>
      <c r="G182" s="1511"/>
      <c r="H182" s="3089" t="s">
        <v>64</v>
      </c>
      <c r="I182" s="3090"/>
      <c r="N182" s="1510"/>
      <c r="O182" s="1510"/>
      <c r="P182" s="212"/>
    </row>
    <row r="183" spans="1:21" s="204" customFormat="1" ht="12.6" customHeight="1">
      <c r="A183" s="379"/>
      <c r="B183" s="379"/>
      <c r="C183" s="207" t="s">
        <v>112</v>
      </c>
      <c r="D183" s="1500"/>
      <c r="E183" s="1500"/>
      <c r="F183" s="1511"/>
      <c r="G183" s="1511"/>
      <c r="H183" s="3091">
        <v>44165</v>
      </c>
      <c r="I183" s="3092"/>
      <c r="N183" s="1510"/>
      <c r="O183" s="1510"/>
      <c r="P183" s="212"/>
    </row>
    <row r="184" spans="1:21" s="204" customFormat="1" ht="6" customHeight="1">
      <c r="B184" s="205"/>
      <c r="C184" s="1510"/>
      <c r="H184" s="1510"/>
      <c r="L184" s="221"/>
      <c r="M184" s="221"/>
      <c r="N184" s="221"/>
      <c r="O184" s="221"/>
      <c r="P184" s="209"/>
    </row>
    <row r="185" spans="1:21" ht="12" customHeight="1">
      <c r="A185" s="227" t="s">
        <v>258</v>
      </c>
      <c r="C185" s="227" t="s">
        <v>259</v>
      </c>
      <c r="M185" s="227" t="s">
        <v>260</v>
      </c>
      <c r="N185" s="227" t="s">
        <v>261</v>
      </c>
    </row>
    <row r="186" spans="1:21" ht="409.5" customHeight="1">
      <c r="A186" s="2933"/>
      <c r="B186" s="2934"/>
      <c r="C186" s="2934"/>
      <c r="D186" s="2934"/>
      <c r="E186" s="2934"/>
      <c r="F186" s="2934"/>
      <c r="G186" s="2934"/>
      <c r="H186" s="2934"/>
      <c r="I186" s="2934"/>
      <c r="J186" s="2934"/>
      <c r="K186" s="2934"/>
      <c r="L186" s="2935"/>
      <c r="M186" s="2936"/>
      <c r="N186" s="2937"/>
      <c r="O186" s="2937"/>
      <c r="P186" s="2938"/>
      <c r="Q186" s="1561" t="s">
        <v>262</v>
      </c>
      <c r="R186" s="1561"/>
      <c r="S186" s="1561"/>
      <c r="T186" s="1561"/>
      <c r="U186" s="1561"/>
    </row>
    <row r="187" spans="1:21" ht="12" customHeight="1">
      <c r="Q187" s="1561"/>
      <c r="R187" s="1561"/>
      <c r="S187" s="1561"/>
      <c r="T187" s="1561"/>
      <c r="U187" s="1561"/>
    </row>
    <row r="190" spans="1:21">
      <c r="B190" s="962"/>
      <c r="C190" s="968"/>
      <c r="D190" s="968"/>
      <c r="E190" s="968"/>
      <c r="F190" s="968"/>
      <c r="G190" s="968"/>
      <c r="H190" s="968"/>
      <c r="I190" s="968"/>
      <c r="J190" s="968"/>
      <c r="K190" s="968"/>
      <c r="L190" s="968"/>
      <c r="M190" s="968"/>
      <c r="N190" s="968"/>
      <c r="O190" s="968"/>
      <c r="P190" s="968"/>
      <c r="Q190" s="968"/>
      <c r="R190" s="968"/>
    </row>
    <row r="191" spans="1:21">
      <c r="B191" s="962"/>
      <c r="C191" s="968"/>
      <c r="D191" s="968"/>
      <c r="E191" s="968"/>
      <c r="F191" s="968"/>
      <c r="G191" s="968"/>
      <c r="H191" s="968"/>
      <c r="I191" s="968"/>
      <c r="J191" s="968"/>
      <c r="K191" s="968"/>
      <c r="L191" s="968"/>
      <c r="M191" s="968"/>
      <c r="N191" s="968"/>
      <c r="O191" s="968"/>
      <c r="P191" s="968"/>
      <c r="Q191" s="968"/>
      <c r="R191" s="968"/>
    </row>
    <row r="192" spans="1:21">
      <c r="B192" s="962"/>
      <c r="C192" s="968"/>
      <c r="D192" s="968"/>
      <c r="E192" s="968"/>
      <c r="F192" s="968"/>
      <c r="G192" s="968"/>
      <c r="H192" s="968"/>
      <c r="I192" s="968"/>
      <c r="J192" s="968"/>
      <c r="K192" s="968"/>
      <c r="L192" s="968"/>
      <c r="M192" s="968"/>
      <c r="N192" s="968"/>
      <c r="O192" s="968"/>
      <c r="P192" s="968"/>
      <c r="Q192" s="968"/>
      <c r="R192" s="968"/>
    </row>
    <row r="193" spans="1:44">
      <c r="B193" s="962"/>
      <c r="C193" s="968"/>
      <c r="D193" s="968"/>
      <c r="E193" s="968"/>
      <c r="F193" s="968"/>
      <c r="G193" s="968"/>
      <c r="H193" s="968"/>
      <c r="I193" s="968"/>
      <c r="J193" s="968"/>
      <c r="K193" s="968"/>
      <c r="L193" s="968"/>
      <c r="M193" s="968"/>
      <c r="N193" s="968"/>
      <c r="O193" s="968"/>
      <c r="P193" s="968"/>
      <c r="Q193" s="968"/>
      <c r="R193" s="968"/>
    </row>
    <row r="194" spans="1:44" s="384" customFormat="1" ht="12" customHeight="1">
      <c r="A194" s="221"/>
      <c r="B194" s="962"/>
      <c r="C194" s="968"/>
      <c r="D194" s="968"/>
      <c r="E194" s="968"/>
      <c r="F194" s="968"/>
      <c r="G194" s="968"/>
      <c r="H194" s="968"/>
      <c r="I194" s="968"/>
      <c r="J194" s="968"/>
      <c r="K194" s="968"/>
      <c r="L194" s="968"/>
      <c r="M194" s="968"/>
      <c r="N194" s="968"/>
      <c r="O194" s="968"/>
      <c r="P194" s="968"/>
      <c r="Q194" s="968"/>
      <c r="R194" s="968"/>
      <c r="X194" s="221"/>
      <c r="Y194" s="221"/>
      <c r="Z194" s="221"/>
      <c r="AA194" s="221"/>
      <c r="AB194" s="221"/>
      <c r="AC194" s="221"/>
      <c r="AD194" s="221"/>
      <c r="AE194" s="221"/>
      <c r="AF194" s="221"/>
      <c r="AG194" s="221"/>
      <c r="AH194" s="221"/>
      <c r="AI194" s="221"/>
      <c r="AJ194" s="221"/>
      <c r="AK194" s="221"/>
      <c r="AL194" s="221"/>
      <c r="AM194" s="221"/>
      <c r="AN194" s="221"/>
      <c r="AO194" s="221"/>
      <c r="AP194" s="221"/>
      <c r="AQ194" s="221"/>
      <c r="AR194" s="221"/>
    </row>
    <row r="195" spans="1:44" s="384" customFormat="1" ht="22.9" customHeight="1">
      <c r="A195" s="221"/>
      <c r="B195" s="968"/>
      <c r="C195" s="968"/>
      <c r="D195" s="968"/>
      <c r="E195" s="968"/>
      <c r="F195" s="968"/>
      <c r="G195" s="968"/>
      <c r="H195" s="968"/>
      <c r="I195" s="968"/>
      <c r="J195" s="968"/>
      <c r="K195" s="968"/>
      <c r="L195" s="968"/>
      <c r="M195" s="968"/>
      <c r="N195" s="968"/>
      <c r="O195" s="968"/>
      <c r="P195" s="969"/>
      <c r="Q195" s="968"/>
      <c r="R195" s="968"/>
      <c r="T195" s="413"/>
      <c r="U195" s="412"/>
      <c r="X195" s="221"/>
      <c r="Y195" s="221"/>
      <c r="Z195" s="221"/>
      <c r="AA195" s="221"/>
      <c r="AB195" s="221"/>
      <c r="AC195" s="221"/>
      <c r="AD195" s="221"/>
      <c r="AE195" s="221"/>
      <c r="AF195" s="221"/>
      <c r="AG195" s="221"/>
      <c r="AH195" s="221"/>
      <c r="AI195" s="221"/>
      <c r="AJ195" s="221"/>
      <c r="AK195" s="221"/>
      <c r="AL195" s="221"/>
      <c r="AM195" s="221"/>
      <c r="AN195" s="221"/>
      <c r="AO195" s="221"/>
      <c r="AP195" s="221"/>
      <c r="AQ195" s="221"/>
      <c r="AR195" s="221"/>
    </row>
    <row r="196" spans="1:44" s="384" customFormat="1" ht="12" customHeight="1">
      <c r="A196" s="221"/>
      <c r="B196" s="968"/>
      <c r="C196" s="968"/>
      <c r="D196" s="968"/>
      <c r="E196" s="968"/>
      <c r="F196" s="968"/>
      <c r="G196" s="968"/>
      <c r="H196" s="968"/>
      <c r="I196" s="968"/>
      <c r="J196" s="968"/>
      <c r="K196" s="968"/>
      <c r="L196" s="968"/>
      <c r="M196" s="968"/>
      <c r="N196" s="968"/>
      <c r="O196" s="968"/>
      <c r="P196" s="970"/>
      <c r="Q196" s="968"/>
      <c r="R196" s="968"/>
      <c r="T196" s="385"/>
      <c r="U196" s="385"/>
      <c r="X196" s="221"/>
      <c r="Y196" s="221"/>
      <c r="Z196" s="221"/>
      <c r="AA196" s="221"/>
      <c r="AB196" s="221"/>
      <c r="AC196" s="221"/>
      <c r="AD196" s="221"/>
      <c r="AE196" s="221"/>
      <c r="AF196" s="221"/>
      <c r="AG196" s="221"/>
      <c r="AH196" s="221"/>
      <c r="AI196" s="221"/>
      <c r="AJ196" s="221"/>
      <c r="AK196" s="221"/>
      <c r="AL196" s="221"/>
      <c r="AM196" s="221"/>
      <c r="AN196" s="221"/>
      <c r="AO196" s="221"/>
      <c r="AP196" s="221"/>
      <c r="AQ196" s="221"/>
      <c r="AR196" s="221"/>
    </row>
    <row r="197" spans="1:44" s="384" customFormat="1" ht="12" customHeight="1">
      <c r="A197" s="221"/>
      <c r="B197" s="968"/>
      <c r="C197" s="968"/>
      <c r="D197" s="968"/>
      <c r="E197" s="968"/>
      <c r="F197" s="968"/>
      <c r="G197" s="968"/>
      <c r="H197" s="968"/>
      <c r="I197" s="968"/>
      <c r="J197" s="968"/>
      <c r="K197" s="968"/>
      <c r="L197" s="968"/>
      <c r="M197" s="968"/>
      <c r="N197" s="968"/>
      <c r="O197" s="968"/>
      <c r="P197" s="970"/>
      <c r="Q197" s="968"/>
      <c r="R197" s="968"/>
      <c r="T197" s="385"/>
      <c r="U197" s="385"/>
      <c r="X197" s="221"/>
      <c r="Y197" s="221"/>
      <c r="Z197" s="221"/>
      <c r="AA197" s="221"/>
      <c r="AB197" s="221"/>
      <c r="AC197" s="221"/>
      <c r="AD197" s="221"/>
      <c r="AE197" s="221"/>
      <c r="AF197" s="221"/>
      <c r="AG197" s="221"/>
      <c r="AH197" s="221"/>
      <c r="AI197" s="221"/>
      <c r="AJ197" s="221"/>
      <c r="AK197" s="221"/>
      <c r="AL197" s="221"/>
      <c r="AM197" s="221"/>
      <c r="AN197" s="221"/>
      <c r="AO197" s="221"/>
      <c r="AP197" s="221"/>
      <c r="AQ197" s="221"/>
      <c r="AR197" s="221"/>
    </row>
    <row r="198" spans="1:44" s="384" customFormat="1" ht="12" customHeight="1">
      <c r="A198" s="221"/>
      <c r="B198" s="968"/>
      <c r="C198" s="968"/>
      <c r="D198" s="968"/>
      <c r="E198" s="968"/>
      <c r="F198" s="968"/>
      <c r="G198" s="968"/>
      <c r="H198" s="968"/>
      <c r="I198" s="968"/>
      <c r="J198" s="968"/>
      <c r="K198" s="968"/>
      <c r="L198" s="968"/>
      <c r="M198" s="968"/>
      <c r="N198" s="968"/>
      <c r="O198" s="968"/>
      <c r="P198" s="970"/>
      <c r="Q198" s="968"/>
      <c r="R198" s="968"/>
      <c r="T198" s="385"/>
      <c r="U198" s="385"/>
      <c r="X198" s="221"/>
      <c r="Y198" s="221"/>
      <c r="Z198" s="221"/>
      <c r="AA198" s="221"/>
      <c r="AB198" s="221"/>
      <c r="AC198" s="221"/>
      <c r="AD198" s="221"/>
      <c r="AE198" s="221"/>
      <c r="AF198" s="221"/>
      <c r="AG198" s="221"/>
      <c r="AH198" s="221"/>
      <c r="AI198" s="221"/>
      <c r="AJ198" s="221"/>
      <c r="AK198" s="221"/>
      <c r="AL198" s="221"/>
      <c r="AM198" s="221"/>
      <c r="AN198" s="221"/>
      <c r="AO198" s="221"/>
      <c r="AP198" s="221"/>
      <c r="AQ198" s="221"/>
      <c r="AR198" s="221"/>
    </row>
    <row r="199" spans="1:44" s="384" customFormat="1" ht="12" customHeight="1">
      <c r="A199" s="221"/>
      <c r="B199" s="968"/>
      <c r="C199" s="968"/>
      <c r="D199" s="968"/>
      <c r="E199" s="968"/>
      <c r="F199" s="968"/>
      <c r="G199" s="968"/>
      <c r="H199" s="968"/>
      <c r="I199" s="968"/>
      <c r="J199" s="968"/>
      <c r="K199" s="968"/>
      <c r="L199" s="968"/>
      <c r="M199" s="968"/>
      <c r="N199" s="968"/>
      <c r="O199" s="968"/>
      <c r="P199" s="970"/>
      <c r="Q199" s="968"/>
      <c r="R199" s="968"/>
      <c r="T199" s="385"/>
      <c r="U199" s="385"/>
      <c r="X199" s="221"/>
      <c r="Y199" s="221"/>
      <c r="Z199" s="221"/>
      <c r="AA199" s="221"/>
      <c r="AB199" s="221"/>
      <c r="AC199" s="221"/>
      <c r="AD199" s="221"/>
      <c r="AE199" s="221"/>
      <c r="AF199" s="221"/>
      <c r="AG199" s="221"/>
      <c r="AH199" s="221"/>
      <c r="AI199" s="221"/>
      <c r="AJ199" s="221"/>
      <c r="AK199" s="221"/>
      <c r="AL199" s="221"/>
      <c r="AM199" s="221"/>
      <c r="AN199" s="221"/>
      <c r="AO199" s="221"/>
      <c r="AP199" s="221"/>
      <c r="AQ199" s="221"/>
      <c r="AR199" s="221"/>
    </row>
    <row r="200" spans="1:44" s="384" customFormat="1" ht="12" customHeight="1">
      <c r="A200" s="221"/>
      <c r="B200" s="968"/>
      <c r="C200" s="968"/>
      <c r="D200" s="968"/>
      <c r="E200" s="968"/>
      <c r="F200" s="968"/>
      <c r="G200" s="968"/>
      <c r="H200" s="968"/>
      <c r="I200" s="968"/>
      <c r="J200" s="968"/>
      <c r="K200" s="968"/>
      <c r="L200" s="968"/>
      <c r="M200" s="968"/>
      <c r="N200" s="968"/>
      <c r="O200" s="968"/>
      <c r="P200" s="970"/>
      <c r="Q200" s="968"/>
      <c r="R200" s="968"/>
      <c r="T200" s="385"/>
      <c r="U200" s="385"/>
      <c r="X200" s="221"/>
      <c r="Y200" s="221"/>
      <c r="Z200" s="221"/>
      <c r="AA200" s="221"/>
      <c r="AB200" s="221"/>
      <c r="AC200" s="221"/>
      <c r="AD200" s="221"/>
      <c r="AE200" s="221"/>
      <c r="AF200" s="221"/>
      <c r="AG200" s="221"/>
      <c r="AH200" s="221"/>
      <c r="AI200" s="221"/>
      <c r="AJ200" s="221"/>
      <c r="AK200" s="221"/>
      <c r="AL200" s="221"/>
      <c r="AM200" s="221"/>
      <c r="AN200" s="221"/>
      <c r="AO200" s="221"/>
      <c r="AP200" s="221"/>
      <c r="AQ200" s="221"/>
      <c r="AR200" s="221"/>
    </row>
    <row r="201" spans="1:44" s="384" customFormat="1" ht="12" customHeight="1">
      <c r="A201" s="221"/>
      <c r="B201" s="968"/>
      <c r="C201" s="968"/>
      <c r="D201" s="968"/>
      <c r="E201" s="968"/>
      <c r="F201" s="968"/>
      <c r="G201" s="968"/>
      <c r="H201" s="968"/>
      <c r="I201" s="968"/>
      <c r="J201" s="968"/>
      <c r="K201" s="968"/>
      <c r="L201" s="968"/>
      <c r="M201" s="968"/>
      <c r="N201" s="968"/>
      <c r="O201" s="968"/>
      <c r="P201" s="970"/>
      <c r="Q201" s="968"/>
      <c r="R201" s="968"/>
      <c r="T201" s="385"/>
      <c r="U201" s="385"/>
      <c r="X201" s="221"/>
      <c r="Y201" s="221"/>
      <c r="Z201" s="221"/>
      <c r="AA201" s="221"/>
      <c r="AB201" s="221"/>
      <c r="AC201" s="221"/>
      <c r="AD201" s="221"/>
      <c r="AE201" s="221"/>
      <c r="AF201" s="221"/>
      <c r="AG201" s="221"/>
      <c r="AH201" s="221"/>
      <c r="AI201" s="221"/>
      <c r="AJ201" s="221"/>
      <c r="AK201" s="221"/>
      <c r="AL201" s="221"/>
      <c r="AM201" s="221"/>
      <c r="AN201" s="221"/>
      <c r="AO201" s="221"/>
      <c r="AP201" s="221"/>
      <c r="AQ201" s="221"/>
      <c r="AR201" s="221"/>
    </row>
    <row r="202" spans="1:44" s="384" customFormat="1" ht="12" customHeight="1">
      <c r="A202" s="221"/>
      <c r="B202" s="968"/>
      <c r="C202" s="968"/>
      <c r="D202" s="968"/>
      <c r="E202" s="968"/>
      <c r="F202" s="968"/>
      <c r="G202" s="968"/>
      <c r="H202" s="968"/>
      <c r="I202" s="968"/>
      <c r="J202" s="968"/>
      <c r="K202" s="968"/>
      <c r="L202" s="968"/>
      <c r="M202" s="968"/>
      <c r="N202" s="968"/>
      <c r="O202" s="968"/>
      <c r="P202" s="970"/>
      <c r="Q202" s="968"/>
      <c r="R202" s="968"/>
      <c r="T202" s="385"/>
      <c r="U202" s="385"/>
      <c r="X202" s="221"/>
      <c r="Y202" s="221"/>
      <c r="Z202" s="221"/>
      <c r="AA202" s="221"/>
      <c r="AB202" s="221"/>
      <c r="AC202" s="221"/>
      <c r="AD202" s="221"/>
      <c r="AE202" s="221"/>
      <c r="AF202" s="221"/>
      <c r="AG202" s="221"/>
      <c r="AH202" s="221"/>
      <c r="AI202" s="221"/>
      <c r="AJ202" s="221"/>
      <c r="AK202" s="221"/>
      <c r="AL202" s="221"/>
      <c r="AM202" s="221"/>
      <c r="AN202" s="221"/>
      <c r="AO202" s="221"/>
      <c r="AP202" s="221"/>
      <c r="AQ202" s="221"/>
      <c r="AR202" s="221"/>
    </row>
    <row r="203" spans="1:44" s="384" customFormat="1" ht="12" customHeight="1">
      <c r="A203" s="221"/>
      <c r="B203" s="968"/>
      <c r="C203" s="968"/>
      <c r="D203" s="968"/>
      <c r="E203" s="968"/>
      <c r="F203" s="968"/>
      <c r="G203" s="968"/>
      <c r="H203" s="968"/>
      <c r="I203" s="968"/>
      <c r="J203" s="968"/>
      <c r="K203" s="968"/>
      <c r="L203" s="968"/>
      <c r="M203" s="968"/>
      <c r="N203" s="968"/>
      <c r="O203" s="968"/>
      <c r="P203" s="970"/>
      <c r="Q203" s="3093"/>
      <c r="R203" s="968"/>
      <c r="X203" s="221"/>
      <c r="Y203" s="221"/>
      <c r="Z203" s="221"/>
      <c r="AA203" s="221"/>
      <c r="AB203" s="221"/>
      <c r="AC203" s="221"/>
      <c r="AD203" s="221"/>
      <c r="AE203" s="221"/>
      <c r="AF203" s="221"/>
      <c r="AG203" s="221"/>
      <c r="AH203" s="221"/>
      <c r="AI203" s="221"/>
      <c r="AJ203" s="221"/>
      <c r="AK203" s="221"/>
      <c r="AL203" s="221"/>
      <c r="AM203" s="221"/>
      <c r="AN203" s="221"/>
      <c r="AO203" s="221"/>
      <c r="AP203" s="221"/>
      <c r="AQ203" s="221"/>
      <c r="AR203" s="221"/>
    </row>
    <row r="204" spans="1:44" s="384" customFormat="1" ht="12" customHeight="1">
      <c r="A204" s="221"/>
      <c r="B204" s="968"/>
      <c r="C204" s="968"/>
      <c r="D204" s="968"/>
      <c r="E204" s="968"/>
      <c r="F204" s="968"/>
      <c r="G204" s="968"/>
      <c r="H204" s="968"/>
      <c r="I204" s="968"/>
      <c r="J204" s="968"/>
      <c r="K204" s="968"/>
      <c r="L204" s="968"/>
      <c r="M204" s="968"/>
      <c r="N204" s="968"/>
      <c r="O204" s="968"/>
      <c r="P204" s="970"/>
      <c r="Q204" s="3093"/>
      <c r="R204" s="968"/>
      <c r="X204" s="221"/>
      <c r="Y204" s="221"/>
      <c r="Z204" s="221"/>
      <c r="AA204" s="221"/>
      <c r="AB204" s="221"/>
      <c r="AC204" s="221"/>
      <c r="AD204" s="221"/>
      <c r="AE204" s="221"/>
      <c r="AF204" s="221"/>
      <c r="AG204" s="221"/>
      <c r="AH204" s="221"/>
      <c r="AI204" s="221"/>
      <c r="AJ204" s="221"/>
      <c r="AK204" s="221"/>
      <c r="AL204" s="221"/>
      <c r="AM204" s="221"/>
      <c r="AN204" s="221"/>
      <c r="AO204" s="221"/>
      <c r="AP204" s="221"/>
      <c r="AQ204" s="221"/>
      <c r="AR204" s="221"/>
    </row>
    <row r="205" spans="1:44" s="384" customFormat="1" ht="12" customHeight="1">
      <c r="A205" s="221"/>
      <c r="B205" s="968"/>
      <c r="C205" s="968"/>
      <c r="D205" s="968"/>
      <c r="E205" s="968"/>
      <c r="F205" s="968"/>
      <c r="G205" s="968"/>
      <c r="H205" s="968"/>
      <c r="I205" s="968"/>
      <c r="J205" s="968"/>
      <c r="K205" s="968"/>
      <c r="L205" s="968"/>
      <c r="M205" s="968"/>
      <c r="N205" s="968"/>
      <c r="O205" s="968"/>
      <c r="P205" s="970"/>
      <c r="Q205" s="3093"/>
      <c r="R205" s="968"/>
      <c r="X205" s="221"/>
      <c r="Y205" s="221"/>
      <c r="Z205" s="221"/>
      <c r="AA205" s="221"/>
      <c r="AB205" s="221"/>
      <c r="AC205" s="221"/>
      <c r="AD205" s="221"/>
      <c r="AE205" s="221"/>
      <c r="AF205" s="221"/>
      <c r="AG205" s="221"/>
      <c r="AH205" s="221"/>
      <c r="AI205" s="221"/>
      <c r="AJ205" s="221"/>
      <c r="AK205" s="221"/>
      <c r="AL205" s="221"/>
      <c r="AM205" s="221"/>
      <c r="AN205" s="221"/>
      <c r="AO205" s="221"/>
      <c r="AP205" s="221"/>
      <c r="AQ205" s="221"/>
      <c r="AR205" s="221"/>
    </row>
    <row r="206" spans="1:44" s="384" customFormat="1" ht="12" customHeight="1">
      <c r="A206" s="221"/>
      <c r="B206" s="968"/>
      <c r="C206" s="968"/>
      <c r="D206" s="968"/>
      <c r="E206" s="968"/>
      <c r="F206" s="968"/>
      <c r="G206" s="968"/>
      <c r="H206" s="968"/>
      <c r="I206" s="968"/>
      <c r="J206" s="968"/>
      <c r="K206" s="968"/>
      <c r="L206" s="968"/>
      <c r="M206" s="968"/>
      <c r="N206" s="968"/>
      <c r="O206" s="968"/>
      <c r="P206" s="970"/>
      <c r="Q206" s="3093"/>
      <c r="R206" s="968"/>
      <c r="X206" s="221"/>
      <c r="Y206" s="221"/>
      <c r="Z206" s="221"/>
      <c r="AA206" s="221"/>
      <c r="AB206" s="221"/>
      <c r="AC206" s="221"/>
      <c r="AD206" s="221"/>
      <c r="AE206" s="221"/>
      <c r="AF206" s="221"/>
      <c r="AG206" s="221"/>
      <c r="AH206" s="221"/>
      <c r="AI206" s="221"/>
      <c r="AJ206" s="221"/>
      <c r="AK206" s="221"/>
      <c r="AL206" s="221"/>
      <c r="AM206" s="221"/>
      <c r="AN206" s="221"/>
      <c r="AO206" s="221"/>
      <c r="AP206" s="221"/>
      <c r="AQ206" s="221"/>
      <c r="AR206" s="221"/>
    </row>
    <row r="207" spans="1:44" s="384" customFormat="1" ht="12" customHeight="1">
      <c r="A207" s="221"/>
      <c r="B207" s="968"/>
      <c r="C207" s="968"/>
      <c r="D207" s="968"/>
      <c r="E207" s="968"/>
      <c r="F207" s="968"/>
      <c r="G207" s="968"/>
      <c r="H207" s="968"/>
      <c r="I207" s="968"/>
      <c r="J207" s="932" t="s">
        <v>263</v>
      </c>
      <c r="K207" s="968"/>
      <c r="L207" s="968"/>
      <c r="M207" s="968"/>
      <c r="N207" s="968"/>
      <c r="O207" s="968"/>
      <c r="P207" s="970"/>
      <c r="Q207" s="3093"/>
      <c r="R207" s="968"/>
      <c r="X207" s="221"/>
      <c r="Y207" s="221"/>
      <c r="Z207" s="221"/>
      <c r="AA207" s="221"/>
      <c r="AB207" s="221"/>
      <c r="AC207" s="221"/>
      <c r="AD207" s="221"/>
      <c r="AE207" s="221"/>
      <c r="AF207" s="221"/>
      <c r="AG207" s="221"/>
      <c r="AH207" s="221"/>
      <c r="AI207" s="221"/>
      <c r="AJ207" s="221"/>
      <c r="AK207" s="221"/>
      <c r="AL207" s="221"/>
      <c r="AM207" s="221"/>
      <c r="AN207" s="221"/>
      <c r="AO207" s="221"/>
      <c r="AP207" s="221"/>
      <c r="AQ207" s="221"/>
      <c r="AR207" s="221"/>
    </row>
    <row r="208" spans="1:44" s="384" customFormat="1" ht="12" customHeight="1">
      <c r="A208" s="221"/>
      <c r="B208" s="968"/>
      <c r="C208" s="968"/>
      <c r="D208" s="968"/>
      <c r="E208" s="968"/>
      <c r="F208" s="968"/>
      <c r="G208" s="968"/>
      <c r="H208" s="968"/>
      <c r="I208" s="968"/>
      <c r="J208" s="932" t="s">
        <v>30</v>
      </c>
      <c r="K208" s="968"/>
      <c r="L208" s="968"/>
      <c r="M208" s="968"/>
      <c r="N208" s="968"/>
      <c r="O208" s="968"/>
      <c r="P208" s="970"/>
      <c r="Q208" s="3093"/>
      <c r="R208" s="968"/>
      <c r="X208" s="221"/>
      <c r="Y208" s="221"/>
      <c r="Z208" s="221"/>
      <c r="AA208" s="221"/>
      <c r="AB208" s="221"/>
      <c r="AC208" s="221"/>
      <c r="AD208" s="221"/>
      <c r="AE208" s="221"/>
      <c r="AF208" s="221"/>
      <c r="AG208" s="221"/>
      <c r="AH208" s="221"/>
      <c r="AI208" s="221"/>
      <c r="AJ208" s="221"/>
      <c r="AK208" s="221"/>
      <c r="AL208" s="221"/>
      <c r="AM208" s="221"/>
      <c r="AN208" s="221"/>
      <c r="AO208" s="221"/>
      <c r="AP208" s="221"/>
      <c r="AQ208" s="221"/>
      <c r="AR208" s="221"/>
    </row>
    <row r="209" spans="1:44" s="384" customFormat="1" ht="12" customHeight="1">
      <c r="A209" s="221"/>
      <c r="B209" s="968"/>
      <c r="C209" s="968"/>
      <c r="D209" s="968"/>
      <c r="E209" s="968"/>
      <c r="F209" s="968"/>
      <c r="G209" s="968"/>
      <c r="H209" s="968"/>
      <c r="I209" s="968"/>
      <c r="J209" s="932" t="s">
        <v>264</v>
      </c>
      <c r="K209" s="968"/>
      <c r="L209" s="968"/>
      <c r="M209" s="968"/>
      <c r="N209" s="968"/>
      <c r="O209" s="968"/>
      <c r="P209" s="970"/>
      <c r="Q209" s="3093"/>
      <c r="R209" s="968"/>
      <c r="X209" s="221"/>
      <c r="Y209" s="221"/>
      <c r="Z209" s="221"/>
      <c r="AA209" s="221"/>
      <c r="AB209" s="221"/>
      <c r="AC209" s="221"/>
      <c r="AD209" s="221"/>
      <c r="AE209" s="221"/>
      <c r="AF209" s="221"/>
      <c r="AG209" s="221"/>
      <c r="AH209" s="221"/>
      <c r="AI209" s="221"/>
      <c r="AJ209" s="221"/>
      <c r="AK209" s="221"/>
      <c r="AL209" s="221"/>
      <c r="AM209" s="221"/>
      <c r="AN209" s="221"/>
      <c r="AO209" s="221"/>
      <c r="AP209" s="221"/>
      <c r="AQ209" s="221"/>
      <c r="AR209" s="221"/>
    </row>
    <row r="210" spans="1:44" s="384" customFormat="1" ht="12" customHeight="1">
      <c r="A210" s="221"/>
      <c r="B210" s="968"/>
      <c r="C210" s="968"/>
      <c r="D210" s="968"/>
      <c r="E210" s="968"/>
      <c r="F210" s="968"/>
      <c r="G210" s="968"/>
      <c r="H210" s="968"/>
      <c r="I210" s="968"/>
      <c r="J210" s="932" t="s">
        <v>265</v>
      </c>
      <c r="K210" s="968"/>
      <c r="L210" s="968"/>
      <c r="M210" s="968"/>
      <c r="N210" s="968"/>
      <c r="O210" s="968"/>
      <c r="P210" s="970"/>
      <c r="Q210" s="3093"/>
      <c r="R210" s="968"/>
      <c r="X210" s="221"/>
      <c r="Y210" s="221"/>
      <c r="Z210" s="221"/>
      <c r="AA210" s="221"/>
      <c r="AB210" s="221"/>
      <c r="AC210" s="221"/>
      <c r="AD210" s="221"/>
      <c r="AE210" s="221"/>
      <c r="AF210" s="221"/>
      <c r="AG210" s="221"/>
      <c r="AH210" s="221"/>
      <c r="AI210" s="221"/>
      <c r="AJ210" s="221"/>
      <c r="AK210" s="221"/>
      <c r="AL210" s="221"/>
      <c r="AM210" s="221"/>
      <c r="AN210" s="221"/>
      <c r="AO210" s="221"/>
      <c r="AP210" s="221"/>
      <c r="AQ210" s="221"/>
      <c r="AR210" s="221"/>
    </row>
    <row r="211" spans="1:44" s="384" customFormat="1" ht="12" customHeight="1">
      <c r="A211" s="221"/>
      <c r="B211" s="968"/>
      <c r="C211" s="968"/>
      <c r="D211" s="968"/>
      <c r="E211" s="968"/>
      <c r="F211" s="968"/>
      <c r="G211" s="968"/>
      <c r="H211" s="968"/>
      <c r="I211" s="968"/>
      <c r="J211" s="932" t="s">
        <v>266</v>
      </c>
      <c r="K211" s="968"/>
      <c r="L211" s="968"/>
      <c r="M211" s="968"/>
      <c r="N211" s="968"/>
      <c r="O211" s="968"/>
      <c r="P211" s="970"/>
      <c r="Q211" s="3093"/>
      <c r="R211" s="968"/>
      <c r="X211" s="221"/>
      <c r="Y211" s="221"/>
      <c r="Z211" s="221"/>
      <c r="AA211" s="221"/>
      <c r="AB211" s="221"/>
      <c r="AC211" s="221"/>
      <c r="AD211" s="221"/>
      <c r="AE211" s="221"/>
      <c r="AF211" s="221"/>
      <c r="AG211" s="221"/>
      <c r="AH211" s="221"/>
      <c r="AI211" s="221"/>
      <c r="AJ211" s="221"/>
      <c r="AK211" s="221"/>
      <c r="AL211" s="221"/>
      <c r="AM211" s="221"/>
      <c r="AN211" s="221"/>
      <c r="AO211" s="221"/>
      <c r="AP211" s="221"/>
      <c r="AQ211" s="221"/>
      <c r="AR211" s="221"/>
    </row>
    <row r="212" spans="1:44" s="384" customFormat="1" ht="12" customHeight="1">
      <c r="A212" s="221"/>
      <c r="B212" s="968"/>
      <c r="C212" s="968"/>
      <c r="D212" s="968"/>
      <c r="E212" s="968"/>
      <c r="F212" s="968"/>
      <c r="G212" s="968"/>
      <c r="H212" s="968"/>
      <c r="I212" s="968"/>
      <c r="J212" s="932" t="s">
        <v>267</v>
      </c>
      <c r="K212" s="968"/>
      <c r="L212" s="968"/>
      <c r="M212" s="968"/>
      <c r="N212" s="968"/>
      <c r="O212" s="968"/>
      <c r="P212" s="970"/>
      <c r="Q212" s="3093"/>
      <c r="R212" s="968"/>
      <c r="X212" s="221"/>
      <c r="Y212" s="221"/>
      <c r="Z212" s="221"/>
      <c r="AA212" s="221"/>
      <c r="AB212" s="221"/>
      <c r="AC212" s="221"/>
      <c r="AD212" s="221"/>
      <c r="AE212" s="221"/>
      <c r="AF212" s="221"/>
      <c r="AG212" s="221"/>
      <c r="AH212" s="221"/>
      <c r="AI212" s="221"/>
      <c r="AJ212" s="221"/>
      <c r="AK212" s="221"/>
      <c r="AL212" s="221"/>
      <c r="AM212" s="221"/>
      <c r="AN212" s="221"/>
      <c r="AO212" s="221"/>
      <c r="AP212" s="221"/>
      <c r="AQ212" s="221"/>
      <c r="AR212" s="221"/>
    </row>
    <row r="213" spans="1:44" s="384" customFormat="1" ht="12" customHeight="1">
      <c r="A213" s="221"/>
      <c r="B213" s="968"/>
      <c r="C213" s="968"/>
      <c r="D213" s="968"/>
      <c r="E213" s="968"/>
      <c r="F213" s="968"/>
      <c r="G213" s="968"/>
      <c r="H213" s="968"/>
      <c r="I213" s="968"/>
      <c r="J213" s="932" t="s">
        <v>268</v>
      </c>
      <c r="K213" s="968"/>
      <c r="L213" s="968"/>
      <c r="M213" s="968"/>
      <c r="N213" s="968"/>
      <c r="O213" s="968"/>
      <c r="P213" s="970"/>
      <c r="Q213" s="3093"/>
      <c r="R213" s="968"/>
      <c r="X213" s="221"/>
      <c r="Y213" s="221"/>
      <c r="Z213" s="221"/>
      <c r="AA213" s="221"/>
      <c r="AB213" s="221"/>
      <c r="AC213" s="221"/>
      <c r="AD213" s="221"/>
      <c r="AE213" s="221"/>
      <c r="AF213" s="221"/>
      <c r="AG213" s="221"/>
      <c r="AH213" s="221"/>
      <c r="AI213" s="221"/>
      <c r="AJ213" s="221"/>
      <c r="AK213" s="221"/>
      <c r="AL213" s="221"/>
      <c r="AM213" s="221"/>
      <c r="AN213" s="221"/>
      <c r="AO213" s="221"/>
      <c r="AP213" s="221"/>
      <c r="AQ213" s="221"/>
      <c r="AR213" s="221"/>
    </row>
    <row r="214" spans="1:44" s="384" customFormat="1" ht="12" customHeight="1">
      <c r="A214" s="221"/>
      <c r="B214" s="968"/>
      <c r="C214" s="968"/>
      <c r="D214" s="968"/>
      <c r="E214" s="968"/>
      <c r="F214" s="968"/>
      <c r="G214" s="968"/>
      <c r="H214" s="968"/>
      <c r="I214" s="968"/>
      <c r="J214" s="932" t="s">
        <v>269</v>
      </c>
      <c r="K214" s="968"/>
      <c r="L214" s="968"/>
      <c r="M214" s="968"/>
      <c r="N214" s="968"/>
      <c r="O214" s="968"/>
      <c r="P214" s="970"/>
      <c r="Q214" s="3093"/>
      <c r="R214" s="968"/>
      <c r="X214" s="221"/>
      <c r="Y214" s="221"/>
      <c r="Z214" s="221"/>
      <c r="AA214" s="221"/>
      <c r="AB214" s="221"/>
      <c r="AC214" s="221"/>
      <c r="AD214" s="221"/>
      <c r="AE214" s="221"/>
      <c r="AF214" s="221"/>
      <c r="AG214" s="221"/>
      <c r="AH214" s="221"/>
      <c r="AI214" s="221"/>
      <c r="AJ214" s="221"/>
      <c r="AK214" s="221"/>
      <c r="AL214" s="221"/>
      <c r="AM214" s="221"/>
      <c r="AN214" s="221"/>
      <c r="AO214" s="221"/>
      <c r="AP214" s="221"/>
      <c r="AQ214" s="221"/>
      <c r="AR214" s="221"/>
    </row>
    <row r="215" spans="1:44" s="384" customFormat="1" ht="12" customHeight="1">
      <c r="A215" s="221"/>
      <c r="B215" s="968"/>
      <c r="C215" s="968"/>
      <c r="D215" s="968"/>
      <c r="E215" s="968"/>
      <c r="F215" s="968"/>
      <c r="G215" s="968"/>
      <c r="H215" s="968"/>
      <c r="I215" s="968"/>
      <c r="J215" s="932" t="s">
        <v>270</v>
      </c>
      <c r="K215" s="968"/>
      <c r="L215" s="968"/>
      <c r="M215" s="968"/>
      <c r="N215" s="968"/>
      <c r="O215" s="968"/>
      <c r="P215" s="970"/>
      <c r="Q215" s="3093"/>
      <c r="R215" s="968"/>
      <c r="X215" s="221"/>
      <c r="Y215" s="221"/>
      <c r="Z215" s="221"/>
      <c r="AA215" s="221"/>
      <c r="AB215" s="221"/>
      <c r="AC215" s="221"/>
      <c r="AD215" s="221"/>
      <c r="AE215" s="221"/>
      <c r="AF215" s="221"/>
      <c r="AG215" s="221"/>
      <c r="AH215" s="221"/>
      <c r="AI215" s="221"/>
      <c r="AJ215" s="221"/>
      <c r="AK215" s="221"/>
      <c r="AL215" s="221"/>
      <c r="AM215" s="221"/>
      <c r="AN215" s="221"/>
      <c r="AO215" s="221"/>
      <c r="AP215" s="221"/>
      <c r="AQ215" s="221"/>
      <c r="AR215" s="221"/>
    </row>
    <row r="216" spans="1:44" s="384" customFormat="1" ht="12" customHeight="1">
      <c r="A216" s="221"/>
      <c r="B216" s="968"/>
      <c r="C216" s="968"/>
      <c r="D216" s="968"/>
      <c r="E216" s="968"/>
      <c r="F216" s="968"/>
      <c r="G216" s="968"/>
      <c r="H216" s="968"/>
      <c r="I216" s="968"/>
      <c r="J216" s="932" t="s">
        <v>271</v>
      </c>
      <c r="K216" s="968"/>
      <c r="L216" s="968"/>
      <c r="M216" s="968"/>
      <c r="N216" s="968"/>
      <c r="O216" s="968"/>
      <c r="P216" s="970"/>
      <c r="Q216" s="3093"/>
      <c r="R216" s="968"/>
      <c r="X216" s="221"/>
      <c r="Y216" s="221"/>
      <c r="Z216" s="221"/>
      <c r="AA216" s="221"/>
      <c r="AB216" s="221"/>
      <c r="AC216" s="221"/>
      <c r="AD216" s="221"/>
      <c r="AE216" s="221"/>
      <c r="AF216" s="221"/>
      <c r="AG216" s="221"/>
      <c r="AH216" s="221"/>
      <c r="AI216" s="221"/>
      <c r="AJ216" s="221"/>
      <c r="AK216" s="221"/>
      <c r="AL216" s="221"/>
      <c r="AM216" s="221"/>
      <c r="AN216" s="221"/>
      <c r="AO216" s="221"/>
      <c r="AP216" s="221"/>
      <c r="AQ216" s="221"/>
      <c r="AR216" s="221"/>
    </row>
    <row r="217" spans="1:44" s="384" customFormat="1" ht="12" customHeight="1">
      <c r="A217" s="221"/>
      <c r="B217" s="968"/>
      <c r="C217" s="968"/>
      <c r="D217" s="968"/>
      <c r="E217" s="968"/>
      <c r="F217" s="968"/>
      <c r="G217" s="968"/>
      <c r="H217" s="968"/>
      <c r="I217" s="968"/>
      <c r="K217" s="968"/>
      <c r="L217" s="968"/>
      <c r="M217" s="968"/>
      <c r="N217" s="968"/>
      <c r="O217" s="968"/>
      <c r="P217" s="970"/>
      <c r="Q217" s="3093"/>
      <c r="R217" s="968"/>
      <c r="X217" s="221"/>
      <c r="Y217" s="221"/>
      <c r="Z217" s="221"/>
      <c r="AA217" s="221"/>
      <c r="AB217" s="221"/>
      <c r="AC217" s="221"/>
      <c r="AD217" s="221"/>
      <c r="AE217" s="221"/>
      <c r="AF217" s="221"/>
      <c r="AG217" s="221"/>
      <c r="AH217" s="221"/>
      <c r="AI217" s="221"/>
      <c r="AJ217" s="221"/>
      <c r="AK217" s="221"/>
      <c r="AL217" s="221"/>
      <c r="AM217" s="221"/>
      <c r="AN217" s="221"/>
      <c r="AO217" s="221"/>
      <c r="AP217" s="221"/>
      <c r="AQ217" s="221"/>
      <c r="AR217" s="221"/>
    </row>
    <row r="218" spans="1:44" s="384" customFormat="1" ht="12" customHeight="1">
      <c r="A218" s="221"/>
      <c r="B218" s="968"/>
      <c r="C218" s="968"/>
      <c r="D218" s="968"/>
      <c r="E218" s="968"/>
      <c r="F218" s="968"/>
      <c r="G218" s="968"/>
      <c r="H218" s="968"/>
      <c r="I218" s="968"/>
      <c r="J218" s="968"/>
      <c r="K218" s="968"/>
      <c r="L218" s="968"/>
      <c r="M218" s="968"/>
      <c r="N218" s="968"/>
      <c r="O218" s="968"/>
      <c r="P218" s="970"/>
      <c r="Q218" s="3093"/>
      <c r="R218" s="968"/>
      <c r="X218" s="221"/>
      <c r="Y218" s="221"/>
      <c r="Z218" s="221"/>
      <c r="AA218" s="221"/>
      <c r="AB218" s="221"/>
      <c r="AC218" s="221"/>
      <c r="AD218" s="221"/>
      <c r="AE218" s="221"/>
      <c r="AF218" s="221"/>
      <c r="AG218" s="221"/>
      <c r="AH218" s="221"/>
      <c r="AI218" s="221"/>
      <c r="AJ218" s="221"/>
      <c r="AK218" s="221"/>
      <c r="AL218" s="221"/>
      <c r="AM218" s="221"/>
      <c r="AN218" s="221"/>
      <c r="AO218" s="221"/>
      <c r="AP218" s="221"/>
      <c r="AQ218" s="221"/>
      <c r="AR218" s="221"/>
    </row>
    <row r="219" spans="1:44" s="384" customFormat="1" ht="12" customHeight="1">
      <c r="A219" s="221"/>
      <c r="B219" s="968"/>
      <c r="C219" s="968"/>
      <c r="D219" s="968"/>
      <c r="E219" s="968"/>
      <c r="F219" s="968"/>
      <c r="G219" s="968"/>
      <c r="H219" s="968"/>
      <c r="I219" s="968"/>
      <c r="J219" s="968"/>
      <c r="K219" s="968"/>
      <c r="L219" s="968"/>
      <c r="M219" s="968"/>
      <c r="N219" s="968"/>
      <c r="O219" s="968"/>
      <c r="P219" s="970"/>
      <c r="Q219" s="3093"/>
      <c r="R219" s="968"/>
      <c r="X219" s="221"/>
      <c r="Y219" s="221"/>
      <c r="Z219" s="221"/>
      <c r="AA219" s="221"/>
      <c r="AB219" s="221"/>
      <c r="AC219" s="221"/>
      <c r="AD219" s="221"/>
      <c r="AE219" s="221"/>
      <c r="AF219" s="221"/>
      <c r="AG219" s="221"/>
      <c r="AH219" s="221"/>
      <c r="AI219" s="221"/>
      <c r="AJ219" s="221"/>
      <c r="AK219" s="221"/>
      <c r="AL219" s="221"/>
      <c r="AM219" s="221"/>
      <c r="AN219" s="221"/>
      <c r="AO219" s="221"/>
      <c r="AP219" s="221"/>
      <c r="AQ219" s="221"/>
      <c r="AR219" s="221"/>
    </row>
    <row r="220" spans="1:44" s="384" customFormat="1" ht="12" customHeight="1">
      <c r="A220" s="221"/>
      <c r="B220" s="968"/>
      <c r="C220" s="968"/>
      <c r="D220" s="968"/>
      <c r="E220" s="968"/>
      <c r="F220" s="968"/>
      <c r="G220" s="968"/>
      <c r="H220" s="968"/>
      <c r="I220" s="968"/>
      <c r="J220" s="968"/>
      <c r="K220" s="968"/>
      <c r="L220" s="968"/>
      <c r="M220" s="968"/>
      <c r="N220" s="968"/>
      <c r="O220" s="968"/>
      <c r="P220" s="970"/>
      <c r="Q220" s="3093"/>
      <c r="R220" s="968"/>
      <c r="X220" s="221"/>
      <c r="Y220" s="221"/>
      <c r="Z220" s="221"/>
      <c r="AA220" s="221"/>
      <c r="AB220" s="221"/>
      <c r="AC220" s="221"/>
      <c r="AD220" s="221"/>
      <c r="AE220" s="221"/>
      <c r="AF220" s="221"/>
      <c r="AG220" s="221"/>
      <c r="AH220" s="221"/>
      <c r="AI220" s="221"/>
      <c r="AJ220" s="221"/>
      <c r="AK220" s="221"/>
      <c r="AL220" s="221"/>
      <c r="AM220" s="221"/>
      <c r="AN220" s="221"/>
      <c r="AO220" s="221"/>
      <c r="AP220" s="221"/>
      <c r="AQ220" s="221"/>
      <c r="AR220" s="221"/>
    </row>
    <row r="221" spans="1:44" s="384" customFormat="1" ht="12" customHeight="1">
      <c r="A221" s="221"/>
      <c r="B221" s="968"/>
      <c r="C221" s="968"/>
      <c r="D221" s="968"/>
      <c r="E221" s="968"/>
      <c r="F221" s="968"/>
      <c r="G221" s="968"/>
      <c r="H221" s="968"/>
      <c r="I221" s="968"/>
      <c r="J221" s="968"/>
      <c r="K221" s="968"/>
      <c r="L221" s="968"/>
      <c r="M221" s="968"/>
      <c r="N221" s="968"/>
      <c r="O221" s="968"/>
      <c r="P221" s="970"/>
      <c r="Q221" s="3093"/>
      <c r="R221" s="968"/>
      <c r="X221" s="221"/>
      <c r="Y221" s="221"/>
      <c r="Z221" s="221"/>
      <c r="AA221" s="221"/>
      <c r="AB221" s="221"/>
      <c r="AC221" s="221"/>
      <c r="AD221" s="221"/>
      <c r="AE221" s="221"/>
      <c r="AF221" s="221"/>
      <c r="AG221" s="221"/>
      <c r="AH221" s="221"/>
      <c r="AI221" s="221"/>
      <c r="AJ221" s="221"/>
      <c r="AK221" s="221"/>
      <c r="AL221" s="221"/>
      <c r="AM221" s="221"/>
      <c r="AN221" s="221"/>
      <c r="AO221" s="221"/>
      <c r="AP221" s="221"/>
      <c r="AQ221" s="221"/>
      <c r="AR221" s="221"/>
    </row>
    <row r="222" spans="1:44" s="384" customFormat="1" ht="12" customHeight="1">
      <c r="A222" s="221"/>
      <c r="B222" s="968"/>
      <c r="C222" s="968"/>
      <c r="D222" s="968"/>
      <c r="E222" s="968"/>
      <c r="F222" s="968"/>
      <c r="G222" s="968"/>
      <c r="H222" s="968"/>
      <c r="I222" s="968"/>
      <c r="J222" s="968"/>
      <c r="K222" s="968"/>
      <c r="L222" s="968"/>
      <c r="M222" s="968"/>
      <c r="N222" s="968"/>
      <c r="O222" s="968"/>
      <c r="P222" s="3094"/>
      <c r="Q222" s="968"/>
      <c r="R222" s="968"/>
      <c r="X222" s="221"/>
      <c r="Y222" s="221"/>
      <c r="Z222" s="221"/>
      <c r="AA222" s="221"/>
      <c r="AB222" s="221"/>
      <c r="AC222" s="221"/>
      <c r="AD222" s="221"/>
      <c r="AE222" s="221"/>
      <c r="AF222" s="221"/>
      <c r="AG222" s="221"/>
      <c r="AH222" s="221"/>
      <c r="AI222" s="221"/>
      <c r="AJ222" s="221"/>
      <c r="AK222" s="221"/>
      <c r="AL222" s="221"/>
      <c r="AM222" s="221"/>
      <c r="AN222" s="221"/>
      <c r="AO222" s="221"/>
      <c r="AP222" s="221"/>
      <c r="AQ222" s="221"/>
      <c r="AR222" s="221"/>
    </row>
    <row r="223" spans="1:44" s="384" customFormat="1" ht="12" customHeight="1">
      <c r="A223" s="221"/>
      <c r="B223" s="968"/>
      <c r="C223" s="968"/>
      <c r="D223" s="968"/>
      <c r="E223" s="968"/>
      <c r="F223" s="968"/>
      <c r="G223" s="968"/>
      <c r="H223" s="968"/>
      <c r="I223" s="968"/>
      <c r="J223" s="968"/>
      <c r="K223" s="968"/>
      <c r="L223" s="968"/>
      <c r="M223" s="968"/>
      <c r="N223" s="968"/>
      <c r="O223" s="968"/>
      <c r="P223" s="970"/>
      <c r="Q223" s="3093"/>
      <c r="R223" s="968"/>
      <c r="X223" s="221"/>
      <c r="Y223" s="221"/>
      <c r="Z223" s="221"/>
      <c r="AA223" s="221"/>
      <c r="AB223" s="221"/>
      <c r="AC223" s="221"/>
      <c r="AD223" s="221"/>
      <c r="AE223" s="221"/>
      <c r="AF223" s="221"/>
      <c r="AG223" s="221"/>
      <c r="AH223" s="221"/>
      <c r="AI223" s="221"/>
      <c r="AJ223" s="221"/>
      <c r="AK223" s="221"/>
      <c r="AL223" s="221"/>
      <c r="AM223" s="221"/>
      <c r="AN223" s="221"/>
      <c r="AO223" s="221"/>
      <c r="AP223" s="221"/>
      <c r="AQ223" s="221"/>
      <c r="AR223" s="221"/>
    </row>
    <row r="224" spans="1:44" s="384" customFormat="1" ht="12" customHeight="1">
      <c r="A224" s="221"/>
      <c r="B224" s="968"/>
      <c r="C224" s="968"/>
      <c r="D224" s="968"/>
      <c r="E224" s="968"/>
      <c r="F224" s="968"/>
      <c r="G224" s="968"/>
      <c r="H224" s="968"/>
      <c r="I224" s="968"/>
      <c r="J224" s="968"/>
      <c r="K224" s="968"/>
      <c r="L224" s="968"/>
      <c r="M224" s="968"/>
      <c r="N224" s="968"/>
      <c r="O224" s="968"/>
      <c r="P224" s="970"/>
      <c r="Q224" s="3093"/>
      <c r="R224" s="968"/>
      <c r="X224" s="221"/>
      <c r="Y224" s="221"/>
      <c r="Z224" s="221"/>
      <c r="AA224" s="221"/>
      <c r="AB224" s="221"/>
      <c r="AC224" s="221"/>
      <c r="AD224" s="221"/>
      <c r="AE224" s="221"/>
      <c r="AF224" s="221"/>
      <c r="AG224" s="221"/>
      <c r="AH224" s="221"/>
      <c r="AI224" s="221"/>
      <c r="AJ224" s="221"/>
      <c r="AK224" s="221"/>
      <c r="AL224" s="221"/>
      <c r="AM224" s="221"/>
      <c r="AN224" s="221"/>
      <c r="AO224" s="221"/>
      <c r="AP224" s="221"/>
      <c r="AQ224" s="221"/>
      <c r="AR224" s="221"/>
    </row>
    <row r="225" spans="1:44" s="384" customFormat="1" ht="12" customHeight="1">
      <c r="A225" s="221"/>
      <c r="B225" s="968"/>
      <c r="C225" s="968"/>
      <c r="D225" s="968"/>
      <c r="E225" s="968"/>
      <c r="F225" s="968"/>
      <c r="G225" s="968"/>
      <c r="H225" s="968"/>
      <c r="I225" s="968"/>
      <c r="J225" s="968"/>
      <c r="K225" s="968"/>
      <c r="L225" s="968"/>
      <c r="M225" s="968"/>
      <c r="N225" s="968"/>
      <c r="O225" s="968"/>
      <c r="P225" s="970"/>
      <c r="Q225" s="3093"/>
      <c r="R225" s="968"/>
      <c r="X225" s="221"/>
      <c r="Y225" s="221"/>
      <c r="Z225" s="221"/>
      <c r="AA225" s="221"/>
      <c r="AB225" s="221"/>
      <c r="AC225" s="221"/>
      <c r="AD225" s="221"/>
      <c r="AE225" s="221"/>
      <c r="AF225" s="221"/>
      <c r="AG225" s="221"/>
      <c r="AH225" s="221"/>
      <c r="AI225" s="221"/>
      <c r="AJ225" s="221"/>
      <c r="AK225" s="221"/>
      <c r="AL225" s="221"/>
      <c r="AM225" s="221"/>
      <c r="AN225" s="221"/>
      <c r="AO225" s="221"/>
      <c r="AP225" s="221"/>
      <c r="AQ225" s="221"/>
      <c r="AR225" s="221"/>
    </row>
    <row r="226" spans="1:44" s="384" customFormat="1" ht="12" customHeight="1">
      <c r="A226" s="221"/>
      <c r="B226" s="968"/>
      <c r="C226" s="968"/>
      <c r="D226" s="968"/>
      <c r="E226" s="968"/>
      <c r="F226" s="968"/>
      <c r="G226" s="968"/>
      <c r="H226" s="968"/>
      <c r="I226" s="968"/>
      <c r="J226" s="968"/>
      <c r="K226" s="968"/>
      <c r="L226" s="968"/>
      <c r="M226" s="968"/>
      <c r="N226" s="968"/>
      <c r="O226" s="968"/>
      <c r="P226" s="3094"/>
      <c r="Q226" s="968"/>
      <c r="R226" s="968"/>
      <c r="X226" s="221"/>
      <c r="Y226" s="221"/>
      <c r="Z226" s="221"/>
      <c r="AA226" s="221"/>
      <c r="AB226" s="221"/>
      <c r="AC226" s="221"/>
      <c r="AD226" s="221"/>
      <c r="AE226" s="221"/>
      <c r="AF226" s="221"/>
      <c r="AG226" s="221"/>
      <c r="AH226" s="221"/>
      <c r="AI226" s="221"/>
      <c r="AJ226" s="221"/>
      <c r="AK226" s="221"/>
      <c r="AL226" s="221"/>
      <c r="AM226" s="221"/>
      <c r="AN226" s="221"/>
      <c r="AO226" s="221"/>
      <c r="AP226" s="221"/>
      <c r="AQ226" s="221"/>
      <c r="AR226" s="221"/>
    </row>
    <row r="227" spans="1:44" s="384" customFormat="1" ht="12" customHeight="1">
      <c r="A227" s="221"/>
      <c r="B227" s="968"/>
      <c r="C227" s="968"/>
      <c r="D227" s="968"/>
      <c r="E227" s="968"/>
      <c r="F227" s="968"/>
      <c r="G227" s="968"/>
      <c r="H227" s="968"/>
      <c r="I227" s="968"/>
      <c r="J227" s="968"/>
      <c r="K227" s="968"/>
      <c r="L227" s="968"/>
      <c r="M227" s="968"/>
      <c r="N227" s="968"/>
      <c r="O227" s="968"/>
      <c r="P227" s="970"/>
      <c r="Q227" s="3093"/>
      <c r="R227" s="968"/>
      <c r="X227" s="221"/>
      <c r="Y227" s="221"/>
      <c r="Z227" s="221"/>
      <c r="AA227" s="221"/>
      <c r="AB227" s="221"/>
      <c r="AC227" s="221"/>
      <c r="AD227" s="221"/>
      <c r="AE227" s="221"/>
      <c r="AF227" s="221"/>
      <c r="AG227" s="221"/>
      <c r="AH227" s="221"/>
      <c r="AI227" s="221"/>
      <c r="AJ227" s="221"/>
      <c r="AK227" s="221"/>
      <c r="AL227" s="221"/>
      <c r="AM227" s="221"/>
      <c r="AN227" s="221"/>
      <c r="AO227" s="221"/>
      <c r="AP227" s="221"/>
      <c r="AQ227" s="221"/>
      <c r="AR227" s="221"/>
    </row>
    <row r="228" spans="1:44" s="384" customFormat="1" ht="12" customHeight="1">
      <c r="A228" s="221"/>
      <c r="B228" s="968"/>
      <c r="C228" s="968"/>
      <c r="D228" s="968"/>
      <c r="E228" s="968"/>
      <c r="F228" s="968"/>
      <c r="G228" s="968"/>
      <c r="H228" s="968"/>
      <c r="I228" s="968"/>
      <c r="J228" s="968"/>
      <c r="K228" s="968"/>
      <c r="L228" s="968"/>
      <c r="M228" s="968"/>
      <c r="N228" s="968"/>
      <c r="O228" s="968"/>
      <c r="P228" s="970"/>
      <c r="Q228" s="3093"/>
      <c r="R228" s="968"/>
      <c r="X228" s="221"/>
      <c r="Y228" s="221"/>
      <c r="Z228" s="221"/>
      <c r="AA228" s="221"/>
      <c r="AB228" s="221"/>
      <c r="AC228" s="221"/>
      <c r="AD228" s="221"/>
      <c r="AE228" s="221"/>
      <c r="AF228" s="221"/>
      <c r="AG228" s="221"/>
      <c r="AH228" s="221"/>
      <c r="AI228" s="221"/>
      <c r="AJ228" s="221"/>
      <c r="AK228" s="221"/>
      <c r="AL228" s="221"/>
      <c r="AM228" s="221"/>
      <c r="AN228" s="221"/>
      <c r="AO228" s="221"/>
      <c r="AP228" s="221"/>
      <c r="AQ228" s="221"/>
      <c r="AR228" s="221"/>
    </row>
    <row r="229" spans="1:44" s="384" customFormat="1" ht="12" customHeight="1">
      <c r="A229" s="221"/>
      <c r="B229" s="968"/>
      <c r="C229" s="968"/>
      <c r="D229" s="968"/>
      <c r="E229" s="968"/>
      <c r="F229" s="968"/>
      <c r="G229" s="968"/>
      <c r="H229" s="968"/>
      <c r="I229" s="968"/>
      <c r="J229" s="968"/>
      <c r="K229" s="968"/>
      <c r="L229" s="968"/>
      <c r="M229" s="968"/>
      <c r="N229" s="968"/>
      <c r="O229" s="968"/>
      <c r="P229" s="970"/>
      <c r="Q229" s="3093"/>
      <c r="R229" s="968"/>
      <c r="X229" s="221"/>
      <c r="Y229" s="221"/>
      <c r="Z229" s="221"/>
      <c r="AA229" s="221"/>
      <c r="AB229" s="221"/>
      <c r="AC229" s="221"/>
      <c r="AD229" s="221"/>
      <c r="AE229" s="221"/>
      <c r="AF229" s="221"/>
      <c r="AG229" s="221"/>
      <c r="AH229" s="221"/>
      <c r="AI229" s="221"/>
      <c r="AJ229" s="221"/>
      <c r="AK229" s="221"/>
      <c r="AL229" s="221"/>
      <c r="AM229" s="221"/>
      <c r="AN229" s="221"/>
      <c r="AO229" s="221"/>
      <c r="AP229" s="221"/>
      <c r="AQ229" s="221"/>
      <c r="AR229" s="221"/>
    </row>
    <row r="230" spans="1:44" s="384" customFormat="1" ht="12" customHeight="1">
      <c r="A230" s="221"/>
      <c r="B230" s="968"/>
      <c r="C230" s="968"/>
      <c r="D230" s="968"/>
      <c r="E230" s="968"/>
      <c r="F230" s="968"/>
      <c r="G230" s="968"/>
      <c r="H230" s="968"/>
      <c r="I230" s="968"/>
      <c r="J230" s="968"/>
      <c r="K230" s="968"/>
      <c r="L230" s="968"/>
      <c r="M230" s="968"/>
      <c r="N230" s="968"/>
      <c r="O230" s="968"/>
      <c r="P230" s="970"/>
      <c r="Q230" s="3093"/>
      <c r="R230" s="968"/>
      <c r="X230" s="221"/>
      <c r="Y230" s="221"/>
      <c r="Z230" s="221"/>
      <c r="AA230" s="221"/>
      <c r="AB230" s="221"/>
      <c r="AC230" s="221"/>
      <c r="AD230" s="221"/>
      <c r="AE230" s="221"/>
      <c r="AF230" s="221"/>
      <c r="AG230" s="221"/>
      <c r="AH230" s="221"/>
      <c r="AI230" s="221"/>
      <c r="AJ230" s="221"/>
      <c r="AK230" s="221"/>
      <c r="AL230" s="221"/>
      <c r="AM230" s="221"/>
      <c r="AN230" s="221"/>
      <c r="AO230" s="221"/>
      <c r="AP230" s="221"/>
      <c r="AQ230" s="221"/>
      <c r="AR230" s="221"/>
    </row>
    <row r="231" spans="1:44" s="384" customFormat="1" ht="12" customHeight="1">
      <c r="A231" s="221"/>
      <c r="B231" s="968"/>
      <c r="C231" s="968"/>
      <c r="D231" s="968"/>
      <c r="E231" s="968"/>
      <c r="F231" s="968"/>
      <c r="G231" s="968"/>
      <c r="H231" s="968"/>
      <c r="I231" s="968"/>
      <c r="J231" s="968"/>
      <c r="K231" s="968"/>
      <c r="L231" s="968"/>
      <c r="M231" s="968"/>
      <c r="N231" s="968"/>
      <c r="O231" s="968"/>
      <c r="P231" s="970"/>
      <c r="Q231" s="3093"/>
      <c r="R231" s="968"/>
      <c r="X231" s="221"/>
      <c r="Y231" s="221"/>
      <c r="Z231" s="221"/>
      <c r="AA231" s="221"/>
      <c r="AB231" s="221"/>
      <c r="AC231" s="221"/>
      <c r="AD231" s="221"/>
      <c r="AE231" s="221"/>
      <c r="AF231" s="221"/>
      <c r="AG231" s="221"/>
      <c r="AH231" s="221"/>
      <c r="AI231" s="221"/>
      <c r="AJ231" s="221"/>
      <c r="AK231" s="221"/>
      <c r="AL231" s="221"/>
      <c r="AM231" s="221"/>
      <c r="AN231" s="221"/>
      <c r="AO231" s="221"/>
      <c r="AP231" s="221"/>
      <c r="AQ231" s="221"/>
      <c r="AR231" s="221"/>
    </row>
    <row r="232" spans="1:44" s="384" customFormat="1" ht="12" customHeight="1">
      <c r="A232" s="221"/>
      <c r="B232" s="968"/>
      <c r="C232" s="968"/>
      <c r="D232" s="968"/>
      <c r="E232" s="968"/>
      <c r="F232" s="968"/>
      <c r="G232" s="968"/>
      <c r="H232" s="968"/>
      <c r="I232" s="968"/>
      <c r="J232" s="968"/>
      <c r="K232" s="968"/>
      <c r="L232" s="968"/>
      <c r="M232" s="968"/>
      <c r="N232" s="968"/>
      <c r="O232" s="968"/>
      <c r="P232" s="970"/>
      <c r="Q232" s="3093"/>
      <c r="R232" s="968"/>
      <c r="X232" s="221"/>
      <c r="Y232" s="221"/>
      <c r="Z232" s="221"/>
      <c r="AA232" s="221"/>
      <c r="AB232" s="221"/>
      <c r="AC232" s="221"/>
      <c r="AD232" s="221"/>
      <c r="AE232" s="221"/>
      <c r="AF232" s="221"/>
      <c r="AG232" s="221"/>
      <c r="AH232" s="221"/>
      <c r="AI232" s="221"/>
      <c r="AJ232" s="221"/>
      <c r="AK232" s="221"/>
      <c r="AL232" s="221"/>
      <c r="AM232" s="221"/>
      <c r="AN232" s="221"/>
      <c r="AO232" s="221"/>
      <c r="AP232" s="221"/>
      <c r="AQ232" s="221"/>
      <c r="AR232" s="221"/>
    </row>
    <row r="233" spans="1:44" s="384" customFormat="1" ht="12" customHeight="1">
      <c r="A233" s="221"/>
      <c r="B233" s="968"/>
      <c r="C233" s="968"/>
      <c r="D233" s="968"/>
      <c r="E233" s="968"/>
      <c r="F233" s="968"/>
      <c r="G233" s="968"/>
      <c r="H233" s="968"/>
      <c r="I233" s="968"/>
      <c r="J233" s="968"/>
      <c r="K233" s="968"/>
      <c r="L233" s="968"/>
      <c r="M233" s="968"/>
      <c r="N233" s="968"/>
      <c r="O233" s="968"/>
      <c r="P233" s="970"/>
      <c r="Q233" s="3093"/>
      <c r="R233" s="968"/>
      <c r="X233" s="221"/>
      <c r="Y233" s="221"/>
      <c r="Z233" s="221"/>
      <c r="AA233" s="221"/>
      <c r="AB233" s="221"/>
      <c r="AC233" s="221"/>
      <c r="AD233" s="221"/>
      <c r="AE233" s="221"/>
      <c r="AF233" s="221"/>
      <c r="AG233" s="221"/>
      <c r="AH233" s="221"/>
      <c r="AI233" s="221"/>
      <c r="AJ233" s="221"/>
      <c r="AK233" s="221"/>
      <c r="AL233" s="221"/>
      <c r="AM233" s="221"/>
      <c r="AN233" s="221"/>
      <c r="AO233" s="221"/>
      <c r="AP233" s="221"/>
      <c r="AQ233" s="221"/>
      <c r="AR233" s="221"/>
    </row>
    <row r="234" spans="1:44" s="384" customFormat="1" ht="12" customHeight="1">
      <c r="A234" s="221"/>
      <c r="B234" s="968"/>
      <c r="C234" s="968"/>
      <c r="D234" s="968"/>
      <c r="E234" s="968"/>
      <c r="F234" s="968"/>
      <c r="G234" s="968"/>
      <c r="H234" s="968"/>
      <c r="I234" s="968"/>
      <c r="J234" s="968"/>
      <c r="K234" s="968"/>
      <c r="L234" s="968"/>
      <c r="M234" s="968"/>
      <c r="N234" s="968"/>
      <c r="O234" s="968"/>
      <c r="P234" s="970"/>
      <c r="Q234" s="3093"/>
      <c r="R234" s="968"/>
      <c r="X234" s="221"/>
      <c r="Y234" s="221"/>
      <c r="Z234" s="221"/>
      <c r="AA234" s="221"/>
      <c r="AB234" s="221"/>
      <c r="AC234" s="221"/>
      <c r="AD234" s="221"/>
      <c r="AE234" s="221"/>
      <c r="AF234" s="221"/>
      <c r="AG234" s="221"/>
      <c r="AH234" s="221"/>
      <c r="AI234" s="221"/>
      <c r="AJ234" s="221"/>
      <c r="AK234" s="221"/>
      <c r="AL234" s="221"/>
      <c r="AM234" s="221"/>
      <c r="AN234" s="221"/>
      <c r="AO234" s="221"/>
      <c r="AP234" s="221"/>
      <c r="AQ234" s="221"/>
      <c r="AR234" s="221"/>
    </row>
    <row r="235" spans="1:44" s="384" customFormat="1" ht="12" customHeight="1">
      <c r="A235" s="221"/>
      <c r="B235" s="968"/>
      <c r="C235" s="968"/>
      <c r="D235" s="968"/>
      <c r="E235" s="968"/>
      <c r="F235" s="968"/>
      <c r="G235" s="968"/>
      <c r="H235" s="968"/>
      <c r="I235" s="968"/>
      <c r="J235" s="968"/>
      <c r="K235" s="968"/>
      <c r="L235" s="968"/>
      <c r="M235" s="968"/>
      <c r="N235" s="968"/>
      <c r="O235" s="968"/>
      <c r="P235" s="970"/>
      <c r="Q235" s="3093"/>
      <c r="R235" s="968"/>
      <c r="X235" s="221"/>
      <c r="Y235" s="221"/>
      <c r="Z235" s="221"/>
      <c r="AA235" s="221"/>
      <c r="AB235" s="221"/>
      <c r="AC235" s="221"/>
      <c r="AD235" s="221"/>
      <c r="AE235" s="221"/>
      <c r="AF235" s="221"/>
      <c r="AG235" s="221"/>
      <c r="AH235" s="221"/>
      <c r="AI235" s="221"/>
      <c r="AJ235" s="221"/>
      <c r="AK235" s="221"/>
      <c r="AL235" s="221"/>
      <c r="AM235" s="221"/>
      <c r="AN235" s="221"/>
      <c r="AO235" s="221"/>
      <c r="AP235" s="221"/>
      <c r="AQ235" s="221"/>
      <c r="AR235" s="221"/>
    </row>
    <row r="236" spans="1:44" s="384" customFormat="1" ht="12" customHeight="1">
      <c r="A236" s="221"/>
      <c r="B236" s="968"/>
      <c r="C236" s="968"/>
      <c r="D236" s="968"/>
      <c r="E236" s="968"/>
      <c r="F236" s="968"/>
      <c r="G236" s="968"/>
      <c r="H236" s="968"/>
      <c r="I236" s="968"/>
      <c r="J236" s="968"/>
      <c r="K236" s="968"/>
      <c r="L236" s="968"/>
      <c r="M236" s="968"/>
      <c r="N236" s="968"/>
      <c r="O236" s="968"/>
      <c r="P236" s="970"/>
      <c r="Q236" s="3093"/>
      <c r="R236" s="968"/>
      <c r="X236" s="221"/>
      <c r="Y236" s="221"/>
      <c r="Z236" s="221"/>
      <c r="AA236" s="221"/>
      <c r="AB236" s="221"/>
      <c r="AC236" s="221"/>
      <c r="AD236" s="221"/>
      <c r="AE236" s="221"/>
      <c r="AF236" s="221"/>
      <c r="AG236" s="221"/>
      <c r="AH236" s="221"/>
      <c r="AI236" s="221"/>
      <c r="AJ236" s="221"/>
      <c r="AK236" s="221"/>
      <c r="AL236" s="221"/>
      <c r="AM236" s="221"/>
      <c r="AN236" s="221"/>
      <c r="AO236" s="221"/>
      <c r="AP236" s="221"/>
      <c r="AQ236" s="221"/>
      <c r="AR236" s="221"/>
    </row>
    <row r="237" spans="1:44" s="384" customFormat="1" ht="12" customHeight="1">
      <c r="A237" s="221"/>
      <c r="B237" s="968"/>
      <c r="C237" s="968"/>
      <c r="D237" s="968"/>
      <c r="E237" s="968"/>
      <c r="F237" s="968"/>
      <c r="G237" s="968"/>
      <c r="H237" s="968"/>
      <c r="I237" s="968"/>
      <c r="J237" s="968"/>
      <c r="K237" s="968"/>
      <c r="L237" s="968"/>
      <c r="M237" s="968"/>
      <c r="N237" s="968"/>
      <c r="O237" s="968"/>
      <c r="P237" s="970"/>
      <c r="Q237" s="3093"/>
      <c r="R237" s="968"/>
      <c r="X237" s="221"/>
      <c r="Y237" s="221"/>
      <c r="Z237" s="221"/>
      <c r="AA237" s="221"/>
      <c r="AB237" s="221"/>
      <c r="AC237" s="221"/>
      <c r="AD237" s="221"/>
      <c r="AE237" s="221"/>
      <c r="AF237" s="221"/>
      <c r="AG237" s="221"/>
      <c r="AH237" s="221"/>
      <c r="AI237" s="221"/>
      <c r="AJ237" s="221"/>
      <c r="AK237" s="221"/>
      <c r="AL237" s="221"/>
      <c r="AM237" s="221"/>
      <c r="AN237" s="221"/>
      <c r="AO237" s="221"/>
      <c r="AP237" s="221"/>
      <c r="AQ237" s="221"/>
      <c r="AR237" s="221"/>
    </row>
    <row r="238" spans="1:44" s="384" customFormat="1" ht="12" customHeight="1">
      <c r="A238" s="221"/>
      <c r="B238" s="968"/>
      <c r="C238" s="968"/>
      <c r="D238" s="968"/>
      <c r="E238" s="968"/>
      <c r="F238" s="968"/>
      <c r="G238" s="968"/>
      <c r="H238" s="968"/>
      <c r="I238" s="968"/>
      <c r="J238" s="968"/>
      <c r="K238" s="968"/>
      <c r="L238" s="968"/>
      <c r="M238" s="968"/>
      <c r="N238" s="968"/>
      <c r="O238" s="968"/>
      <c r="P238" s="970"/>
      <c r="Q238" s="3093"/>
      <c r="R238" s="968"/>
      <c r="X238" s="221"/>
      <c r="Y238" s="221"/>
      <c r="Z238" s="221"/>
      <c r="AA238" s="221"/>
      <c r="AB238" s="221"/>
      <c r="AC238" s="221"/>
      <c r="AD238" s="221"/>
      <c r="AE238" s="221"/>
      <c r="AF238" s="221"/>
      <c r="AG238" s="221"/>
      <c r="AH238" s="221"/>
      <c r="AI238" s="221"/>
      <c r="AJ238" s="221"/>
      <c r="AK238" s="221"/>
      <c r="AL238" s="221"/>
      <c r="AM238" s="221"/>
      <c r="AN238" s="221"/>
      <c r="AO238" s="221"/>
      <c r="AP238" s="221"/>
      <c r="AQ238" s="221"/>
      <c r="AR238" s="221"/>
    </row>
    <row r="239" spans="1:44" s="384" customFormat="1" ht="12" customHeight="1">
      <c r="A239" s="221"/>
      <c r="B239" s="968"/>
      <c r="C239" s="968"/>
      <c r="D239" s="968"/>
      <c r="E239" s="968"/>
      <c r="F239" s="968"/>
      <c r="G239" s="968"/>
      <c r="H239" s="968"/>
      <c r="I239" s="968"/>
      <c r="J239" s="968"/>
      <c r="K239" s="968"/>
      <c r="L239" s="968"/>
      <c r="M239" s="968"/>
      <c r="N239" s="968"/>
      <c r="O239" s="968"/>
      <c r="P239" s="970"/>
      <c r="Q239" s="3093"/>
      <c r="R239" s="968"/>
      <c r="X239" s="221"/>
      <c r="Y239" s="221"/>
      <c r="Z239" s="221"/>
      <c r="AA239" s="221"/>
      <c r="AB239" s="221"/>
      <c r="AC239" s="221"/>
      <c r="AD239" s="221"/>
      <c r="AE239" s="221"/>
      <c r="AF239" s="221"/>
      <c r="AG239" s="221"/>
      <c r="AH239" s="221"/>
      <c r="AI239" s="221"/>
      <c r="AJ239" s="221"/>
      <c r="AK239" s="221"/>
      <c r="AL239" s="221"/>
      <c r="AM239" s="221"/>
      <c r="AN239" s="221"/>
      <c r="AO239" s="221"/>
      <c r="AP239" s="221"/>
      <c r="AQ239" s="221"/>
      <c r="AR239" s="221"/>
    </row>
    <row r="240" spans="1:44" s="384" customFormat="1" ht="12" customHeight="1">
      <c r="A240" s="221"/>
      <c r="B240" s="968"/>
      <c r="C240" s="968"/>
      <c r="D240" s="968"/>
      <c r="E240" s="968"/>
      <c r="F240" s="968"/>
      <c r="G240" s="968"/>
      <c r="H240" s="968"/>
      <c r="I240" s="968"/>
      <c r="J240" s="968"/>
      <c r="K240" s="968"/>
      <c r="L240" s="968"/>
      <c r="M240" s="968"/>
      <c r="N240" s="968"/>
      <c r="O240" s="968"/>
      <c r="P240" s="3095"/>
      <c r="Q240" s="3093"/>
      <c r="R240" s="970"/>
      <c r="S240" s="3096"/>
      <c r="X240" s="221"/>
      <c r="Y240" s="221"/>
      <c r="Z240" s="221"/>
      <c r="AA240" s="221"/>
      <c r="AB240" s="221"/>
      <c r="AC240" s="221"/>
      <c r="AD240" s="221"/>
      <c r="AE240" s="221"/>
      <c r="AF240" s="221"/>
      <c r="AG240" s="221"/>
      <c r="AH240" s="221"/>
      <c r="AI240" s="221"/>
      <c r="AJ240" s="221"/>
      <c r="AK240" s="221"/>
      <c r="AL240" s="221"/>
      <c r="AM240" s="221"/>
      <c r="AN240" s="221"/>
      <c r="AO240" s="221"/>
      <c r="AP240" s="221"/>
      <c r="AQ240" s="221"/>
      <c r="AR240" s="221"/>
    </row>
    <row r="241" spans="1:44" s="384" customFormat="1" ht="12" customHeight="1">
      <c r="A241" s="221"/>
      <c r="B241" s="968"/>
      <c r="C241" s="968"/>
      <c r="D241" s="968"/>
      <c r="E241" s="968"/>
      <c r="F241" s="968"/>
      <c r="G241" s="968"/>
      <c r="H241" s="968"/>
      <c r="I241" s="968"/>
      <c r="J241" s="968"/>
      <c r="K241" s="968"/>
      <c r="L241" s="968"/>
      <c r="M241" s="968"/>
      <c r="N241" s="968"/>
      <c r="O241" s="968"/>
      <c r="P241" s="970"/>
      <c r="Q241" s="3093"/>
      <c r="R241" s="970"/>
      <c r="S241" s="3096"/>
      <c r="X241" s="221"/>
      <c r="Y241" s="221"/>
      <c r="Z241" s="221"/>
      <c r="AA241" s="221"/>
      <c r="AB241" s="221"/>
      <c r="AC241" s="221"/>
      <c r="AD241" s="221"/>
      <c r="AE241" s="221"/>
      <c r="AF241" s="221"/>
      <c r="AG241" s="221"/>
      <c r="AH241" s="221"/>
      <c r="AI241" s="221"/>
      <c r="AJ241" s="221"/>
      <c r="AK241" s="221"/>
      <c r="AL241" s="221"/>
      <c r="AM241" s="221"/>
      <c r="AN241" s="221"/>
      <c r="AO241" s="221"/>
      <c r="AP241" s="221"/>
      <c r="AQ241" s="221"/>
      <c r="AR241" s="221"/>
    </row>
    <row r="242" spans="1:44" s="384" customFormat="1" ht="12" customHeight="1">
      <c r="A242" s="221"/>
      <c r="B242" s="968"/>
      <c r="C242" s="968"/>
      <c r="D242" s="968"/>
      <c r="E242" s="968"/>
      <c r="F242" s="968"/>
      <c r="G242" s="968"/>
      <c r="H242" s="968"/>
      <c r="I242" s="968"/>
      <c r="J242" s="968"/>
      <c r="K242" s="968"/>
      <c r="L242" s="968"/>
      <c r="M242" s="968"/>
      <c r="N242" s="968"/>
      <c r="O242" s="968"/>
      <c r="P242" s="970"/>
      <c r="Q242" s="3093"/>
      <c r="R242" s="970"/>
      <c r="S242" s="3096"/>
      <c r="X242" s="221"/>
      <c r="Y242" s="221"/>
      <c r="Z242" s="221"/>
      <c r="AA242" s="221"/>
      <c r="AB242" s="221"/>
      <c r="AC242" s="221"/>
      <c r="AD242" s="221"/>
      <c r="AE242" s="221"/>
      <c r="AF242" s="221"/>
      <c r="AG242" s="221"/>
      <c r="AH242" s="221"/>
      <c r="AI242" s="221"/>
      <c r="AJ242" s="221"/>
      <c r="AK242" s="221"/>
      <c r="AL242" s="221"/>
      <c r="AM242" s="221"/>
      <c r="AN242" s="221"/>
      <c r="AO242" s="221"/>
      <c r="AP242" s="221"/>
      <c r="AQ242" s="221"/>
      <c r="AR242" s="221"/>
    </row>
    <row r="243" spans="1:44" s="384" customFormat="1" ht="12" customHeight="1">
      <c r="A243" s="221"/>
      <c r="B243" s="968"/>
      <c r="C243" s="968"/>
      <c r="D243" s="968"/>
      <c r="E243" s="968"/>
      <c r="F243" s="968"/>
      <c r="G243" s="968"/>
      <c r="H243" s="968"/>
      <c r="I243" s="968"/>
      <c r="J243" s="968"/>
      <c r="K243" s="968"/>
      <c r="L243" s="968"/>
      <c r="M243" s="968"/>
      <c r="N243" s="968"/>
      <c r="O243" s="968"/>
      <c r="P243" s="970"/>
      <c r="Q243" s="3093"/>
      <c r="R243" s="970"/>
      <c r="S243" s="3096"/>
      <c r="X243" s="221"/>
      <c r="Y243" s="221"/>
      <c r="Z243" s="221"/>
      <c r="AA243" s="221"/>
      <c r="AB243" s="221"/>
      <c r="AC243" s="221"/>
      <c r="AD243" s="221"/>
      <c r="AE243" s="221"/>
      <c r="AF243" s="221"/>
      <c r="AG243" s="221"/>
      <c r="AH243" s="221"/>
      <c r="AI243" s="221"/>
      <c r="AJ243" s="221"/>
      <c r="AK243" s="221"/>
      <c r="AL243" s="221"/>
      <c r="AM243" s="221"/>
      <c r="AN243" s="221"/>
      <c r="AO243" s="221"/>
      <c r="AP243" s="221"/>
      <c r="AQ243" s="221"/>
      <c r="AR243" s="221"/>
    </row>
    <row r="244" spans="1:44" s="384" customFormat="1" ht="12" customHeight="1">
      <c r="A244" s="221"/>
      <c r="B244" s="968"/>
      <c r="C244" s="968"/>
      <c r="D244" s="968"/>
      <c r="E244" s="968"/>
      <c r="F244" s="968"/>
      <c r="G244" s="968"/>
      <c r="H244" s="968"/>
      <c r="I244" s="968"/>
      <c r="J244" s="968"/>
      <c r="K244" s="968"/>
      <c r="L244" s="968"/>
      <c r="M244" s="968"/>
      <c r="N244" s="968"/>
      <c r="O244" s="968"/>
      <c r="P244" s="970"/>
      <c r="Q244" s="968"/>
      <c r="R244" s="968"/>
      <c r="X244" s="221"/>
      <c r="Y244" s="221"/>
      <c r="Z244" s="221"/>
      <c r="AA244" s="221"/>
      <c r="AB244" s="221"/>
      <c r="AC244" s="221"/>
      <c r="AD244" s="221"/>
      <c r="AE244" s="221"/>
      <c r="AF244" s="221"/>
      <c r="AG244" s="221"/>
      <c r="AH244" s="221"/>
      <c r="AI244" s="221"/>
      <c r="AJ244" s="221"/>
      <c r="AK244" s="221"/>
      <c r="AL244" s="221"/>
      <c r="AM244" s="221"/>
      <c r="AN244" s="221"/>
      <c r="AO244" s="221"/>
      <c r="AP244" s="221"/>
      <c r="AQ244" s="221"/>
      <c r="AR244" s="221"/>
    </row>
    <row r="245" spans="1:44" s="384" customFormat="1" ht="12" customHeight="1">
      <c r="A245" s="221"/>
      <c r="B245" s="968"/>
      <c r="C245" s="968"/>
      <c r="D245" s="968"/>
      <c r="E245" s="968"/>
      <c r="F245" s="968"/>
      <c r="G245" s="968"/>
      <c r="H245" s="968"/>
      <c r="I245" s="968"/>
      <c r="J245" s="968"/>
      <c r="K245" s="968"/>
      <c r="L245" s="968"/>
      <c r="M245" s="968"/>
      <c r="N245" s="968"/>
      <c r="O245" s="968"/>
      <c r="P245" s="3094"/>
      <c r="Q245" s="968"/>
      <c r="R245" s="968"/>
      <c r="X245" s="221"/>
      <c r="Y245" s="221"/>
      <c r="Z245" s="221"/>
      <c r="AA245" s="221"/>
      <c r="AB245" s="221"/>
      <c r="AC245" s="221"/>
      <c r="AD245" s="221"/>
      <c r="AE245" s="221"/>
      <c r="AF245" s="221"/>
      <c r="AG245" s="221"/>
      <c r="AH245" s="221"/>
      <c r="AI245" s="221"/>
      <c r="AJ245" s="221"/>
      <c r="AK245" s="221"/>
      <c r="AL245" s="221"/>
      <c r="AM245" s="221"/>
      <c r="AN245" s="221"/>
      <c r="AO245" s="221"/>
      <c r="AP245" s="221"/>
      <c r="AQ245" s="221"/>
      <c r="AR245" s="221"/>
    </row>
    <row r="246" spans="1:44" s="384" customFormat="1" ht="12" customHeight="1">
      <c r="A246" s="221"/>
      <c r="B246" s="968"/>
      <c r="C246" s="968"/>
      <c r="D246" s="968"/>
      <c r="E246" s="968"/>
      <c r="F246" s="968"/>
      <c r="G246" s="968"/>
      <c r="H246" s="968"/>
      <c r="I246" s="968"/>
      <c r="J246" s="968"/>
      <c r="K246" s="968"/>
      <c r="L246" s="968"/>
      <c r="M246" s="968"/>
      <c r="N246" s="968"/>
      <c r="O246" s="968"/>
      <c r="P246" s="970"/>
      <c r="Q246" s="3093"/>
      <c r="R246" s="968"/>
      <c r="X246" s="221"/>
      <c r="Y246" s="221"/>
      <c r="Z246" s="221"/>
      <c r="AA246" s="221"/>
      <c r="AB246" s="221"/>
      <c r="AC246" s="221"/>
      <c r="AD246" s="221"/>
      <c r="AE246" s="221"/>
      <c r="AF246" s="221"/>
      <c r="AG246" s="221"/>
      <c r="AH246" s="221"/>
      <c r="AI246" s="221"/>
      <c r="AJ246" s="221"/>
      <c r="AK246" s="221"/>
      <c r="AL246" s="221"/>
      <c r="AM246" s="221"/>
      <c r="AN246" s="221"/>
      <c r="AO246" s="221"/>
      <c r="AP246" s="221"/>
      <c r="AQ246" s="221"/>
      <c r="AR246" s="221"/>
    </row>
    <row r="247" spans="1:44" s="384" customFormat="1" ht="12" customHeight="1">
      <c r="A247" s="221"/>
      <c r="B247" s="968"/>
      <c r="C247" s="968"/>
      <c r="D247" s="968"/>
      <c r="E247" s="968"/>
      <c r="F247" s="968"/>
      <c r="G247" s="968"/>
      <c r="H247" s="968"/>
      <c r="I247" s="968"/>
      <c r="J247" s="968"/>
      <c r="K247" s="968"/>
      <c r="L247" s="968"/>
      <c r="M247" s="968"/>
      <c r="N247" s="968"/>
      <c r="O247" s="968"/>
      <c r="P247" s="970"/>
      <c r="Q247" s="3093"/>
      <c r="R247" s="968"/>
      <c r="X247" s="221"/>
      <c r="Y247" s="221"/>
      <c r="Z247" s="221"/>
      <c r="AA247" s="221"/>
      <c r="AB247" s="221"/>
      <c r="AC247" s="221"/>
      <c r="AD247" s="221"/>
      <c r="AE247" s="221"/>
      <c r="AF247" s="221"/>
      <c r="AG247" s="221"/>
      <c r="AH247" s="221"/>
      <c r="AI247" s="221"/>
      <c r="AJ247" s="221"/>
      <c r="AK247" s="221"/>
      <c r="AL247" s="221"/>
      <c r="AM247" s="221"/>
      <c r="AN247" s="221"/>
      <c r="AO247" s="221"/>
      <c r="AP247" s="221"/>
      <c r="AQ247" s="221"/>
      <c r="AR247" s="221"/>
    </row>
    <row r="248" spans="1:44" s="384" customFormat="1" ht="12" customHeight="1">
      <c r="A248" s="221"/>
      <c r="B248" s="968"/>
      <c r="C248" s="968"/>
      <c r="D248" s="968"/>
      <c r="E248" s="968"/>
      <c r="F248" s="968"/>
      <c r="G248" s="968"/>
      <c r="H248" s="968"/>
      <c r="I248" s="968"/>
      <c r="J248" s="968"/>
      <c r="K248" s="968"/>
      <c r="L248" s="968"/>
      <c r="M248" s="968"/>
      <c r="N248" s="968"/>
      <c r="O248" s="968"/>
      <c r="P248" s="3095"/>
      <c r="Q248" s="3093"/>
      <c r="R248" s="968"/>
      <c r="X248" s="221"/>
      <c r="Y248" s="221"/>
      <c r="Z248" s="221"/>
      <c r="AA248" s="221"/>
      <c r="AB248" s="221"/>
      <c r="AC248" s="221"/>
      <c r="AD248" s="221"/>
      <c r="AE248" s="221"/>
      <c r="AF248" s="221"/>
      <c r="AG248" s="221"/>
      <c r="AH248" s="221"/>
      <c r="AI248" s="221"/>
      <c r="AJ248" s="221"/>
      <c r="AK248" s="221"/>
      <c r="AL248" s="221"/>
      <c r="AM248" s="221"/>
      <c r="AN248" s="221"/>
      <c r="AO248" s="221"/>
      <c r="AP248" s="221"/>
      <c r="AQ248" s="221"/>
      <c r="AR248" s="221"/>
    </row>
    <row r="249" spans="1:44" s="384" customFormat="1" ht="12" customHeight="1">
      <c r="A249" s="221"/>
      <c r="B249" s="968"/>
      <c r="C249" s="968"/>
      <c r="D249" s="968"/>
      <c r="E249" s="968"/>
      <c r="F249" s="968"/>
      <c r="G249" s="968"/>
      <c r="H249" s="968"/>
      <c r="I249" s="968"/>
      <c r="J249" s="968"/>
      <c r="K249" s="968"/>
      <c r="L249" s="968"/>
      <c r="M249" s="968"/>
      <c r="N249" s="968"/>
      <c r="O249" s="968"/>
      <c r="P249" s="970"/>
      <c r="Q249" s="3093"/>
      <c r="R249" s="968"/>
      <c r="X249" s="221"/>
      <c r="Y249" s="221"/>
      <c r="Z249" s="221"/>
      <c r="AA249" s="221"/>
      <c r="AB249" s="221"/>
      <c r="AC249" s="221"/>
      <c r="AD249" s="221"/>
      <c r="AE249" s="221"/>
      <c r="AF249" s="221"/>
      <c r="AG249" s="221"/>
      <c r="AH249" s="221"/>
      <c r="AI249" s="221"/>
      <c r="AJ249" s="221"/>
      <c r="AK249" s="221"/>
      <c r="AL249" s="221"/>
      <c r="AM249" s="221"/>
      <c r="AN249" s="221"/>
      <c r="AO249" s="221"/>
      <c r="AP249" s="221"/>
      <c r="AQ249" s="221"/>
      <c r="AR249" s="221"/>
    </row>
    <row r="250" spans="1:44" s="384" customFormat="1" ht="12" customHeight="1">
      <c r="A250" s="221"/>
      <c r="B250" s="968"/>
      <c r="C250" s="968"/>
      <c r="D250" s="968"/>
      <c r="E250" s="968"/>
      <c r="F250" s="968"/>
      <c r="G250" s="968"/>
      <c r="H250" s="968"/>
      <c r="I250" s="968"/>
      <c r="J250" s="968"/>
      <c r="K250" s="968"/>
      <c r="L250" s="968"/>
      <c r="M250" s="968"/>
      <c r="N250" s="968"/>
      <c r="O250" s="968"/>
      <c r="P250" s="970"/>
      <c r="Q250" s="3093"/>
      <c r="R250" s="968"/>
      <c r="X250" s="221"/>
      <c r="Y250" s="221"/>
      <c r="Z250" s="221"/>
      <c r="AA250" s="221"/>
      <c r="AB250" s="221"/>
      <c r="AC250" s="221"/>
      <c r="AD250" s="221"/>
      <c r="AE250" s="221"/>
      <c r="AF250" s="221"/>
      <c r="AG250" s="221"/>
      <c r="AH250" s="221"/>
      <c r="AI250" s="221"/>
      <c r="AJ250" s="221"/>
      <c r="AK250" s="221"/>
      <c r="AL250" s="221"/>
      <c r="AM250" s="221"/>
      <c r="AN250" s="221"/>
      <c r="AO250" s="221"/>
      <c r="AP250" s="221"/>
      <c r="AQ250" s="221"/>
      <c r="AR250" s="221"/>
    </row>
    <row r="251" spans="1:44" s="384" customFormat="1" ht="12" customHeight="1">
      <c r="A251" s="221"/>
      <c r="B251" s="968"/>
      <c r="C251" s="968"/>
      <c r="D251" s="968"/>
      <c r="E251" s="968"/>
      <c r="F251" s="968"/>
      <c r="G251" s="968"/>
      <c r="H251" s="968"/>
      <c r="I251" s="968"/>
      <c r="J251" s="968"/>
      <c r="K251" s="968"/>
      <c r="L251" s="968"/>
      <c r="M251" s="968"/>
      <c r="N251" s="968"/>
      <c r="O251" s="968"/>
      <c r="P251" s="970"/>
      <c r="Q251" s="3093"/>
      <c r="R251" s="968"/>
      <c r="X251" s="221"/>
      <c r="Y251" s="221"/>
      <c r="Z251" s="221"/>
      <c r="AA251" s="221"/>
      <c r="AB251" s="221"/>
      <c r="AC251" s="221"/>
      <c r="AD251" s="221"/>
      <c r="AE251" s="221"/>
      <c r="AF251" s="221"/>
      <c r="AG251" s="221"/>
      <c r="AH251" s="221"/>
      <c r="AI251" s="221"/>
      <c r="AJ251" s="221"/>
      <c r="AK251" s="221"/>
      <c r="AL251" s="221"/>
      <c r="AM251" s="221"/>
      <c r="AN251" s="221"/>
      <c r="AO251" s="221"/>
      <c r="AP251" s="221"/>
      <c r="AQ251" s="221"/>
      <c r="AR251" s="221"/>
    </row>
    <row r="252" spans="1:44" s="384" customFormat="1" ht="12" customHeight="1">
      <c r="A252" s="221"/>
      <c r="B252" s="968"/>
      <c r="C252" s="968"/>
      <c r="D252" s="968"/>
      <c r="E252" s="968"/>
      <c r="F252" s="968"/>
      <c r="G252" s="968"/>
      <c r="H252" s="968"/>
      <c r="I252" s="968"/>
      <c r="J252" s="968"/>
      <c r="K252" s="968"/>
      <c r="L252" s="968"/>
      <c r="M252" s="968"/>
      <c r="N252" s="968"/>
      <c r="O252" s="968"/>
      <c r="P252" s="970"/>
      <c r="Q252" s="3093"/>
      <c r="R252" s="968"/>
      <c r="X252" s="221"/>
      <c r="Y252" s="221"/>
      <c r="Z252" s="221"/>
      <c r="AA252" s="221"/>
      <c r="AB252" s="221"/>
      <c r="AC252" s="221"/>
      <c r="AD252" s="221"/>
      <c r="AE252" s="221"/>
      <c r="AF252" s="221"/>
      <c r="AG252" s="221"/>
      <c r="AH252" s="221"/>
      <c r="AI252" s="221"/>
      <c r="AJ252" s="221"/>
      <c r="AK252" s="221"/>
      <c r="AL252" s="221"/>
      <c r="AM252" s="221"/>
      <c r="AN252" s="221"/>
      <c r="AO252" s="221"/>
      <c r="AP252" s="221"/>
      <c r="AQ252" s="221"/>
      <c r="AR252" s="221"/>
    </row>
    <row r="253" spans="1:44" s="384" customFormat="1" ht="12" customHeight="1">
      <c r="A253" s="221"/>
      <c r="B253" s="968"/>
      <c r="C253" s="968"/>
      <c r="D253" s="968"/>
      <c r="E253" s="968"/>
      <c r="F253" s="968"/>
      <c r="G253" s="968"/>
      <c r="H253" s="968"/>
      <c r="I253" s="968"/>
      <c r="J253" s="968"/>
      <c r="K253" s="968"/>
      <c r="L253" s="968"/>
      <c r="M253" s="968"/>
      <c r="N253" s="968"/>
      <c r="O253" s="968"/>
      <c r="P253" s="970"/>
      <c r="Q253" s="3093"/>
      <c r="R253" s="968"/>
      <c r="X253" s="221"/>
      <c r="Y253" s="221"/>
      <c r="Z253" s="221"/>
      <c r="AA253" s="221"/>
      <c r="AB253" s="221"/>
      <c r="AC253" s="221"/>
      <c r="AD253" s="221"/>
      <c r="AE253" s="221"/>
      <c r="AF253" s="221"/>
      <c r="AG253" s="221"/>
      <c r="AH253" s="221"/>
      <c r="AI253" s="221"/>
      <c r="AJ253" s="221"/>
      <c r="AK253" s="221"/>
      <c r="AL253" s="221"/>
      <c r="AM253" s="221"/>
      <c r="AN253" s="221"/>
      <c r="AO253" s="221"/>
      <c r="AP253" s="221"/>
      <c r="AQ253" s="221"/>
      <c r="AR253" s="221"/>
    </row>
    <row r="254" spans="1:44" s="384" customFormat="1" ht="12" customHeight="1">
      <c r="A254" s="221"/>
      <c r="B254" s="968"/>
      <c r="C254" s="968"/>
      <c r="D254" s="968"/>
      <c r="E254" s="968"/>
      <c r="F254" s="968"/>
      <c r="G254" s="968"/>
      <c r="H254" s="968"/>
      <c r="I254" s="968"/>
      <c r="J254" s="968"/>
      <c r="K254" s="968"/>
      <c r="L254" s="968"/>
      <c r="M254" s="968"/>
      <c r="N254" s="968"/>
      <c r="O254" s="968"/>
      <c r="P254" s="970"/>
      <c r="Q254" s="3093"/>
      <c r="R254" s="968"/>
      <c r="X254" s="221"/>
      <c r="Y254" s="221"/>
      <c r="Z254" s="221"/>
      <c r="AA254" s="221"/>
      <c r="AB254" s="221"/>
      <c r="AC254" s="221"/>
      <c r="AD254" s="221"/>
      <c r="AE254" s="221"/>
      <c r="AF254" s="221"/>
      <c r="AG254" s="221"/>
      <c r="AH254" s="221"/>
      <c r="AI254" s="221"/>
      <c r="AJ254" s="221"/>
      <c r="AK254" s="221"/>
      <c r="AL254" s="221"/>
      <c r="AM254" s="221"/>
      <c r="AN254" s="221"/>
      <c r="AO254" s="221"/>
      <c r="AP254" s="221"/>
      <c r="AQ254" s="221"/>
      <c r="AR254" s="221"/>
    </row>
    <row r="255" spans="1:44" s="384" customFormat="1" ht="12" customHeight="1">
      <c r="A255" s="221"/>
      <c r="B255" s="968"/>
      <c r="C255" s="968"/>
      <c r="D255" s="968"/>
      <c r="E255" s="968"/>
      <c r="F255" s="968"/>
      <c r="G255" s="968"/>
      <c r="H255" s="968"/>
      <c r="I255" s="968"/>
      <c r="J255" s="968"/>
      <c r="K255" s="968"/>
      <c r="L255" s="968"/>
      <c r="M255" s="968"/>
      <c r="N255" s="968"/>
      <c r="O255" s="968"/>
      <c r="P255" s="970"/>
      <c r="Q255" s="3093"/>
      <c r="R255" s="968"/>
      <c r="X255" s="221"/>
      <c r="Y255" s="221"/>
      <c r="Z255" s="221"/>
      <c r="AA255" s="221"/>
      <c r="AB255" s="221"/>
      <c r="AC255" s="221"/>
      <c r="AD255" s="221"/>
      <c r="AE255" s="221"/>
      <c r="AF255" s="221"/>
      <c r="AG255" s="221"/>
      <c r="AH255" s="221"/>
      <c r="AI255" s="221"/>
      <c r="AJ255" s="221"/>
      <c r="AK255" s="221"/>
      <c r="AL255" s="221"/>
      <c r="AM255" s="221"/>
      <c r="AN255" s="221"/>
      <c r="AO255" s="221"/>
      <c r="AP255" s="221"/>
      <c r="AQ255" s="221"/>
      <c r="AR255" s="221"/>
    </row>
    <row r="256" spans="1:44" s="384" customFormat="1" ht="12" customHeight="1">
      <c r="A256" s="221"/>
      <c r="B256" s="968"/>
      <c r="C256" s="968"/>
      <c r="D256" s="968"/>
      <c r="E256" s="968"/>
      <c r="F256" s="968"/>
      <c r="G256" s="968"/>
      <c r="H256" s="968"/>
      <c r="I256" s="968"/>
      <c r="J256" s="968"/>
      <c r="K256" s="968"/>
      <c r="L256" s="968"/>
      <c r="M256" s="968"/>
      <c r="N256" s="968"/>
      <c r="O256" s="968"/>
      <c r="P256" s="3095"/>
      <c r="Q256" s="3093"/>
      <c r="R256" s="968"/>
      <c r="X256" s="221"/>
      <c r="Y256" s="221"/>
      <c r="Z256" s="221"/>
      <c r="AA256" s="221"/>
      <c r="AB256" s="221"/>
      <c r="AC256" s="221"/>
      <c r="AD256" s="221"/>
      <c r="AE256" s="221"/>
      <c r="AF256" s="221"/>
      <c r="AG256" s="221"/>
      <c r="AH256" s="221"/>
      <c r="AI256" s="221"/>
      <c r="AJ256" s="221"/>
      <c r="AK256" s="221"/>
      <c r="AL256" s="221"/>
      <c r="AM256" s="221"/>
      <c r="AN256" s="221"/>
      <c r="AO256" s="221"/>
      <c r="AP256" s="221"/>
      <c r="AQ256" s="221"/>
      <c r="AR256" s="221"/>
    </row>
    <row r="257" spans="1:44" s="384" customFormat="1" ht="12" customHeight="1">
      <c r="A257" s="221"/>
      <c r="B257" s="968"/>
      <c r="C257" s="968"/>
      <c r="D257" s="968"/>
      <c r="E257" s="968"/>
      <c r="F257" s="968"/>
      <c r="G257" s="968"/>
      <c r="H257" s="968"/>
      <c r="I257" s="968"/>
      <c r="J257" s="968"/>
      <c r="K257" s="968"/>
      <c r="L257" s="968"/>
      <c r="M257" s="968"/>
      <c r="N257" s="968"/>
      <c r="O257" s="968"/>
      <c r="P257" s="970"/>
      <c r="Q257" s="3093"/>
      <c r="R257" s="968"/>
      <c r="X257" s="221"/>
      <c r="Y257" s="221"/>
      <c r="Z257" s="221"/>
      <c r="AA257" s="221"/>
      <c r="AB257" s="221"/>
      <c r="AC257" s="221"/>
      <c r="AD257" s="221"/>
      <c r="AE257" s="221"/>
      <c r="AF257" s="221"/>
      <c r="AG257" s="221"/>
      <c r="AH257" s="221"/>
      <c r="AI257" s="221"/>
      <c r="AJ257" s="221"/>
      <c r="AK257" s="221"/>
      <c r="AL257" s="221"/>
      <c r="AM257" s="221"/>
      <c r="AN257" s="221"/>
      <c r="AO257" s="221"/>
      <c r="AP257" s="221"/>
      <c r="AQ257" s="221"/>
      <c r="AR257" s="221"/>
    </row>
    <row r="258" spans="1:44" s="384" customFormat="1" ht="12" customHeight="1">
      <c r="A258" s="221"/>
      <c r="B258" s="968"/>
      <c r="C258" s="968"/>
      <c r="D258" s="968"/>
      <c r="E258" s="968"/>
      <c r="F258" s="968"/>
      <c r="G258" s="968"/>
      <c r="H258" s="968"/>
      <c r="I258" s="968"/>
      <c r="J258" s="968"/>
      <c r="K258" s="968"/>
      <c r="L258" s="968"/>
      <c r="M258" s="968"/>
      <c r="N258" s="968"/>
      <c r="O258" s="968"/>
      <c r="P258" s="970"/>
      <c r="Q258" s="3093"/>
      <c r="R258" s="968"/>
      <c r="X258" s="221"/>
      <c r="Y258" s="221"/>
      <c r="Z258" s="221"/>
      <c r="AA258" s="221"/>
      <c r="AB258" s="221"/>
      <c r="AC258" s="221"/>
      <c r="AD258" s="221"/>
      <c r="AE258" s="221"/>
      <c r="AF258" s="221"/>
      <c r="AG258" s="221"/>
      <c r="AH258" s="221"/>
      <c r="AI258" s="221"/>
      <c r="AJ258" s="221"/>
      <c r="AK258" s="221"/>
      <c r="AL258" s="221"/>
      <c r="AM258" s="221"/>
      <c r="AN258" s="221"/>
      <c r="AO258" s="221"/>
      <c r="AP258" s="221"/>
      <c r="AQ258" s="221"/>
      <c r="AR258" s="221"/>
    </row>
    <row r="259" spans="1:44" s="384" customFormat="1" ht="12" customHeight="1">
      <c r="A259" s="221"/>
      <c r="B259" s="968"/>
      <c r="C259" s="968"/>
      <c r="D259" s="968"/>
      <c r="E259" s="968"/>
      <c r="F259" s="968"/>
      <c r="G259" s="968"/>
      <c r="H259" s="968"/>
      <c r="I259" s="968"/>
      <c r="J259" s="968"/>
      <c r="K259" s="968"/>
      <c r="L259" s="968"/>
      <c r="M259" s="968"/>
      <c r="N259" s="968"/>
      <c r="O259" s="968"/>
      <c r="P259" s="970"/>
      <c r="Q259" s="3093"/>
      <c r="R259" s="968"/>
      <c r="X259" s="221"/>
      <c r="Y259" s="221"/>
      <c r="Z259" s="221"/>
      <c r="AA259" s="221"/>
      <c r="AB259" s="221"/>
      <c r="AC259" s="221"/>
      <c r="AD259" s="221"/>
      <c r="AE259" s="221"/>
      <c r="AF259" s="221"/>
      <c r="AG259" s="221"/>
      <c r="AH259" s="221"/>
      <c r="AI259" s="221"/>
      <c r="AJ259" s="221"/>
      <c r="AK259" s="221"/>
      <c r="AL259" s="221"/>
      <c r="AM259" s="221"/>
      <c r="AN259" s="221"/>
      <c r="AO259" s="221"/>
      <c r="AP259" s="221"/>
      <c r="AQ259" s="221"/>
      <c r="AR259" s="221"/>
    </row>
    <row r="260" spans="1:44" s="384" customFormat="1" ht="12" customHeight="1">
      <c r="A260" s="221"/>
      <c r="B260" s="968"/>
      <c r="C260" s="968"/>
      <c r="D260" s="968"/>
      <c r="E260" s="968"/>
      <c r="F260" s="968"/>
      <c r="G260" s="968"/>
      <c r="H260" s="968"/>
      <c r="I260" s="968"/>
      <c r="J260" s="968"/>
      <c r="K260" s="968"/>
      <c r="L260" s="968"/>
      <c r="M260" s="968"/>
      <c r="N260" s="968"/>
      <c r="O260" s="968"/>
      <c r="P260" s="970"/>
      <c r="Q260" s="3093"/>
      <c r="R260" s="968"/>
      <c r="X260" s="221"/>
      <c r="Y260" s="221"/>
      <c r="Z260" s="221"/>
      <c r="AA260" s="221"/>
      <c r="AB260" s="221"/>
      <c r="AC260" s="221"/>
      <c r="AD260" s="221"/>
      <c r="AE260" s="221"/>
      <c r="AF260" s="221"/>
      <c r="AG260" s="221"/>
      <c r="AH260" s="221"/>
      <c r="AI260" s="221"/>
      <c r="AJ260" s="221"/>
      <c r="AK260" s="221"/>
      <c r="AL260" s="221"/>
      <c r="AM260" s="221"/>
      <c r="AN260" s="221"/>
      <c r="AO260" s="221"/>
      <c r="AP260" s="221"/>
      <c r="AQ260" s="221"/>
      <c r="AR260" s="221"/>
    </row>
    <row r="261" spans="1:44" s="384" customFormat="1" ht="12" customHeight="1">
      <c r="A261" s="221"/>
      <c r="B261" s="968"/>
      <c r="C261" s="968"/>
      <c r="D261" s="968"/>
      <c r="E261" s="968"/>
      <c r="F261" s="968"/>
      <c r="G261" s="968"/>
      <c r="H261" s="968"/>
      <c r="I261" s="968"/>
      <c r="J261" s="968"/>
      <c r="K261" s="968"/>
      <c r="L261" s="968"/>
      <c r="M261" s="968"/>
      <c r="N261" s="968"/>
      <c r="O261" s="968"/>
      <c r="P261" s="970"/>
      <c r="Q261" s="3093"/>
      <c r="R261" s="968"/>
      <c r="X261" s="221"/>
      <c r="Y261" s="221"/>
      <c r="Z261" s="221"/>
      <c r="AA261" s="221"/>
      <c r="AB261" s="221"/>
      <c r="AC261" s="221"/>
      <c r="AD261" s="221"/>
      <c r="AE261" s="221"/>
      <c r="AF261" s="221"/>
      <c r="AG261" s="221"/>
      <c r="AH261" s="221"/>
      <c r="AI261" s="221"/>
      <c r="AJ261" s="221"/>
      <c r="AK261" s="221"/>
      <c r="AL261" s="221"/>
      <c r="AM261" s="221"/>
      <c r="AN261" s="221"/>
      <c r="AO261" s="221"/>
      <c r="AP261" s="221"/>
      <c r="AQ261" s="221"/>
      <c r="AR261" s="221"/>
    </row>
    <row r="262" spans="1:44" s="384" customFormat="1" ht="12" customHeight="1">
      <c r="A262" s="221"/>
      <c r="B262" s="968"/>
      <c r="C262" s="968"/>
      <c r="D262" s="968"/>
      <c r="E262" s="968"/>
      <c r="F262" s="968"/>
      <c r="G262" s="968"/>
      <c r="H262" s="968"/>
      <c r="I262" s="968"/>
      <c r="J262" s="968"/>
      <c r="K262" s="968"/>
      <c r="L262" s="968"/>
      <c r="M262" s="968"/>
      <c r="N262" s="968"/>
      <c r="O262" s="968"/>
      <c r="P262" s="970"/>
      <c r="Q262" s="3093"/>
      <c r="R262" s="968"/>
      <c r="X262" s="221"/>
      <c r="Y262" s="221"/>
      <c r="Z262" s="221"/>
      <c r="AA262" s="221"/>
      <c r="AB262" s="221"/>
      <c r="AC262" s="221"/>
      <c r="AD262" s="221"/>
      <c r="AE262" s="221"/>
      <c r="AF262" s="221"/>
      <c r="AG262" s="221"/>
      <c r="AH262" s="221"/>
      <c r="AI262" s="221"/>
      <c r="AJ262" s="221"/>
      <c r="AK262" s="221"/>
      <c r="AL262" s="221"/>
      <c r="AM262" s="221"/>
      <c r="AN262" s="221"/>
      <c r="AO262" s="221"/>
      <c r="AP262" s="221"/>
      <c r="AQ262" s="221"/>
      <c r="AR262" s="221"/>
    </row>
    <row r="263" spans="1:44" s="384" customFormat="1" ht="12" customHeight="1">
      <c r="A263" s="221"/>
      <c r="B263" s="968"/>
      <c r="C263" s="968"/>
      <c r="D263" s="968"/>
      <c r="E263" s="968"/>
      <c r="F263" s="968"/>
      <c r="G263" s="968"/>
      <c r="H263" s="968"/>
      <c r="I263" s="968"/>
      <c r="J263" s="968"/>
      <c r="K263" s="968"/>
      <c r="L263" s="968"/>
      <c r="M263" s="968"/>
      <c r="N263" s="968"/>
      <c r="O263" s="968"/>
      <c r="P263" s="970"/>
      <c r="Q263" s="3093"/>
      <c r="R263" s="968"/>
      <c r="X263" s="221"/>
      <c r="Y263" s="221"/>
      <c r="Z263" s="221"/>
      <c r="AA263" s="221"/>
      <c r="AB263" s="221"/>
      <c r="AC263" s="221"/>
      <c r="AD263" s="221"/>
      <c r="AE263" s="221"/>
      <c r="AF263" s="221"/>
      <c r="AG263" s="221"/>
      <c r="AH263" s="221"/>
      <c r="AI263" s="221"/>
      <c r="AJ263" s="221"/>
      <c r="AK263" s="221"/>
      <c r="AL263" s="221"/>
      <c r="AM263" s="221"/>
      <c r="AN263" s="221"/>
      <c r="AO263" s="221"/>
      <c r="AP263" s="221"/>
      <c r="AQ263" s="221"/>
      <c r="AR263" s="221"/>
    </row>
    <row r="264" spans="1:44" s="384" customFormat="1" ht="12" customHeight="1">
      <c r="A264" s="221"/>
      <c r="B264" s="968"/>
      <c r="C264" s="968"/>
      <c r="D264" s="968"/>
      <c r="E264" s="968"/>
      <c r="F264" s="968"/>
      <c r="G264" s="968"/>
      <c r="H264" s="968"/>
      <c r="I264" s="968"/>
      <c r="J264" s="968"/>
      <c r="K264" s="968"/>
      <c r="L264" s="968"/>
      <c r="M264" s="968"/>
      <c r="N264" s="968"/>
      <c r="O264" s="968"/>
      <c r="P264" s="970"/>
      <c r="Q264" s="3093"/>
      <c r="R264" s="968"/>
      <c r="X264" s="221"/>
      <c r="Y264" s="221"/>
      <c r="Z264" s="221"/>
      <c r="AA264" s="221"/>
      <c r="AB264" s="221"/>
      <c r="AC264" s="221"/>
      <c r="AD264" s="221"/>
      <c r="AE264" s="221"/>
      <c r="AF264" s="221"/>
      <c r="AG264" s="221"/>
      <c r="AH264" s="221"/>
      <c r="AI264" s="221"/>
      <c r="AJ264" s="221"/>
      <c r="AK264" s="221"/>
      <c r="AL264" s="221"/>
      <c r="AM264" s="221"/>
      <c r="AN264" s="221"/>
      <c r="AO264" s="221"/>
      <c r="AP264" s="221"/>
      <c r="AQ264" s="221"/>
      <c r="AR264" s="221"/>
    </row>
    <row r="265" spans="1:44" s="384" customFormat="1" ht="12" customHeight="1">
      <c r="A265" s="221"/>
      <c r="B265" s="968"/>
      <c r="C265" s="968"/>
      <c r="D265" s="968"/>
      <c r="E265" s="968"/>
      <c r="F265" s="968"/>
      <c r="G265" s="968"/>
      <c r="H265" s="968"/>
      <c r="I265" s="968"/>
      <c r="J265" s="968"/>
      <c r="K265" s="968"/>
      <c r="L265" s="968"/>
      <c r="M265" s="968"/>
      <c r="N265" s="968"/>
      <c r="O265" s="968"/>
      <c r="P265" s="970"/>
      <c r="Q265" s="3093"/>
      <c r="R265" s="968"/>
      <c r="X265" s="221"/>
      <c r="Y265" s="221"/>
      <c r="Z265" s="221"/>
      <c r="AA265" s="221"/>
      <c r="AB265" s="221"/>
      <c r="AC265" s="221"/>
      <c r="AD265" s="221"/>
      <c r="AE265" s="221"/>
      <c r="AF265" s="221"/>
      <c r="AG265" s="221"/>
      <c r="AH265" s="221"/>
      <c r="AI265" s="221"/>
      <c r="AJ265" s="221"/>
      <c r="AK265" s="221"/>
      <c r="AL265" s="221"/>
      <c r="AM265" s="221"/>
      <c r="AN265" s="221"/>
      <c r="AO265" s="221"/>
      <c r="AP265" s="221"/>
      <c r="AQ265" s="221"/>
      <c r="AR265" s="221"/>
    </row>
    <row r="266" spans="1:44" s="384" customFormat="1" ht="12" customHeight="1">
      <c r="A266" s="221"/>
      <c r="B266" s="968"/>
      <c r="C266" s="968"/>
      <c r="D266" s="968"/>
      <c r="E266" s="968"/>
      <c r="F266" s="968"/>
      <c r="G266" s="968"/>
      <c r="H266" s="968"/>
      <c r="I266" s="968"/>
      <c r="J266" s="968"/>
      <c r="K266" s="968"/>
      <c r="L266" s="968"/>
      <c r="M266" s="968"/>
      <c r="N266" s="968"/>
      <c r="O266" s="968"/>
      <c r="P266" s="970"/>
      <c r="Q266" s="3093"/>
      <c r="R266" s="968"/>
      <c r="X266" s="221"/>
      <c r="Y266" s="221"/>
      <c r="Z266" s="221"/>
      <c r="AA266" s="221"/>
      <c r="AB266" s="221"/>
      <c r="AC266" s="221"/>
      <c r="AD266" s="221"/>
      <c r="AE266" s="221"/>
      <c r="AF266" s="221"/>
      <c r="AG266" s="221"/>
      <c r="AH266" s="221"/>
      <c r="AI266" s="221"/>
      <c r="AJ266" s="221"/>
      <c r="AK266" s="221"/>
      <c r="AL266" s="221"/>
      <c r="AM266" s="221"/>
      <c r="AN266" s="221"/>
      <c r="AO266" s="221"/>
      <c r="AP266" s="221"/>
      <c r="AQ266" s="221"/>
      <c r="AR266" s="221"/>
    </row>
    <row r="267" spans="1:44" s="384" customFormat="1" ht="12" customHeight="1">
      <c r="A267" s="221"/>
      <c r="B267" s="968"/>
      <c r="C267" s="968"/>
      <c r="D267" s="968"/>
      <c r="E267" s="968"/>
      <c r="F267" s="968"/>
      <c r="G267" s="968"/>
      <c r="H267" s="968"/>
      <c r="I267" s="968"/>
      <c r="J267" s="968"/>
      <c r="K267" s="968"/>
      <c r="L267" s="968"/>
      <c r="M267" s="968"/>
      <c r="N267" s="968"/>
      <c r="O267" s="968"/>
      <c r="P267" s="970"/>
      <c r="Q267" s="3093"/>
      <c r="R267" s="968"/>
      <c r="X267" s="221"/>
      <c r="Y267" s="221"/>
      <c r="Z267" s="221"/>
      <c r="AA267" s="221"/>
      <c r="AB267" s="221"/>
      <c r="AC267" s="221"/>
      <c r="AD267" s="221"/>
      <c r="AE267" s="221"/>
      <c r="AF267" s="221"/>
      <c r="AG267" s="221"/>
      <c r="AH267" s="221"/>
      <c r="AI267" s="221"/>
      <c r="AJ267" s="221"/>
      <c r="AK267" s="221"/>
      <c r="AL267" s="221"/>
      <c r="AM267" s="221"/>
      <c r="AN267" s="221"/>
      <c r="AO267" s="221"/>
      <c r="AP267" s="221"/>
      <c r="AQ267" s="221"/>
      <c r="AR267" s="221"/>
    </row>
    <row r="268" spans="1:44" s="384" customFormat="1" ht="12" customHeight="1">
      <c r="A268" s="221"/>
      <c r="B268" s="968"/>
      <c r="C268" s="968"/>
      <c r="D268" s="968"/>
      <c r="E268" s="968"/>
      <c r="F268" s="968"/>
      <c r="G268" s="968"/>
      <c r="H268" s="968"/>
      <c r="I268" s="968"/>
      <c r="J268" s="968"/>
      <c r="K268" s="968"/>
      <c r="L268" s="968"/>
      <c r="M268" s="968"/>
      <c r="N268" s="968"/>
      <c r="O268" s="968"/>
      <c r="P268" s="970"/>
      <c r="Q268" s="3093"/>
      <c r="R268" s="968"/>
      <c r="X268" s="221"/>
      <c r="Y268" s="221"/>
      <c r="Z268" s="221"/>
      <c r="AA268" s="221"/>
      <c r="AB268" s="221"/>
      <c r="AC268" s="221"/>
      <c r="AD268" s="221"/>
      <c r="AE268" s="221"/>
      <c r="AF268" s="221"/>
      <c r="AG268" s="221"/>
      <c r="AH268" s="221"/>
      <c r="AI268" s="221"/>
      <c r="AJ268" s="221"/>
      <c r="AK268" s="221"/>
      <c r="AL268" s="221"/>
      <c r="AM268" s="221"/>
      <c r="AN268" s="221"/>
      <c r="AO268" s="221"/>
      <c r="AP268" s="221"/>
      <c r="AQ268" s="221"/>
      <c r="AR268" s="221"/>
    </row>
    <row r="269" spans="1:44" s="384" customFormat="1" ht="12" customHeight="1">
      <c r="A269" s="221"/>
      <c r="B269" s="968"/>
      <c r="C269" s="968"/>
      <c r="D269" s="968"/>
      <c r="E269" s="968"/>
      <c r="F269" s="968"/>
      <c r="G269" s="968"/>
      <c r="H269" s="968"/>
      <c r="I269" s="968"/>
      <c r="J269" s="968"/>
      <c r="K269" s="968"/>
      <c r="L269" s="968"/>
      <c r="M269" s="968"/>
      <c r="N269" s="968"/>
      <c r="O269" s="968"/>
      <c r="P269" s="970"/>
      <c r="Q269" s="3093"/>
      <c r="R269" s="968"/>
      <c r="X269" s="221"/>
      <c r="Y269" s="221"/>
      <c r="Z269" s="221"/>
      <c r="AA269" s="221"/>
      <c r="AB269" s="221"/>
      <c r="AC269" s="221"/>
      <c r="AD269" s="221"/>
      <c r="AE269" s="221"/>
      <c r="AF269" s="221"/>
      <c r="AG269" s="221"/>
      <c r="AH269" s="221"/>
      <c r="AI269" s="221"/>
      <c r="AJ269" s="221"/>
      <c r="AK269" s="221"/>
      <c r="AL269" s="221"/>
      <c r="AM269" s="221"/>
      <c r="AN269" s="221"/>
      <c r="AO269" s="221"/>
      <c r="AP269" s="221"/>
      <c r="AQ269" s="221"/>
      <c r="AR269" s="221"/>
    </row>
    <row r="270" spans="1:44" s="384" customFormat="1" ht="12" customHeight="1">
      <c r="A270" s="221"/>
      <c r="B270" s="968"/>
      <c r="C270" s="968"/>
      <c r="D270" s="968"/>
      <c r="E270" s="968"/>
      <c r="F270" s="968"/>
      <c r="G270" s="968"/>
      <c r="H270" s="968"/>
      <c r="I270" s="968"/>
      <c r="J270" s="968"/>
      <c r="K270" s="968"/>
      <c r="L270" s="968"/>
      <c r="M270" s="968"/>
      <c r="N270" s="968"/>
      <c r="O270" s="968"/>
      <c r="P270" s="970"/>
      <c r="Q270" s="3093"/>
      <c r="R270" s="968"/>
      <c r="X270" s="221"/>
      <c r="Y270" s="221"/>
      <c r="Z270" s="221"/>
      <c r="AA270" s="221"/>
      <c r="AB270" s="221"/>
      <c r="AC270" s="221"/>
      <c r="AD270" s="221"/>
      <c r="AE270" s="221"/>
      <c r="AF270" s="221"/>
      <c r="AG270" s="221"/>
      <c r="AH270" s="221"/>
      <c r="AI270" s="221"/>
      <c r="AJ270" s="221"/>
      <c r="AK270" s="221"/>
      <c r="AL270" s="221"/>
      <c r="AM270" s="221"/>
      <c r="AN270" s="221"/>
      <c r="AO270" s="221"/>
      <c r="AP270" s="221"/>
      <c r="AQ270" s="221"/>
      <c r="AR270" s="221"/>
    </row>
    <row r="271" spans="1:44" s="384" customFormat="1" ht="12" customHeight="1">
      <c r="A271" s="221"/>
      <c r="B271" s="968"/>
      <c r="C271" s="968"/>
      <c r="D271" s="968"/>
      <c r="E271" s="968"/>
      <c r="F271" s="968"/>
      <c r="G271" s="968"/>
      <c r="H271" s="968"/>
      <c r="I271" s="968"/>
      <c r="J271" s="968"/>
      <c r="K271" s="968"/>
      <c r="L271" s="968"/>
      <c r="M271" s="968"/>
      <c r="N271" s="968"/>
      <c r="O271" s="968"/>
      <c r="P271" s="971"/>
      <c r="Q271" s="3093"/>
      <c r="R271" s="968"/>
      <c r="X271" s="221"/>
      <c r="Y271" s="221"/>
      <c r="Z271" s="221"/>
      <c r="AA271" s="221"/>
      <c r="AB271" s="221"/>
      <c r="AC271" s="221"/>
      <c r="AD271" s="221"/>
      <c r="AE271" s="221"/>
      <c r="AF271" s="221"/>
      <c r="AG271" s="221"/>
      <c r="AH271" s="221"/>
      <c r="AI271" s="221"/>
      <c r="AJ271" s="221"/>
      <c r="AK271" s="221"/>
      <c r="AL271" s="221"/>
      <c r="AM271" s="221"/>
      <c r="AN271" s="221"/>
      <c r="AO271" s="221"/>
      <c r="AP271" s="221"/>
      <c r="AQ271" s="221"/>
      <c r="AR271" s="221"/>
    </row>
    <row r="272" spans="1:44" s="384" customFormat="1" ht="12" customHeight="1">
      <c r="A272" s="221"/>
      <c r="B272" s="968"/>
      <c r="C272" s="968"/>
      <c r="D272" s="968"/>
      <c r="E272" s="968"/>
      <c r="F272" s="968"/>
      <c r="G272" s="968"/>
      <c r="H272" s="968"/>
      <c r="I272" s="968"/>
      <c r="J272" s="968"/>
      <c r="K272" s="968"/>
      <c r="L272" s="968"/>
      <c r="M272" s="968"/>
      <c r="N272" s="968"/>
      <c r="O272" s="968"/>
      <c r="P272" s="970"/>
      <c r="Q272" s="3093"/>
      <c r="R272" s="968"/>
      <c r="X272" s="221"/>
      <c r="Y272" s="221"/>
      <c r="Z272" s="221"/>
      <c r="AA272" s="221"/>
      <c r="AB272" s="221"/>
      <c r="AC272" s="221"/>
      <c r="AD272" s="221"/>
      <c r="AE272" s="221"/>
      <c r="AF272" s="221"/>
      <c r="AG272" s="221"/>
      <c r="AH272" s="221"/>
      <c r="AI272" s="221"/>
      <c r="AJ272" s="221"/>
      <c r="AK272" s="221"/>
      <c r="AL272" s="221"/>
      <c r="AM272" s="221"/>
      <c r="AN272" s="221"/>
      <c r="AO272" s="221"/>
      <c r="AP272" s="221"/>
      <c r="AQ272" s="221"/>
      <c r="AR272" s="221"/>
    </row>
    <row r="273" spans="1:44" s="384" customFormat="1" ht="12" customHeight="1">
      <c r="A273" s="221"/>
      <c r="B273" s="968"/>
      <c r="C273" s="968"/>
      <c r="D273" s="968"/>
      <c r="E273" s="968"/>
      <c r="F273" s="968"/>
      <c r="G273" s="968"/>
      <c r="H273" s="968"/>
      <c r="I273" s="968"/>
      <c r="J273" s="968"/>
      <c r="K273" s="968"/>
      <c r="L273" s="968"/>
      <c r="M273" s="968"/>
      <c r="N273" s="968"/>
      <c r="O273" s="968"/>
      <c r="P273" s="970"/>
      <c r="Q273" s="3093"/>
      <c r="R273" s="968"/>
      <c r="X273" s="221"/>
      <c r="Y273" s="221"/>
      <c r="Z273" s="221"/>
      <c r="AA273" s="221"/>
      <c r="AB273" s="221"/>
      <c r="AC273" s="221"/>
      <c r="AD273" s="221"/>
      <c r="AE273" s="221"/>
      <c r="AF273" s="221"/>
      <c r="AG273" s="221"/>
      <c r="AH273" s="221"/>
      <c r="AI273" s="221"/>
      <c r="AJ273" s="221"/>
      <c r="AK273" s="221"/>
      <c r="AL273" s="221"/>
      <c r="AM273" s="221"/>
      <c r="AN273" s="221"/>
      <c r="AO273" s="221"/>
      <c r="AP273" s="221"/>
      <c r="AQ273" s="221"/>
      <c r="AR273" s="221"/>
    </row>
    <row r="274" spans="1:44" s="384" customFormat="1" ht="12" customHeight="1">
      <c r="A274" s="221"/>
      <c r="B274" s="968"/>
      <c r="C274" s="968"/>
      <c r="D274" s="968"/>
      <c r="E274" s="968"/>
      <c r="F274" s="968"/>
      <c r="G274" s="968"/>
      <c r="H274" s="968"/>
      <c r="I274" s="968"/>
      <c r="J274" s="968"/>
      <c r="K274" s="968"/>
      <c r="L274" s="968"/>
      <c r="M274" s="968"/>
      <c r="N274" s="968"/>
      <c r="O274" s="968"/>
      <c r="P274" s="970"/>
      <c r="Q274" s="3093"/>
      <c r="R274" s="968"/>
      <c r="X274" s="221"/>
      <c r="Y274" s="221"/>
      <c r="Z274" s="221"/>
      <c r="AA274" s="221"/>
      <c r="AB274" s="221"/>
      <c r="AC274" s="221"/>
      <c r="AD274" s="221"/>
      <c r="AE274" s="221"/>
      <c r="AF274" s="221"/>
      <c r="AG274" s="221"/>
      <c r="AH274" s="221"/>
      <c r="AI274" s="221"/>
      <c r="AJ274" s="221"/>
      <c r="AK274" s="221"/>
      <c r="AL274" s="221"/>
      <c r="AM274" s="221"/>
      <c r="AN274" s="221"/>
      <c r="AO274" s="221"/>
      <c r="AP274" s="221"/>
      <c r="AQ274" s="221"/>
      <c r="AR274" s="221"/>
    </row>
    <row r="275" spans="1:44" s="384" customFormat="1" ht="12" customHeight="1">
      <c r="A275" s="221"/>
      <c r="B275" s="968"/>
      <c r="C275" s="968"/>
      <c r="D275" s="968"/>
      <c r="E275" s="968"/>
      <c r="F275" s="968"/>
      <c r="G275" s="968"/>
      <c r="H275" s="968"/>
      <c r="I275" s="968"/>
      <c r="J275" s="968"/>
      <c r="K275" s="968"/>
      <c r="L275" s="968"/>
      <c r="M275" s="968"/>
      <c r="N275" s="968"/>
      <c r="O275" s="968"/>
      <c r="P275" s="970"/>
      <c r="Q275" s="3093"/>
      <c r="R275" s="968"/>
      <c r="X275" s="221"/>
      <c r="Y275" s="221"/>
      <c r="Z275" s="221"/>
      <c r="AA275" s="221"/>
      <c r="AB275" s="221"/>
      <c r="AC275" s="221"/>
      <c r="AD275" s="221"/>
      <c r="AE275" s="221"/>
      <c r="AF275" s="221"/>
      <c r="AG275" s="221"/>
      <c r="AH275" s="221"/>
      <c r="AI275" s="221"/>
      <c r="AJ275" s="221"/>
      <c r="AK275" s="221"/>
      <c r="AL275" s="221"/>
      <c r="AM275" s="221"/>
      <c r="AN275" s="221"/>
      <c r="AO275" s="221"/>
      <c r="AP275" s="221"/>
      <c r="AQ275" s="221"/>
      <c r="AR275" s="221"/>
    </row>
    <row r="276" spans="1:44" s="384" customFormat="1" ht="12" customHeight="1">
      <c r="A276" s="221"/>
      <c r="B276" s="968"/>
      <c r="C276" s="968"/>
      <c r="D276" s="968"/>
      <c r="E276" s="968"/>
      <c r="F276" s="968"/>
      <c r="G276" s="968"/>
      <c r="H276" s="968"/>
      <c r="I276" s="968"/>
      <c r="J276" s="968"/>
      <c r="K276" s="968"/>
      <c r="L276" s="968"/>
      <c r="M276" s="968"/>
      <c r="N276" s="968"/>
      <c r="O276" s="968"/>
      <c r="P276" s="970"/>
      <c r="Q276" s="3093"/>
      <c r="R276" s="968"/>
      <c r="X276" s="221"/>
      <c r="Y276" s="221"/>
      <c r="Z276" s="221"/>
      <c r="AA276" s="221"/>
      <c r="AB276" s="221"/>
      <c r="AC276" s="221"/>
      <c r="AD276" s="221"/>
      <c r="AE276" s="221"/>
      <c r="AF276" s="221"/>
      <c r="AG276" s="221"/>
      <c r="AH276" s="221"/>
      <c r="AI276" s="221"/>
      <c r="AJ276" s="221"/>
      <c r="AK276" s="221"/>
      <c r="AL276" s="221"/>
      <c r="AM276" s="221"/>
      <c r="AN276" s="221"/>
      <c r="AO276" s="221"/>
      <c r="AP276" s="221"/>
      <c r="AQ276" s="221"/>
      <c r="AR276" s="221"/>
    </row>
    <row r="277" spans="1:44" s="384" customFormat="1" ht="12" customHeight="1">
      <c r="A277" s="221"/>
      <c r="B277" s="968"/>
      <c r="C277" s="968"/>
      <c r="D277" s="968"/>
      <c r="E277" s="968"/>
      <c r="F277" s="968"/>
      <c r="G277" s="968"/>
      <c r="H277" s="968"/>
      <c r="I277" s="968"/>
      <c r="J277" s="968"/>
      <c r="K277" s="968"/>
      <c r="L277" s="968"/>
      <c r="M277" s="968"/>
      <c r="N277" s="968"/>
      <c r="O277" s="968"/>
      <c r="P277" s="970"/>
      <c r="Q277" s="3093"/>
      <c r="R277" s="968"/>
      <c r="X277" s="221"/>
      <c r="Y277" s="221"/>
      <c r="Z277" s="221"/>
      <c r="AA277" s="221"/>
      <c r="AB277" s="221"/>
      <c r="AC277" s="221"/>
      <c r="AD277" s="221"/>
      <c r="AE277" s="221"/>
      <c r="AF277" s="221"/>
      <c r="AG277" s="221"/>
      <c r="AH277" s="221"/>
      <c r="AI277" s="221"/>
      <c r="AJ277" s="221"/>
      <c r="AK277" s="221"/>
      <c r="AL277" s="221"/>
      <c r="AM277" s="221"/>
      <c r="AN277" s="221"/>
      <c r="AO277" s="221"/>
      <c r="AP277" s="221"/>
      <c r="AQ277" s="221"/>
      <c r="AR277" s="221"/>
    </row>
    <row r="278" spans="1:44" s="384" customFormat="1" ht="12" customHeight="1">
      <c r="A278" s="221"/>
      <c r="B278" s="968"/>
      <c r="C278" s="968"/>
      <c r="D278" s="968"/>
      <c r="E278" s="968"/>
      <c r="F278" s="968"/>
      <c r="G278" s="968"/>
      <c r="H278" s="968"/>
      <c r="I278" s="968"/>
      <c r="J278" s="968"/>
      <c r="K278" s="968"/>
      <c r="L278" s="968"/>
      <c r="M278" s="968"/>
      <c r="N278" s="968"/>
      <c r="O278" s="968"/>
      <c r="P278" s="970"/>
      <c r="Q278" s="3093"/>
      <c r="R278" s="968"/>
      <c r="X278" s="221"/>
      <c r="Y278" s="221"/>
      <c r="Z278" s="221"/>
      <c r="AA278" s="221"/>
      <c r="AB278" s="221"/>
      <c r="AC278" s="221"/>
      <c r="AD278" s="221"/>
      <c r="AE278" s="221"/>
      <c r="AF278" s="221"/>
      <c r="AG278" s="221"/>
      <c r="AH278" s="221"/>
      <c r="AI278" s="221"/>
      <c r="AJ278" s="221"/>
      <c r="AK278" s="221"/>
      <c r="AL278" s="221"/>
      <c r="AM278" s="221"/>
      <c r="AN278" s="221"/>
      <c r="AO278" s="221"/>
      <c r="AP278" s="221"/>
      <c r="AQ278" s="221"/>
      <c r="AR278" s="221"/>
    </row>
    <row r="279" spans="1:44" s="384" customFormat="1" ht="12" customHeight="1">
      <c r="A279" s="221"/>
      <c r="B279" s="968"/>
      <c r="C279" s="968"/>
      <c r="D279" s="968"/>
      <c r="E279" s="968"/>
      <c r="F279" s="968"/>
      <c r="G279" s="968"/>
      <c r="H279" s="968"/>
      <c r="I279" s="968"/>
      <c r="J279" s="968"/>
      <c r="K279" s="968"/>
      <c r="L279" s="968"/>
      <c r="M279" s="968"/>
      <c r="N279" s="968"/>
      <c r="O279" s="968"/>
      <c r="P279" s="970"/>
      <c r="Q279" s="3093"/>
      <c r="R279" s="968"/>
      <c r="X279" s="221"/>
      <c r="Y279" s="221"/>
      <c r="Z279" s="221"/>
      <c r="AA279" s="221"/>
      <c r="AB279" s="221"/>
      <c r="AC279" s="221"/>
      <c r="AD279" s="221"/>
      <c r="AE279" s="221"/>
      <c r="AF279" s="221"/>
      <c r="AG279" s="221"/>
      <c r="AH279" s="221"/>
      <c r="AI279" s="221"/>
      <c r="AJ279" s="221"/>
      <c r="AK279" s="221"/>
      <c r="AL279" s="221"/>
      <c r="AM279" s="221"/>
      <c r="AN279" s="221"/>
      <c r="AO279" s="221"/>
      <c r="AP279" s="221"/>
      <c r="AQ279" s="221"/>
      <c r="AR279" s="221"/>
    </row>
    <row r="280" spans="1:44" s="384" customFormat="1" ht="12" customHeight="1">
      <c r="A280" s="221"/>
      <c r="B280" s="968"/>
      <c r="C280" s="968"/>
      <c r="D280" s="968"/>
      <c r="E280" s="968"/>
      <c r="F280" s="968"/>
      <c r="G280" s="968"/>
      <c r="H280" s="968"/>
      <c r="I280" s="968"/>
      <c r="J280" s="968"/>
      <c r="K280" s="968"/>
      <c r="L280" s="968"/>
      <c r="M280" s="968"/>
      <c r="N280" s="968"/>
      <c r="O280" s="968"/>
      <c r="P280" s="970"/>
      <c r="Q280" s="3093"/>
      <c r="R280" s="968"/>
      <c r="X280" s="221"/>
      <c r="Y280" s="221"/>
      <c r="Z280" s="221"/>
      <c r="AA280" s="221"/>
      <c r="AB280" s="221"/>
      <c r="AC280" s="221"/>
      <c r="AD280" s="221"/>
      <c r="AE280" s="221"/>
      <c r="AF280" s="221"/>
      <c r="AG280" s="221"/>
      <c r="AH280" s="221"/>
      <c r="AI280" s="221"/>
      <c r="AJ280" s="221"/>
      <c r="AK280" s="221"/>
      <c r="AL280" s="221"/>
      <c r="AM280" s="221"/>
      <c r="AN280" s="221"/>
      <c r="AO280" s="221"/>
      <c r="AP280" s="221"/>
      <c r="AQ280" s="221"/>
      <c r="AR280" s="221"/>
    </row>
    <row r="281" spans="1:44" s="384" customFormat="1" ht="12" customHeight="1">
      <c r="A281" s="221"/>
      <c r="B281" s="968"/>
      <c r="C281" s="968"/>
      <c r="D281" s="968"/>
      <c r="E281" s="968"/>
      <c r="F281" s="968"/>
      <c r="G281" s="968"/>
      <c r="H281" s="968"/>
      <c r="I281" s="968"/>
      <c r="J281" s="968"/>
      <c r="K281" s="968"/>
      <c r="L281" s="968"/>
      <c r="M281" s="968"/>
      <c r="N281" s="968"/>
      <c r="O281" s="968"/>
      <c r="P281" s="970"/>
      <c r="Q281" s="3093"/>
      <c r="R281" s="968"/>
      <c r="X281" s="221"/>
      <c r="Y281" s="221"/>
      <c r="Z281" s="221"/>
      <c r="AA281" s="221"/>
      <c r="AB281" s="221"/>
      <c r="AC281" s="221"/>
      <c r="AD281" s="221"/>
      <c r="AE281" s="221"/>
      <c r="AF281" s="221"/>
      <c r="AG281" s="221"/>
      <c r="AH281" s="221"/>
      <c r="AI281" s="221"/>
      <c r="AJ281" s="221"/>
      <c r="AK281" s="221"/>
      <c r="AL281" s="221"/>
      <c r="AM281" s="221"/>
      <c r="AN281" s="221"/>
      <c r="AO281" s="221"/>
      <c r="AP281" s="221"/>
      <c r="AQ281" s="221"/>
      <c r="AR281" s="221"/>
    </row>
    <row r="282" spans="1:44" s="384" customFormat="1" ht="12" customHeight="1">
      <c r="A282" s="221"/>
      <c r="B282" s="968"/>
      <c r="C282" s="968"/>
      <c r="D282" s="968"/>
      <c r="E282" s="968"/>
      <c r="F282" s="968"/>
      <c r="G282" s="968"/>
      <c r="H282" s="968"/>
      <c r="I282" s="968"/>
      <c r="J282" s="968"/>
      <c r="K282" s="968"/>
      <c r="L282" s="968"/>
      <c r="M282" s="968"/>
      <c r="N282" s="968"/>
      <c r="O282" s="968"/>
      <c r="P282" s="970"/>
      <c r="Q282" s="3093"/>
      <c r="R282" s="968"/>
      <c r="X282" s="221"/>
      <c r="Y282" s="221"/>
      <c r="Z282" s="221"/>
      <c r="AA282" s="221"/>
      <c r="AB282" s="221"/>
      <c r="AC282" s="221"/>
      <c r="AD282" s="221"/>
      <c r="AE282" s="221"/>
      <c r="AF282" s="221"/>
      <c r="AG282" s="221"/>
      <c r="AH282" s="221"/>
      <c r="AI282" s="221"/>
      <c r="AJ282" s="221"/>
      <c r="AK282" s="221"/>
      <c r="AL282" s="221"/>
      <c r="AM282" s="221"/>
      <c r="AN282" s="221"/>
      <c r="AO282" s="221"/>
      <c r="AP282" s="221"/>
      <c r="AQ282" s="221"/>
      <c r="AR282" s="221"/>
    </row>
    <row r="283" spans="1:44" s="384" customFormat="1" ht="12" customHeight="1">
      <c r="A283" s="221"/>
      <c r="B283" s="968"/>
      <c r="C283" s="968"/>
      <c r="D283" s="968"/>
      <c r="E283" s="968"/>
      <c r="F283" s="968"/>
      <c r="G283" s="968"/>
      <c r="H283" s="968"/>
      <c r="I283" s="968"/>
      <c r="J283" s="968"/>
      <c r="K283" s="968"/>
      <c r="L283" s="968"/>
      <c r="M283" s="968"/>
      <c r="N283" s="968"/>
      <c r="O283" s="968"/>
      <c r="P283" s="970"/>
      <c r="Q283" s="3093"/>
      <c r="R283" s="968"/>
      <c r="X283" s="221"/>
      <c r="Y283" s="221"/>
      <c r="Z283" s="221"/>
      <c r="AA283" s="221"/>
      <c r="AB283" s="221"/>
      <c r="AC283" s="221"/>
      <c r="AD283" s="221"/>
      <c r="AE283" s="221"/>
      <c r="AF283" s="221"/>
      <c r="AG283" s="221"/>
      <c r="AH283" s="221"/>
      <c r="AI283" s="221"/>
      <c r="AJ283" s="221"/>
      <c r="AK283" s="221"/>
      <c r="AL283" s="221"/>
      <c r="AM283" s="221"/>
      <c r="AN283" s="221"/>
      <c r="AO283" s="221"/>
      <c r="AP283" s="221"/>
      <c r="AQ283" s="221"/>
      <c r="AR283" s="221"/>
    </row>
    <row r="284" spans="1:44" s="384" customFormat="1" ht="12" customHeight="1">
      <c r="A284" s="221"/>
      <c r="B284" s="968"/>
      <c r="C284" s="968"/>
      <c r="D284" s="968"/>
      <c r="E284" s="968"/>
      <c r="F284" s="968"/>
      <c r="G284" s="968"/>
      <c r="H284" s="968"/>
      <c r="I284" s="968"/>
      <c r="J284" s="968"/>
      <c r="K284" s="968"/>
      <c r="L284" s="968"/>
      <c r="M284" s="968"/>
      <c r="N284" s="968"/>
      <c r="O284" s="968"/>
      <c r="P284" s="970"/>
      <c r="Q284" s="3093"/>
      <c r="R284" s="968"/>
      <c r="X284" s="221"/>
      <c r="Y284" s="221"/>
      <c r="Z284" s="221"/>
      <c r="AA284" s="221"/>
      <c r="AB284" s="221"/>
      <c r="AC284" s="221"/>
      <c r="AD284" s="221"/>
      <c r="AE284" s="221"/>
      <c r="AF284" s="221"/>
      <c r="AG284" s="221"/>
      <c r="AH284" s="221"/>
      <c r="AI284" s="221"/>
      <c r="AJ284" s="221"/>
      <c r="AK284" s="221"/>
      <c r="AL284" s="221"/>
      <c r="AM284" s="221"/>
      <c r="AN284" s="221"/>
      <c r="AO284" s="221"/>
      <c r="AP284" s="221"/>
      <c r="AQ284" s="221"/>
      <c r="AR284" s="221"/>
    </row>
    <row r="285" spans="1:44" s="384" customFormat="1" ht="12" customHeight="1">
      <c r="A285" s="221"/>
      <c r="B285" s="968"/>
      <c r="C285" s="968"/>
      <c r="D285" s="968"/>
      <c r="E285" s="968"/>
      <c r="F285" s="968"/>
      <c r="G285" s="968"/>
      <c r="H285" s="968"/>
      <c r="I285" s="968"/>
      <c r="J285" s="968"/>
      <c r="K285" s="968"/>
      <c r="L285" s="968"/>
      <c r="M285" s="968"/>
      <c r="N285" s="968"/>
      <c r="O285" s="968"/>
      <c r="P285" s="970"/>
      <c r="Q285" s="3093"/>
      <c r="R285" s="968"/>
      <c r="X285" s="221"/>
      <c r="Y285" s="221"/>
      <c r="Z285" s="221"/>
      <c r="AA285" s="221"/>
      <c r="AB285" s="221"/>
      <c r="AC285" s="221"/>
      <c r="AD285" s="221"/>
      <c r="AE285" s="221"/>
      <c r="AF285" s="221"/>
      <c r="AG285" s="221"/>
      <c r="AH285" s="221"/>
      <c r="AI285" s="221"/>
      <c r="AJ285" s="221"/>
      <c r="AK285" s="221"/>
      <c r="AL285" s="221"/>
      <c r="AM285" s="221"/>
      <c r="AN285" s="221"/>
      <c r="AO285" s="221"/>
      <c r="AP285" s="221"/>
      <c r="AQ285" s="221"/>
      <c r="AR285" s="221"/>
    </row>
    <row r="286" spans="1:44" s="384" customFormat="1" ht="12" customHeight="1">
      <c r="A286" s="221"/>
      <c r="B286" s="968"/>
      <c r="C286" s="968"/>
      <c r="D286" s="968"/>
      <c r="E286" s="968"/>
      <c r="F286" s="968"/>
      <c r="G286" s="968"/>
      <c r="H286" s="968"/>
      <c r="I286" s="968"/>
      <c r="J286" s="968"/>
      <c r="K286" s="968"/>
      <c r="L286" s="968"/>
      <c r="M286" s="968"/>
      <c r="N286" s="968"/>
      <c r="O286" s="968"/>
      <c r="P286" s="970"/>
      <c r="Q286" s="3093"/>
      <c r="R286" s="968"/>
      <c r="X286" s="221"/>
      <c r="Y286" s="221"/>
      <c r="Z286" s="221"/>
      <c r="AA286" s="221"/>
      <c r="AB286" s="221"/>
      <c r="AC286" s="221"/>
      <c r="AD286" s="221"/>
      <c r="AE286" s="221"/>
      <c r="AF286" s="221"/>
      <c r="AG286" s="221"/>
      <c r="AH286" s="221"/>
      <c r="AI286" s="221"/>
      <c r="AJ286" s="221"/>
      <c r="AK286" s="221"/>
      <c r="AL286" s="221"/>
      <c r="AM286" s="221"/>
      <c r="AN286" s="221"/>
      <c r="AO286" s="221"/>
      <c r="AP286" s="221"/>
      <c r="AQ286" s="221"/>
      <c r="AR286" s="221"/>
    </row>
    <row r="287" spans="1:44" s="384" customFormat="1" ht="12" customHeight="1">
      <c r="A287" s="221"/>
      <c r="B287" s="968"/>
      <c r="C287" s="968"/>
      <c r="D287" s="968"/>
      <c r="E287" s="968"/>
      <c r="F287" s="968"/>
      <c r="G287" s="968"/>
      <c r="H287" s="968"/>
      <c r="I287" s="968"/>
      <c r="J287" s="968"/>
      <c r="K287" s="968"/>
      <c r="L287" s="968"/>
      <c r="M287" s="968"/>
      <c r="N287" s="968"/>
      <c r="O287" s="968"/>
      <c r="P287" s="970"/>
      <c r="Q287" s="3093"/>
      <c r="R287" s="968"/>
      <c r="X287" s="221"/>
      <c r="Y287" s="221"/>
      <c r="Z287" s="221"/>
      <c r="AA287" s="221"/>
      <c r="AB287" s="221"/>
      <c r="AC287" s="221"/>
      <c r="AD287" s="221"/>
      <c r="AE287" s="221"/>
      <c r="AF287" s="221"/>
      <c r="AG287" s="221"/>
      <c r="AH287" s="221"/>
      <c r="AI287" s="221"/>
      <c r="AJ287" s="221"/>
      <c r="AK287" s="221"/>
      <c r="AL287" s="221"/>
      <c r="AM287" s="221"/>
      <c r="AN287" s="221"/>
      <c r="AO287" s="221"/>
      <c r="AP287" s="221"/>
      <c r="AQ287" s="221"/>
      <c r="AR287" s="221"/>
    </row>
    <row r="288" spans="1:44" s="384" customFormat="1" ht="12" customHeight="1">
      <c r="A288" s="221"/>
      <c r="B288" s="968"/>
      <c r="C288" s="968"/>
      <c r="D288" s="968"/>
      <c r="E288" s="968"/>
      <c r="F288" s="968"/>
      <c r="G288" s="968"/>
      <c r="H288" s="968"/>
      <c r="I288" s="968"/>
      <c r="J288" s="968"/>
      <c r="K288" s="968"/>
      <c r="L288" s="968"/>
      <c r="M288" s="968"/>
      <c r="N288" s="968"/>
      <c r="O288" s="968"/>
      <c r="P288" s="970"/>
      <c r="Q288" s="3093"/>
      <c r="R288" s="968"/>
      <c r="X288" s="221"/>
      <c r="Y288" s="221"/>
      <c r="Z288" s="221"/>
      <c r="AA288" s="221"/>
      <c r="AB288" s="221"/>
      <c r="AC288" s="221"/>
      <c r="AD288" s="221"/>
      <c r="AE288" s="221"/>
      <c r="AF288" s="221"/>
      <c r="AG288" s="221"/>
      <c r="AH288" s="221"/>
      <c r="AI288" s="221"/>
      <c r="AJ288" s="221"/>
      <c r="AK288" s="221"/>
      <c r="AL288" s="221"/>
      <c r="AM288" s="221"/>
      <c r="AN288" s="221"/>
      <c r="AO288" s="221"/>
      <c r="AP288" s="221"/>
      <c r="AQ288" s="221"/>
      <c r="AR288" s="221"/>
    </row>
    <row r="289" spans="1:44" s="384" customFormat="1" ht="12" customHeight="1">
      <c r="A289" s="221"/>
      <c r="B289" s="968"/>
      <c r="C289" s="968"/>
      <c r="D289" s="968"/>
      <c r="E289" s="968"/>
      <c r="F289" s="968"/>
      <c r="G289" s="968"/>
      <c r="H289" s="968"/>
      <c r="I289" s="968"/>
      <c r="J289" s="968"/>
      <c r="K289" s="968"/>
      <c r="L289" s="968"/>
      <c r="M289" s="968"/>
      <c r="N289" s="968"/>
      <c r="O289" s="968"/>
      <c r="P289" s="970"/>
      <c r="Q289" s="3093"/>
      <c r="R289" s="968"/>
      <c r="X289" s="221"/>
      <c r="Y289" s="221"/>
      <c r="Z289" s="221"/>
      <c r="AA289" s="221"/>
      <c r="AB289" s="221"/>
      <c r="AC289" s="221"/>
      <c r="AD289" s="221"/>
      <c r="AE289" s="221"/>
      <c r="AF289" s="221"/>
      <c r="AG289" s="221"/>
      <c r="AH289" s="221"/>
      <c r="AI289" s="221"/>
      <c r="AJ289" s="221"/>
      <c r="AK289" s="221"/>
      <c r="AL289" s="221"/>
      <c r="AM289" s="221"/>
      <c r="AN289" s="221"/>
      <c r="AO289" s="221"/>
      <c r="AP289" s="221"/>
      <c r="AQ289" s="221"/>
      <c r="AR289" s="221"/>
    </row>
    <row r="290" spans="1:44" s="384" customFormat="1" ht="12" customHeight="1">
      <c r="A290" s="221"/>
      <c r="B290" s="968"/>
      <c r="C290" s="968"/>
      <c r="D290" s="968"/>
      <c r="E290" s="968"/>
      <c r="F290" s="968"/>
      <c r="G290" s="968"/>
      <c r="H290" s="968"/>
      <c r="I290" s="968"/>
      <c r="J290" s="968"/>
      <c r="K290" s="968"/>
      <c r="L290" s="968"/>
      <c r="M290" s="968"/>
      <c r="N290" s="968"/>
      <c r="O290" s="968"/>
      <c r="P290" s="970"/>
      <c r="Q290" s="3093"/>
      <c r="R290" s="968"/>
      <c r="X290" s="221"/>
      <c r="Y290" s="221"/>
      <c r="Z290" s="221"/>
      <c r="AA290" s="221"/>
      <c r="AB290" s="221"/>
      <c r="AC290" s="221"/>
      <c r="AD290" s="221"/>
      <c r="AE290" s="221"/>
      <c r="AF290" s="221"/>
      <c r="AG290" s="221"/>
      <c r="AH290" s="221"/>
      <c r="AI290" s="221"/>
      <c r="AJ290" s="221"/>
      <c r="AK290" s="221"/>
      <c r="AL290" s="221"/>
      <c r="AM290" s="221"/>
      <c r="AN290" s="221"/>
      <c r="AO290" s="221"/>
      <c r="AP290" s="221"/>
      <c r="AQ290" s="221"/>
      <c r="AR290" s="221"/>
    </row>
    <row r="291" spans="1:44" s="384" customFormat="1" ht="12" customHeight="1">
      <c r="A291" s="221"/>
      <c r="B291" s="968"/>
      <c r="C291" s="968"/>
      <c r="D291" s="968"/>
      <c r="E291" s="968"/>
      <c r="F291" s="968"/>
      <c r="G291" s="968"/>
      <c r="H291" s="968"/>
      <c r="I291" s="968"/>
      <c r="J291" s="968"/>
      <c r="K291" s="968"/>
      <c r="L291" s="968"/>
      <c r="M291" s="968"/>
      <c r="N291" s="968"/>
      <c r="O291" s="968"/>
      <c r="P291" s="970"/>
      <c r="Q291" s="3093"/>
      <c r="R291" s="968"/>
      <c r="X291" s="221"/>
      <c r="Y291" s="221"/>
      <c r="Z291" s="221"/>
      <c r="AA291" s="221"/>
      <c r="AB291" s="221"/>
      <c r="AC291" s="221"/>
      <c r="AD291" s="221"/>
      <c r="AE291" s="221"/>
      <c r="AF291" s="221"/>
      <c r="AG291" s="221"/>
      <c r="AH291" s="221"/>
      <c r="AI291" s="221"/>
      <c r="AJ291" s="221"/>
      <c r="AK291" s="221"/>
      <c r="AL291" s="221"/>
      <c r="AM291" s="221"/>
      <c r="AN291" s="221"/>
      <c r="AO291" s="221"/>
      <c r="AP291" s="221"/>
      <c r="AQ291" s="221"/>
      <c r="AR291" s="221"/>
    </row>
    <row r="292" spans="1:44" s="384" customFormat="1" ht="12" customHeight="1">
      <c r="A292" s="221"/>
      <c r="B292" s="968"/>
      <c r="C292" s="968"/>
      <c r="D292" s="968"/>
      <c r="E292" s="968"/>
      <c r="F292" s="968"/>
      <c r="G292" s="968"/>
      <c r="H292" s="968"/>
      <c r="I292" s="968"/>
      <c r="J292" s="968"/>
      <c r="K292" s="968"/>
      <c r="L292" s="968"/>
      <c r="M292" s="968"/>
      <c r="N292" s="968"/>
      <c r="O292" s="968"/>
      <c r="P292" s="970"/>
      <c r="Q292" s="3093"/>
      <c r="R292" s="968"/>
      <c r="X292" s="221"/>
      <c r="Y292" s="221"/>
      <c r="Z292" s="221"/>
      <c r="AA292" s="221"/>
      <c r="AB292" s="221"/>
      <c r="AC292" s="221"/>
      <c r="AD292" s="221"/>
      <c r="AE292" s="221"/>
      <c r="AF292" s="221"/>
      <c r="AG292" s="221"/>
      <c r="AH292" s="221"/>
      <c r="AI292" s="221"/>
      <c r="AJ292" s="221"/>
      <c r="AK292" s="221"/>
      <c r="AL292" s="221"/>
      <c r="AM292" s="221"/>
      <c r="AN292" s="221"/>
      <c r="AO292" s="221"/>
      <c r="AP292" s="221"/>
      <c r="AQ292" s="221"/>
      <c r="AR292" s="221"/>
    </row>
    <row r="293" spans="1:44" s="384" customFormat="1" ht="12" customHeight="1">
      <c r="A293" s="221"/>
      <c r="B293" s="968"/>
      <c r="C293" s="968"/>
      <c r="D293" s="968"/>
      <c r="E293" s="968"/>
      <c r="F293" s="968"/>
      <c r="G293" s="968"/>
      <c r="H293" s="968"/>
      <c r="I293" s="968"/>
      <c r="J293" s="968"/>
      <c r="K293" s="968"/>
      <c r="L293" s="968"/>
      <c r="M293" s="968"/>
      <c r="N293" s="968"/>
      <c r="O293" s="968"/>
      <c r="P293" s="970"/>
      <c r="Q293" s="3093"/>
      <c r="R293" s="968"/>
      <c r="X293" s="221"/>
      <c r="Y293" s="221"/>
      <c r="Z293" s="221"/>
      <c r="AA293" s="221"/>
      <c r="AB293" s="221"/>
      <c r="AC293" s="221"/>
      <c r="AD293" s="221"/>
      <c r="AE293" s="221"/>
      <c r="AF293" s="221"/>
      <c r="AG293" s="221"/>
      <c r="AH293" s="221"/>
      <c r="AI293" s="221"/>
      <c r="AJ293" s="221"/>
      <c r="AK293" s="221"/>
      <c r="AL293" s="221"/>
      <c r="AM293" s="221"/>
      <c r="AN293" s="221"/>
      <c r="AO293" s="221"/>
      <c r="AP293" s="221"/>
      <c r="AQ293" s="221"/>
      <c r="AR293" s="221"/>
    </row>
    <row r="294" spans="1:44" s="384" customFormat="1" ht="12" customHeight="1">
      <c r="A294" s="221"/>
      <c r="B294" s="968"/>
      <c r="C294" s="968"/>
      <c r="D294" s="968"/>
      <c r="E294" s="968"/>
      <c r="F294" s="968"/>
      <c r="G294" s="968"/>
      <c r="H294" s="968"/>
      <c r="I294" s="968"/>
      <c r="J294" s="968"/>
      <c r="K294" s="968"/>
      <c r="L294" s="968"/>
      <c r="M294" s="968"/>
      <c r="N294" s="968"/>
      <c r="O294" s="968"/>
      <c r="P294" s="970"/>
      <c r="Q294" s="3093"/>
      <c r="R294" s="968"/>
      <c r="X294" s="221"/>
      <c r="Y294" s="221"/>
      <c r="Z294" s="221"/>
      <c r="AA294" s="221"/>
      <c r="AB294" s="221"/>
      <c r="AC294" s="221"/>
      <c r="AD294" s="221"/>
      <c r="AE294" s="221"/>
      <c r="AF294" s="221"/>
      <c r="AG294" s="221"/>
      <c r="AH294" s="221"/>
      <c r="AI294" s="221"/>
      <c r="AJ294" s="221"/>
      <c r="AK294" s="221"/>
      <c r="AL294" s="221"/>
      <c r="AM294" s="221"/>
      <c r="AN294" s="221"/>
      <c r="AO294" s="221"/>
      <c r="AP294" s="221"/>
      <c r="AQ294" s="221"/>
      <c r="AR294" s="221"/>
    </row>
    <row r="295" spans="1:44" s="384" customFormat="1" ht="12" customHeight="1">
      <c r="A295" s="221"/>
      <c r="B295" s="968"/>
      <c r="C295" s="968"/>
      <c r="D295" s="968"/>
      <c r="E295" s="968"/>
      <c r="F295" s="968"/>
      <c r="G295" s="968"/>
      <c r="H295" s="968"/>
      <c r="I295" s="968"/>
      <c r="J295" s="968"/>
      <c r="K295" s="968"/>
      <c r="L295" s="968"/>
      <c r="M295" s="968"/>
      <c r="N295" s="968"/>
      <c r="O295" s="968"/>
      <c r="P295" s="970"/>
      <c r="Q295" s="3093"/>
      <c r="R295" s="968"/>
      <c r="X295" s="221"/>
      <c r="Y295" s="221"/>
      <c r="Z295" s="221"/>
      <c r="AA295" s="221"/>
      <c r="AB295" s="221"/>
      <c r="AC295" s="221"/>
      <c r="AD295" s="221"/>
      <c r="AE295" s="221"/>
      <c r="AF295" s="221"/>
      <c r="AG295" s="221"/>
      <c r="AH295" s="221"/>
      <c r="AI295" s="221"/>
      <c r="AJ295" s="221"/>
      <c r="AK295" s="221"/>
      <c r="AL295" s="221"/>
      <c r="AM295" s="221"/>
      <c r="AN295" s="221"/>
      <c r="AO295" s="221"/>
      <c r="AP295" s="221"/>
      <c r="AQ295" s="221"/>
      <c r="AR295" s="221"/>
    </row>
    <row r="296" spans="1:44" s="384" customFormat="1" ht="12" customHeight="1">
      <c r="A296" s="221"/>
      <c r="B296" s="968"/>
      <c r="C296" s="968"/>
      <c r="D296" s="968"/>
      <c r="E296" s="968"/>
      <c r="F296" s="968"/>
      <c r="G296" s="968"/>
      <c r="H296" s="968"/>
      <c r="I296" s="968"/>
      <c r="J296" s="968"/>
      <c r="K296" s="968"/>
      <c r="L296" s="968"/>
      <c r="M296" s="968"/>
      <c r="N296" s="968"/>
      <c r="O296" s="968"/>
      <c r="P296" s="970"/>
      <c r="Q296" s="3093"/>
      <c r="R296" s="968"/>
      <c r="X296" s="221"/>
      <c r="Y296" s="221"/>
      <c r="Z296" s="221"/>
      <c r="AA296" s="221"/>
      <c r="AB296" s="221"/>
      <c r="AC296" s="221"/>
      <c r="AD296" s="221"/>
      <c r="AE296" s="221"/>
      <c r="AF296" s="221"/>
      <c r="AG296" s="221"/>
      <c r="AH296" s="221"/>
      <c r="AI296" s="221"/>
      <c r="AJ296" s="221"/>
      <c r="AK296" s="221"/>
      <c r="AL296" s="221"/>
      <c r="AM296" s="221"/>
      <c r="AN296" s="221"/>
      <c r="AO296" s="221"/>
      <c r="AP296" s="221"/>
      <c r="AQ296" s="221"/>
      <c r="AR296" s="221"/>
    </row>
    <row r="297" spans="1:44" s="384" customFormat="1" ht="12" customHeight="1">
      <c r="A297" s="221"/>
      <c r="B297" s="968"/>
      <c r="C297" s="968"/>
      <c r="D297" s="968"/>
      <c r="E297" s="968"/>
      <c r="F297" s="968"/>
      <c r="G297" s="968"/>
      <c r="H297" s="968"/>
      <c r="I297" s="968"/>
      <c r="J297" s="968"/>
      <c r="K297" s="968"/>
      <c r="L297" s="968"/>
      <c r="M297" s="968"/>
      <c r="N297" s="968"/>
      <c r="O297" s="968"/>
      <c r="P297" s="970"/>
      <c r="Q297" s="3093"/>
      <c r="R297" s="968"/>
      <c r="X297" s="221"/>
      <c r="Y297" s="221"/>
      <c r="Z297" s="221"/>
      <c r="AA297" s="221"/>
      <c r="AB297" s="221"/>
      <c r="AC297" s="221"/>
      <c r="AD297" s="221"/>
      <c r="AE297" s="221"/>
      <c r="AF297" s="221"/>
      <c r="AG297" s="221"/>
      <c r="AH297" s="221"/>
      <c r="AI297" s="221"/>
      <c r="AJ297" s="221"/>
      <c r="AK297" s="221"/>
      <c r="AL297" s="221"/>
      <c r="AM297" s="221"/>
      <c r="AN297" s="221"/>
      <c r="AO297" s="221"/>
      <c r="AP297" s="221"/>
      <c r="AQ297" s="221"/>
      <c r="AR297" s="221"/>
    </row>
    <row r="298" spans="1:44" s="384" customFormat="1" ht="12" customHeight="1">
      <c r="A298" s="221"/>
      <c r="B298" s="968"/>
      <c r="C298" s="968"/>
      <c r="D298" s="968"/>
      <c r="E298" s="968"/>
      <c r="F298" s="968"/>
      <c r="G298" s="968"/>
      <c r="H298" s="968"/>
      <c r="I298" s="968"/>
      <c r="J298" s="968"/>
      <c r="K298" s="968"/>
      <c r="L298" s="968"/>
      <c r="M298" s="968"/>
      <c r="N298" s="968"/>
      <c r="O298" s="968"/>
      <c r="P298" s="3095"/>
      <c r="Q298" s="3093"/>
      <c r="R298" s="968"/>
      <c r="X298" s="221"/>
      <c r="Y298" s="221"/>
      <c r="Z298" s="221"/>
      <c r="AA298" s="221"/>
      <c r="AB298" s="221"/>
      <c r="AC298" s="221"/>
      <c r="AD298" s="221"/>
      <c r="AE298" s="221"/>
      <c r="AF298" s="221"/>
      <c r="AG298" s="221"/>
      <c r="AH298" s="221"/>
      <c r="AI298" s="221"/>
      <c r="AJ298" s="221"/>
      <c r="AK298" s="221"/>
      <c r="AL298" s="221"/>
      <c r="AM298" s="221"/>
      <c r="AN298" s="221"/>
      <c r="AO298" s="221"/>
      <c r="AP298" s="221"/>
      <c r="AQ298" s="221"/>
      <c r="AR298" s="221"/>
    </row>
    <row r="299" spans="1:44" s="384" customFormat="1" ht="12" customHeight="1">
      <c r="A299" s="221"/>
      <c r="B299" s="968"/>
      <c r="C299" s="968"/>
      <c r="D299" s="968"/>
      <c r="E299" s="968"/>
      <c r="F299" s="968"/>
      <c r="G299" s="968"/>
      <c r="H299" s="968"/>
      <c r="I299" s="968"/>
      <c r="J299" s="968"/>
      <c r="K299" s="968"/>
      <c r="L299" s="968"/>
      <c r="M299" s="968"/>
      <c r="N299" s="968"/>
      <c r="O299" s="968"/>
      <c r="P299" s="970"/>
      <c r="Q299" s="3093"/>
      <c r="R299" s="968"/>
      <c r="X299" s="221"/>
      <c r="Y299" s="221"/>
      <c r="Z299" s="221"/>
      <c r="AA299" s="221"/>
      <c r="AB299" s="221"/>
      <c r="AC299" s="221"/>
      <c r="AD299" s="221"/>
      <c r="AE299" s="221"/>
      <c r="AF299" s="221"/>
      <c r="AG299" s="221"/>
      <c r="AH299" s="221"/>
      <c r="AI299" s="221"/>
      <c r="AJ299" s="221"/>
      <c r="AK299" s="221"/>
      <c r="AL299" s="221"/>
      <c r="AM299" s="221"/>
      <c r="AN299" s="221"/>
      <c r="AO299" s="221"/>
      <c r="AP299" s="221"/>
      <c r="AQ299" s="221"/>
      <c r="AR299" s="221"/>
    </row>
    <row r="300" spans="1:44" s="384" customFormat="1" ht="12" customHeight="1">
      <c r="A300" s="221"/>
      <c r="B300" s="968"/>
      <c r="C300" s="968"/>
      <c r="D300" s="968"/>
      <c r="E300" s="968"/>
      <c r="F300" s="968"/>
      <c r="G300" s="968"/>
      <c r="H300" s="968"/>
      <c r="I300" s="968"/>
      <c r="J300" s="968"/>
      <c r="K300" s="968"/>
      <c r="L300" s="968"/>
      <c r="M300" s="968"/>
      <c r="N300" s="968"/>
      <c r="O300" s="968"/>
      <c r="P300" s="970"/>
      <c r="Q300" s="3093"/>
      <c r="R300" s="968"/>
      <c r="X300" s="221"/>
      <c r="Y300" s="221"/>
      <c r="Z300" s="221"/>
      <c r="AA300" s="221"/>
      <c r="AB300" s="221"/>
      <c r="AC300" s="221"/>
      <c r="AD300" s="221"/>
      <c r="AE300" s="221"/>
      <c r="AF300" s="221"/>
      <c r="AG300" s="221"/>
      <c r="AH300" s="221"/>
      <c r="AI300" s="221"/>
      <c r="AJ300" s="221"/>
      <c r="AK300" s="221"/>
      <c r="AL300" s="221"/>
      <c r="AM300" s="221"/>
      <c r="AN300" s="221"/>
      <c r="AO300" s="221"/>
      <c r="AP300" s="221"/>
      <c r="AQ300" s="221"/>
      <c r="AR300" s="221"/>
    </row>
    <row r="301" spans="1:44" s="384" customFormat="1" ht="12" customHeight="1">
      <c r="A301" s="221"/>
      <c r="B301" s="968"/>
      <c r="C301" s="968"/>
      <c r="D301" s="968"/>
      <c r="E301" s="968"/>
      <c r="F301" s="968"/>
      <c r="G301" s="968"/>
      <c r="H301" s="968"/>
      <c r="I301" s="968"/>
      <c r="J301" s="968"/>
      <c r="K301" s="968"/>
      <c r="L301" s="968"/>
      <c r="M301" s="968"/>
      <c r="N301" s="968"/>
      <c r="O301" s="968"/>
      <c r="P301" s="970"/>
      <c r="Q301" s="3093"/>
      <c r="R301" s="968"/>
      <c r="X301" s="221"/>
      <c r="Y301" s="221"/>
      <c r="Z301" s="221"/>
      <c r="AA301" s="221"/>
      <c r="AB301" s="221"/>
      <c r="AC301" s="221"/>
      <c r="AD301" s="221"/>
      <c r="AE301" s="221"/>
      <c r="AF301" s="221"/>
      <c r="AG301" s="221"/>
      <c r="AH301" s="221"/>
      <c r="AI301" s="221"/>
      <c r="AJ301" s="221"/>
      <c r="AK301" s="221"/>
      <c r="AL301" s="221"/>
      <c r="AM301" s="221"/>
      <c r="AN301" s="221"/>
      <c r="AO301" s="221"/>
      <c r="AP301" s="221"/>
      <c r="AQ301" s="221"/>
      <c r="AR301" s="221"/>
    </row>
    <row r="302" spans="1:44" s="384" customFormat="1" ht="12" customHeight="1">
      <c r="A302" s="221"/>
      <c r="B302" s="968"/>
      <c r="C302" s="968"/>
      <c r="D302" s="968"/>
      <c r="E302" s="968"/>
      <c r="F302" s="968"/>
      <c r="G302" s="968"/>
      <c r="H302" s="968"/>
      <c r="I302" s="968"/>
      <c r="J302" s="968"/>
      <c r="K302" s="968"/>
      <c r="L302" s="968"/>
      <c r="M302" s="968"/>
      <c r="N302" s="968"/>
      <c r="O302" s="968"/>
      <c r="P302" s="970"/>
      <c r="Q302" s="3093"/>
      <c r="R302" s="968"/>
      <c r="X302" s="221"/>
      <c r="Y302" s="221"/>
      <c r="Z302" s="221"/>
      <c r="AA302" s="221"/>
      <c r="AB302" s="221"/>
      <c r="AC302" s="221"/>
      <c r="AD302" s="221"/>
      <c r="AE302" s="221"/>
      <c r="AF302" s="221"/>
      <c r="AG302" s="221"/>
      <c r="AH302" s="221"/>
      <c r="AI302" s="221"/>
      <c r="AJ302" s="221"/>
      <c r="AK302" s="221"/>
      <c r="AL302" s="221"/>
      <c r="AM302" s="221"/>
      <c r="AN302" s="221"/>
      <c r="AO302" s="221"/>
      <c r="AP302" s="221"/>
      <c r="AQ302" s="221"/>
      <c r="AR302" s="221"/>
    </row>
    <row r="303" spans="1:44" s="384" customFormat="1" ht="12" customHeight="1">
      <c r="A303" s="221"/>
      <c r="B303" s="968"/>
      <c r="C303" s="968"/>
      <c r="D303" s="968"/>
      <c r="E303" s="968"/>
      <c r="F303" s="968"/>
      <c r="G303" s="968"/>
      <c r="H303" s="968"/>
      <c r="I303" s="968"/>
      <c r="J303" s="968"/>
      <c r="K303" s="968"/>
      <c r="L303" s="968"/>
      <c r="M303" s="968"/>
      <c r="N303" s="968"/>
      <c r="O303" s="968"/>
      <c r="P303" s="970"/>
      <c r="Q303" s="3093"/>
      <c r="R303" s="968"/>
      <c r="X303" s="221"/>
      <c r="Y303" s="221"/>
      <c r="Z303" s="221"/>
      <c r="AA303" s="221"/>
      <c r="AB303" s="221"/>
      <c r="AC303" s="221"/>
      <c r="AD303" s="221"/>
      <c r="AE303" s="221"/>
      <c r="AF303" s="221"/>
      <c r="AG303" s="221"/>
      <c r="AH303" s="221"/>
      <c r="AI303" s="221"/>
      <c r="AJ303" s="221"/>
      <c r="AK303" s="221"/>
      <c r="AL303" s="221"/>
      <c r="AM303" s="221"/>
      <c r="AN303" s="221"/>
      <c r="AO303" s="221"/>
      <c r="AP303" s="221"/>
      <c r="AQ303" s="221"/>
      <c r="AR303" s="221"/>
    </row>
    <row r="304" spans="1:44" s="384" customFormat="1" ht="12" customHeight="1">
      <c r="A304" s="221"/>
      <c r="B304" s="968"/>
      <c r="C304" s="968"/>
      <c r="D304" s="968"/>
      <c r="E304" s="968"/>
      <c r="F304" s="968"/>
      <c r="G304" s="968"/>
      <c r="H304" s="968"/>
      <c r="I304" s="968"/>
      <c r="J304" s="968"/>
      <c r="K304" s="968"/>
      <c r="L304" s="968"/>
      <c r="M304" s="968"/>
      <c r="N304" s="968"/>
      <c r="O304" s="968"/>
      <c r="P304" s="970"/>
      <c r="Q304" s="3093"/>
      <c r="R304" s="968"/>
      <c r="X304" s="221"/>
      <c r="Y304" s="221"/>
      <c r="Z304" s="221"/>
      <c r="AA304" s="221"/>
      <c r="AB304" s="221"/>
      <c r="AC304" s="221"/>
      <c r="AD304" s="221"/>
      <c r="AE304" s="221"/>
      <c r="AF304" s="221"/>
      <c r="AG304" s="221"/>
      <c r="AH304" s="221"/>
      <c r="AI304" s="221"/>
      <c r="AJ304" s="221"/>
      <c r="AK304" s="221"/>
      <c r="AL304" s="221"/>
      <c r="AM304" s="221"/>
      <c r="AN304" s="221"/>
      <c r="AO304" s="221"/>
      <c r="AP304" s="221"/>
      <c r="AQ304" s="221"/>
      <c r="AR304" s="221"/>
    </row>
    <row r="305" spans="1:44" s="384" customFormat="1" ht="12" customHeight="1">
      <c r="A305" s="221"/>
      <c r="B305" s="968"/>
      <c r="C305" s="968"/>
      <c r="D305" s="968"/>
      <c r="E305" s="968"/>
      <c r="F305" s="968"/>
      <c r="G305" s="968"/>
      <c r="H305" s="968"/>
      <c r="I305" s="968"/>
      <c r="J305" s="968"/>
      <c r="K305" s="968"/>
      <c r="L305" s="968"/>
      <c r="M305" s="968"/>
      <c r="N305" s="968"/>
      <c r="O305" s="968"/>
      <c r="P305" s="970"/>
      <c r="Q305" s="3093"/>
      <c r="R305" s="968"/>
      <c r="X305" s="221"/>
      <c r="Y305" s="221"/>
      <c r="Z305" s="221"/>
      <c r="AA305" s="221"/>
      <c r="AB305" s="221"/>
      <c r="AC305" s="221"/>
      <c r="AD305" s="221"/>
      <c r="AE305" s="221"/>
      <c r="AF305" s="221"/>
      <c r="AG305" s="221"/>
      <c r="AH305" s="221"/>
      <c r="AI305" s="221"/>
      <c r="AJ305" s="221"/>
      <c r="AK305" s="221"/>
      <c r="AL305" s="221"/>
      <c r="AM305" s="221"/>
      <c r="AN305" s="221"/>
      <c r="AO305" s="221"/>
      <c r="AP305" s="221"/>
      <c r="AQ305" s="221"/>
      <c r="AR305" s="221"/>
    </row>
    <row r="306" spans="1:44" s="384" customFormat="1" ht="12" customHeight="1">
      <c r="A306" s="221"/>
      <c r="B306" s="968"/>
      <c r="C306" s="968"/>
      <c r="D306" s="968"/>
      <c r="E306" s="968"/>
      <c r="F306" s="968"/>
      <c r="G306" s="968"/>
      <c r="H306" s="968"/>
      <c r="I306" s="968"/>
      <c r="J306" s="968"/>
      <c r="K306" s="968"/>
      <c r="L306" s="968"/>
      <c r="M306" s="968"/>
      <c r="N306" s="968"/>
      <c r="O306" s="968"/>
      <c r="P306" s="970"/>
      <c r="Q306" s="3093"/>
      <c r="R306" s="968"/>
      <c r="X306" s="221"/>
      <c r="Y306" s="221"/>
      <c r="Z306" s="221"/>
      <c r="AA306" s="221"/>
      <c r="AB306" s="221"/>
      <c r="AC306" s="221"/>
      <c r="AD306" s="221"/>
      <c r="AE306" s="221"/>
      <c r="AF306" s="221"/>
      <c r="AG306" s="221"/>
      <c r="AH306" s="221"/>
      <c r="AI306" s="221"/>
      <c r="AJ306" s="221"/>
      <c r="AK306" s="221"/>
      <c r="AL306" s="221"/>
      <c r="AM306" s="221"/>
      <c r="AN306" s="221"/>
      <c r="AO306" s="221"/>
      <c r="AP306" s="221"/>
      <c r="AQ306" s="221"/>
      <c r="AR306" s="221"/>
    </row>
    <row r="307" spans="1:44" s="384" customFormat="1" ht="12" customHeight="1">
      <c r="A307" s="221"/>
      <c r="B307" s="968"/>
      <c r="C307" s="968"/>
      <c r="D307" s="968"/>
      <c r="E307" s="968"/>
      <c r="F307" s="968"/>
      <c r="G307" s="968"/>
      <c r="H307" s="968"/>
      <c r="I307" s="968"/>
      <c r="J307" s="968"/>
      <c r="K307" s="968"/>
      <c r="L307" s="968"/>
      <c r="M307" s="968"/>
      <c r="N307" s="968"/>
      <c r="O307" s="968"/>
      <c r="P307" s="970"/>
      <c r="Q307" s="3093"/>
      <c r="R307" s="968"/>
      <c r="X307" s="221"/>
      <c r="Y307" s="221"/>
      <c r="Z307" s="221"/>
      <c r="AA307" s="221"/>
      <c r="AB307" s="221"/>
      <c r="AC307" s="221"/>
      <c r="AD307" s="221"/>
      <c r="AE307" s="221"/>
      <c r="AF307" s="221"/>
      <c r="AG307" s="221"/>
      <c r="AH307" s="221"/>
      <c r="AI307" s="221"/>
      <c r="AJ307" s="221"/>
      <c r="AK307" s="221"/>
      <c r="AL307" s="221"/>
      <c r="AM307" s="221"/>
      <c r="AN307" s="221"/>
      <c r="AO307" s="221"/>
      <c r="AP307" s="221"/>
      <c r="AQ307" s="221"/>
      <c r="AR307" s="221"/>
    </row>
    <row r="308" spans="1:44" s="384" customFormat="1" ht="12" customHeight="1">
      <c r="A308" s="221"/>
      <c r="B308" s="968"/>
      <c r="C308" s="968"/>
      <c r="D308" s="968"/>
      <c r="E308" s="968"/>
      <c r="F308" s="968"/>
      <c r="G308" s="968"/>
      <c r="H308" s="968"/>
      <c r="I308" s="968"/>
      <c r="J308" s="968"/>
      <c r="K308" s="968"/>
      <c r="L308" s="968"/>
      <c r="M308" s="968"/>
      <c r="N308" s="968"/>
      <c r="O308" s="968"/>
      <c r="P308" s="970"/>
      <c r="Q308" s="3093"/>
      <c r="R308" s="968"/>
      <c r="X308" s="221"/>
      <c r="Y308" s="221"/>
      <c r="Z308" s="221"/>
      <c r="AA308" s="221"/>
      <c r="AB308" s="221"/>
      <c r="AC308" s="221"/>
      <c r="AD308" s="221"/>
      <c r="AE308" s="221"/>
      <c r="AF308" s="221"/>
      <c r="AG308" s="221"/>
      <c r="AH308" s="221"/>
      <c r="AI308" s="221"/>
      <c r="AJ308" s="221"/>
      <c r="AK308" s="221"/>
      <c r="AL308" s="221"/>
      <c r="AM308" s="221"/>
      <c r="AN308" s="221"/>
      <c r="AO308" s="221"/>
      <c r="AP308" s="221"/>
      <c r="AQ308" s="221"/>
      <c r="AR308" s="221"/>
    </row>
    <row r="309" spans="1:44" s="384" customFormat="1" ht="12" customHeight="1">
      <c r="A309" s="221"/>
      <c r="B309" s="968"/>
      <c r="C309" s="968"/>
      <c r="D309" s="968"/>
      <c r="E309" s="968"/>
      <c r="F309" s="968"/>
      <c r="G309" s="968"/>
      <c r="H309" s="968"/>
      <c r="I309" s="968"/>
      <c r="J309" s="968"/>
      <c r="K309" s="968"/>
      <c r="L309" s="968"/>
      <c r="M309" s="968"/>
      <c r="N309" s="968"/>
      <c r="O309" s="968"/>
      <c r="P309" s="970"/>
      <c r="Q309" s="968"/>
      <c r="R309" s="968"/>
      <c r="X309" s="221"/>
      <c r="Y309" s="221"/>
      <c r="Z309" s="221"/>
      <c r="AA309" s="221"/>
      <c r="AB309" s="221"/>
      <c r="AC309" s="221"/>
      <c r="AD309" s="221"/>
      <c r="AE309" s="221"/>
      <c r="AF309" s="221"/>
      <c r="AG309" s="221"/>
      <c r="AH309" s="221"/>
      <c r="AI309" s="221"/>
      <c r="AJ309" s="221"/>
      <c r="AK309" s="221"/>
      <c r="AL309" s="221"/>
      <c r="AM309" s="221"/>
      <c r="AN309" s="221"/>
      <c r="AO309" s="221"/>
      <c r="AP309" s="221"/>
      <c r="AQ309" s="221"/>
      <c r="AR309" s="221"/>
    </row>
    <row r="310" spans="1:44" s="384" customFormat="1" ht="12" customHeight="1">
      <c r="A310" s="221"/>
      <c r="B310" s="968"/>
      <c r="C310" s="968"/>
      <c r="D310" s="968"/>
      <c r="E310" s="968"/>
      <c r="F310" s="968"/>
      <c r="G310" s="968"/>
      <c r="H310" s="968"/>
      <c r="I310" s="968"/>
      <c r="J310" s="968"/>
      <c r="K310" s="968"/>
      <c r="L310" s="968"/>
      <c r="M310" s="968"/>
      <c r="N310" s="968"/>
      <c r="O310" s="968"/>
      <c r="P310" s="970"/>
      <c r="Q310" s="3093"/>
      <c r="R310" s="968"/>
      <c r="X310" s="221"/>
      <c r="Y310" s="221"/>
      <c r="Z310" s="221"/>
      <c r="AA310" s="221"/>
      <c r="AB310" s="221"/>
      <c r="AC310" s="221"/>
      <c r="AD310" s="221"/>
      <c r="AE310" s="221"/>
      <c r="AF310" s="221"/>
      <c r="AG310" s="221"/>
      <c r="AH310" s="221"/>
      <c r="AI310" s="221"/>
      <c r="AJ310" s="221"/>
      <c r="AK310" s="221"/>
      <c r="AL310" s="221"/>
      <c r="AM310" s="221"/>
      <c r="AN310" s="221"/>
      <c r="AO310" s="221"/>
      <c r="AP310" s="221"/>
      <c r="AQ310" s="221"/>
      <c r="AR310" s="221"/>
    </row>
    <row r="311" spans="1:44" s="384" customFormat="1" ht="12" customHeight="1">
      <c r="A311" s="221"/>
      <c r="B311" s="968"/>
      <c r="C311" s="968"/>
      <c r="D311" s="968"/>
      <c r="E311" s="968"/>
      <c r="F311" s="968"/>
      <c r="G311" s="968"/>
      <c r="H311" s="968"/>
      <c r="I311" s="968"/>
      <c r="J311" s="968"/>
      <c r="K311" s="968"/>
      <c r="L311" s="968"/>
      <c r="M311" s="968"/>
      <c r="N311" s="968"/>
      <c r="O311" s="968"/>
      <c r="P311" s="970"/>
      <c r="Q311" s="3093"/>
      <c r="R311" s="968"/>
      <c r="X311" s="221"/>
      <c r="Y311" s="221"/>
      <c r="Z311" s="221"/>
      <c r="AA311" s="221"/>
      <c r="AB311" s="221"/>
      <c r="AC311" s="221"/>
      <c r="AD311" s="221"/>
      <c r="AE311" s="221"/>
      <c r="AF311" s="221"/>
      <c r="AG311" s="221"/>
      <c r="AH311" s="221"/>
      <c r="AI311" s="221"/>
      <c r="AJ311" s="221"/>
      <c r="AK311" s="221"/>
      <c r="AL311" s="221"/>
      <c r="AM311" s="221"/>
      <c r="AN311" s="221"/>
      <c r="AO311" s="221"/>
      <c r="AP311" s="221"/>
      <c r="AQ311" s="221"/>
      <c r="AR311" s="221"/>
    </row>
    <row r="312" spans="1:44" s="384" customFormat="1" ht="12" customHeight="1">
      <c r="A312" s="221"/>
      <c r="B312" s="968"/>
      <c r="C312" s="968"/>
      <c r="D312" s="968"/>
      <c r="E312" s="968"/>
      <c r="F312" s="968"/>
      <c r="G312" s="968"/>
      <c r="H312" s="968"/>
      <c r="I312" s="968"/>
      <c r="J312" s="968"/>
      <c r="K312" s="968"/>
      <c r="L312" s="968"/>
      <c r="M312" s="968"/>
      <c r="N312" s="968"/>
      <c r="O312" s="968"/>
      <c r="P312" s="970"/>
      <c r="Q312" s="3093"/>
      <c r="R312" s="968"/>
      <c r="X312" s="221"/>
      <c r="Y312" s="221"/>
      <c r="Z312" s="221"/>
      <c r="AA312" s="221"/>
      <c r="AB312" s="221"/>
      <c r="AC312" s="221"/>
      <c r="AD312" s="221"/>
      <c r="AE312" s="221"/>
      <c r="AF312" s="221"/>
      <c r="AG312" s="221"/>
      <c r="AH312" s="221"/>
      <c r="AI312" s="221"/>
      <c r="AJ312" s="221"/>
      <c r="AK312" s="221"/>
      <c r="AL312" s="221"/>
      <c r="AM312" s="221"/>
      <c r="AN312" s="221"/>
      <c r="AO312" s="221"/>
      <c r="AP312" s="221"/>
      <c r="AQ312" s="221"/>
      <c r="AR312" s="221"/>
    </row>
    <row r="313" spans="1:44" s="384" customFormat="1" ht="12" customHeight="1">
      <c r="A313" s="221"/>
      <c r="B313" s="968"/>
      <c r="C313" s="968"/>
      <c r="D313" s="968"/>
      <c r="E313" s="968"/>
      <c r="F313" s="968"/>
      <c r="G313" s="968"/>
      <c r="H313" s="968"/>
      <c r="I313" s="968"/>
      <c r="J313" s="968"/>
      <c r="K313" s="968"/>
      <c r="L313" s="968"/>
      <c r="M313" s="968"/>
      <c r="N313" s="968"/>
      <c r="O313" s="968"/>
      <c r="P313" s="3094"/>
      <c r="Q313" s="968"/>
      <c r="R313" s="968"/>
      <c r="X313" s="221"/>
      <c r="Y313" s="221"/>
      <c r="Z313" s="221"/>
      <c r="AA313" s="221"/>
      <c r="AB313" s="221"/>
      <c r="AC313" s="221"/>
      <c r="AD313" s="221"/>
      <c r="AE313" s="221"/>
      <c r="AF313" s="221"/>
      <c r="AG313" s="221"/>
      <c r="AH313" s="221"/>
      <c r="AI313" s="221"/>
      <c r="AJ313" s="221"/>
      <c r="AK313" s="221"/>
      <c r="AL313" s="221"/>
      <c r="AM313" s="221"/>
      <c r="AN313" s="221"/>
      <c r="AO313" s="221"/>
      <c r="AP313" s="221"/>
      <c r="AQ313" s="221"/>
      <c r="AR313" s="221"/>
    </row>
    <row r="314" spans="1:44" s="384" customFormat="1" ht="12" customHeight="1">
      <c r="A314" s="221"/>
      <c r="B314" s="968"/>
      <c r="C314" s="968"/>
      <c r="D314" s="968"/>
      <c r="E314" s="968"/>
      <c r="F314" s="968"/>
      <c r="G314" s="968"/>
      <c r="H314" s="968"/>
      <c r="I314" s="968"/>
      <c r="J314" s="968"/>
      <c r="K314" s="968"/>
      <c r="L314" s="968"/>
      <c r="M314" s="968"/>
      <c r="N314" s="968"/>
      <c r="O314" s="968"/>
      <c r="P314" s="970"/>
      <c r="Q314" s="3093"/>
      <c r="R314" s="968"/>
      <c r="X314" s="221"/>
      <c r="Y314" s="221"/>
      <c r="Z314" s="221"/>
      <c r="AA314" s="221"/>
      <c r="AB314" s="221"/>
      <c r="AC314" s="221"/>
      <c r="AD314" s="221"/>
      <c r="AE314" s="221"/>
      <c r="AF314" s="221"/>
      <c r="AG314" s="221"/>
      <c r="AH314" s="221"/>
      <c r="AI314" s="221"/>
      <c r="AJ314" s="221"/>
      <c r="AK314" s="221"/>
      <c r="AL314" s="221"/>
      <c r="AM314" s="221"/>
      <c r="AN314" s="221"/>
      <c r="AO314" s="221"/>
      <c r="AP314" s="221"/>
      <c r="AQ314" s="221"/>
      <c r="AR314" s="221"/>
    </row>
    <row r="315" spans="1:44" s="384" customFormat="1" ht="12" customHeight="1">
      <c r="A315" s="221"/>
      <c r="B315" s="968"/>
      <c r="C315" s="968"/>
      <c r="D315" s="968"/>
      <c r="E315" s="968"/>
      <c r="F315" s="968"/>
      <c r="G315" s="968"/>
      <c r="H315" s="968"/>
      <c r="I315" s="968"/>
      <c r="J315" s="968"/>
      <c r="K315" s="968"/>
      <c r="L315" s="968"/>
      <c r="M315" s="968"/>
      <c r="N315" s="968"/>
      <c r="O315" s="968"/>
      <c r="P315" s="970"/>
      <c r="Q315" s="3093"/>
      <c r="R315" s="968"/>
      <c r="X315" s="221"/>
      <c r="Y315" s="221"/>
      <c r="Z315" s="221"/>
      <c r="AA315" s="221"/>
      <c r="AB315" s="221"/>
      <c r="AC315" s="221"/>
      <c r="AD315" s="221"/>
      <c r="AE315" s="221"/>
      <c r="AF315" s="221"/>
      <c r="AG315" s="221"/>
      <c r="AH315" s="221"/>
      <c r="AI315" s="221"/>
      <c r="AJ315" s="221"/>
      <c r="AK315" s="221"/>
      <c r="AL315" s="221"/>
      <c r="AM315" s="221"/>
      <c r="AN315" s="221"/>
      <c r="AO315" s="221"/>
      <c r="AP315" s="221"/>
      <c r="AQ315" s="221"/>
      <c r="AR315" s="221"/>
    </row>
    <row r="316" spans="1:44" s="384" customFormat="1" ht="12" customHeight="1">
      <c r="A316" s="221"/>
      <c r="B316" s="968"/>
      <c r="C316" s="968"/>
      <c r="D316" s="968"/>
      <c r="E316" s="968"/>
      <c r="F316" s="968"/>
      <c r="G316" s="968"/>
      <c r="H316" s="968"/>
      <c r="I316" s="968"/>
      <c r="J316" s="968"/>
      <c r="K316" s="968"/>
      <c r="L316" s="968"/>
      <c r="M316" s="968"/>
      <c r="N316" s="968"/>
      <c r="O316" s="968"/>
      <c r="P316" s="970"/>
      <c r="Q316" s="3093"/>
      <c r="R316" s="968"/>
      <c r="X316" s="221"/>
      <c r="Y316" s="221"/>
      <c r="Z316" s="221"/>
      <c r="AA316" s="221"/>
      <c r="AB316" s="221"/>
      <c r="AC316" s="221"/>
      <c r="AD316" s="221"/>
      <c r="AE316" s="221"/>
      <c r="AF316" s="221"/>
      <c r="AG316" s="221"/>
      <c r="AH316" s="221"/>
      <c r="AI316" s="221"/>
      <c r="AJ316" s="221"/>
      <c r="AK316" s="221"/>
      <c r="AL316" s="221"/>
      <c r="AM316" s="221"/>
      <c r="AN316" s="221"/>
      <c r="AO316" s="221"/>
      <c r="AP316" s="221"/>
      <c r="AQ316" s="221"/>
      <c r="AR316" s="221"/>
    </row>
    <row r="317" spans="1:44" s="384" customFormat="1" ht="12" customHeight="1">
      <c r="A317" s="221"/>
      <c r="B317" s="968"/>
      <c r="C317" s="968"/>
      <c r="D317" s="968"/>
      <c r="E317" s="968"/>
      <c r="F317" s="968"/>
      <c r="G317" s="968"/>
      <c r="H317" s="968"/>
      <c r="I317" s="968"/>
      <c r="J317" s="968"/>
      <c r="K317" s="968"/>
      <c r="L317" s="968"/>
      <c r="M317" s="968"/>
      <c r="N317" s="968"/>
      <c r="O317" s="968"/>
      <c r="P317" s="3094"/>
      <c r="Q317" s="968"/>
      <c r="R317" s="968"/>
      <c r="X317" s="221"/>
      <c r="Y317" s="221"/>
      <c r="Z317" s="221"/>
      <c r="AA317" s="221"/>
      <c r="AB317" s="221"/>
      <c r="AC317" s="221"/>
      <c r="AD317" s="221"/>
      <c r="AE317" s="221"/>
      <c r="AF317" s="221"/>
      <c r="AG317" s="221"/>
      <c r="AH317" s="221"/>
      <c r="AI317" s="221"/>
      <c r="AJ317" s="221"/>
      <c r="AK317" s="221"/>
      <c r="AL317" s="221"/>
      <c r="AM317" s="221"/>
      <c r="AN317" s="221"/>
      <c r="AO317" s="221"/>
      <c r="AP317" s="221"/>
      <c r="AQ317" s="221"/>
      <c r="AR317" s="221"/>
    </row>
    <row r="318" spans="1:44" s="384" customFormat="1" ht="12" customHeight="1">
      <c r="A318" s="221"/>
      <c r="B318" s="968"/>
      <c r="C318" s="968"/>
      <c r="D318" s="968"/>
      <c r="E318" s="968"/>
      <c r="F318" s="968"/>
      <c r="G318" s="968"/>
      <c r="H318" s="968"/>
      <c r="I318" s="968"/>
      <c r="J318" s="968"/>
      <c r="K318" s="968"/>
      <c r="L318" s="968"/>
      <c r="M318" s="968"/>
      <c r="N318" s="968"/>
      <c r="O318" s="968"/>
      <c r="P318" s="970"/>
      <c r="Q318" s="3093"/>
      <c r="R318" s="968"/>
      <c r="X318" s="221"/>
      <c r="Y318" s="221"/>
      <c r="Z318" s="221"/>
      <c r="AA318" s="221"/>
      <c r="AB318" s="221"/>
      <c r="AC318" s="221"/>
      <c r="AD318" s="221"/>
      <c r="AE318" s="221"/>
      <c r="AF318" s="221"/>
      <c r="AG318" s="221"/>
      <c r="AH318" s="221"/>
      <c r="AI318" s="221"/>
      <c r="AJ318" s="221"/>
      <c r="AK318" s="221"/>
      <c r="AL318" s="221"/>
      <c r="AM318" s="221"/>
      <c r="AN318" s="221"/>
      <c r="AO318" s="221"/>
      <c r="AP318" s="221"/>
      <c r="AQ318" s="221"/>
      <c r="AR318" s="221"/>
    </row>
    <row r="319" spans="1:44" s="384" customFormat="1" ht="12" customHeight="1">
      <c r="A319" s="221"/>
      <c r="B319" s="968"/>
      <c r="C319" s="968"/>
      <c r="D319" s="968"/>
      <c r="E319" s="968"/>
      <c r="F319" s="968"/>
      <c r="G319" s="968"/>
      <c r="H319" s="968"/>
      <c r="I319" s="968"/>
      <c r="J319" s="968"/>
      <c r="K319" s="968"/>
      <c r="L319" s="968"/>
      <c r="M319" s="968"/>
      <c r="N319" s="968"/>
      <c r="O319" s="968"/>
      <c r="P319" s="970"/>
      <c r="Q319" s="3093"/>
      <c r="R319" s="968"/>
      <c r="X319" s="221"/>
      <c r="Y319" s="221"/>
      <c r="Z319" s="221"/>
      <c r="AA319" s="221"/>
      <c r="AB319" s="221"/>
      <c r="AC319" s="221"/>
      <c r="AD319" s="221"/>
      <c r="AE319" s="221"/>
      <c r="AF319" s="221"/>
      <c r="AG319" s="221"/>
      <c r="AH319" s="221"/>
      <c r="AI319" s="221"/>
      <c r="AJ319" s="221"/>
      <c r="AK319" s="221"/>
      <c r="AL319" s="221"/>
      <c r="AM319" s="221"/>
      <c r="AN319" s="221"/>
      <c r="AO319" s="221"/>
      <c r="AP319" s="221"/>
      <c r="AQ319" s="221"/>
      <c r="AR319" s="221"/>
    </row>
    <row r="320" spans="1:44" s="384" customFormat="1" ht="12" customHeight="1">
      <c r="A320" s="221"/>
      <c r="B320" s="968"/>
      <c r="C320" s="968"/>
      <c r="D320" s="968"/>
      <c r="E320" s="968"/>
      <c r="F320" s="968"/>
      <c r="G320" s="968"/>
      <c r="H320" s="968"/>
      <c r="I320" s="968"/>
      <c r="J320" s="968"/>
      <c r="K320" s="968"/>
      <c r="L320" s="968"/>
      <c r="M320" s="968"/>
      <c r="N320" s="968"/>
      <c r="O320" s="968"/>
      <c r="P320" s="970"/>
      <c r="Q320" s="968"/>
      <c r="R320" s="968"/>
      <c r="X320" s="221"/>
      <c r="Y320" s="221"/>
      <c r="Z320" s="221"/>
      <c r="AA320" s="221"/>
      <c r="AB320" s="221"/>
      <c r="AC320" s="221"/>
      <c r="AD320" s="221"/>
      <c r="AE320" s="221"/>
      <c r="AF320" s="221"/>
      <c r="AG320" s="221"/>
      <c r="AH320" s="221"/>
      <c r="AI320" s="221"/>
      <c r="AJ320" s="221"/>
      <c r="AK320" s="221"/>
      <c r="AL320" s="221"/>
      <c r="AM320" s="221"/>
      <c r="AN320" s="221"/>
      <c r="AO320" s="221"/>
      <c r="AP320" s="221"/>
      <c r="AQ320" s="221"/>
      <c r="AR320" s="221"/>
    </row>
    <row r="321" spans="1:44" s="384" customFormat="1" ht="12" customHeight="1">
      <c r="A321" s="221"/>
      <c r="B321" s="968"/>
      <c r="C321" s="968"/>
      <c r="D321" s="968"/>
      <c r="E321" s="968"/>
      <c r="F321" s="968"/>
      <c r="G321" s="968"/>
      <c r="H321" s="968"/>
      <c r="I321" s="968"/>
      <c r="J321" s="968"/>
      <c r="K321" s="968"/>
      <c r="L321" s="968"/>
      <c r="M321" s="968"/>
      <c r="N321" s="968"/>
      <c r="O321" s="968"/>
      <c r="P321" s="3095"/>
      <c r="Q321" s="968"/>
      <c r="R321" s="968"/>
      <c r="X321" s="221"/>
      <c r="Y321" s="221"/>
      <c r="Z321" s="221"/>
      <c r="AA321" s="221"/>
      <c r="AB321" s="221"/>
      <c r="AC321" s="221"/>
      <c r="AD321" s="221"/>
      <c r="AE321" s="221"/>
      <c r="AF321" s="221"/>
      <c r="AG321" s="221"/>
      <c r="AH321" s="221"/>
      <c r="AI321" s="221"/>
      <c r="AJ321" s="221"/>
      <c r="AK321" s="221"/>
      <c r="AL321" s="221"/>
      <c r="AM321" s="221"/>
      <c r="AN321" s="221"/>
      <c r="AO321" s="221"/>
      <c r="AP321" s="221"/>
      <c r="AQ321" s="221"/>
      <c r="AR321" s="221"/>
    </row>
    <row r="322" spans="1:44" s="384" customFormat="1" ht="12" customHeight="1">
      <c r="A322" s="221"/>
      <c r="B322" s="968"/>
      <c r="C322" s="968"/>
      <c r="D322" s="968"/>
      <c r="E322" s="968"/>
      <c r="F322" s="968"/>
      <c r="G322" s="968"/>
      <c r="H322" s="968"/>
      <c r="I322" s="968"/>
      <c r="J322" s="968"/>
      <c r="K322" s="968"/>
      <c r="L322" s="968"/>
      <c r="M322" s="968"/>
      <c r="N322" s="968"/>
      <c r="O322" s="968"/>
      <c r="P322" s="970"/>
      <c r="Q322" s="3093"/>
      <c r="R322" s="968"/>
      <c r="X322" s="221"/>
      <c r="Y322" s="221"/>
      <c r="Z322" s="221"/>
      <c r="AA322" s="221"/>
      <c r="AB322" s="221"/>
      <c r="AC322" s="221"/>
      <c r="AD322" s="221"/>
      <c r="AE322" s="221"/>
      <c r="AF322" s="221"/>
      <c r="AG322" s="221"/>
      <c r="AH322" s="221"/>
      <c r="AI322" s="221"/>
      <c r="AJ322" s="221"/>
      <c r="AK322" s="221"/>
      <c r="AL322" s="221"/>
      <c r="AM322" s="221"/>
      <c r="AN322" s="221"/>
      <c r="AO322" s="221"/>
      <c r="AP322" s="221"/>
      <c r="AQ322" s="221"/>
      <c r="AR322" s="221"/>
    </row>
    <row r="323" spans="1:44" s="384" customFormat="1" ht="12" customHeight="1">
      <c r="A323" s="221"/>
      <c r="B323" s="968"/>
      <c r="C323" s="968"/>
      <c r="D323" s="968"/>
      <c r="E323" s="968"/>
      <c r="F323" s="968"/>
      <c r="G323" s="968"/>
      <c r="H323" s="968"/>
      <c r="I323" s="968"/>
      <c r="J323" s="968"/>
      <c r="K323" s="968"/>
      <c r="L323" s="968"/>
      <c r="M323" s="968"/>
      <c r="N323" s="968"/>
      <c r="O323" s="968"/>
      <c r="P323" s="970"/>
      <c r="Q323" s="3093"/>
      <c r="R323" s="968"/>
      <c r="X323" s="221"/>
      <c r="Y323" s="221"/>
      <c r="Z323" s="221"/>
      <c r="AA323" s="221"/>
      <c r="AB323" s="221"/>
      <c r="AC323" s="221"/>
      <c r="AD323" s="221"/>
      <c r="AE323" s="221"/>
      <c r="AF323" s="221"/>
      <c r="AG323" s="221"/>
      <c r="AH323" s="221"/>
      <c r="AI323" s="221"/>
      <c r="AJ323" s="221"/>
      <c r="AK323" s="221"/>
      <c r="AL323" s="221"/>
      <c r="AM323" s="221"/>
      <c r="AN323" s="221"/>
      <c r="AO323" s="221"/>
      <c r="AP323" s="221"/>
      <c r="AQ323" s="221"/>
      <c r="AR323" s="221"/>
    </row>
    <row r="324" spans="1:44" s="384" customFormat="1" ht="12" customHeight="1">
      <c r="A324" s="221"/>
      <c r="B324" s="968"/>
      <c r="C324" s="968"/>
      <c r="D324" s="968"/>
      <c r="E324" s="968"/>
      <c r="F324" s="968"/>
      <c r="G324" s="968"/>
      <c r="H324" s="968"/>
      <c r="I324" s="968"/>
      <c r="J324" s="968"/>
      <c r="K324" s="968"/>
      <c r="L324" s="968"/>
      <c r="M324" s="968"/>
      <c r="N324" s="968"/>
      <c r="O324" s="968"/>
      <c r="P324" s="970"/>
      <c r="Q324" s="3093"/>
      <c r="R324" s="968"/>
      <c r="X324" s="221"/>
      <c r="Y324" s="221"/>
      <c r="Z324" s="221"/>
      <c r="AA324" s="221"/>
      <c r="AB324" s="221"/>
      <c r="AC324" s="221"/>
      <c r="AD324" s="221"/>
      <c r="AE324" s="221"/>
      <c r="AF324" s="221"/>
      <c r="AG324" s="221"/>
      <c r="AH324" s="221"/>
      <c r="AI324" s="221"/>
      <c r="AJ324" s="221"/>
      <c r="AK324" s="221"/>
      <c r="AL324" s="221"/>
      <c r="AM324" s="221"/>
      <c r="AN324" s="221"/>
      <c r="AO324" s="221"/>
      <c r="AP324" s="221"/>
      <c r="AQ324" s="221"/>
      <c r="AR324" s="221"/>
    </row>
    <row r="325" spans="1:44" s="384" customFormat="1" ht="12" customHeight="1">
      <c r="A325" s="221"/>
      <c r="B325" s="968"/>
      <c r="C325" s="968"/>
      <c r="D325" s="968"/>
      <c r="E325" s="968"/>
      <c r="F325" s="968"/>
      <c r="G325" s="968"/>
      <c r="H325" s="968"/>
      <c r="I325" s="968"/>
      <c r="J325" s="968"/>
      <c r="K325" s="968"/>
      <c r="L325" s="968"/>
      <c r="M325" s="968"/>
      <c r="N325" s="968"/>
      <c r="O325" s="968"/>
      <c r="P325" s="3094"/>
      <c r="Q325" s="968"/>
      <c r="R325" s="968"/>
      <c r="X325" s="221"/>
      <c r="Y325" s="221"/>
      <c r="Z325" s="221"/>
      <c r="AA325" s="221"/>
      <c r="AB325" s="221"/>
      <c r="AC325" s="221"/>
      <c r="AD325" s="221"/>
      <c r="AE325" s="221"/>
      <c r="AF325" s="221"/>
      <c r="AG325" s="221"/>
      <c r="AH325" s="221"/>
      <c r="AI325" s="221"/>
      <c r="AJ325" s="221"/>
      <c r="AK325" s="221"/>
      <c r="AL325" s="221"/>
      <c r="AM325" s="221"/>
      <c r="AN325" s="221"/>
      <c r="AO325" s="221"/>
      <c r="AP325" s="221"/>
      <c r="AQ325" s="221"/>
      <c r="AR325" s="221"/>
    </row>
    <row r="326" spans="1:44" s="384" customFormat="1" ht="12" customHeight="1">
      <c r="A326" s="221"/>
      <c r="B326" s="968"/>
      <c r="C326" s="968"/>
      <c r="D326" s="968"/>
      <c r="E326" s="968"/>
      <c r="F326" s="968"/>
      <c r="G326" s="968"/>
      <c r="H326" s="968"/>
      <c r="I326" s="968"/>
      <c r="J326" s="968"/>
      <c r="K326" s="968"/>
      <c r="L326" s="968"/>
      <c r="M326" s="968"/>
      <c r="N326" s="968"/>
      <c r="O326" s="968"/>
      <c r="P326" s="970"/>
      <c r="Q326" s="3093"/>
      <c r="R326" s="968"/>
      <c r="X326" s="221"/>
      <c r="Y326" s="221"/>
      <c r="Z326" s="221"/>
      <c r="AA326" s="221"/>
      <c r="AB326" s="221"/>
      <c r="AC326" s="221"/>
      <c r="AD326" s="221"/>
      <c r="AE326" s="221"/>
      <c r="AF326" s="221"/>
      <c r="AG326" s="221"/>
      <c r="AH326" s="221"/>
      <c r="AI326" s="221"/>
      <c r="AJ326" s="221"/>
      <c r="AK326" s="221"/>
      <c r="AL326" s="221"/>
      <c r="AM326" s="221"/>
      <c r="AN326" s="221"/>
      <c r="AO326" s="221"/>
      <c r="AP326" s="221"/>
      <c r="AQ326" s="221"/>
      <c r="AR326" s="221"/>
    </row>
    <row r="327" spans="1:44" s="384" customFormat="1" ht="12" customHeight="1">
      <c r="A327" s="221"/>
      <c r="B327" s="968"/>
      <c r="C327" s="968"/>
      <c r="D327" s="968"/>
      <c r="E327" s="968"/>
      <c r="F327" s="968"/>
      <c r="G327" s="968"/>
      <c r="H327" s="968"/>
      <c r="I327" s="968"/>
      <c r="J327" s="968"/>
      <c r="K327" s="968"/>
      <c r="L327" s="968"/>
      <c r="M327" s="968"/>
      <c r="N327" s="968"/>
      <c r="O327" s="968"/>
      <c r="P327" s="3095"/>
      <c r="Q327" s="3093"/>
      <c r="R327" s="968"/>
      <c r="X327" s="221"/>
      <c r="Y327" s="221"/>
      <c r="Z327" s="221"/>
      <c r="AA327" s="221"/>
      <c r="AB327" s="221"/>
      <c r="AC327" s="221"/>
      <c r="AD327" s="221"/>
      <c r="AE327" s="221"/>
      <c r="AF327" s="221"/>
      <c r="AG327" s="221"/>
      <c r="AH327" s="221"/>
      <c r="AI327" s="221"/>
      <c r="AJ327" s="221"/>
      <c r="AK327" s="221"/>
      <c r="AL327" s="221"/>
      <c r="AM327" s="221"/>
      <c r="AN327" s="221"/>
      <c r="AO327" s="221"/>
      <c r="AP327" s="221"/>
      <c r="AQ327" s="221"/>
      <c r="AR327" s="221"/>
    </row>
    <row r="328" spans="1:44" s="384" customFormat="1" ht="12" customHeight="1">
      <c r="A328" s="221"/>
      <c r="B328" s="968"/>
      <c r="C328" s="968"/>
      <c r="D328" s="968"/>
      <c r="E328" s="968"/>
      <c r="F328" s="968"/>
      <c r="G328" s="968"/>
      <c r="H328" s="968"/>
      <c r="I328" s="968"/>
      <c r="J328" s="968"/>
      <c r="K328" s="968"/>
      <c r="L328" s="968"/>
      <c r="M328" s="968"/>
      <c r="N328" s="968"/>
      <c r="O328" s="968"/>
      <c r="P328" s="970"/>
      <c r="Q328" s="968"/>
      <c r="R328" s="968"/>
      <c r="X328" s="221"/>
      <c r="Y328" s="221"/>
      <c r="Z328" s="221"/>
      <c r="AA328" s="221"/>
      <c r="AB328" s="221"/>
      <c r="AC328" s="221"/>
      <c r="AD328" s="221"/>
      <c r="AE328" s="221"/>
      <c r="AF328" s="221"/>
      <c r="AG328" s="221"/>
      <c r="AH328" s="221"/>
      <c r="AI328" s="221"/>
      <c r="AJ328" s="221"/>
      <c r="AK328" s="221"/>
      <c r="AL328" s="221"/>
      <c r="AM328" s="221"/>
      <c r="AN328" s="221"/>
      <c r="AO328" s="221"/>
      <c r="AP328" s="221"/>
      <c r="AQ328" s="221"/>
      <c r="AR328" s="221"/>
    </row>
    <row r="329" spans="1:44" s="384" customFormat="1" ht="12" customHeight="1">
      <c r="A329" s="221"/>
      <c r="B329" s="968"/>
      <c r="C329" s="968"/>
      <c r="D329" s="968"/>
      <c r="E329" s="968"/>
      <c r="F329" s="968"/>
      <c r="G329" s="968"/>
      <c r="H329" s="968"/>
      <c r="I329" s="968"/>
      <c r="J329" s="968"/>
      <c r="K329" s="968"/>
      <c r="L329" s="968"/>
      <c r="M329" s="968"/>
      <c r="N329" s="968"/>
      <c r="O329" s="968"/>
      <c r="P329" s="970"/>
      <c r="Q329" s="3093"/>
      <c r="R329" s="968"/>
      <c r="X329" s="221"/>
      <c r="Y329" s="221"/>
      <c r="Z329" s="221"/>
      <c r="AA329" s="221"/>
      <c r="AB329" s="221"/>
      <c r="AC329" s="221"/>
      <c r="AD329" s="221"/>
      <c r="AE329" s="221"/>
      <c r="AF329" s="221"/>
      <c r="AG329" s="221"/>
      <c r="AH329" s="221"/>
      <c r="AI329" s="221"/>
      <c r="AJ329" s="221"/>
      <c r="AK329" s="221"/>
      <c r="AL329" s="221"/>
      <c r="AM329" s="221"/>
      <c r="AN329" s="221"/>
      <c r="AO329" s="221"/>
      <c r="AP329" s="221"/>
      <c r="AQ329" s="221"/>
      <c r="AR329" s="221"/>
    </row>
    <row r="330" spans="1:44" s="384" customFormat="1" ht="12" customHeight="1">
      <c r="A330" s="221"/>
      <c r="B330" s="968"/>
      <c r="C330" s="968"/>
      <c r="D330" s="968"/>
      <c r="E330" s="968"/>
      <c r="F330" s="968"/>
      <c r="G330" s="968"/>
      <c r="H330" s="968"/>
      <c r="I330" s="968"/>
      <c r="J330" s="968"/>
      <c r="K330" s="968"/>
      <c r="L330" s="968"/>
      <c r="M330" s="968"/>
      <c r="N330" s="968"/>
      <c r="O330" s="968"/>
      <c r="P330" s="970"/>
      <c r="Q330" s="3093"/>
      <c r="R330" s="968"/>
      <c r="X330" s="221"/>
      <c r="Y330" s="221"/>
      <c r="Z330" s="221"/>
      <c r="AA330" s="221"/>
      <c r="AB330" s="221"/>
      <c r="AC330" s="221"/>
      <c r="AD330" s="221"/>
      <c r="AE330" s="221"/>
      <c r="AF330" s="221"/>
      <c r="AG330" s="221"/>
      <c r="AH330" s="221"/>
      <c r="AI330" s="221"/>
      <c r="AJ330" s="221"/>
      <c r="AK330" s="221"/>
      <c r="AL330" s="221"/>
      <c r="AM330" s="221"/>
      <c r="AN330" s="221"/>
      <c r="AO330" s="221"/>
      <c r="AP330" s="221"/>
      <c r="AQ330" s="221"/>
      <c r="AR330" s="221"/>
    </row>
    <row r="331" spans="1:44" s="384" customFormat="1" ht="12" customHeight="1">
      <c r="A331" s="221"/>
      <c r="B331" s="968"/>
      <c r="C331" s="968"/>
      <c r="D331" s="968"/>
      <c r="E331" s="968"/>
      <c r="F331" s="968"/>
      <c r="G331" s="968"/>
      <c r="H331" s="968"/>
      <c r="I331" s="968"/>
      <c r="J331" s="968"/>
      <c r="K331" s="968"/>
      <c r="L331" s="968"/>
      <c r="M331" s="968"/>
      <c r="N331" s="968"/>
      <c r="O331" s="968"/>
      <c r="P331" s="970"/>
      <c r="Q331" s="3093"/>
      <c r="R331" s="968"/>
      <c r="X331" s="221"/>
      <c r="Y331" s="221"/>
      <c r="Z331" s="221"/>
      <c r="AA331" s="221"/>
      <c r="AB331" s="221"/>
      <c r="AC331" s="221"/>
      <c r="AD331" s="221"/>
      <c r="AE331" s="221"/>
      <c r="AF331" s="221"/>
      <c r="AG331" s="221"/>
      <c r="AH331" s="221"/>
      <c r="AI331" s="221"/>
      <c r="AJ331" s="221"/>
      <c r="AK331" s="221"/>
      <c r="AL331" s="221"/>
      <c r="AM331" s="221"/>
      <c r="AN331" s="221"/>
      <c r="AO331" s="221"/>
      <c r="AP331" s="221"/>
      <c r="AQ331" s="221"/>
      <c r="AR331" s="221"/>
    </row>
    <row r="332" spans="1:44" s="384" customFormat="1" ht="12" customHeight="1">
      <c r="A332" s="221"/>
      <c r="B332" s="968"/>
      <c r="C332" s="968"/>
      <c r="D332" s="968"/>
      <c r="E332" s="968"/>
      <c r="F332" s="968"/>
      <c r="G332" s="968"/>
      <c r="H332" s="968"/>
      <c r="I332" s="968"/>
      <c r="J332" s="968"/>
      <c r="K332" s="968"/>
      <c r="L332" s="968"/>
      <c r="M332" s="968"/>
      <c r="N332" s="968"/>
      <c r="O332" s="968"/>
      <c r="P332" s="970"/>
      <c r="Q332" s="968"/>
      <c r="R332" s="968"/>
      <c r="X332" s="221"/>
      <c r="Y332" s="221"/>
      <c r="Z332" s="221"/>
      <c r="AA332" s="221"/>
      <c r="AB332" s="221"/>
      <c r="AC332" s="221"/>
      <c r="AD332" s="221"/>
      <c r="AE332" s="221"/>
      <c r="AF332" s="221"/>
      <c r="AG332" s="221"/>
      <c r="AH332" s="221"/>
      <c r="AI332" s="221"/>
      <c r="AJ332" s="221"/>
      <c r="AK332" s="221"/>
      <c r="AL332" s="221"/>
      <c r="AM332" s="221"/>
      <c r="AN332" s="221"/>
      <c r="AO332" s="221"/>
      <c r="AP332" s="221"/>
      <c r="AQ332" s="221"/>
      <c r="AR332" s="221"/>
    </row>
    <row r="333" spans="1:44" s="384" customFormat="1" ht="12" customHeight="1">
      <c r="A333" s="221"/>
      <c r="B333" s="968"/>
      <c r="C333" s="968"/>
      <c r="D333" s="968"/>
      <c r="E333" s="968"/>
      <c r="F333" s="968"/>
      <c r="G333" s="968"/>
      <c r="H333" s="968"/>
      <c r="I333" s="968"/>
      <c r="J333" s="968"/>
      <c r="K333" s="968"/>
      <c r="L333" s="968"/>
      <c r="M333" s="968"/>
      <c r="N333" s="968"/>
      <c r="O333" s="968"/>
      <c r="P333" s="3094"/>
      <c r="Q333" s="3093"/>
      <c r="R333" s="968"/>
      <c r="X333" s="221"/>
      <c r="Y333" s="221"/>
      <c r="Z333" s="221"/>
      <c r="AA333" s="221"/>
      <c r="AB333" s="221"/>
      <c r="AC333" s="221"/>
      <c r="AD333" s="221"/>
      <c r="AE333" s="221"/>
      <c r="AF333" s="221"/>
      <c r="AG333" s="221"/>
      <c r="AH333" s="221"/>
      <c r="AI333" s="221"/>
      <c r="AJ333" s="221"/>
      <c r="AK333" s="221"/>
      <c r="AL333" s="221"/>
      <c r="AM333" s="221"/>
      <c r="AN333" s="221"/>
      <c r="AO333" s="221"/>
      <c r="AP333" s="221"/>
      <c r="AQ333" s="221"/>
      <c r="AR333" s="221"/>
    </row>
    <row r="334" spans="1:44" s="384" customFormat="1" ht="12" customHeight="1">
      <c r="A334" s="221"/>
      <c r="B334" s="968"/>
      <c r="C334" s="968"/>
      <c r="D334" s="968"/>
      <c r="E334" s="968"/>
      <c r="F334" s="968"/>
      <c r="G334" s="968"/>
      <c r="H334" s="968"/>
      <c r="I334" s="968"/>
      <c r="J334" s="968"/>
      <c r="K334" s="968"/>
      <c r="L334" s="968"/>
      <c r="M334" s="968"/>
      <c r="N334" s="968"/>
      <c r="O334" s="968"/>
      <c r="P334" s="970"/>
      <c r="Q334" s="3093"/>
      <c r="R334" s="968"/>
      <c r="X334" s="221"/>
      <c r="Y334" s="221"/>
      <c r="Z334" s="221"/>
      <c r="AA334" s="221"/>
      <c r="AB334" s="221"/>
      <c r="AC334" s="221"/>
      <c r="AD334" s="221"/>
      <c r="AE334" s="221"/>
      <c r="AF334" s="221"/>
      <c r="AG334" s="221"/>
      <c r="AH334" s="221"/>
      <c r="AI334" s="221"/>
      <c r="AJ334" s="221"/>
      <c r="AK334" s="221"/>
      <c r="AL334" s="221"/>
      <c r="AM334" s="221"/>
      <c r="AN334" s="221"/>
      <c r="AO334" s="221"/>
      <c r="AP334" s="221"/>
      <c r="AQ334" s="221"/>
      <c r="AR334" s="221"/>
    </row>
    <row r="335" spans="1:44" s="384" customFormat="1" ht="12" customHeight="1">
      <c r="A335" s="221"/>
      <c r="B335" s="968"/>
      <c r="C335" s="968"/>
      <c r="D335" s="968"/>
      <c r="E335" s="968"/>
      <c r="F335" s="968"/>
      <c r="G335" s="968"/>
      <c r="H335" s="968"/>
      <c r="I335" s="968"/>
      <c r="J335" s="968"/>
      <c r="K335" s="968"/>
      <c r="L335" s="968"/>
      <c r="M335" s="968"/>
      <c r="N335" s="968"/>
      <c r="O335" s="968"/>
      <c r="P335" s="970"/>
      <c r="Q335" s="3093"/>
      <c r="R335" s="968"/>
      <c r="X335" s="221"/>
      <c r="Y335" s="221"/>
      <c r="Z335" s="221"/>
      <c r="AA335" s="221"/>
      <c r="AB335" s="221"/>
      <c r="AC335" s="221"/>
      <c r="AD335" s="221"/>
      <c r="AE335" s="221"/>
      <c r="AF335" s="221"/>
      <c r="AG335" s="221"/>
      <c r="AH335" s="221"/>
      <c r="AI335" s="221"/>
      <c r="AJ335" s="221"/>
      <c r="AK335" s="221"/>
      <c r="AL335" s="221"/>
      <c r="AM335" s="221"/>
      <c r="AN335" s="221"/>
      <c r="AO335" s="221"/>
      <c r="AP335" s="221"/>
      <c r="AQ335" s="221"/>
      <c r="AR335" s="221"/>
    </row>
    <row r="336" spans="1:44" s="384" customFormat="1" ht="12" customHeight="1">
      <c r="A336" s="221"/>
      <c r="B336" s="968"/>
      <c r="C336" s="968"/>
      <c r="D336" s="968"/>
      <c r="E336" s="968"/>
      <c r="F336" s="968"/>
      <c r="G336" s="968"/>
      <c r="H336" s="968"/>
      <c r="I336" s="968"/>
      <c r="J336" s="968"/>
      <c r="K336" s="968"/>
      <c r="L336" s="968"/>
      <c r="M336" s="968"/>
      <c r="N336" s="968"/>
      <c r="O336" s="968"/>
      <c r="P336" s="970"/>
      <c r="Q336" s="3093"/>
      <c r="R336" s="968"/>
      <c r="X336" s="221"/>
      <c r="Y336" s="221"/>
      <c r="Z336" s="221"/>
      <c r="AA336" s="221"/>
      <c r="AB336" s="221"/>
      <c r="AC336" s="221"/>
      <c r="AD336" s="221"/>
      <c r="AE336" s="221"/>
      <c r="AF336" s="221"/>
      <c r="AG336" s="221"/>
      <c r="AH336" s="221"/>
      <c r="AI336" s="221"/>
      <c r="AJ336" s="221"/>
      <c r="AK336" s="221"/>
      <c r="AL336" s="221"/>
      <c r="AM336" s="221"/>
      <c r="AN336" s="221"/>
      <c r="AO336" s="221"/>
      <c r="AP336" s="221"/>
      <c r="AQ336" s="221"/>
      <c r="AR336" s="221"/>
    </row>
    <row r="337" spans="1:44" s="384" customFormat="1" ht="12" customHeight="1">
      <c r="A337" s="221"/>
      <c r="B337" s="968"/>
      <c r="C337" s="968"/>
      <c r="D337" s="968"/>
      <c r="E337" s="968"/>
      <c r="F337" s="968"/>
      <c r="G337" s="968"/>
      <c r="H337" s="968"/>
      <c r="I337" s="968"/>
      <c r="J337" s="968"/>
      <c r="K337" s="968"/>
      <c r="L337" s="968"/>
      <c r="M337" s="968"/>
      <c r="N337" s="968"/>
      <c r="O337" s="968"/>
      <c r="P337" s="970"/>
      <c r="Q337" s="3093"/>
      <c r="R337" s="968"/>
      <c r="X337" s="221"/>
      <c r="Y337" s="221"/>
      <c r="Z337" s="221"/>
      <c r="AA337" s="221"/>
      <c r="AB337" s="221"/>
      <c r="AC337" s="221"/>
      <c r="AD337" s="221"/>
      <c r="AE337" s="221"/>
      <c r="AF337" s="221"/>
      <c r="AG337" s="221"/>
      <c r="AH337" s="221"/>
      <c r="AI337" s="221"/>
      <c r="AJ337" s="221"/>
      <c r="AK337" s="221"/>
      <c r="AL337" s="221"/>
      <c r="AM337" s="221"/>
      <c r="AN337" s="221"/>
      <c r="AO337" s="221"/>
      <c r="AP337" s="221"/>
      <c r="AQ337" s="221"/>
      <c r="AR337" s="221"/>
    </row>
    <row r="338" spans="1:44" s="384" customFormat="1" ht="12" customHeight="1">
      <c r="A338" s="221"/>
      <c r="B338" s="968"/>
      <c r="C338" s="968"/>
      <c r="D338" s="968"/>
      <c r="E338" s="968"/>
      <c r="F338" s="968"/>
      <c r="G338" s="968"/>
      <c r="H338" s="968"/>
      <c r="I338" s="968"/>
      <c r="J338" s="968"/>
      <c r="K338" s="968"/>
      <c r="L338" s="968"/>
      <c r="M338" s="968"/>
      <c r="N338" s="968"/>
      <c r="O338" s="968"/>
      <c r="P338" s="970"/>
      <c r="Q338" s="3093"/>
      <c r="R338" s="968"/>
      <c r="X338" s="221"/>
      <c r="Y338" s="221"/>
      <c r="Z338" s="221"/>
      <c r="AA338" s="221"/>
      <c r="AB338" s="221"/>
      <c r="AC338" s="221"/>
      <c r="AD338" s="221"/>
      <c r="AE338" s="221"/>
      <c r="AF338" s="221"/>
      <c r="AG338" s="221"/>
      <c r="AH338" s="221"/>
      <c r="AI338" s="221"/>
      <c r="AJ338" s="221"/>
      <c r="AK338" s="221"/>
      <c r="AL338" s="221"/>
      <c r="AM338" s="221"/>
      <c r="AN338" s="221"/>
      <c r="AO338" s="221"/>
      <c r="AP338" s="221"/>
      <c r="AQ338" s="221"/>
      <c r="AR338" s="221"/>
    </row>
    <row r="339" spans="1:44" s="384" customFormat="1" ht="12" customHeight="1">
      <c r="A339" s="221"/>
      <c r="B339" s="968"/>
      <c r="C339" s="968"/>
      <c r="D339" s="968"/>
      <c r="E339" s="968"/>
      <c r="F339" s="968"/>
      <c r="G339" s="968"/>
      <c r="H339" s="968"/>
      <c r="I339" s="968"/>
      <c r="J339" s="968"/>
      <c r="K339" s="968"/>
      <c r="L339" s="968"/>
      <c r="M339" s="968"/>
      <c r="N339" s="968"/>
      <c r="O339" s="968"/>
      <c r="P339" s="970"/>
      <c r="Q339" s="3093"/>
      <c r="R339" s="968"/>
      <c r="X339" s="221"/>
      <c r="Y339" s="221"/>
      <c r="Z339" s="221"/>
      <c r="AA339" s="221"/>
      <c r="AB339" s="221"/>
      <c r="AC339" s="221"/>
      <c r="AD339" s="221"/>
      <c r="AE339" s="221"/>
      <c r="AF339" s="221"/>
      <c r="AG339" s="221"/>
      <c r="AH339" s="221"/>
      <c r="AI339" s="221"/>
      <c r="AJ339" s="221"/>
      <c r="AK339" s="221"/>
      <c r="AL339" s="221"/>
      <c r="AM339" s="221"/>
      <c r="AN339" s="221"/>
      <c r="AO339" s="221"/>
      <c r="AP339" s="221"/>
      <c r="AQ339" s="221"/>
      <c r="AR339" s="221"/>
    </row>
    <row r="340" spans="1:44" s="384" customFormat="1" ht="12" customHeight="1">
      <c r="A340" s="221"/>
      <c r="B340" s="968"/>
      <c r="C340" s="968"/>
      <c r="D340" s="968"/>
      <c r="E340" s="968"/>
      <c r="F340" s="968"/>
      <c r="G340" s="968"/>
      <c r="H340" s="968"/>
      <c r="I340" s="968"/>
      <c r="J340" s="968"/>
      <c r="K340" s="968"/>
      <c r="L340" s="968"/>
      <c r="M340" s="968"/>
      <c r="N340" s="968"/>
      <c r="O340" s="968"/>
      <c r="P340" s="970"/>
      <c r="Q340" s="3093"/>
      <c r="R340" s="968"/>
      <c r="X340" s="221"/>
      <c r="Y340" s="221"/>
      <c r="Z340" s="221"/>
      <c r="AA340" s="221"/>
      <c r="AB340" s="221"/>
      <c r="AC340" s="221"/>
      <c r="AD340" s="221"/>
      <c r="AE340" s="221"/>
      <c r="AF340" s="221"/>
      <c r="AG340" s="221"/>
      <c r="AH340" s="221"/>
      <c r="AI340" s="221"/>
      <c r="AJ340" s="221"/>
      <c r="AK340" s="221"/>
      <c r="AL340" s="221"/>
      <c r="AM340" s="221"/>
      <c r="AN340" s="221"/>
      <c r="AO340" s="221"/>
      <c r="AP340" s="221"/>
      <c r="AQ340" s="221"/>
      <c r="AR340" s="221"/>
    </row>
    <row r="341" spans="1:44" s="384" customFormat="1" ht="12" customHeight="1">
      <c r="A341" s="221"/>
      <c r="B341" s="968"/>
      <c r="C341" s="968"/>
      <c r="D341" s="968"/>
      <c r="E341" s="968"/>
      <c r="F341" s="968"/>
      <c r="G341" s="968"/>
      <c r="H341" s="968"/>
      <c r="I341" s="968"/>
      <c r="J341" s="968"/>
      <c r="K341" s="968"/>
      <c r="L341" s="968"/>
      <c r="M341" s="968"/>
      <c r="N341" s="968"/>
      <c r="O341" s="968"/>
      <c r="P341" s="970"/>
      <c r="Q341" s="3093"/>
      <c r="R341" s="968"/>
      <c r="X341" s="221"/>
      <c r="Y341" s="221"/>
      <c r="Z341" s="221"/>
      <c r="AA341" s="221"/>
      <c r="AB341" s="221"/>
      <c r="AC341" s="221"/>
      <c r="AD341" s="221"/>
      <c r="AE341" s="221"/>
      <c r="AF341" s="221"/>
      <c r="AG341" s="221"/>
      <c r="AH341" s="221"/>
      <c r="AI341" s="221"/>
      <c r="AJ341" s="221"/>
      <c r="AK341" s="221"/>
      <c r="AL341" s="221"/>
      <c r="AM341" s="221"/>
      <c r="AN341" s="221"/>
      <c r="AO341" s="221"/>
      <c r="AP341" s="221"/>
      <c r="AQ341" s="221"/>
      <c r="AR341" s="221"/>
    </row>
    <row r="342" spans="1:44" s="384" customFormat="1" ht="12" customHeight="1">
      <c r="A342" s="221"/>
      <c r="B342" s="968"/>
      <c r="C342" s="968"/>
      <c r="D342" s="968"/>
      <c r="E342" s="968"/>
      <c r="F342" s="968"/>
      <c r="G342" s="968"/>
      <c r="H342" s="968"/>
      <c r="I342" s="968"/>
      <c r="J342" s="968"/>
      <c r="K342" s="968"/>
      <c r="L342" s="968"/>
      <c r="M342" s="968"/>
      <c r="N342" s="968"/>
      <c r="O342" s="968"/>
      <c r="P342" s="970"/>
      <c r="Q342" s="3093"/>
      <c r="R342" s="968"/>
      <c r="X342" s="221"/>
      <c r="Y342" s="221"/>
      <c r="Z342" s="221"/>
      <c r="AA342" s="221"/>
      <c r="AB342" s="221"/>
      <c r="AC342" s="221"/>
      <c r="AD342" s="221"/>
      <c r="AE342" s="221"/>
      <c r="AF342" s="221"/>
      <c r="AG342" s="221"/>
      <c r="AH342" s="221"/>
      <c r="AI342" s="221"/>
      <c r="AJ342" s="221"/>
      <c r="AK342" s="221"/>
      <c r="AL342" s="221"/>
      <c r="AM342" s="221"/>
      <c r="AN342" s="221"/>
      <c r="AO342" s="221"/>
      <c r="AP342" s="221"/>
      <c r="AQ342" s="221"/>
      <c r="AR342" s="221"/>
    </row>
    <row r="343" spans="1:44" s="384" customFormat="1" ht="12" customHeight="1">
      <c r="A343" s="221"/>
      <c r="B343" s="968"/>
      <c r="C343" s="968"/>
      <c r="D343" s="968"/>
      <c r="E343" s="968"/>
      <c r="F343" s="968"/>
      <c r="G343" s="968"/>
      <c r="H343" s="968"/>
      <c r="I343" s="968"/>
      <c r="J343" s="968"/>
      <c r="K343" s="968"/>
      <c r="L343" s="968"/>
      <c r="M343" s="968"/>
      <c r="N343" s="968"/>
      <c r="O343" s="968"/>
      <c r="P343" s="970"/>
      <c r="Q343" s="3093"/>
      <c r="R343" s="968"/>
      <c r="X343" s="221"/>
      <c r="Y343" s="221"/>
      <c r="Z343" s="221"/>
      <c r="AA343" s="221"/>
      <c r="AB343" s="221"/>
      <c r="AC343" s="221"/>
      <c r="AD343" s="221"/>
      <c r="AE343" s="221"/>
      <c r="AF343" s="221"/>
      <c r="AG343" s="221"/>
      <c r="AH343" s="221"/>
      <c r="AI343" s="221"/>
      <c r="AJ343" s="221"/>
      <c r="AK343" s="221"/>
      <c r="AL343" s="221"/>
      <c r="AM343" s="221"/>
      <c r="AN343" s="221"/>
      <c r="AO343" s="221"/>
      <c r="AP343" s="221"/>
      <c r="AQ343" s="221"/>
      <c r="AR343" s="221"/>
    </row>
    <row r="344" spans="1:44" s="384" customFormat="1" ht="12" customHeight="1">
      <c r="A344" s="221"/>
      <c r="B344" s="968"/>
      <c r="C344" s="968"/>
      <c r="D344" s="968"/>
      <c r="E344" s="968"/>
      <c r="F344" s="968"/>
      <c r="G344" s="968"/>
      <c r="H344" s="968"/>
      <c r="I344" s="968"/>
      <c r="J344" s="968"/>
      <c r="K344" s="968"/>
      <c r="L344" s="968"/>
      <c r="M344" s="968"/>
      <c r="N344" s="968"/>
      <c r="O344" s="968"/>
      <c r="P344" s="970"/>
      <c r="Q344" s="3093"/>
      <c r="R344" s="968"/>
      <c r="X344" s="221"/>
      <c r="Y344" s="221"/>
      <c r="Z344" s="221"/>
      <c r="AA344" s="221"/>
      <c r="AB344" s="221"/>
      <c r="AC344" s="221"/>
      <c r="AD344" s="221"/>
      <c r="AE344" s="221"/>
      <c r="AF344" s="221"/>
      <c r="AG344" s="221"/>
      <c r="AH344" s="221"/>
      <c r="AI344" s="221"/>
      <c r="AJ344" s="221"/>
      <c r="AK344" s="221"/>
      <c r="AL344" s="221"/>
      <c r="AM344" s="221"/>
      <c r="AN344" s="221"/>
      <c r="AO344" s="221"/>
      <c r="AP344" s="221"/>
      <c r="AQ344" s="221"/>
      <c r="AR344" s="221"/>
    </row>
    <row r="345" spans="1:44" s="384" customFormat="1" ht="12" customHeight="1">
      <c r="A345" s="221"/>
      <c r="B345" s="968"/>
      <c r="C345" s="968"/>
      <c r="D345" s="968"/>
      <c r="E345" s="968"/>
      <c r="F345" s="968"/>
      <c r="G345" s="968"/>
      <c r="H345" s="968"/>
      <c r="I345" s="968"/>
      <c r="J345" s="968"/>
      <c r="K345" s="968"/>
      <c r="L345" s="968"/>
      <c r="M345" s="968"/>
      <c r="N345" s="968"/>
      <c r="O345" s="968"/>
      <c r="P345" s="970"/>
      <c r="Q345" s="3093"/>
      <c r="R345" s="968"/>
      <c r="X345" s="221"/>
      <c r="Y345" s="221"/>
      <c r="Z345" s="221"/>
      <c r="AA345" s="221"/>
      <c r="AB345" s="221"/>
      <c r="AC345" s="221"/>
      <c r="AD345" s="221"/>
      <c r="AE345" s="221"/>
      <c r="AF345" s="221"/>
      <c r="AG345" s="221"/>
      <c r="AH345" s="221"/>
      <c r="AI345" s="221"/>
      <c r="AJ345" s="221"/>
      <c r="AK345" s="221"/>
      <c r="AL345" s="221"/>
      <c r="AM345" s="221"/>
      <c r="AN345" s="221"/>
      <c r="AO345" s="221"/>
      <c r="AP345" s="221"/>
      <c r="AQ345" s="221"/>
      <c r="AR345" s="221"/>
    </row>
    <row r="346" spans="1:44" s="384" customFormat="1" ht="12" customHeight="1">
      <c r="A346" s="221"/>
      <c r="B346" s="968"/>
      <c r="C346" s="968"/>
      <c r="D346" s="968"/>
      <c r="E346" s="968"/>
      <c r="F346" s="968"/>
      <c r="G346" s="968"/>
      <c r="H346" s="968"/>
      <c r="I346" s="968"/>
      <c r="J346" s="968"/>
      <c r="K346" s="968"/>
      <c r="L346" s="968"/>
      <c r="M346" s="968"/>
      <c r="N346" s="968"/>
      <c r="O346" s="968"/>
      <c r="P346" s="970"/>
      <c r="Q346" s="3093"/>
      <c r="R346" s="968"/>
      <c r="X346" s="221"/>
      <c r="Y346" s="221"/>
      <c r="Z346" s="221"/>
      <c r="AA346" s="221"/>
      <c r="AB346" s="221"/>
      <c r="AC346" s="221"/>
      <c r="AD346" s="221"/>
      <c r="AE346" s="221"/>
      <c r="AF346" s="221"/>
      <c r="AG346" s="221"/>
      <c r="AH346" s="221"/>
      <c r="AI346" s="221"/>
      <c r="AJ346" s="221"/>
      <c r="AK346" s="221"/>
      <c r="AL346" s="221"/>
      <c r="AM346" s="221"/>
      <c r="AN346" s="221"/>
      <c r="AO346" s="221"/>
      <c r="AP346" s="221"/>
      <c r="AQ346" s="221"/>
      <c r="AR346" s="221"/>
    </row>
    <row r="347" spans="1:44" s="384" customFormat="1" ht="12" customHeight="1">
      <c r="A347" s="221"/>
      <c r="B347" s="968"/>
      <c r="C347" s="968"/>
      <c r="D347" s="968"/>
      <c r="E347" s="968"/>
      <c r="F347" s="968"/>
      <c r="G347" s="968"/>
      <c r="H347" s="968"/>
      <c r="I347" s="968"/>
      <c r="J347" s="968"/>
      <c r="K347" s="968"/>
      <c r="L347" s="968"/>
      <c r="M347" s="968"/>
      <c r="N347" s="968"/>
      <c r="O347" s="968"/>
      <c r="P347" s="970"/>
      <c r="Q347" s="3093"/>
      <c r="R347" s="968"/>
      <c r="X347" s="221"/>
      <c r="Y347" s="221"/>
      <c r="Z347" s="221"/>
      <c r="AA347" s="221"/>
      <c r="AB347" s="221"/>
      <c r="AC347" s="221"/>
      <c r="AD347" s="221"/>
      <c r="AE347" s="221"/>
      <c r="AF347" s="221"/>
      <c r="AG347" s="221"/>
      <c r="AH347" s="221"/>
      <c r="AI347" s="221"/>
      <c r="AJ347" s="221"/>
      <c r="AK347" s="221"/>
      <c r="AL347" s="221"/>
      <c r="AM347" s="221"/>
      <c r="AN347" s="221"/>
      <c r="AO347" s="221"/>
      <c r="AP347" s="221"/>
      <c r="AQ347" s="221"/>
      <c r="AR347" s="221"/>
    </row>
    <row r="348" spans="1:44" s="384" customFormat="1" ht="12" customHeight="1">
      <c r="A348" s="221"/>
      <c r="B348" s="968"/>
      <c r="C348" s="968"/>
      <c r="D348" s="968"/>
      <c r="E348" s="968"/>
      <c r="F348" s="968"/>
      <c r="G348" s="968"/>
      <c r="H348" s="968"/>
      <c r="I348" s="968"/>
      <c r="J348" s="968"/>
      <c r="K348" s="968"/>
      <c r="L348" s="968"/>
      <c r="M348" s="968"/>
      <c r="N348" s="968"/>
      <c r="O348" s="968"/>
      <c r="P348" s="970"/>
      <c r="Q348" s="3093"/>
      <c r="R348" s="968"/>
      <c r="X348" s="221"/>
      <c r="Y348" s="221"/>
      <c r="Z348" s="221"/>
      <c r="AA348" s="221"/>
      <c r="AB348" s="221"/>
      <c r="AC348" s="221"/>
      <c r="AD348" s="221"/>
      <c r="AE348" s="221"/>
      <c r="AF348" s="221"/>
      <c r="AG348" s="221"/>
      <c r="AH348" s="221"/>
      <c r="AI348" s="221"/>
      <c r="AJ348" s="221"/>
      <c r="AK348" s="221"/>
      <c r="AL348" s="221"/>
      <c r="AM348" s="221"/>
      <c r="AN348" s="221"/>
      <c r="AO348" s="221"/>
      <c r="AP348" s="221"/>
      <c r="AQ348" s="221"/>
      <c r="AR348" s="221"/>
    </row>
    <row r="349" spans="1:44" s="384" customFormat="1" ht="12" customHeight="1">
      <c r="A349" s="221"/>
      <c r="B349" s="968"/>
      <c r="C349" s="968"/>
      <c r="D349" s="968"/>
      <c r="E349" s="968"/>
      <c r="F349" s="968"/>
      <c r="G349" s="968"/>
      <c r="H349" s="968"/>
      <c r="I349" s="968"/>
      <c r="J349" s="968"/>
      <c r="K349" s="968"/>
      <c r="L349" s="968"/>
      <c r="M349" s="968"/>
      <c r="N349" s="968"/>
      <c r="O349" s="968"/>
      <c r="P349" s="970"/>
      <c r="Q349" s="3093"/>
      <c r="R349" s="968"/>
      <c r="X349" s="221"/>
      <c r="Y349" s="221"/>
      <c r="Z349" s="221"/>
      <c r="AA349" s="221"/>
      <c r="AB349" s="221"/>
      <c r="AC349" s="221"/>
      <c r="AD349" s="221"/>
      <c r="AE349" s="221"/>
      <c r="AF349" s="221"/>
      <c r="AG349" s="221"/>
      <c r="AH349" s="221"/>
      <c r="AI349" s="221"/>
      <c r="AJ349" s="221"/>
      <c r="AK349" s="221"/>
      <c r="AL349" s="221"/>
      <c r="AM349" s="221"/>
      <c r="AN349" s="221"/>
      <c r="AO349" s="221"/>
      <c r="AP349" s="221"/>
      <c r="AQ349" s="221"/>
      <c r="AR349" s="221"/>
    </row>
    <row r="350" spans="1:44" s="384" customFormat="1" ht="12" customHeight="1">
      <c r="A350" s="221"/>
      <c r="B350" s="968"/>
      <c r="C350" s="968"/>
      <c r="D350" s="968"/>
      <c r="E350" s="968"/>
      <c r="F350" s="968"/>
      <c r="G350" s="968"/>
      <c r="H350" s="968"/>
      <c r="I350" s="968"/>
      <c r="J350" s="968"/>
      <c r="K350" s="968"/>
      <c r="L350" s="968"/>
      <c r="M350" s="968"/>
      <c r="N350" s="968"/>
      <c r="O350" s="968"/>
      <c r="P350" s="970"/>
      <c r="Q350" s="3093"/>
      <c r="R350" s="968"/>
      <c r="X350" s="221"/>
      <c r="Y350" s="221"/>
      <c r="Z350" s="221"/>
      <c r="AA350" s="221"/>
      <c r="AB350" s="221"/>
      <c r="AC350" s="221"/>
      <c r="AD350" s="221"/>
      <c r="AE350" s="221"/>
      <c r="AF350" s="221"/>
      <c r="AG350" s="221"/>
      <c r="AH350" s="221"/>
      <c r="AI350" s="221"/>
      <c r="AJ350" s="221"/>
      <c r="AK350" s="221"/>
      <c r="AL350" s="221"/>
      <c r="AM350" s="221"/>
      <c r="AN350" s="221"/>
      <c r="AO350" s="221"/>
      <c r="AP350" s="221"/>
      <c r="AQ350" s="221"/>
      <c r="AR350" s="221"/>
    </row>
    <row r="351" spans="1:44" s="384" customFormat="1" ht="12" customHeight="1">
      <c r="A351" s="221"/>
      <c r="B351" s="968"/>
      <c r="C351" s="968"/>
      <c r="D351" s="968"/>
      <c r="E351" s="968"/>
      <c r="F351" s="968"/>
      <c r="G351" s="968"/>
      <c r="H351" s="968"/>
      <c r="I351" s="968"/>
      <c r="J351" s="968"/>
      <c r="K351" s="968"/>
      <c r="L351" s="968"/>
      <c r="M351" s="968"/>
      <c r="N351" s="968"/>
      <c r="O351" s="968"/>
      <c r="P351" s="3095"/>
      <c r="Q351" s="3093"/>
      <c r="R351" s="968"/>
      <c r="X351" s="221"/>
      <c r="Y351" s="221"/>
      <c r="Z351" s="221"/>
      <c r="AA351" s="221"/>
      <c r="AB351" s="221"/>
      <c r="AC351" s="221"/>
      <c r="AD351" s="221"/>
      <c r="AE351" s="221"/>
      <c r="AF351" s="221"/>
      <c r="AG351" s="221"/>
      <c r="AH351" s="221"/>
      <c r="AI351" s="221"/>
      <c r="AJ351" s="221"/>
      <c r="AK351" s="221"/>
      <c r="AL351" s="221"/>
      <c r="AM351" s="221"/>
      <c r="AN351" s="221"/>
      <c r="AO351" s="221"/>
      <c r="AP351" s="221"/>
      <c r="AQ351" s="221"/>
      <c r="AR351" s="221"/>
    </row>
    <row r="352" spans="1:44" s="384" customFormat="1" ht="12" customHeight="1">
      <c r="A352" s="221"/>
      <c r="B352" s="968"/>
      <c r="C352" s="968"/>
      <c r="D352" s="968"/>
      <c r="E352" s="968"/>
      <c r="F352" s="968"/>
      <c r="G352" s="968"/>
      <c r="H352" s="968"/>
      <c r="I352" s="968"/>
      <c r="J352" s="968"/>
      <c r="K352" s="968"/>
      <c r="L352" s="968"/>
      <c r="M352" s="968"/>
      <c r="N352" s="968"/>
      <c r="O352" s="968"/>
      <c r="P352" s="970"/>
      <c r="Q352" s="3093"/>
      <c r="R352" s="968"/>
      <c r="X352" s="221"/>
      <c r="Y352" s="221"/>
      <c r="Z352" s="221"/>
      <c r="AA352" s="221"/>
      <c r="AB352" s="221"/>
      <c r="AC352" s="221"/>
      <c r="AD352" s="221"/>
      <c r="AE352" s="221"/>
      <c r="AF352" s="221"/>
      <c r="AG352" s="221"/>
      <c r="AH352" s="221"/>
      <c r="AI352" s="221"/>
      <c r="AJ352" s="221"/>
      <c r="AK352" s="221"/>
      <c r="AL352" s="221"/>
      <c r="AM352" s="221"/>
      <c r="AN352" s="221"/>
      <c r="AO352" s="221"/>
      <c r="AP352" s="221"/>
      <c r="AQ352" s="221"/>
      <c r="AR352" s="221"/>
    </row>
    <row r="353" spans="1:44" s="384" customFormat="1" ht="12" customHeight="1">
      <c r="A353" s="221"/>
      <c r="B353" s="968"/>
      <c r="C353" s="968"/>
      <c r="D353" s="968"/>
      <c r="E353" s="968"/>
      <c r="F353" s="968"/>
      <c r="G353" s="968"/>
      <c r="H353" s="968"/>
      <c r="I353" s="968"/>
      <c r="J353" s="968"/>
      <c r="K353" s="968"/>
      <c r="L353" s="968"/>
      <c r="M353" s="968"/>
      <c r="N353" s="968"/>
      <c r="O353" s="968"/>
      <c r="P353" s="970"/>
      <c r="Q353" s="3093"/>
      <c r="R353" s="970"/>
      <c r="S353" s="3096"/>
      <c r="X353" s="221"/>
      <c r="Y353" s="221"/>
      <c r="Z353" s="221"/>
      <c r="AA353" s="221"/>
      <c r="AB353" s="221"/>
      <c r="AC353" s="221"/>
      <c r="AD353" s="221"/>
      <c r="AE353" s="221"/>
      <c r="AF353" s="221"/>
      <c r="AG353" s="221"/>
      <c r="AH353" s="221"/>
      <c r="AI353" s="221"/>
      <c r="AJ353" s="221"/>
      <c r="AK353" s="221"/>
      <c r="AL353" s="221"/>
      <c r="AM353" s="221"/>
      <c r="AN353" s="221"/>
      <c r="AO353" s="221"/>
      <c r="AP353" s="221"/>
      <c r="AQ353" s="221"/>
      <c r="AR353" s="221"/>
    </row>
    <row r="354" spans="1:44" s="384" customFormat="1" ht="12" customHeight="1">
      <c r="A354" s="221"/>
      <c r="B354" s="968"/>
      <c r="C354" s="968"/>
      <c r="D354" s="968"/>
      <c r="E354" s="968"/>
      <c r="F354" s="968"/>
      <c r="G354" s="968"/>
      <c r="H354" s="968"/>
      <c r="I354" s="968"/>
      <c r="J354" s="968"/>
      <c r="K354" s="968"/>
      <c r="L354" s="968"/>
      <c r="M354" s="968"/>
      <c r="N354" s="968"/>
      <c r="O354" s="968"/>
      <c r="P354" s="970"/>
      <c r="Q354" s="3093"/>
      <c r="R354" s="970"/>
      <c r="S354" s="3096"/>
      <c r="X354" s="221"/>
      <c r="Y354" s="221"/>
      <c r="Z354" s="221"/>
      <c r="AA354" s="221"/>
      <c r="AB354" s="221"/>
      <c r="AC354" s="221"/>
      <c r="AD354" s="221"/>
      <c r="AE354" s="221"/>
      <c r="AF354" s="221"/>
      <c r="AG354" s="221"/>
      <c r="AH354" s="221"/>
      <c r="AI354" s="221"/>
      <c r="AJ354" s="221"/>
      <c r="AK354" s="221"/>
      <c r="AL354" s="221"/>
      <c r="AM354" s="221"/>
      <c r="AN354" s="221"/>
      <c r="AO354" s="221"/>
      <c r="AP354" s="221"/>
      <c r="AQ354" s="221"/>
      <c r="AR354" s="221"/>
    </row>
    <row r="355" spans="1:44" s="384" customFormat="1" ht="12" customHeight="1">
      <c r="A355" s="221"/>
      <c r="B355" s="968"/>
      <c r="C355" s="968"/>
      <c r="D355" s="968"/>
      <c r="E355" s="968"/>
      <c r="F355" s="968"/>
      <c r="G355" s="968"/>
      <c r="H355" s="968"/>
      <c r="I355" s="968"/>
      <c r="J355" s="968"/>
      <c r="K355" s="968"/>
      <c r="L355" s="968"/>
      <c r="M355" s="968"/>
      <c r="N355" s="968"/>
      <c r="O355" s="968"/>
      <c r="P355" s="970"/>
      <c r="Q355" s="3093"/>
      <c r="R355" s="970"/>
      <c r="S355" s="3096"/>
      <c r="X355" s="221"/>
      <c r="Y355" s="221"/>
      <c r="Z355" s="221"/>
      <c r="AA355" s="221"/>
      <c r="AB355" s="221"/>
      <c r="AC355" s="221"/>
      <c r="AD355" s="221"/>
      <c r="AE355" s="221"/>
      <c r="AF355" s="221"/>
      <c r="AG355" s="221"/>
      <c r="AH355" s="221"/>
      <c r="AI355" s="221"/>
      <c r="AJ355" s="221"/>
      <c r="AK355" s="221"/>
      <c r="AL355" s="221"/>
      <c r="AM355" s="221"/>
      <c r="AN355" s="221"/>
      <c r="AO355" s="221"/>
      <c r="AP355" s="221"/>
      <c r="AQ355" s="221"/>
      <c r="AR355" s="221"/>
    </row>
    <row r="356" spans="1:44" s="384" customFormat="1" ht="12" customHeight="1">
      <c r="A356" s="221"/>
      <c r="B356" s="968"/>
      <c r="C356" s="968"/>
      <c r="D356" s="968"/>
      <c r="E356" s="968"/>
      <c r="F356" s="968"/>
      <c r="G356" s="968"/>
      <c r="H356" s="968"/>
      <c r="I356" s="968"/>
      <c r="J356" s="968"/>
      <c r="K356" s="968"/>
      <c r="L356" s="968"/>
      <c r="M356" s="968"/>
      <c r="N356" s="968"/>
      <c r="O356" s="968"/>
      <c r="P356" s="970"/>
      <c r="Q356" s="968"/>
      <c r="R356" s="970"/>
      <c r="S356" s="3096"/>
      <c r="X356" s="221"/>
      <c r="Y356" s="221"/>
      <c r="Z356" s="221"/>
      <c r="AA356" s="221"/>
      <c r="AB356" s="221"/>
      <c r="AC356" s="221"/>
      <c r="AD356" s="221"/>
      <c r="AE356" s="221"/>
      <c r="AF356" s="221"/>
      <c r="AG356" s="221"/>
      <c r="AH356" s="221"/>
      <c r="AI356" s="221"/>
      <c r="AJ356" s="221"/>
      <c r="AK356" s="221"/>
      <c r="AL356" s="221"/>
      <c r="AM356" s="221"/>
      <c r="AN356" s="221"/>
      <c r="AO356" s="221"/>
      <c r="AP356" s="221"/>
      <c r="AQ356" s="221"/>
      <c r="AR356" s="221"/>
    </row>
    <row r="357" spans="1:44" s="384" customFormat="1" ht="12" customHeight="1">
      <c r="A357" s="221"/>
      <c r="B357" s="968"/>
      <c r="C357" s="968"/>
      <c r="D357" s="968"/>
      <c r="E357" s="968"/>
      <c r="F357" s="968"/>
      <c r="G357" s="968"/>
      <c r="H357" s="968"/>
      <c r="I357" s="968"/>
      <c r="J357" s="968"/>
      <c r="K357" s="968"/>
      <c r="L357" s="968"/>
      <c r="M357" s="968"/>
      <c r="N357" s="968"/>
      <c r="O357" s="968"/>
      <c r="P357" s="3095"/>
      <c r="Q357" s="968"/>
      <c r="R357" s="970"/>
      <c r="S357" s="3096"/>
      <c r="X357" s="221"/>
      <c r="Y357" s="221"/>
      <c r="Z357" s="221"/>
      <c r="AA357" s="221"/>
      <c r="AB357" s="221"/>
      <c r="AC357" s="221"/>
      <c r="AD357" s="221"/>
      <c r="AE357" s="221"/>
      <c r="AF357" s="221"/>
      <c r="AG357" s="221"/>
      <c r="AH357" s="221"/>
      <c r="AI357" s="221"/>
      <c r="AJ357" s="221"/>
      <c r="AK357" s="221"/>
      <c r="AL357" s="221"/>
      <c r="AM357" s="221"/>
      <c r="AN357" s="221"/>
      <c r="AO357" s="221"/>
      <c r="AP357" s="221"/>
      <c r="AQ357" s="221"/>
      <c r="AR357" s="221"/>
    </row>
    <row r="358" spans="1:44" s="384" customFormat="1" ht="12" customHeight="1">
      <c r="A358" s="221"/>
      <c r="B358" s="968"/>
      <c r="C358" s="968"/>
      <c r="D358" s="968"/>
      <c r="E358" s="968"/>
      <c r="F358" s="968"/>
      <c r="G358" s="968"/>
      <c r="H358" s="968"/>
      <c r="I358" s="968"/>
      <c r="J358" s="968"/>
      <c r="K358" s="968"/>
      <c r="L358" s="968"/>
      <c r="M358" s="968"/>
      <c r="N358" s="968"/>
      <c r="O358" s="968"/>
      <c r="P358" s="970"/>
      <c r="Q358" s="968"/>
      <c r="R358" s="970"/>
      <c r="S358" s="3096"/>
      <c r="X358" s="221"/>
      <c r="Y358" s="221"/>
      <c r="Z358" s="221"/>
      <c r="AA358" s="221"/>
      <c r="AB358" s="221"/>
      <c r="AC358" s="221"/>
      <c r="AD358" s="221"/>
      <c r="AE358" s="221"/>
      <c r="AF358" s="221"/>
      <c r="AG358" s="221"/>
      <c r="AH358" s="221"/>
      <c r="AI358" s="221"/>
      <c r="AJ358" s="221"/>
      <c r="AK358" s="221"/>
      <c r="AL358" s="221"/>
      <c r="AM358" s="221"/>
      <c r="AN358" s="221"/>
      <c r="AO358" s="221"/>
      <c r="AP358" s="221"/>
      <c r="AQ358" s="221"/>
      <c r="AR358" s="221"/>
    </row>
    <row r="359" spans="1:44" s="384" customFormat="1" ht="12" customHeight="1">
      <c r="A359" s="221"/>
      <c r="B359" s="968"/>
      <c r="C359" s="968"/>
      <c r="D359" s="968"/>
      <c r="E359" s="968"/>
      <c r="F359" s="968"/>
      <c r="G359" s="968"/>
      <c r="H359" s="968"/>
      <c r="I359" s="968"/>
      <c r="J359" s="968"/>
      <c r="K359" s="968"/>
      <c r="L359" s="968"/>
      <c r="M359" s="968"/>
      <c r="N359" s="968"/>
      <c r="O359" s="968"/>
      <c r="P359" s="970"/>
      <c r="Q359" s="968"/>
      <c r="R359" s="970"/>
      <c r="S359" s="3096"/>
      <c r="X359" s="221"/>
      <c r="Y359" s="221"/>
      <c r="Z359" s="221"/>
      <c r="AA359" s="221"/>
      <c r="AB359" s="221"/>
      <c r="AC359" s="221"/>
      <c r="AD359" s="221"/>
      <c r="AE359" s="221"/>
      <c r="AF359" s="221"/>
      <c r="AG359" s="221"/>
      <c r="AH359" s="221"/>
      <c r="AI359" s="221"/>
      <c r="AJ359" s="221"/>
      <c r="AK359" s="221"/>
      <c r="AL359" s="221"/>
      <c r="AM359" s="221"/>
      <c r="AN359" s="221"/>
      <c r="AO359" s="221"/>
      <c r="AP359" s="221"/>
      <c r="AQ359" s="221"/>
      <c r="AR359" s="221"/>
    </row>
    <row r="360" spans="1:44" s="384" customFormat="1" ht="12" customHeight="1">
      <c r="A360" s="221"/>
      <c r="B360" s="968"/>
      <c r="C360" s="968"/>
      <c r="D360" s="968"/>
      <c r="E360" s="968"/>
      <c r="F360" s="968"/>
      <c r="G360" s="968"/>
      <c r="H360" s="968"/>
      <c r="I360" s="968"/>
      <c r="J360" s="968"/>
      <c r="K360" s="968"/>
      <c r="L360" s="968"/>
      <c r="M360" s="968"/>
      <c r="N360" s="968"/>
      <c r="O360" s="968"/>
      <c r="P360" s="970"/>
      <c r="Q360" s="968"/>
      <c r="R360" s="968"/>
      <c r="X360" s="221"/>
      <c r="Y360" s="221"/>
      <c r="Z360" s="221"/>
      <c r="AA360" s="221"/>
      <c r="AB360" s="221"/>
      <c r="AC360" s="221"/>
      <c r="AD360" s="221"/>
      <c r="AE360" s="221"/>
      <c r="AF360" s="221"/>
      <c r="AG360" s="221"/>
      <c r="AH360" s="221"/>
      <c r="AI360" s="221"/>
      <c r="AJ360" s="221"/>
      <c r="AK360" s="221"/>
      <c r="AL360" s="221"/>
      <c r="AM360" s="221"/>
      <c r="AN360" s="221"/>
      <c r="AO360" s="221"/>
      <c r="AP360" s="221"/>
      <c r="AQ360" s="221"/>
      <c r="AR360" s="221"/>
    </row>
    <row r="361" spans="1:44" s="384" customFormat="1" ht="12" customHeight="1">
      <c r="A361" s="221"/>
      <c r="B361" s="968"/>
      <c r="C361" s="968"/>
      <c r="D361" s="968"/>
      <c r="E361" s="968"/>
      <c r="F361" s="968"/>
      <c r="G361" s="968"/>
      <c r="H361" s="968"/>
      <c r="I361" s="968"/>
      <c r="J361" s="968"/>
      <c r="K361" s="968"/>
      <c r="L361" s="968"/>
      <c r="M361" s="968"/>
      <c r="N361" s="968"/>
      <c r="O361" s="968"/>
      <c r="P361" s="970"/>
      <c r="Q361" s="968"/>
      <c r="R361" s="968"/>
      <c r="X361" s="221"/>
      <c r="Y361" s="221"/>
      <c r="Z361" s="221"/>
      <c r="AA361" s="221"/>
      <c r="AB361" s="221"/>
      <c r="AC361" s="221"/>
      <c r="AD361" s="221"/>
      <c r="AE361" s="221"/>
      <c r="AF361" s="221"/>
      <c r="AG361" s="221"/>
      <c r="AH361" s="221"/>
      <c r="AI361" s="221"/>
      <c r="AJ361" s="221"/>
      <c r="AK361" s="221"/>
      <c r="AL361" s="221"/>
      <c r="AM361" s="221"/>
      <c r="AN361" s="221"/>
      <c r="AO361" s="221"/>
      <c r="AP361" s="221"/>
      <c r="AQ361" s="221"/>
      <c r="AR361" s="221"/>
    </row>
    <row r="362" spans="1:44" s="384" customFormat="1" ht="12" customHeight="1">
      <c r="A362" s="221"/>
      <c r="B362" s="968"/>
      <c r="C362" s="968"/>
      <c r="D362" s="968"/>
      <c r="E362" s="968"/>
      <c r="F362" s="968"/>
      <c r="G362" s="968"/>
      <c r="H362" s="968"/>
      <c r="I362" s="968"/>
      <c r="J362" s="968"/>
      <c r="K362" s="968"/>
      <c r="L362" s="968"/>
      <c r="M362" s="968"/>
      <c r="N362" s="968"/>
      <c r="O362" s="968"/>
      <c r="P362" s="970"/>
      <c r="Q362" s="968"/>
      <c r="R362" s="968"/>
      <c r="X362" s="221"/>
      <c r="Y362" s="221"/>
      <c r="Z362" s="221"/>
      <c r="AA362" s="221"/>
      <c r="AB362" s="221"/>
      <c r="AC362" s="221"/>
      <c r="AD362" s="221"/>
      <c r="AE362" s="221"/>
      <c r="AF362" s="221"/>
      <c r="AG362" s="221"/>
      <c r="AH362" s="221"/>
      <c r="AI362" s="221"/>
      <c r="AJ362" s="221"/>
      <c r="AK362" s="221"/>
      <c r="AL362" s="221"/>
      <c r="AM362" s="221"/>
      <c r="AN362" s="221"/>
      <c r="AO362" s="221"/>
      <c r="AP362" s="221"/>
      <c r="AQ362" s="221"/>
      <c r="AR362" s="221"/>
    </row>
    <row r="363" spans="1:44" s="384" customFormat="1" ht="12" customHeight="1">
      <c r="A363" s="221"/>
      <c r="B363" s="968"/>
      <c r="C363" s="968"/>
      <c r="D363" s="968"/>
      <c r="E363" s="968"/>
      <c r="F363" s="968"/>
      <c r="G363" s="968"/>
      <c r="H363" s="968"/>
      <c r="I363" s="968"/>
      <c r="J363" s="968"/>
      <c r="K363" s="968"/>
      <c r="L363" s="968"/>
      <c r="M363" s="968"/>
      <c r="N363" s="968"/>
      <c r="O363" s="968"/>
      <c r="P363" s="970"/>
      <c r="Q363" s="968"/>
      <c r="R363" s="968"/>
      <c r="X363" s="221"/>
      <c r="Y363" s="221"/>
      <c r="Z363" s="221"/>
      <c r="AA363" s="221"/>
      <c r="AB363" s="221"/>
      <c r="AC363" s="221"/>
      <c r="AD363" s="221"/>
      <c r="AE363" s="221"/>
      <c r="AF363" s="221"/>
      <c r="AG363" s="221"/>
      <c r="AH363" s="221"/>
      <c r="AI363" s="221"/>
      <c r="AJ363" s="221"/>
      <c r="AK363" s="221"/>
      <c r="AL363" s="221"/>
      <c r="AM363" s="221"/>
      <c r="AN363" s="221"/>
      <c r="AO363" s="221"/>
      <c r="AP363" s="221"/>
      <c r="AQ363" s="221"/>
      <c r="AR363" s="221"/>
    </row>
    <row r="364" spans="1:44" s="384" customFormat="1" ht="12" customHeight="1">
      <c r="A364" s="221"/>
      <c r="B364" s="968"/>
      <c r="C364" s="968"/>
      <c r="D364" s="968"/>
      <c r="E364" s="968"/>
      <c r="F364" s="968"/>
      <c r="G364" s="968"/>
      <c r="H364" s="968"/>
      <c r="I364" s="968"/>
      <c r="J364" s="968"/>
      <c r="K364" s="968"/>
      <c r="L364" s="968"/>
      <c r="M364" s="968"/>
      <c r="N364" s="968"/>
      <c r="O364" s="968"/>
      <c r="P364" s="3095"/>
      <c r="Q364" s="968"/>
      <c r="R364" s="968"/>
      <c r="X364" s="221"/>
      <c r="Y364" s="221"/>
      <c r="Z364" s="221"/>
      <c r="AA364" s="221"/>
      <c r="AB364" s="221"/>
      <c r="AC364" s="221"/>
      <c r="AD364" s="221"/>
      <c r="AE364" s="221"/>
      <c r="AF364" s="221"/>
      <c r="AG364" s="221"/>
      <c r="AH364" s="221"/>
      <c r="AI364" s="221"/>
      <c r="AJ364" s="221"/>
      <c r="AK364" s="221"/>
      <c r="AL364" s="221"/>
      <c r="AM364" s="221"/>
      <c r="AN364" s="221"/>
      <c r="AO364" s="221"/>
      <c r="AP364" s="221"/>
      <c r="AQ364" s="221"/>
      <c r="AR364" s="221"/>
    </row>
    <row r="365" spans="1:44" s="384" customFormat="1" ht="12" customHeight="1">
      <c r="A365" s="221"/>
      <c r="B365" s="968"/>
      <c r="C365" s="968"/>
      <c r="D365" s="968"/>
      <c r="E365" s="968"/>
      <c r="F365" s="968"/>
      <c r="G365" s="968"/>
      <c r="H365" s="968"/>
      <c r="I365" s="968"/>
      <c r="J365" s="968"/>
      <c r="K365" s="968"/>
      <c r="L365" s="968"/>
      <c r="M365" s="968"/>
      <c r="N365" s="968"/>
      <c r="O365" s="968"/>
      <c r="P365" s="970"/>
      <c r="Q365" s="968"/>
      <c r="R365" s="968"/>
      <c r="X365" s="221"/>
      <c r="Y365" s="221"/>
      <c r="Z365" s="221"/>
      <c r="AA365" s="221"/>
      <c r="AB365" s="221"/>
      <c r="AC365" s="221"/>
      <c r="AD365" s="221"/>
      <c r="AE365" s="221"/>
      <c r="AF365" s="221"/>
      <c r="AG365" s="221"/>
      <c r="AH365" s="221"/>
      <c r="AI365" s="221"/>
      <c r="AJ365" s="221"/>
      <c r="AK365" s="221"/>
      <c r="AL365" s="221"/>
      <c r="AM365" s="221"/>
      <c r="AN365" s="221"/>
      <c r="AO365" s="221"/>
      <c r="AP365" s="221"/>
      <c r="AQ365" s="221"/>
      <c r="AR365" s="221"/>
    </row>
    <row r="366" spans="1:44" s="384" customFormat="1" ht="12" customHeight="1">
      <c r="A366" s="221"/>
      <c r="B366" s="968"/>
      <c r="C366" s="968"/>
      <c r="D366" s="968"/>
      <c r="E366" s="968"/>
      <c r="F366" s="968"/>
      <c r="G366" s="968"/>
      <c r="H366" s="968"/>
      <c r="I366" s="968"/>
      <c r="J366" s="968"/>
      <c r="K366" s="968"/>
      <c r="L366" s="968"/>
      <c r="M366" s="968"/>
      <c r="N366" s="968"/>
      <c r="O366" s="968"/>
      <c r="P366" s="970"/>
      <c r="Q366" s="968"/>
      <c r="R366" s="968"/>
      <c r="X366" s="221"/>
      <c r="Y366" s="221"/>
      <c r="Z366" s="221"/>
      <c r="AA366" s="221"/>
      <c r="AB366" s="221"/>
      <c r="AC366" s="221"/>
      <c r="AD366" s="221"/>
      <c r="AE366" s="221"/>
      <c r="AF366" s="221"/>
      <c r="AG366" s="221"/>
      <c r="AH366" s="221"/>
      <c r="AI366" s="221"/>
      <c r="AJ366" s="221"/>
      <c r="AK366" s="221"/>
      <c r="AL366" s="221"/>
      <c r="AM366" s="221"/>
      <c r="AN366" s="221"/>
      <c r="AO366" s="221"/>
      <c r="AP366" s="221"/>
      <c r="AQ366" s="221"/>
      <c r="AR366" s="221"/>
    </row>
    <row r="367" spans="1:44" s="384" customFormat="1" ht="12" customHeight="1">
      <c r="A367" s="221"/>
      <c r="B367" s="968"/>
      <c r="C367" s="968"/>
      <c r="D367" s="968"/>
      <c r="E367" s="968"/>
      <c r="F367" s="968"/>
      <c r="G367" s="968"/>
      <c r="H367" s="968"/>
      <c r="I367" s="968"/>
      <c r="J367" s="968"/>
      <c r="K367" s="968"/>
      <c r="L367" s="968"/>
      <c r="M367" s="968"/>
      <c r="N367" s="968"/>
      <c r="O367" s="968"/>
      <c r="P367" s="970"/>
      <c r="Q367" s="968"/>
      <c r="R367" s="968"/>
      <c r="X367" s="221"/>
      <c r="Y367" s="221"/>
      <c r="Z367" s="221"/>
      <c r="AA367" s="221"/>
      <c r="AB367" s="221"/>
      <c r="AC367" s="221"/>
      <c r="AD367" s="221"/>
      <c r="AE367" s="221"/>
      <c r="AF367" s="221"/>
      <c r="AG367" s="221"/>
      <c r="AH367" s="221"/>
      <c r="AI367" s="221"/>
      <c r="AJ367" s="221"/>
      <c r="AK367" s="221"/>
      <c r="AL367" s="221"/>
      <c r="AM367" s="221"/>
      <c r="AN367" s="221"/>
      <c r="AO367" s="221"/>
      <c r="AP367" s="221"/>
      <c r="AQ367" s="221"/>
      <c r="AR367" s="221"/>
    </row>
    <row r="368" spans="1:44" s="384" customFormat="1" ht="12" customHeight="1">
      <c r="A368" s="221"/>
      <c r="B368" s="968"/>
      <c r="C368" s="968"/>
      <c r="D368" s="968"/>
      <c r="E368" s="968"/>
      <c r="F368" s="968"/>
      <c r="G368" s="968"/>
      <c r="H368" s="968"/>
      <c r="I368" s="968"/>
      <c r="J368" s="968"/>
      <c r="K368" s="968"/>
      <c r="L368" s="968"/>
      <c r="M368" s="968"/>
      <c r="N368" s="968"/>
      <c r="O368" s="968"/>
      <c r="P368" s="970"/>
      <c r="Q368" s="968"/>
      <c r="R368" s="968"/>
      <c r="X368" s="221"/>
      <c r="Y368" s="221"/>
      <c r="Z368" s="221"/>
      <c r="AA368" s="221"/>
      <c r="AB368" s="221"/>
      <c r="AC368" s="221"/>
      <c r="AD368" s="221"/>
      <c r="AE368" s="221"/>
      <c r="AF368" s="221"/>
      <c r="AG368" s="221"/>
      <c r="AH368" s="221"/>
      <c r="AI368" s="221"/>
      <c r="AJ368" s="221"/>
      <c r="AK368" s="221"/>
      <c r="AL368" s="221"/>
      <c r="AM368" s="221"/>
      <c r="AN368" s="221"/>
      <c r="AO368" s="221"/>
      <c r="AP368" s="221"/>
      <c r="AQ368" s="221"/>
      <c r="AR368" s="221"/>
    </row>
    <row r="369" spans="1:44" s="384" customFormat="1" ht="12" customHeight="1">
      <c r="A369" s="221"/>
      <c r="B369" s="968"/>
      <c r="C369" s="968"/>
      <c r="D369" s="968"/>
      <c r="E369" s="968"/>
      <c r="F369" s="968"/>
      <c r="G369" s="968"/>
      <c r="H369" s="968"/>
      <c r="I369" s="968"/>
      <c r="J369" s="968"/>
      <c r="K369" s="968"/>
      <c r="L369" s="968"/>
      <c r="M369" s="968"/>
      <c r="N369" s="968"/>
      <c r="O369" s="968"/>
      <c r="P369" s="970"/>
      <c r="Q369" s="968"/>
      <c r="R369" s="968"/>
      <c r="X369" s="221"/>
      <c r="Y369" s="221"/>
      <c r="Z369" s="221"/>
      <c r="AA369" s="221"/>
      <c r="AB369" s="221"/>
      <c r="AC369" s="221"/>
      <c r="AD369" s="221"/>
      <c r="AE369" s="221"/>
      <c r="AF369" s="221"/>
      <c r="AG369" s="221"/>
      <c r="AH369" s="221"/>
      <c r="AI369" s="221"/>
      <c r="AJ369" s="221"/>
      <c r="AK369" s="221"/>
      <c r="AL369" s="221"/>
      <c r="AM369" s="221"/>
      <c r="AN369" s="221"/>
      <c r="AO369" s="221"/>
      <c r="AP369" s="221"/>
      <c r="AQ369" s="221"/>
      <c r="AR369" s="221"/>
    </row>
    <row r="370" spans="1:44" s="384" customFormat="1" ht="12" customHeight="1">
      <c r="A370" s="221"/>
      <c r="B370" s="968"/>
      <c r="C370" s="968"/>
      <c r="D370" s="968"/>
      <c r="E370" s="968"/>
      <c r="F370" s="968"/>
      <c r="G370" s="968"/>
      <c r="H370" s="968"/>
      <c r="I370" s="968"/>
      <c r="J370" s="968"/>
      <c r="K370" s="968"/>
      <c r="L370" s="968"/>
      <c r="M370" s="968"/>
      <c r="N370" s="968"/>
      <c r="O370" s="968"/>
      <c r="P370" s="970"/>
      <c r="Q370" s="968"/>
      <c r="R370" s="968"/>
      <c r="X370" s="221"/>
      <c r="Y370" s="221"/>
      <c r="Z370" s="221"/>
      <c r="AA370" s="221"/>
      <c r="AB370" s="221"/>
      <c r="AC370" s="221"/>
      <c r="AD370" s="221"/>
      <c r="AE370" s="221"/>
      <c r="AF370" s="221"/>
      <c r="AG370" s="221"/>
      <c r="AH370" s="221"/>
      <c r="AI370" s="221"/>
      <c r="AJ370" s="221"/>
      <c r="AK370" s="221"/>
      <c r="AL370" s="221"/>
      <c r="AM370" s="221"/>
      <c r="AN370" s="221"/>
      <c r="AO370" s="221"/>
      <c r="AP370" s="221"/>
      <c r="AQ370" s="221"/>
      <c r="AR370" s="221"/>
    </row>
    <row r="371" spans="1:44" s="384" customFormat="1" ht="12" customHeight="1">
      <c r="A371" s="221"/>
      <c r="B371" s="968"/>
      <c r="C371" s="968"/>
      <c r="D371" s="968"/>
      <c r="E371" s="968"/>
      <c r="F371" s="968"/>
      <c r="G371" s="968"/>
      <c r="H371" s="968"/>
      <c r="I371" s="968"/>
      <c r="J371" s="968"/>
      <c r="K371" s="968"/>
      <c r="L371" s="968"/>
      <c r="M371" s="968"/>
      <c r="N371" s="968"/>
      <c r="O371" s="968"/>
      <c r="P371" s="969"/>
      <c r="Q371" s="968"/>
      <c r="R371" s="968"/>
      <c r="X371" s="221"/>
      <c r="Y371" s="221"/>
      <c r="Z371" s="221"/>
      <c r="AA371" s="221"/>
      <c r="AB371" s="221"/>
      <c r="AC371" s="221"/>
      <c r="AD371" s="221"/>
      <c r="AE371" s="221"/>
      <c r="AF371" s="221"/>
      <c r="AG371" s="221"/>
      <c r="AH371" s="221"/>
      <c r="AI371" s="221"/>
      <c r="AJ371" s="221"/>
      <c r="AK371" s="221"/>
      <c r="AL371" s="221"/>
      <c r="AM371" s="221"/>
      <c r="AN371" s="221"/>
      <c r="AO371" s="221"/>
      <c r="AP371" s="221"/>
      <c r="AQ371" s="221"/>
      <c r="AR371" s="221"/>
    </row>
    <row r="372" spans="1:44" s="384" customFormat="1" ht="12" customHeight="1">
      <c r="A372" s="221"/>
      <c r="B372" s="968"/>
      <c r="C372" s="968"/>
      <c r="D372" s="968"/>
      <c r="E372" s="968"/>
      <c r="F372" s="968"/>
      <c r="G372" s="968"/>
      <c r="H372" s="968"/>
      <c r="I372" s="968"/>
      <c r="J372" s="968"/>
      <c r="K372" s="968"/>
      <c r="L372" s="968"/>
      <c r="M372" s="968"/>
      <c r="N372" s="968"/>
      <c r="O372" s="968"/>
      <c r="P372" s="3095"/>
      <c r="Q372" s="968"/>
      <c r="R372" s="968"/>
      <c r="X372" s="221"/>
      <c r="Y372" s="221"/>
      <c r="Z372" s="221"/>
      <c r="AA372" s="221"/>
      <c r="AB372" s="221"/>
      <c r="AC372" s="221"/>
      <c r="AD372" s="221"/>
      <c r="AE372" s="221"/>
      <c r="AF372" s="221"/>
      <c r="AG372" s="221"/>
      <c r="AH372" s="221"/>
      <c r="AI372" s="221"/>
      <c r="AJ372" s="221"/>
      <c r="AK372" s="221"/>
      <c r="AL372" s="221"/>
      <c r="AM372" s="221"/>
      <c r="AN372" s="221"/>
      <c r="AO372" s="221"/>
      <c r="AP372" s="221"/>
      <c r="AQ372" s="221"/>
      <c r="AR372" s="221"/>
    </row>
    <row r="373" spans="1:44" s="384" customFormat="1" ht="12" customHeight="1">
      <c r="A373" s="221"/>
      <c r="B373" s="968"/>
      <c r="C373" s="968"/>
      <c r="D373" s="968"/>
      <c r="E373" s="968"/>
      <c r="F373" s="968"/>
      <c r="G373" s="968"/>
      <c r="H373" s="968"/>
      <c r="I373" s="968"/>
      <c r="J373" s="968"/>
      <c r="K373" s="968"/>
      <c r="L373" s="968"/>
      <c r="M373" s="968"/>
      <c r="N373" s="968"/>
      <c r="O373" s="968"/>
      <c r="P373" s="3095"/>
      <c r="Q373" s="968"/>
      <c r="R373" s="968"/>
      <c r="X373" s="221"/>
      <c r="Y373" s="221"/>
      <c r="Z373" s="221"/>
      <c r="AA373" s="221"/>
      <c r="AB373" s="221"/>
      <c r="AC373" s="221"/>
      <c r="AD373" s="221"/>
      <c r="AE373" s="221"/>
      <c r="AF373" s="221"/>
      <c r="AG373" s="221"/>
      <c r="AH373" s="221"/>
      <c r="AI373" s="221"/>
      <c r="AJ373" s="221"/>
      <c r="AK373" s="221"/>
      <c r="AL373" s="221"/>
      <c r="AM373" s="221"/>
      <c r="AN373" s="221"/>
      <c r="AO373" s="221"/>
      <c r="AP373" s="221"/>
      <c r="AQ373" s="221"/>
      <c r="AR373" s="221"/>
    </row>
    <row r="374" spans="1:44" s="384" customFormat="1" ht="12" customHeight="1">
      <c r="A374" s="221"/>
      <c r="B374" s="968"/>
      <c r="C374" s="968"/>
      <c r="D374" s="968"/>
      <c r="E374" s="968"/>
      <c r="F374" s="968"/>
      <c r="G374" s="968"/>
      <c r="H374" s="968"/>
      <c r="I374" s="968"/>
      <c r="J374" s="968"/>
      <c r="K374" s="968"/>
      <c r="L374" s="968"/>
      <c r="M374" s="968"/>
      <c r="N374" s="968"/>
      <c r="O374" s="968"/>
      <c r="P374" s="969"/>
      <c r="Q374" s="968"/>
      <c r="R374" s="968"/>
      <c r="X374" s="221"/>
      <c r="Y374" s="221"/>
      <c r="Z374" s="221"/>
      <c r="AA374" s="221"/>
      <c r="AB374" s="221"/>
      <c r="AC374" s="221"/>
      <c r="AD374" s="221"/>
      <c r="AE374" s="221"/>
      <c r="AF374" s="221"/>
      <c r="AG374" s="221"/>
      <c r="AH374" s="221"/>
      <c r="AI374" s="221"/>
      <c r="AJ374" s="221"/>
      <c r="AK374" s="221"/>
      <c r="AL374" s="221"/>
      <c r="AM374" s="221"/>
      <c r="AN374" s="221"/>
      <c r="AO374" s="221"/>
      <c r="AP374" s="221"/>
      <c r="AQ374" s="221"/>
      <c r="AR374" s="221"/>
    </row>
    <row r="375" spans="1:44" s="384" customFormat="1" ht="12" customHeight="1">
      <c r="A375" s="221"/>
      <c r="B375" s="968"/>
      <c r="C375" s="968"/>
      <c r="D375" s="968"/>
      <c r="E375" s="968"/>
      <c r="F375" s="968"/>
      <c r="G375" s="968"/>
      <c r="H375" s="968"/>
      <c r="I375" s="968"/>
      <c r="J375" s="968"/>
      <c r="K375" s="968"/>
      <c r="L375" s="968"/>
      <c r="M375" s="968"/>
      <c r="N375" s="968"/>
      <c r="O375" s="968"/>
      <c r="P375" s="969"/>
      <c r="Q375" s="968"/>
      <c r="R375" s="968"/>
      <c r="X375" s="221"/>
      <c r="Y375" s="221"/>
      <c r="Z375" s="221"/>
      <c r="AA375" s="221"/>
      <c r="AB375" s="221"/>
      <c r="AC375" s="221"/>
      <c r="AD375" s="221"/>
      <c r="AE375" s="221"/>
      <c r="AF375" s="221"/>
      <c r="AG375" s="221"/>
      <c r="AH375" s="221"/>
      <c r="AI375" s="221"/>
      <c r="AJ375" s="221"/>
      <c r="AK375" s="221"/>
      <c r="AL375" s="221"/>
      <c r="AM375" s="221"/>
      <c r="AN375" s="221"/>
      <c r="AO375" s="221"/>
      <c r="AP375" s="221"/>
      <c r="AQ375" s="221"/>
      <c r="AR375" s="221"/>
    </row>
    <row r="376" spans="1:44" s="384" customFormat="1" ht="12" customHeight="1">
      <c r="A376" s="221"/>
      <c r="B376" s="968"/>
      <c r="C376" s="968"/>
      <c r="D376" s="968"/>
      <c r="E376" s="968"/>
      <c r="F376" s="968"/>
      <c r="G376" s="968"/>
      <c r="H376" s="968"/>
      <c r="I376" s="968"/>
      <c r="J376" s="968"/>
      <c r="K376" s="968"/>
      <c r="L376" s="968"/>
      <c r="M376" s="968"/>
      <c r="N376" s="968"/>
      <c r="O376" s="968"/>
      <c r="P376" s="969"/>
      <c r="Q376" s="968"/>
      <c r="R376" s="968"/>
      <c r="X376" s="221"/>
      <c r="Y376" s="221"/>
      <c r="Z376" s="221"/>
      <c r="AA376" s="221"/>
      <c r="AB376" s="221"/>
      <c r="AC376" s="221"/>
      <c r="AD376" s="221"/>
      <c r="AE376" s="221"/>
      <c r="AF376" s="221"/>
      <c r="AG376" s="221"/>
      <c r="AH376" s="221"/>
      <c r="AI376" s="221"/>
      <c r="AJ376" s="221"/>
      <c r="AK376" s="221"/>
      <c r="AL376" s="221"/>
      <c r="AM376" s="221"/>
      <c r="AN376" s="221"/>
      <c r="AO376" s="221"/>
      <c r="AP376" s="221"/>
      <c r="AQ376" s="221"/>
      <c r="AR376" s="221"/>
    </row>
    <row r="377" spans="1:44" s="384" customFormat="1" ht="12" customHeight="1">
      <c r="A377" s="221"/>
      <c r="B377" s="968"/>
      <c r="C377" s="968"/>
      <c r="D377" s="968"/>
      <c r="E377" s="968"/>
      <c r="F377" s="968"/>
      <c r="G377" s="968"/>
      <c r="H377" s="968"/>
      <c r="I377" s="968"/>
      <c r="J377" s="968"/>
      <c r="K377" s="968"/>
      <c r="L377" s="968"/>
      <c r="M377" s="968"/>
      <c r="N377" s="968"/>
      <c r="O377" s="968"/>
      <c r="P377" s="969"/>
      <c r="Q377" s="968"/>
      <c r="R377" s="968"/>
      <c r="X377" s="221"/>
      <c r="Y377" s="221"/>
      <c r="Z377" s="221"/>
      <c r="AA377" s="221"/>
      <c r="AB377" s="221"/>
      <c r="AC377" s="221"/>
      <c r="AD377" s="221"/>
      <c r="AE377" s="221"/>
      <c r="AF377" s="221"/>
      <c r="AG377" s="221"/>
      <c r="AH377" s="221"/>
      <c r="AI377" s="221"/>
      <c r="AJ377" s="221"/>
      <c r="AK377" s="221"/>
      <c r="AL377" s="221"/>
      <c r="AM377" s="221"/>
      <c r="AN377" s="221"/>
      <c r="AO377" s="221"/>
      <c r="AP377" s="221"/>
      <c r="AQ377" s="221"/>
      <c r="AR377" s="221"/>
    </row>
    <row r="378" spans="1:44" s="384" customFormat="1" ht="12" customHeight="1">
      <c r="A378" s="221"/>
      <c r="B378" s="968"/>
      <c r="C378" s="968"/>
      <c r="D378" s="968"/>
      <c r="E378" s="968"/>
      <c r="F378" s="968"/>
      <c r="G378" s="968"/>
      <c r="H378" s="968"/>
      <c r="I378" s="968"/>
      <c r="J378" s="968"/>
      <c r="K378" s="968"/>
      <c r="L378" s="968"/>
      <c r="M378" s="968"/>
      <c r="N378" s="968"/>
      <c r="O378" s="968"/>
      <c r="P378" s="969"/>
      <c r="Q378" s="968"/>
      <c r="R378" s="968"/>
      <c r="X378" s="221"/>
      <c r="Y378" s="221"/>
      <c r="Z378" s="221"/>
      <c r="AA378" s="221"/>
      <c r="AB378" s="221"/>
      <c r="AC378" s="221"/>
      <c r="AD378" s="221"/>
      <c r="AE378" s="221"/>
      <c r="AF378" s="221"/>
      <c r="AG378" s="221"/>
      <c r="AH378" s="221"/>
      <c r="AI378" s="221"/>
      <c r="AJ378" s="221"/>
      <c r="AK378" s="221"/>
      <c r="AL378" s="221"/>
      <c r="AM378" s="221"/>
      <c r="AN378" s="221"/>
      <c r="AO378" s="221"/>
      <c r="AP378" s="221"/>
      <c r="AQ378" s="221"/>
      <c r="AR378" s="221"/>
    </row>
    <row r="379" spans="1:44" s="384" customFormat="1" ht="12" customHeight="1">
      <c r="A379" s="221"/>
      <c r="B379" s="968"/>
      <c r="C379" s="968"/>
      <c r="D379" s="968"/>
      <c r="E379" s="968"/>
      <c r="F379" s="968"/>
      <c r="G379" s="968"/>
      <c r="H379" s="968"/>
      <c r="I379" s="968"/>
      <c r="J379" s="968"/>
      <c r="K379" s="968"/>
      <c r="L379" s="968"/>
      <c r="M379" s="968"/>
      <c r="N379" s="968"/>
      <c r="O379" s="968"/>
      <c r="P379" s="969"/>
      <c r="Q379" s="968"/>
      <c r="R379" s="968"/>
      <c r="X379" s="221"/>
      <c r="Y379" s="221"/>
      <c r="Z379" s="221"/>
      <c r="AA379" s="221"/>
      <c r="AB379" s="221"/>
      <c r="AC379" s="221"/>
      <c r="AD379" s="221"/>
      <c r="AE379" s="221"/>
      <c r="AF379" s="221"/>
      <c r="AG379" s="221"/>
      <c r="AH379" s="221"/>
      <c r="AI379" s="221"/>
      <c r="AJ379" s="221"/>
      <c r="AK379" s="221"/>
      <c r="AL379" s="221"/>
      <c r="AM379" s="221"/>
      <c r="AN379" s="221"/>
      <c r="AO379" s="221"/>
      <c r="AP379" s="221"/>
      <c r="AQ379" s="221"/>
      <c r="AR379" s="221"/>
    </row>
    <row r="380" spans="1:44" s="384" customFormat="1" ht="12" customHeight="1">
      <c r="A380" s="221"/>
      <c r="B380" s="968"/>
      <c r="C380" s="968"/>
      <c r="D380" s="968"/>
      <c r="E380" s="968"/>
      <c r="F380" s="968"/>
      <c r="G380" s="968"/>
      <c r="H380" s="968"/>
      <c r="I380" s="968"/>
      <c r="J380" s="968"/>
      <c r="K380" s="968"/>
      <c r="L380" s="968"/>
      <c r="M380" s="968"/>
      <c r="N380" s="968"/>
      <c r="O380" s="968"/>
      <c r="P380" s="969"/>
      <c r="Q380" s="968"/>
      <c r="R380" s="968"/>
      <c r="X380" s="221"/>
      <c r="Y380" s="221"/>
      <c r="Z380" s="221"/>
      <c r="AA380" s="221"/>
      <c r="AB380" s="221"/>
      <c r="AC380" s="221"/>
      <c r="AD380" s="221"/>
      <c r="AE380" s="221"/>
      <c r="AF380" s="221"/>
      <c r="AG380" s="221"/>
      <c r="AH380" s="221"/>
      <c r="AI380" s="221"/>
      <c r="AJ380" s="221"/>
      <c r="AK380" s="221"/>
      <c r="AL380" s="221"/>
      <c r="AM380" s="221"/>
      <c r="AN380" s="221"/>
      <c r="AO380" s="221"/>
      <c r="AP380" s="221"/>
      <c r="AQ380" s="221"/>
      <c r="AR380" s="221"/>
    </row>
    <row r="381" spans="1:44" s="384" customFormat="1" ht="12" customHeight="1">
      <c r="A381" s="221"/>
      <c r="B381" s="968"/>
      <c r="C381" s="968"/>
      <c r="D381" s="968"/>
      <c r="E381" s="968"/>
      <c r="F381" s="968"/>
      <c r="G381" s="968"/>
      <c r="H381" s="968"/>
      <c r="I381" s="968"/>
      <c r="J381" s="968"/>
      <c r="K381" s="968"/>
      <c r="L381" s="968"/>
      <c r="M381" s="968"/>
      <c r="N381" s="968"/>
      <c r="O381" s="968"/>
      <c r="P381" s="969"/>
      <c r="Q381" s="968"/>
      <c r="R381" s="968"/>
      <c r="X381" s="221"/>
      <c r="Y381" s="221"/>
      <c r="Z381" s="221"/>
      <c r="AA381" s="221"/>
      <c r="AB381" s="221"/>
      <c r="AC381" s="221"/>
      <c r="AD381" s="221"/>
      <c r="AE381" s="221"/>
      <c r="AF381" s="221"/>
      <c r="AG381" s="221"/>
      <c r="AH381" s="221"/>
      <c r="AI381" s="221"/>
      <c r="AJ381" s="221"/>
      <c r="AK381" s="221"/>
      <c r="AL381" s="221"/>
      <c r="AM381" s="221"/>
      <c r="AN381" s="221"/>
      <c r="AO381" s="221"/>
      <c r="AP381" s="221"/>
      <c r="AQ381" s="221"/>
      <c r="AR381" s="221"/>
    </row>
    <row r="382" spans="1:44" s="384" customFormat="1" ht="12" customHeight="1">
      <c r="A382" s="221"/>
      <c r="B382" s="968"/>
      <c r="C382" s="968"/>
      <c r="D382" s="968"/>
      <c r="E382" s="968"/>
      <c r="F382" s="968"/>
      <c r="G382" s="968"/>
      <c r="H382" s="968"/>
      <c r="I382" s="968"/>
      <c r="J382" s="968"/>
      <c r="K382" s="968"/>
      <c r="L382" s="968"/>
      <c r="M382" s="968"/>
      <c r="N382" s="968"/>
      <c r="O382" s="968"/>
      <c r="P382" s="969"/>
      <c r="Q382" s="968"/>
      <c r="R382" s="968"/>
      <c r="X382" s="221"/>
      <c r="Y382" s="221"/>
      <c r="Z382" s="221"/>
      <c r="AA382" s="221"/>
      <c r="AB382" s="221"/>
      <c r="AC382" s="221"/>
      <c r="AD382" s="221"/>
      <c r="AE382" s="221"/>
      <c r="AF382" s="221"/>
      <c r="AG382" s="221"/>
      <c r="AH382" s="221"/>
      <c r="AI382" s="221"/>
      <c r="AJ382" s="221"/>
      <c r="AK382" s="221"/>
      <c r="AL382" s="221"/>
      <c r="AM382" s="221"/>
      <c r="AN382" s="221"/>
      <c r="AO382" s="221"/>
      <c r="AP382" s="221"/>
      <c r="AQ382" s="221"/>
      <c r="AR382" s="221"/>
    </row>
    <row r="383" spans="1:44" s="384" customFormat="1" ht="12" customHeight="1">
      <c r="A383" s="221"/>
      <c r="B383" s="968"/>
      <c r="C383" s="968"/>
      <c r="D383" s="968"/>
      <c r="E383" s="968"/>
      <c r="F383" s="968"/>
      <c r="G383" s="968"/>
      <c r="H383" s="968"/>
      <c r="I383" s="968"/>
      <c r="J383" s="968"/>
      <c r="K383" s="968"/>
      <c r="L383" s="968"/>
      <c r="M383" s="968"/>
      <c r="N383" s="968"/>
      <c r="O383" s="968"/>
      <c r="P383" s="969"/>
      <c r="Q383" s="968"/>
      <c r="R383" s="968"/>
      <c r="X383" s="221"/>
      <c r="Y383" s="221"/>
      <c r="Z383" s="221"/>
      <c r="AA383" s="221"/>
      <c r="AB383" s="221"/>
      <c r="AC383" s="221"/>
      <c r="AD383" s="221"/>
      <c r="AE383" s="221"/>
      <c r="AF383" s="221"/>
      <c r="AG383" s="221"/>
      <c r="AH383" s="221"/>
      <c r="AI383" s="221"/>
      <c r="AJ383" s="221"/>
      <c r="AK383" s="221"/>
      <c r="AL383" s="221"/>
      <c r="AM383" s="221"/>
      <c r="AN383" s="221"/>
      <c r="AO383" s="221"/>
      <c r="AP383" s="221"/>
      <c r="AQ383" s="221"/>
      <c r="AR383" s="221"/>
    </row>
    <row r="384" spans="1:44" s="384" customFormat="1" ht="12" customHeight="1">
      <c r="A384" s="221"/>
      <c r="B384" s="968"/>
      <c r="C384" s="968"/>
      <c r="D384" s="968"/>
      <c r="E384" s="968"/>
      <c r="F384" s="968"/>
      <c r="G384" s="968"/>
      <c r="H384" s="968"/>
      <c r="I384" s="968"/>
      <c r="J384" s="968"/>
      <c r="K384" s="968"/>
      <c r="L384" s="968"/>
      <c r="M384" s="968"/>
      <c r="N384" s="968"/>
      <c r="O384" s="968"/>
      <c r="P384" s="969"/>
      <c r="Q384" s="968"/>
      <c r="R384" s="968"/>
      <c r="X384" s="221"/>
      <c r="Y384" s="221"/>
      <c r="Z384" s="221"/>
      <c r="AA384" s="221"/>
      <c r="AB384" s="221"/>
      <c r="AC384" s="221"/>
      <c r="AD384" s="221"/>
      <c r="AE384" s="221"/>
      <c r="AF384" s="221"/>
      <c r="AG384" s="221"/>
      <c r="AH384" s="221"/>
      <c r="AI384" s="221"/>
      <c r="AJ384" s="221"/>
      <c r="AK384" s="221"/>
      <c r="AL384" s="221"/>
      <c r="AM384" s="221"/>
      <c r="AN384" s="221"/>
      <c r="AO384" s="221"/>
      <c r="AP384" s="221"/>
      <c r="AQ384" s="221"/>
      <c r="AR384" s="221"/>
    </row>
    <row r="385" spans="1:44" s="384" customFormat="1" ht="12" customHeight="1">
      <c r="A385" s="221"/>
      <c r="B385" s="968"/>
      <c r="C385" s="968"/>
      <c r="D385" s="968"/>
      <c r="E385" s="968"/>
      <c r="F385" s="968"/>
      <c r="G385" s="968"/>
      <c r="H385" s="968"/>
      <c r="I385" s="968"/>
      <c r="J385" s="968"/>
      <c r="K385" s="968"/>
      <c r="L385" s="968"/>
      <c r="M385" s="968"/>
      <c r="N385" s="968"/>
      <c r="O385" s="968"/>
      <c r="P385" s="969"/>
      <c r="Q385" s="968"/>
      <c r="R385" s="968"/>
      <c r="X385" s="221"/>
      <c r="Y385" s="221"/>
      <c r="Z385" s="221"/>
      <c r="AA385" s="221"/>
      <c r="AB385" s="221"/>
      <c r="AC385" s="221"/>
      <c r="AD385" s="221"/>
      <c r="AE385" s="221"/>
      <c r="AF385" s="221"/>
      <c r="AG385" s="221"/>
      <c r="AH385" s="221"/>
      <c r="AI385" s="221"/>
      <c r="AJ385" s="221"/>
      <c r="AK385" s="221"/>
      <c r="AL385" s="221"/>
      <c r="AM385" s="221"/>
      <c r="AN385" s="221"/>
      <c r="AO385" s="221"/>
      <c r="AP385" s="221"/>
      <c r="AQ385" s="221"/>
      <c r="AR385" s="221"/>
    </row>
    <row r="386" spans="1:44" s="384" customFormat="1" ht="12" customHeight="1">
      <c r="A386" s="221"/>
      <c r="B386" s="968"/>
      <c r="C386" s="968"/>
      <c r="D386" s="968"/>
      <c r="E386" s="968"/>
      <c r="F386" s="968"/>
      <c r="G386" s="968"/>
      <c r="H386" s="968"/>
      <c r="I386" s="968"/>
      <c r="J386" s="968"/>
      <c r="K386" s="968"/>
      <c r="L386" s="968"/>
      <c r="M386" s="968"/>
      <c r="N386" s="968"/>
      <c r="O386" s="968"/>
      <c r="P386" s="969"/>
      <c r="Q386" s="968"/>
      <c r="R386" s="968"/>
      <c r="X386" s="221"/>
      <c r="Y386" s="221"/>
      <c r="Z386" s="221"/>
      <c r="AA386" s="221"/>
      <c r="AB386" s="221"/>
      <c r="AC386" s="221"/>
      <c r="AD386" s="221"/>
      <c r="AE386" s="221"/>
      <c r="AF386" s="221"/>
      <c r="AG386" s="221"/>
      <c r="AH386" s="221"/>
      <c r="AI386" s="221"/>
      <c r="AJ386" s="221"/>
      <c r="AK386" s="221"/>
      <c r="AL386" s="221"/>
      <c r="AM386" s="221"/>
      <c r="AN386" s="221"/>
      <c r="AO386" s="221"/>
      <c r="AP386" s="221"/>
      <c r="AQ386" s="221"/>
      <c r="AR386" s="221"/>
    </row>
    <row r="387" spans="1:44" s="384" customFormat="1" ht="12" customHeight="1">
      <c r="A387" s="221"/>
      <c r="B387" s="968"/>
      <c r="C387" s="968"/>
      <c r="D387" s="968"/>
      <c r="E387" s="968"/>
      <c r="F387" s="968"/>
      <c r="G387" s="968"/>
      <c r="H387" s="968"/>
      <c r="I387" s="968"/>
      <c r="J387" s="968"/>
      <c r="K387" s="968"/>
      <c r="L387" s="968"/>
      <c r="M387" s="968"/>
      <c r="N387" s="968"/>
      <c r="O387" s="968"/>
      <c r="P387" s="969"/>
      <c r="Q387" s="968"/>
      <c r="R387" s="968"/>
      <c r="X387" s="221"/>
      <c r="Y387" s="221"/>
      <c r="Z387" s="221"/>
      <c r="AA387" s="221"/>
      <c r="AB387" s="221"/>
      <c r="AC387" s="221"/>
      <c r="AD387" s="221"/>
      <c r="AE387" s="221"/>
      <c r="AF387" s="221"/>
      <c r="AG387" s="221"/>
      <c r="AH387" s="221"/>
      <c r="AI387" s="221"/>
      <c r="AJ387" s="221"/>
      <c r="AK387" s="221"/>
      <c r="AL387" s="221"/>
      <c r="AM387" s="221"/>
      <c r="AN387" s="221"/>
      <c r="AO387" s="221"/>
      <c r="AP387" s="221"/>
      <c r="AQ387" s="221"/>
      <c r="AR387" s="221"/>
    </row>
    <row r="388" spans="1:44" s="384" customFormat="1" ht="12" customHeight="1">
      <c r="A388" s="221"/>
      <c r="B388" s="968"/>
      <c r="C388" s="968"/>
      <c r="D388" s="968"/>
      <c r="E388" s="968"/>
      <c r="F388" s="968"/>
      <c r="G388" s="968"/>
      <c r="H388" s="968"/>
      <c r="I388" s="968"/>
      <c r="J388" s="968"/>
      <c r="K388" s="968"/>
      <c r="L388" s="968"/>
      <c r="M388" s="968"/>
      <c r="N388" s="968"/>
      <c r="O388" s="968"/>
      <c r="P388" s="3095"/>
      <c r="Q388" s="968"/>
      <c r="R388" s="968"/>
      <c r="X388" s="221"/>
      <c r="Y388" s="221"/>
      <c r="Z388" s="221"/>
      <c r="AA388" s="221"/>
      <c r="AB388" s="221"/>
      <c r="AC388" s="221"/>
      <c r="AD388" s="221"/>
      <c r="AE388" s="221"/>
      <c r="AF388" s="221"/>
      <c r="AG388" s="221"/>
      <c r="AH388" s="221"/>
      <c r="AI388" s="221"/>
      <c r="AJ388" s="221"/>
      <c r="AK388" s="221"/>
      <c r="AL388" s="221"/>
      <c r="AM388" s="221"/>
      <c r="AN388" s="221"/>
      <c r="AO388" s="221"/>
      <c r="AP388" s="221"/>
      <c r="AQ388" s="221"/>
      <c r="AR388" s="221"/>
    </row>
    <row r="389" spans="1:44" s="384" customFormat="1" ht="12" customHeight="1">
      <c r="A389" s="221"/>
      <c r="B389" s="968"/>
      <c r="C389" s="968"/>
      <c r="D389" s="968"/>
      <c r="E389" s="968"/>
      <c r="F389" s="968"/>
      <c r="G389" s="968"/>
      <c r="H389" s="968"/>
      <c r="I389" s="968"/>
      <c r="J389" s="968"/>
      <c r="K389" s="968"/>
      <c r="L389" s="968"/>
      <c r="M389" s="968"/>
      <c r="N389" s="968"/>
      <c r="O389" s="968"/>
      <c r="P389" s="3095"/>
      <c r="Q389" s="968"/>
      <c r="R389" s="968"/>
      <c r="X389" s="221"/>
      <c r="Y389" s="221"/>
      <c r="Z389" s="221"/>
      <c r="AA389" s="221"/>
      <c r="AB389" s="221"/>
      <c r="AC389" s="221"/>
      <c r="AD389" s="221"/>
      <c r="AE389" s="221"/>
      <c r="AF389" s="221"/>
      <c r="AG389" s="221"/>
      <c r="AH389" s="221"/>
      <c r="AI389" s="221"/>
      <c r="AJ389" s="221"/>
      <c r="AK389" s="221"/>
      <c r="AL389" s="221"/>
      <c r="AM389" s="221"/>
      <c r="AN389" s="221"/>
      <c r="AO389" s="221"/>
      <c r="AP389" s="221"/>
      <c r="AQ389" s="221"/>
      <c r="AR389" s="221"/>
    </row>
    <row r="390" spans="1:44" s="384" customFormat="1" ht="12" customHeight="1">
      <c r="A390" s="221"/>
      <c r="B390" s="968"/>
      <c r="C390" s="968"/>
      <c r="D390" s="968"/>
      <c r="E390" s="968"/>
      <c r="F390" s="968"/>
      <c r="G390" s="968"/>
      <c r="H390" s="968"/>
      <c r="I390" s="968"/>
      <c r="J390" s="968"/>
      <c r="K390" s="968"/>
      <c r="L390" s="968"/>
      <c r="M390" s="968"/>
      <c r="N390" s="968"/>
      <c r="O390" s="968"/>
      <c r="P390" s="3095"/>
      <c r="Q390" s="968"/>
      <c r="R390" s="968"/>
      <c r="X390" s="221"/>
      <c r="Y390" s="221"/>
      <c r="Z390" s="221"/>
      <c r="AA390" s="221"/>
      <c r="AB390" s="221"/>
      <c r="AC390" s="221"/>
      <c r="AD390" s="221"/>
      <c r="AE390" s="221"/>
      <c r="AF390" s="221"/>
      <c r="AG390" s="221"/>
      <c r="AH390" s="221"/>
      <c r="AI390" s="221"/>
      <c r="AJ390" s="221"/>
      <c r="AK390" s="221"/>
      <c r="AL390" s="221"/>
      <c r="AM390" s="221"/>
      <c r="AN390" s="221"/>
      <c r="AO390" s="221"/>
      <c r="AP390" s="221"/>
      <c r="AQ390" s="221"/>
      <c r="AR390" s="221"/>
    </row>
    <row r="391" spans="1:44" s="384" customFormat="1" ht="12" customHeight="1">
      <c r="A391" s="221"/>
      <c r="B391" s="968"/>
      <c r="C391" s="968"/>
      <c r="D391" s="968"/>
      <c r="E391" s="968"/>
      <c r="F391" s="968"/>
      <c r="G391" s="968"/>
      <c r="H391" s="968"/>
      <c r="I391" s="968"/>
      <c r="J391" s="968"/>
      <c r="K391" s="968"/>
      <c r="L391" s="968"/>
      <c r="M391" s="968"/>
      <c r="N391" s="968"/>
      <c r="O391" s="968"/>
      <c r="P391" s="969"/>
      <c r="Q391" s="968"/>
      <c r="R391" s="968"/>
      <c r="X391" s="221"/>
      <c r="Y391" s="221"/>
      <c r="Z391" s="221"/>
      <c r="AA391" s="221"/>
      <c r="AB391" s="221"/>
      <c r="AC391" s="221"/>
      <c r="AD391" s="221"/>
      <c r="AE391" s="221"/>
      <c r="AF391" s="221"/>
      <c r="AG391" s="221"/>
      <c r="AH391" s="221"/>
      <c r="AI391" s="221"/>
      <c r="AJ391" s="221"/>
      <c r="AK391" s="221"/>
      <c r="AL391" s="221"/>
      <c r="AM391" s="221"/>
      <c r="AN391" s="221"/>
      <c r="AO391" s="221"/>
      <c r="AP391" s="221"/>
      <c r="AQ391" s="221"/>
      <c r="AR391" s="221"/>
    </row>
    <row r="392" spans="1:44" s="384" customFormat="1" ht="12" customHeight="1">
      <c r="A392" s="221"/>
      <c r="B392" s="968"/>
      <c r="C392" s="968"/>
      <c r="D392" s="968"/>
      <c r="E392" s="968"/>
      <c r="F392" s="968"/>
      <c r="G392" s="968"/>
      <c r="H392" s="968"/>
      <c r="I392" s="968"/>
      <c r="J392" s="968"/>
      <c r="K392" s="968"/>
      <c r="L392" s="968"/>
      <c r="M392" s="968"/>
      <c r="N392" s="968"/>
      <c r="O392" s="968"/>
      <c r="P392" s="969"/>
      <c r="Q392" s="968"/>
      <c r="R392" s="968"/>
      <c r="X392" s="221"/>
      <c r="Y392" s="221"/>
      <c r="Z392" s="221"/>
      <c r="AA392" s="221"/>
      <c r="AB392" s="221"/>
      <c r="AC392" s="221"/>
      <c r="AD392" s="221"/>
      <c r="AE392" s="221"/>
      <c r="AF392" s="221"/>
      <c r="AG392" s="221"/>
      <c r="AH392" s="221"/>
      <c r="AI392" s="221"/>
      <c r="AJ392" s="221"/>
      <c r="AK392" s="221"/>
      <c r="AL392" s="221"/>
      <c r="AM392" s="221"/>
      <c r="AN392" s="221"/>
      <c r="AO392" s="221"/>
      <c r="AP392" s="221"/>
      <c r="AQ392" s="221"/>
      <c r="AR392" s="221"/>
    </row>
    <row r="393" spans="1:44" s="384" customFormat="1" ht="12" customHeight="1">
      <c r="A393" s="221"/>
      <c r="B393" s="968"/>
      <c r="C393" s="968"/>
      <c r="D393" s="968"/>
      <c r="E393" s="968"/>
      <c r="F393" s="968"/>
      <c r="G393" s="968"/>
      <c r="H393" s="968"/>
      <c r="I393" s="968"/>
      <c r="J393" s="968"/>
      <c r="K393" s="968"/>
      <c r="L393" s="968"/>
      <c r="M393" s="968"/>
      <c r="N393" s="968"/>
      <c r="O393" s="968"/>
      <c r="P393" s="3095"/>
      <c r="Q393" s="968"/>
      <c r="R393" s="968"/>
      <c r="X393" s="221"/>
      <c r="Y393" s="221"/>
      <c r="Z393" s="221"/>
      <c r="AA393" s="221"/>
      <c r="AB393" s="221"/>
      <c r="AC393" s="221"/>
      <c r="AD393" s="221"/>
      <c r="AE393" s="221"/>
      <c r="AF393" s="221"/>
      <c r="AG393" s="221"/>
      <c r="AH393" s="221"/>
      <c r="AI393" s="221"/>
      <c r="AJ393" s="221"/>
      <c r="AK393" s="221"/>
      <c r="AL393" s="221"/>
      <c r="AM393" s="221"/>
      <c r="AN393" s="221"/>
      <c r="AO393" s="221"/>
      <c r="AP393" s="221"/>
      <c r="AQ393" s="221"/>
      <c r="AR393" s="221"/>
    </row>
    <row r="394" spans="1:44" s="384" customFormat="1" ht="12" customHeight="1">
      <c r="A394" s="221"/>
      <c r="B394" s="968"/>
      <c r="C394" s="968"/>
      <c r="D394" s="968"/>
      <c r="E394" s="968"/>
      <c r="F394" s="968"/>
      <c r="G394" s="968"/>
      <c r="H394" s="968"/>
      <c r="I394" s="968"/>
      <c r="J394" s="968"/>
      <c r="K394" s="968"/>
      <c r="L394" s="968"/>
      <c r="M394" s="968"/>
      <c r="N394" s="968"/>
      <c r="O394" s="968"/>
      <c r="P394" s="969"/>
      <c r="Q394" s="968"/>
      <c r="R394" s="968"/>
      <c r="X394" s="221"/>
      <c r="Y394" s="221"/>
      <c r="Z394" s="221"/>
      <c r="AA394" s="221"/>
      <c r="AB394" s="221"/>
      <c r="AC394" s="221"/>
      <c r="AD394" s="221"/>
      <c r="AE394" s="221"/>
      <c r="AF394" s="221"/>
      <c r="AG394" s="221"/>
      <c r="AH394" s="221"/>
      <c r="AI394" s="221"/>
      <c r="AJ394" s="221"/>
      <c r="AK394" s="221"/>
      <c r="AL394" s="221"/>
      <c r="AM394" s="221"/>
      <c r="AN394" s="221"/>
      <c r="AO394" s="221"/>
      <c r="AP394" s="221"/>
      <c r="AQ394" s="221"/>
      <c r="AR394" s="221"/>
    </row>
    <row r="395" spans="1:44" s="384" customFormat="1" ht="12" customHeight="1">
      <c r="A395" s="221"/>
      <c r="B395" s="968"/>
      <c r="C395" s="968"/>
      <c r="D395" s="968"/>
      <c r="E395" s="968"/>
      <c r="F395" s="968"/>
      <c r="G395" s="968"/>
      <c r="H395" s="968"/>
      <c r="I395" s="968"/>
      <c r="J395" s="968"/>
      <c r="K395" s="968"/>
      <c r="L395" s="968"/>
      <c r="M395" s="968"/>
      <c r="N395" s="968"/>
      <c r="O395" s="968"/>
      <c r="P395" s="969"/>
      <c r="Q395" s="968"/>
      <c r="R395" s="968"/>
      <c r="X395" s="221"/>
      <c r="Y395" s="221"/>
      <c r="Z395" s="221"/>
      <c r="AA395" s="221"/>
      <c r="AB395" s="221"/>
      <c r="AC395" s="221"/>
      <c r="AD395" s="221"/>
      <c r="AE395" s="221"/>
      <c r="AF395" s="221"/>
      <c r="AG395" s="221"/>
      <c r="AH395" s="221"/>
      <c r="AI395" s="221"/>
      <c r="AJ395" s="221"/>
      <c r="AK395" s="221"/>
      <c r="AL395" s="221"/>
      <c r="AM395" s="221"/>
      <c r="AN395" s="221"/>
      <c r="AO395" s="221"/>
      <c r="AP395" s="221"/>
      <c r="AQ395" s="221"/>
      <c r="AR395" s="221"/>
    </row>
    <row r="396" spans="1:44" s="384" customFormat="1" ht="12" customHeight="1">
      <c r="A396" s="221"/>
      <c r="B396" s="968"/>
      <c r="C396" s="968"/>
      <c r="D396" s="968"/>
      <c r="E396" s="968"/>
      <c r="F396" s="968"/>
      <c r="G396" s="968"/>
      <c r="H396" s="968"/>
      <c r="I396" s="968"/>
      <c r="J396" s="968"/>
      <c r="K396" s="968"/>
      <c r="L396" s="968"/>
      <c r="M396" s="968"/>
      <c r="N396" s="968"/>
      <c r="O396" s="968"/>
      <c r="P396" s="969"/>
      <c r="Q396" s="968"/>
      <c r="R396" s="968"/>
      <c r="X396" s="221"/>
      <c r="Y396" s="221"/>
      <c r="Z396" s="221"/>
      <c r="AA396" s="221"/>
      <c r="AB396" s="221"/>
      <c r="AC396" s="221"/>
      <c r="AD396" s="221"/>
      <c r="AE396" s="221"/>
      <c r="AF396" s="221"/>
      <c r="AG396" s="221"/>
      <c r="AH396" s="221"/>
      <c r="AI396" s="221"/>
      <c r="AJ396" s="221"/>
      <c r="AK396" s="221"/>
      <c r="AL396" s="221"/>
      <c r="AM396" s="221"/>
      <c r="AN396" s="221"/>
      <c r="AO396" s="221"/>
      <c r="AP396" s="221"/>
      <c r="AQ396" s="221"/>
      <c r="AR396" s="221"/>
    </row>
    <row r="397" spans="1:44" s="384" customFormat="1" ht="12" customHeight="1">
      <c r="A397" s="221"/>
      <c r="B397" s="968"/>
      <c r="C397" s="968"/>
      <c r="D397" s="968"/>
      <c r="E397" s="968"/>
      <c r="F397" s="968"/>
      <c r="G397" s="968"/>
      <c r="H397" s="968"/>
      <c r="I397" s="968"/>
      <c r="J397" s="968"/>
      <c r="K397" s="968"/>
      <c r="L397" s="968"/>
      <c r="M397" s="968"/>
      <c r="N397" s="968"/>
      <c r="O397" s="968"/>
      <c r="P397" s="969"/>
      <c r="Q397" s="968"/>
      <c r="R397" s="968"/>
      <c r="X397" s="221"/>
      <c r="Y397" s="221"/>
      <c r="Z397" s="221"/>
      <c r="AA397" s="221"/>
      <c r="AB397" s="221"/>
      <c r="AC397" s="221"/>
      <c r="AD397" s="221"/>
      <c r="AE397" s="221"/>
      <c r="AF397" s="221"/>
      <c r="AG397" s="221"/>
      <c r="AH397" s="221"/>
      <c r="AI397" s="221"/>
      <c r="AJ397" s="221"/>
      <c r="AK397" s="221"/>
      <c r="AL397" s="221"/>
      <c r="AM397" s="221"/>
      <c r="AN397" s="221"/>
      <c r="AO397" s="221"/>
      <c r="AP397" s="221"/>
      <c r="AQ397" s="221"/>
      <c r="AR397" s="221"/>
    </row>
    <row r="398" spans="1:44" s="384" customFormat="1" ht="12" customHeight="1">
      <c r="A398" s="221"/>
      <c r="B398" s="968"/>
      <c r="C398" s="968"/>
      <c r="D398" s="968"/>
      <c r="E398" s="968"/>
      <c r="F398" s="968"/>
      <c r="G398" s="968"/>
      <c r="H398" s="968"/>
      <c r="I398" s="968"/>
      <c r="J398" s="968"/>
      <c r="K398" s="968"/>
      <c r="L398" s="968"/>
      <c r="M398" s="968"/>
      <c r="N398" s="968"/>
      <c r="O398" s="968"/>
      <c r="P398" s="969"/>
      <c r="Q398" s="968"/>
      <c r="R398" s="968"/>
      <c r="X398" s="221"/>
      <c r="Y398" s="221"/>
      <c r="Z398" s="221"/>
      <c r="AA398" s="221"/>
      <c r="AB398" s="221"/>
      <c r="AC398" s="221"/>
      <c r="AD398" s="221"/>
      <c r="AE398" s="221"/>
      <c r="AF398" s="221"/>
      <c r="AG398" s="221"/>
      <c r="AH398" s="221"/>
      <c r="AI398" s="221"/>
      <c r="AJ398" s="221"/>
      <c r="AK398" s="221"/>
      <c r="AL398" s="221"/>
      <c r="AM398" s="221"/>
      <c r="AN398" s="221"/>
      <c r="AO398" s="221"/>
      <c r="AP398" s="221"/>
      <c r="AQ398" s="221"/>
      <c r="AR398" s="221"/>
    </row>
    <row r="399" spans="1:44" s="384" customFormat="1" ht="12" customHeight="1">
      <c r="A399" s="221"/>
      <c r="B399" s="968"/>
      <c r="C399" s="968"/>
      <c r="D399" s="968"/>
      <c r="E399" s="968"/>
      <c r="F399" s="968"/>
      <c r="G399" s="968"/>
      <c r="H399" s="968"/>
      <c r="I399" s="968"/>
      <c r="J399" s="968"/>
      <c r="K399" s="968"/>
      <c r="L399" s="968"/>
      <c r="M399" s="968"/>
      <c r="N399" s="968"/>
      <c r="O399" s="968"/>
      <c r="P399" s="969"/>
      <c r="Q399" s="968"/>
      <c r="R399" s="968"/>
      <c r="X399" s="221"/>
      <c r="Y399" s="221"/>
      <c r="Z399" s="221"/>
      <c r="AA399" s="221"/>
      <c r="AB399" s="221"/>
      <c r="AC399" s="221"/>
      <c r="AD399" s="221"/>
      <c r="AE399" s="221"/>
      <c r="AF399" s="221"/>
      <c r="AG399" s="221"/>
      <c r="AH399" s="221"/>
      <c r="AI399" s="221"/>
      <c r="AJ399" s="221"/>
      <c r="AK399" s="221"/>
      <c r="AL399" s="221"/>
      <c r="AM399" s="221"/>
      <c r="AN399" s="221"/>
      <c r="AO399" s="221"/>
      <c r="AP399" s="221"/>
      <c r="AQ399" s="221"/>
      <c r="AR399" s="221"/>
    </row>
    <row r="400" spans="1:44" s="384" customFormat="1" ht="12" customHeight="1">
      <c r="A400" s="221"/>
      <c r="B400" s="968"/>
      <c r="C400" s="968"/>
      <c r="D400" s="968"/>
      <c r="E400" s="968"/>
      <c r="F400" s="968"/>
      <c r="G400" s="968"/>
      <c r="H400" s="968"/>
      <c r="I400" s="968"/>
      <c r="J400" s="968"/>
      <c r="K400" s="968"/>
      <c r="L400" s="968"/>
      <c r="M400" s="968"/>
      <c r="N400" s="968"/>
      <c r="O400" s="968"/>
      <c r="P400" s="969"/>
      <c r="Q400" s="968"/>
      <c r="R400" s="968"/>
      <c r="X400" s="221"/>
      <c r="Y400" s="221"/>
      <c r="Z400" s="221"/>
      <c r="AA400" s="221"/>
      <c r="AB400" s="221"/>
      <c r="AC400" s="221"/>
      <c r="AD400" s="221"/>
      <c r="AE400" s="221"/>
      <c r="AF400" s="221"/>
      <c r="AG400" s="221"/>
      <c r="AH400" s="221"/>
      <c r="AI400" s="221"/>
      <c r="AJ400" s="221"/>
      <c r="AK400" s="221"/>
      <c r="AL400" s="221"/>
      <c r="AM400" s="221"/>
      <c r="AN400" s="221"/>
      <c r="AO400" s="221"/>
      <c r="AP400" s="221"/>
      <c r="AQ400" s="221"/>
      <c r="AR400" s="221"/>
    </row>
    <row r="401" spans="1:44" s="384" customFormat="1" ht="12" customHeight="1">
      <c r="A401" s="221"/>
      <c r="B401" s="968"/>
      <c r="C401" s="968"/>
      <c r="D401" s="968"/>
      <c r="E401" s="968"/>
      <c r="F401" s="968"/>
      <c r="G401" s="968"/>
      <c r="H401" s="968"/>
      <c r="I401" s="968"/>
      <c r="J401" s="968"/>
      <c r="K401" s="968"/>
      <c r="L401" s="968"/>
      <c r="M401" s="968"/>
      <c r="N401" s="968"/>
      <c r="O401" s="968"/>
      <c r="P401" s="969"/>
      <c r="Q401" s="968"/>
      <c r="R401" s="968"/>
      <c r="X401" s="221"/>
      <c r="Y401" s="221"/>
      <c r="Z401" s="221"/>
      <c r="AA401" s="221"/>
      <c r="AB401" s="221"/>
      <c r="AC401" s="221"/>
      <c r="AD401" s="221"/>
      <c r="AE401" s="221"/>
      <c r="AF401" s="221"/>
      <c r="AG401" s="221"/>
      <c r="AH401" s="221"/>
      <c r="AI401" s="221"/>
      <c r="AJ401" s="221"/>
      <c r="AK401" s="221"/>
      <c r="AL401" s="221"/>
      <c r="AM401" s="221"/>
      <c r="AN401" s="221"/>
      <c r="AO401" s="221"/>
      <c r="AP401" s="221"/>
      <c r="AQ401" s="221"/>
      <c r="AR401" s="221"/>
    </row>
    <row r="402" spans="1:44" s="384" customFormat="1" ht="12" customHeight="1">
      <c r="A402" s="221"/>
      <c r="B402" s="968"/>
      <c r="C402" s="968"/>
      <c r="D402" s="968"/>
      <c r="E402" s="968"/>
      <c r="F402" s="968"/>
      <c r="G402" s="968"/>
      <c r="H402" s="968"/>
      <c r="I402" s="968"/>
      <c r="J402" s="968"/>
      <c r="K402" s="968"/>
      <c r="L402" s="968"/>
      <c r="M402" s="968"/>
      <c r="N402" s="968"/>
      <c r="O402" s="968"/>
      <c r="P402" s="969"/>
      <c r="Q402" s="968"/>
      <c r="R402" s="968"/>
      <c r="X402" s="221"/>
      <c r="Y402" s="221"/>
      <c r="Z402" s="221"/>
      <c r="AA402" s="221"/>
      <c r="AB402" s="221"/>
      <c r="AC402" s="221"/>
      <c r="AD402" s="221"/>
      <c r="AE402" s="221"/>
      <c r="AF402" s="221"/>
      <c r="AG402" s="221"/>
      <c r="AH402" s="221"/>
      <c r="AI402" s="221"/>
      <c r="AJ402" s="221"/>
      <c r="AK402" s="221"/>
      <c r="AL402" s="221"/>
      <c r="AM402" s="221"/>
      <c r="AN402" s="221"/>
      <c r="AO402" s="221"/>
      <c r="AP402" s="221"/>
      <c r="AQ402" s="221"/>
      <c r="AR402" s="221"/>
    </row>
    <row r="403" spans="1:44" s="384" customFormat="1" ht="12" customHeight="1">
      <c r="A403" s="221"/>
      <c r="B403" s="968"/>
      <c r="C403" s="968"/>
      <c r="D403" s="968"/>
      <c r="E403" s="968"/>
      <c r="F403" s="968"/>
      <c r="G403" s="968"/>
      <c r="H403" s="968"/>
      <c r="I403" s="968"/>
      <c r="J403" s="968"/>
      <c r="K403" s="968"/>
      <c r="L403" s="968"/>
      <c r="M403" s="968"/>
      <c r="N403" s="968"/>
      <c r="O403" s="968"/>
      <c r="P403" s="969"/>
      <c r="Q403" s="968"/>
      <c r="R403" s="968"/>
      <c r="X403" s="221"/>
      <c r="Y403" s="221"/>
      <c r="Z403" s="221"/>
      <c r="AA403" s="221"/>
      <c r="AB403" s="221"/>
      <c r="AC403" s="221"/>
      <c r="AD403" s="221"/>
      <c r="AE403" s="221"/>
      <c r="AF403" s="221"/>
      <c r="AG403" s="221"/>
      <c r="AH403" s="221"/>
      <c r="AI403" s="221"/>
      <c r="AJ403" s="221"/>
      <c r="AK403" s="221"/>
      <c r="AL403" s="221"/>
      <c r="AM403" s="221"/>
      <c r="AN403" s="221"/>
      <c r="AO403" s="221"/>
      <c r="AP403" s="221"/>
      <c r="AQ403" s="221"/>
      <c r="AR403" s="221"/>
    </row>
    <row r="404" spans="1:44" s="384" customFormat="1" ht="12" customHeight="1">
      <c r="A404" s="221"/>
      <c r="B404" s="968"/>
      <c r="C404" s="968"/>
      <c r="D404" s="968"/>
      <c r="E404" s="968"/>
      <c r="F404" s="968"/>
      <c r="G404" s="968"/>
      <c r="H404" s="968"/>
      <c r="I404" s="968"/>
      <c r="J404" s="968"/>
      <c r="K404" s="968"/>
      <c r="L404" s="968"/>
      <c r="M404" s="968"/>
      <c r="N404" s="968"/>
      <c r="O404" s="968"/>
      <c r="P404" s="969"/>
      <c r="Q404" s="968"/>
      <c r="R404" s="968"/>
      <c r="X404" s="221"/>
      <c r="Y404" s="221"/>
      <c r="Z404" s="221"/>
      <c r="AA404" s="221"/>
      <c r="AB404" s="221"/>
      <c r="AC404" s="221"/>
      <c r="AD404" s="221"/>
      <c r="AE404" s="221"/>
      <c r="AF404" s="221"/>
      <c r="AG404" s="221"/>
      <c r="AH404" s="221"/>
      <c r="AI404" s="221"/>
      <c r="AJ404" s="221"/>
      <c r="AK404" s="221"/>
      <c r="AL404" s="221"/>
      <c r="AM404" s="221"/>
      <c r="AN404" s="221"/>
      <c r="AO404" s="221"/>
      <c r="AP404" s="221"/>
      <c r="AQ404" s="221"/>
      <c r="AR404" s="221"/>
    </row>
    <row r="405" spans="1:44" s="384" customFormat="1" ht="12" customHeight="1">
      <c r="A405" s="221"/>
      <c r="B405" s="968"/>
      <c r="C405" s="968"/>
      <c r="D405" s="968"/>
      <c r="E405" s="968"/>
      <c r="F405" s="968"/>
      <c r="G405" s="968"/>
      <c r="H405" s="968"/>
      <c r="I405" s="968"/>
      <c r="J405" s="968"/>
      <c r="K405" s="968"/>
      <c r="L405" s="968"/>
      <c r="M405" s="968"/>
      <c r="N405" s="968"/>
      <c r="O405" s="968"/>
      <c r="P405" s="3095"/>
      <c r="Q405" s="968"/>
      <c r="R405" s="968"/>
      <c r="X405" s="221"/>
      <c r="Y405" s="221"/>
      <c r="Z405" s="221"/>
      <c r="AA405" s="221"/>
      <c r="AB405" s="221"/>
      <c r="AC405" s="221"/>
      <c r="AD405" s="221"/>
      <c r="AE405" s="221"/>
      <c r="AF405" s="221"/>
      <c r="AG405" s="221"/>
      <c r="AH405" s="221"/>
      <c r="AI405" s="221"/>
      <c r="AJ405" s="221"/>
      <c r="AK405" s="221"/>
      <c r="AL405" s="221"/>
      <c r="AM405" s="221"/>
      <c r="AN405" s="221"/>
      <c r="AO405" s="221"/>
      <c r="AP405" s="221"/>
      <c r="AQ405" s="221"/>
      <c r="AR405" s="221"/>
    </row>
    <row r="406" spans="1:44" s="384" customFormat="1" ht="12" customHeight="1">
      <c r="A406" s="221"/>
      <c r="B406" s="968"/>
      <c r="C406" s="968"/>
      <c r="D406" s="968"/>
      <c r="E406" s="968"/>
      <c r="F406" s="968"/>
      <c r="G406" s="968"/>
      <c r="H406" s="968"/>
      <c r="I406" s="968"/>
      <c r="J406" s="968"/>
      <c r="K406" s="968"/>
      <c r="L406" s="968"/>
      <c r="M406" s="968"/>
      <c r="N406" s="968"/>
      <c r="O406" s="968"/>
      <c r="P406" s="969"/>
      <c r="Q406" s="968"/>
      <c r="R406" s="968"/>
      <c r="X406" s="221"/>
      <c r="Y406" s="221"/>
      <c r="Z406" s="221"/>
      <c r="AA406" s="221"/>
      <c r="AB406" s="221"/>
      <c r="AC406" s="221"/>
      <c r="AD406" s="221"/>
      <c r="AE406" s="221"/>
      <c r="AF406" s="221"/>
      <c r="AG406" s="221"/>
      <c r="AH406" s="221"/>
      <c r="AI406" s="221"/>
      <c r="AJ406" s="221"/>
      <c r="AK406" s="221"/>
      <c r="AL406" s="221"/>
      <c r="AM406" s="221"/>
      <c r="AN406" s="221"/>
      <c r="AO406" s="221"/>
      <c r="AP406" s="221"/>
      <c r="AQ406" s="221"/>
      <c r="AR406" s="221"/>
    </row>
    <row r="407" spans="1:44" s="384" customFormat="1" ht="12" customHeight="1">
      <c r="A407" s="221"/>
      <c r="B407" s="968"/>
      <c r="C407" s="968"/>
      <c r="D407" s="968"/>
      <c r="E407" s="968"/>
      <c r="F407" s="968"/>
      <c r="G407" s="968"/>
      <c r="H407" s="968"/>
      <c r="I407" s="968"/>
      <c r="J407" s="968"/>
      <c r="K407" s="968"/>
      <c r="L407" s="968"/>
      <c r="M407" s="968"/>
      <c r="N407" s="968"/>
      <c r="O407" s="968"/>
      <c r="P407" s="969"/>
      <c r="Q407" s="968"/>
      <c r="R407" s="968"/>
      <c r="X407" s="221"/>
      <c r="Y407" s="221"/>
      <c r="Z407" s="221"/>
      <c r="AA407" s="221"/>
      <c r="AB407" s="221"/>
      <c r="AC407" s="221"/>
      <c r="AD407" s="221"/>
      <c r="AE407" s="221"/>
      <c r="AF407" s="221"/>
      <c r="AG407" s="221"/>
      <c r="AH407" s="221"/>
      <c r="AI407" s="221"/>
      <c r="AJ407" s="221"/>
      <c r="AK407" s="221"/>
      <c r="AL407" s="221"/>
      <c r="AM407" s="221"/>
      <c r="AN407" s="221"/>
      <c r="AO407" s="221"/>
      <c r="AP407" s="221"/>
      <c r="AQ407" s="221"/>
      <c r="AR407" s="221"/>
    </row>
    <row r="408" spans="1:44" s="384" customFormat="1" ht="12" customHeight="1">
      <c r="A408" s="221"/>
      <c r="B408" s="968"/>
      <c r="C408" s="968"/>
      <c r="D408" s="968"/>
      <c r="E408" s="968"/>
      <c r="F408" s="968"/>
      <c r="G408" s="968"/>
      <c r="H408" s="968"/>
      <c r="I408" s="968"/>
      <c r="J408" s="968"/>
      <c r="K408" s="968"/>
      <c r="L408" s="968"/>
      <c r="M408" s="968"/>
      <c r="N408" s="968"/>
      <c r="O408" s="968"/>
      <c r="P408" s="969"/>
      <c r="Q408" s="968"/>
      <c r="R408" s="968"/>
      <c r="X408" s="221"/>
      <c r="Y408" s="221"/>
      <c r="Z408" s="221"/>
      <c r="AA408" s="221"/>
      <c r="AB408" s="221"/>
      <c r="AC408" s="221"/>
      <c r="AD408" s="221"/>
      <c r="AE408" s="221"/>
      <c r="AF408" s="221"/>
      <c r="AG408" s="221"/>
      <c r="AH408" s="221"/>
      <c r="AI408" s="221"/>
      <c r="AJ408" s="221"/>
      <c r="AK408" s="221"/>
      <c r="AL408" s="221"/>
      <c r="AM408" s="221"/>
      <c r="AN408" s="221"/>
      <c r="AO408" s="221"/>
      <c r="AP408" s="221"/>
      <c r="AQ408" s="221"/>
      <c r="AR408" s="221"/>
    </row>
    <row r="409" spans="1:44" s="384" customFormat="1" ht="12" customHeight="1">
      <c r="A409" s="221"/>
      <c r="B409" s="968"/>
      <c r="C409" s="968"/>
      <c r="D409" s="968"/>
      <c r="E409" s="968"/>
      <c r="F409" s="968"/>
      <c r="G409" s="968"/>
      <c r="H409" s="968"/>
      <c r="I409" s="968"/>
      <c r="J409" s="968"/>
      <c r="K409" s="968"/>
      <c r="L409" s="968"/>
      <c r="M409" s="968"/>
      <c r="N409" s="968"/>
      <c r="O409" s="968"/>
      <c r="P409" s="969"/>
      <c r="Q409" s="968"/>
      <c r="R409" s="968"/>
      <c r="X409" s="221"/>
      <c r="Y409" s="221"/>
      <c r="Z409" s="221"/>
      <c r="AA409" s="221"/>
      <c r="AB409" s="221"/>
      <c r="AC409" s="221"/>
      <c r="AD409" s="221"/>
      <c r="AE409" s="221"/>
      <c r="AF409" s="221"/>
      <c r="AG409" s="221"/>
      <c r="AH409" s="221"/>
      <c r="AI409" s="221"/>
      <c r="AJ409" s="221"/>
      <c r="AK409" s="221"/>
      <c r="AL409" s="221"/>
      <c r="AM409" s="221"/>
      <c r="AN409" s="221"/>
      <c r="AO409" s="221"/>
      <c r="AP409" s="221"/>
      <c r="AQ409" s="221"/>
      <c r="AR409" s="221"/>
    </row>
    <row r="410" spans="1:44" s="384" customFormat="1" ht="12" customHeight="1">
      <c r="A410" s="221"/>
      <c r="B410" s="968"/>
      <c r="C410" s="968"/>
      <c r="D410" s="968"/>
      <c r="E410" s="968"/>
      <c r="F410" s="968"/>
      <c r="G410" s="968"/>
      <c r="H410" s="968"/>
      <c r="I410" s="968"/>
      <c r="J410" s="968"/>
      <c r="K410" s="968"/>
      <c r="L410" s="968"/>
      <c r="M410" s="968"/>
      <c r="N410" s="968"/>
      <c r="O410" s="968"/>
      <c r="P410" s="969"/>
      <c r="Q410" s="968"/>
      <c r="R410" s="968"/>
      <c r="X410" s="221"/>
      <c r="Y410" s="221"/>
      <c r="Z410" s="221"/>
      <c r="AA410" s="221"/>
      <c r="AB410" s="221"/>
      <c r="AC410" s="221"/>
      <c r="AD410" s="221"/>
      <c r="AE410" s="221"/>
      <c r="AF410" s="221"/>
      <c r="AG410" s="221"/>
      <c r="AH410" s="221"/>
      <c r="AI410" s="221"/>
      <c r="AJ410" s="221"/>
      <c r="AK410" s="221"/>
      <c r="AL410" s="221"/>
      <c r="AM410" s="221"/>
      <c r="AN410" s="221"/>
      <c r="AO410" s="221"/>
      <c r="AP410" s="221"/>
      <c r="AQ410" s="221"/>
      <c r="AR410" s="221"/>
    </row>
    <row r="411" spans="1:44" s="384" customFormat="1" ht="12" customHeight="1">
      <c r="A411" s="221"/>
      <c r="B411" s="968"/>
      <c r="C411" s="968"/>
      <c r="D411" s="968"/>
      <c r="E411" s="968"/>
      <c r="F411" s="968"/>
      <c r="G411" s="968"/>
      <c r="H411" s="968"/>
      <c r="I411" s="968"/>
      <c r="J411" s="968"/>
      <c r="K411" s="968"/>
      <c r="L411" s="968"/>
      <c r="M411" s="968"/>
      <c r="N411" s="968"/>
      <c r="O411" s="968"/>
      <c r="P411" s="969"/>
      <c r="Q411" s="968"/>
      <c r="R411" s="968"/>
      <c r="X411" s="221"/>
      <c r="Y411" s="221"/>
      <c r="Z411" s="221"/>
      <c r="AA411" s="221"/>
      <c r="AB411" s="221"/>
      <c r="AC411" s="221"/>
      <c r="AD411" s="221"/>
      <c r="AE411" s="221"/>
      <c r="AF411" s="221"/>
      <c r="AG411" s="221"/>
      <c r="AH411" s="221"/>
      <c r="AI411" s="221"/>
      <c r="AJ411" s="221"/>
      <c r="AK411" s="221"/>
      <c r="AL411" s="221"/>
      <c r="AM411" s="221"/>
      <c r="AN411" s="221"/>
      <c r="AO411" s="221"/>
      <c r="AP411" s="221"/>
      <c r="AQ411" s="221"/>
      <c r="AR411" s="221"/>
    </row>
    <row r="412" spans="1:44" s="384" customFormat="1" ht="12" customHeight="1">
      <c r="A412" s="221"/>
      <c r="P412" s="290"/>
      <c r="X412" s="221"/>
      <c r="Y412" s="221"/>
      <c r="Z412" s="221"/>
      <c r="AA412" s="221"/>
      <c r="AB412" s="221"/>
      <c r="AC412" s="221"/>
      <c r="AD412" s="221"/>
      <c r="AE412" s="221"/>
      <c r="AF412" s="221"/>
      <c r="AG412" s="221"/>
      <c r="AH412" s="221"/>
      <c r="AI412" s="221"/>
      <c r="AJ412" s="221"/>
      <c r="AK412" s="221"/>
      <c r="AL412" s="221"/>
      <c r="AM412" s="221"/>
      <c r="AN412" s="221"/>
      <c r="AO412" s="221"/>
      <c r="AP412" s="221"/>
      <c r="AQ412" s="221"/>
      <c r="AR412" s="221"/>
    </row>
    <row r="413" spans="1:44" s="384" customFormat="1" ht="12" customHeight="1">
      <c r="A413" s="221"/>
      <c r="P413" s="290"/>
      <c r="X413" s="221"/>
      <c r="Y413" s="221"/>
      <c r="Z413" s="221"/>
      <c r="AA413" s="221"/>
      <c r="AB413" s="221"/>
      <c r="AC413" s="221"/>
      <c r="AD413" s="221"/>
      <c r="AE413" s="221"/>
      <c r="AF413" s="221"/>
      <c r="AG413" s="221"/>
      <c r="AH413" s="221"/>
      <c r="AI413" s="221"/>
      <c r="AJ413" s="221"/>
      <c r="AK413" s="221"/>
      <c r="AL413" s="221"/>
      <c r="AM413" s="221"/>
      <c r="AN413" s="221"/>
      <c r="AO413" s="221"/>
      <c r="AP413" s="221"/>
      <c r="AQ413" s="221"/>
      <c r="AR413" s="221"/>
    </row>
    <row r="414" spans="1:44" s="384" customFormat="1" ht="12" customHeight="1">
      <c r="A414" s="221"/>
      <c r="P414" s="290"/>
      <c r="X414" s="221"/>
      <c r="Y414" s="221"/>
      <c r="Z414" s="221"/>
      <c r="AA414" s="221"/>
      <c r="AB414" s="221"/>
      <c r="AC414" s="221"/>
      <c r="AD414" s="221"/>
      <c r="AE414" s="221"/>
      <c r="AF414" s="221"/>
      <c r="AG414" s="221"/>
      <c r="AH414" s="221"/>
      <c r="AI414" s="221"/>
      <c r="AJ414" s="221"/>
      <c r="AK414" s="221"/>
      <c r="AL414" s="221"/>
      <c r="AM414" s="221"/>
      <c r="AN414" s="221"/>
      <c r="AO414" s="221"/>
      <c r="AP414" s="221"/>
      <c r="AQ414" s="221"/>
      <c r="AR414" s="221"/>
    </row>
    <row r="415" spans="1:44" s="384" customFormat="1" ht="12" customHeight="1">
      <c r="A415" s="221"/>
      <c r="P415" s="3097"/>
      <c r="X415" s="221"/>
      <c r="Y415" s="221"/>
      <c r="Z415" s="221"/>
      <c r="AA415" s="221"/>
      <c r="AB415" s="221"/>
      <c r="AC415" s="221"/>
      <c r="AD415" s="221"/>
      <c r="AE415" s="221"/>
      <c r="AF415" s="221"/>
      <c r="AG415" s="221"/>
      <c r="AH415" s="221"/>
      <c r="AI415" s="221"/>
      <c r="AJ415" s="221"/>
      <c r="AK415" s="221"/>
      <c r="AL415" s="221"/>
      <c r="AM415" s="221"/>
      <c r="AN415" s="221"/>
      <c r="AO415" s="221"/>
      <c r="AP415" s="221"/>
      <c r="AQ415" s="221"/>
      <c r="AR415" s="221"/>
    </row>
    <row r="416" spans="1:44" s="384" customFormat="1" ht="12" customHeight="1">
      <c r="A416" s="221"/>
      <c r="P416" s="290"/>
      <c r="X416" s="221"/>
      <c r="Y416" s="221"/>
      <c r="Z416" s="221"/>
      <c r="AA416" s="221"/>
      <c r="AB416" s="221"/>
      <c r="AC416" s="221"/>
      <c r="AD416" s="221"/>
      <c r="AE416" s="221"/>
      <c r="AF416" s="221"/>
      <c r="AG416" s="221"/>
      <c r="AH416" s="221"/>
      <c r="AI416" s="221"/>
      <c r="AJ416" s="221"/>
      <c r="AK416" s="221"/>
      <c r="AL416" s="221"/>
      <c r="AM416" s="221"/>
      <c r="AN416" s="221"/>
      <c r="AO416" s="221"/>
      <c r="AP416" s="221"/>
      <c r="AQ416" s="221"/>
      <c r="AR416" s="221"/>
    </row>
    <row r="417" spans="1:44" s="384" customFormat="1" ht="12" customHeight="1">
      <c r="A417" s="221"/>
      <c r="P417" s="290"/>
      <c r="X417" s="221"/>
      <c r="Y417" s="221"/>
      <c r="Z417" s="221"/>
      <c r="AA417" s="221"/>
      <c r="AB417" s="221"/>
      <c r="AC417" s="221"/>
      <c r="AD417" s="221"/>
      <c r="AE417" s="221"/>
      <c r="AF417" s="221"/>
      <c r="AG417" s="221"/>
      <c r="AH417" s="221"/>
      <c r="AI417" s="221"/>
      <c r="AJ417" s="221"/>
      <c r="AK417" s="221"/>
      <c r="AL417" s="221"/>
      <c r="AM417" s="221"/>
      <c r="AN417" s="221"/>
      <c r="AO417" s="221"/>
      <c r="AP417" s="221"/>
      <c r="AQ417" s="221"/>
      <c r="AR417" s="221"/>
    </row>
    <row r="418" spans="1:44" s="384" customFormat="1" ht="12" customHeight="1">
      <c r="A418" s="221"/>
      <c r="P418" s="290"/>
      <c r="X418" s="221"/>
      <c r="Y418" s="221"/>
      <c r="Z418" s="221"/>
      <c r="AA418" s="221"/>
      <c r="AB418" s="221"/>
      <c r="AC418" s="221"/>
      <c r="AD418" s="221"/>
      <c r="AE418" s="221"/>
      <c r="AF418" s="221"/>
      <c r="AG418" s="221"/>
      <c r="AH418" s="221"/>
      <c r="AI418" s="221"/>
      <c r="AJ418" s="221"/>
      <c r="AK418" s="221"/>
      <c r="AL418" s="221"/>
      <c r="AM418" s="221"/>
      <c r="AN418" s="221"/>
      <c r="AO418" s="221"/>
      <c r="AP418" s="221"/>
      <c r="AQ418" s="221"/>
      <c r="AR418" s="221"/>
    </row>
    <row r="419" spans="1:44" s="384" customFormat="1" ht="12" customHeight="1">
      <c r="A419" s="221"/>
      <c r="P419" s="290"/>
      <c r="X419" s="221"/>
      <c r="Y419" s="221"/>
      <c r="Z419" s="221"/>
      <c r="AA419" s="221"/>
      <c r="AB419" s="221"/>
      <c r="AC419" s="221"/>
      <c r="AD419" s="221"/>
      <c r="AE419" s="221"/>
      <c r="AF419" s="221"/>
      <c r="AG419" s="221"/>
      <c r="AH419" s="221"/>
      <c r="AI419" s="221"/>
      <c r="AJ419" s="221"/>
      <c r="AK419" s="221"/>
      <c r="AL419" s="221"/>
      <c r="AM419" s="221"/>
      <c r="AN419" s="221"/>
      <c r="AO419" s="221"/>
      <c r="AP419" s="221"/>
      <c r="AQ419" s="221"/>
      <c r="AR419" s="221"/>
    </row>
    <row r="420" spans="1:44" s="384" customFormat="1" ht="12" customHeight="1">
      <c r="A420" s="221"/>
      <c r="P420" s="290"/>
      <c r="X420" s="221"/>
      <c r="Y420" s="221"/>
      <c r="Z420" s="221"/>
      <c r="AA420" s="221"/>
      <c r="AB420" s="221"/>
      <c r="AC420" s="221"/>
      <c r="AD420" s="221"/>
      <c r="AE420" s="221"/>
      <c r="AF420" s="221"/>
      <c r="AG420" s="221"/>
      <c r="AH420" s="221"/>
      <c r="AI420" s="221"/>
      <c r="AJ420" s="221"/>
      <c r="AK420" s="221"/>
      <c r="AL420" s="221"/>
      <c r="AM420" s="221"/>
      <c r="AN420" s="221"/>
      <c r="AO420" s="221"/>
      <c r="AP420" s="221"/>
      <c r="AQ420" s="221"/>
      <c r="AR420" s="221"/>
    </row>
    <row r="421" spans="1:44" s="384" customFormat="1" ht="12" customHeight="1">
      <c r="A421" s="221"/>
      <c r="P421" s="290"/>
      <c r="X421" s="221"/>
      <c r="Y421" s="221"/>
      <c r="Z421" s="221"/>
      <c r="AA421" s="221"/>
      <c r="AB421" s="221"/>
      <c r="AC421" s="221"/>
      <c r="AD421" s="221"/>
      <c r="AE421" s="221"/>
      <c r="AF421" s="221"/>
      <c r="AG421" s="221"/>
      <c r="AH421" s="221"/>
      <c r="AI421" s="221"/>
      <c r="AJ421" s="221"/>
      <c r="AK421" s="221"/>
      <c r="AL421" s="221"/>
      <c r="AM421" s="221"/>
      <c r="AN421" s="221"/>
      <c r="AO421" s="221"/>
      <c r="AP421" s="221"/>
      <c r="AQ421" s="221"/>
      <c r="AR421" s="221"/>
    </row>
    <row r="422" spans="1:44" s="384" customFormat="1" ht="12" customHeight="1">
      <c r="A422" s="221"/>
      <c r="P422" s="290"/>
      <c r="X422" s="221"/>
      <c r="Y422" s="221"/>
      <c r="Z422" s="221"/>
      <c r="AA422" s="221"/>
      <c r="AB422" s="221"/>
      <c r="AC422" s="221"/>
      <c r="AD422" s="221"/>
      <c r="AE422" s="221"/>
      <c r="AF422" s="221"/>
      <c r="AG422" s="221"/>
      <c r="AH422" s="221"/>
      <c r="AI422" s="221"/>
      <c r="AJ422" s="221"/>
      <c r="AK422" s="221"/>
      <c r="AL422" s="221"/>
      <c r="AM422" s="221"/>
      <c r="AN422" s="221"/>
      <c r="AO422" s="221"/>
      <c r="AP422" s="221"/>
      <c r="AQ422" s="221"/>
      <c r="AR422" s="221"/>
    </row>
    <row r="423" spans="1:44" s="384" customFormat="1" ht="12" customHeight="1">
      <c r="A423" s="221"/>
      <c r="P423" s="290"/>
      <c r="X423" s="221"/>
      <c r="Y423" s="221"/>
      <c r="Z423" s="221"/>
      <c r="AA423" s="221"/>
      <c r="AB423" s="221"/>
      <c r="AC423" s="221"/>
      <c r="AD423" s="221"/>
      <c r="AE423" s="221"/>
      <c r="AF423" s="221"/>
      <c r="AG423" s="221"/>
      <c r="AH423" s="221"/>
      <c r="AI423" s="221"/>
      <c r="AJ423" s="221"/>
      <c r="AK423" s="221"/>
      <c r="AL423" s="221"/>
      <c r="AM423" s="221"/>
      <c r="AN423" s="221"/>
      <c r="AO423" s="221"/>
      <c r="AP423" s="221"/>
      <c r="AQ423" s="221"/>
      <c r="AR423" s="221"/>
    </row>
    <row r="424" spans="1:44" s="384" customFormat="1" ht="12" customHeight="1">
      <c r="A424" s="221"/>
      <c r="P424" s="290"/>
      <c r="X424" s="221"/>
      <c r="Y424" s="221"/>
      <c r="Z424" s="221"/>
      <c r="AA424" s="221"/>
      <c r="AB424" s="221"/>
      <c r="AC424" s="221"/>
      <c r="AD424" s="221"/>
      <c r="AE424" s="221"/>
      <c r="AF424" s="221"/>
      <c r="AG424" s="221"/>
      <c r="AH424" s="221"/>
      <c r="AI424" s="221"/>
      <c r="AJ424" s="221"/>
      <c r="AK424" s="221"/>
      <c r="AL424" s="221"/>
      <c r="AM424" s="221"/>
      <c r="AN424" s="221"/>
      <c r="AO424" s="221"/>
      <c r="AP424" s="221"/>
      <c r="AQ424" s="221"/>
      <c r="AR424" s="221"/>
    </row>
    <row r="425" spans="1:44" s="384" customFormat="1" ht="12" customHeight="1">
      <c r="A425" s="221"/>
      <c r="P425" s="290"/>
      <c r="X425" s="221"/>
      <c r="Y425" s="221"/>
      <c r="Z425" s="221"/>
      <c r="AA425" s="221"/>
      <c r="AB425" s="221"/>
      <c r="AC425" s="221"/>
      <c r="AD425" s="221"/>
      <c r="AE425" s="221"/>
      <c r="AF425" s="221"/>
      <c r="AG425" s="221"/>
      <c r="AH425" s="221"/>
      <c r="AI425" s="221"/>
      <c r="AJ425" s="221"/>
      <c r="AK425" s="221"/>
      <c r="AL425" s="221"/>
      <c r="AM425" s="221"/>
      <c r="AN425" s="221"/>
      <c r="AO425" s="221"/>
      <c r="AP425" s="221"/>
      <c r="AQ425" s="221"/>
      <c r="AR425" s="221"/>
    </row>
    <row r="426" spans="1:44" s="384" customFormat="1" ht="12" customHeight="1">
      <c r="A426" s="221"/>
      <c r="P426" s="290"/>
      <c r="X426" s="221"/>
      <c r="Y426" s="221"/>
      <c r="Z426" s="221"/>
      <c r="AA426" s="221"/>
      <c r="AB426" s="221"/>
      <c r="AC426" s="221"/>
      <c r="AD426" s="221"/>
      <c r="AE426" s="221"/>
      <c r="AF426" s="221"/>
      <c r="AG426" s="221"/>
      <c r="AH426" s="221"/>
      <c r="AI426" s="221"/>
      <c r="AJ426" s="221"/>
      <c r="AK426" s="221"/>
      <c r="AL426" s="221"/>
      <c r="AM426" s="221"/>
      <c r="AN426" s="221"/>
      <c r="AO426" s="221"/>
      <c r="AP426" s="221"/>
      <c r="AQ426" s="221"/>
      <c r="AR426" s="221"/>
    </row>
    <row r="427" spans="1:44" s="384" customFormat="1" ht="12" customHeight="1">
      <c r="A427" s="221"/>
      <c r="P427" s="290"/>
      <c r="X427" s="221"/>
      <c r="Y427" s="221"/>
      <c r="Z427" s="221"/>
      <c r="AA427" s="221"/>
      <c r="AB427" s="221"/>
      <c r="AC427" s="221"/>
      <c r="AD427" s="221"/>
      <c r="AE427" s="221"/>
      <c r="AF427" s="221"/>
      <c r="AG427" s="221"/>
      <c r="AH427" s="221"/>
      <c r="AI427" s="221"/>
      <c r="AJ427" s="221"/>
      <c r="AK427" s="221"/>
      <c r="AL427" s="221"/>
      <c r="AM427" s="221"/>
      <c r="AN427" s="221"/>
      <c r="AO427" s="221"/>
      <c r="AP427" s="221"/>
      <c r="AQ427" s="221"/>
      <c r="AR427" s="221"/>
    </row>
    <row r="428" spans="1:44" s="384" customFormat="1" ht="12" customHeight="1">
      <c r="A428" s="221"/>
      <c r="P428" s="290"/>
      <c r="X428" s="221"/>
      <c r="Y428" s="221"/>
      <c r="Z428" s="221"/>
      <c r="AA428" s="221"/>
      <c r="AB428" s="221"/>
      <c r="AC428" s="221"/>
      <c r="AD428" s="221"/>
      <c r="AE428" s="221"/>
      <c r="AF428" s="221"/>
      <c r="AG428" s="221"/>
      <c r="AH428" s="221"/>
      <c r="AI428" s="221"/>
      <c r="AJ428" s="221"/>
      <c r="AK428" s="221"/>
      <c r="AL428" s="221"/>
      <c r="AM428" s="221"/>
      <c r="AN428" s="221"/>
      <c r="AO428" s="221"/>
      <c r="AP428" s="221"/>
      <c r="AQ428" s="221"/>
      <c r="AR428" s="221"/>
    </row>
    <row r="429" spans="1:44" s="384" customFormat="1" ht="12" customHeight="1">
      <c r="A429" s="221"/>
      <c r="P429" s="3098"/>
      <c r="X429" s="221"/>
      <c r="Y429" s="221"/>
      <c r="Z429" s="221"/>
      <c r="AA429" s="221"/>
      <c r="AB429" s="221"/>
      <c r="AC429" s="221"/>
      <c r="AD429" s="221"/>
      <c r="AE429" s="221"/>
      <c r="AF429" s="221"/>
      <c r="AG429" s="221"/>
      <c r="AH429" s="221"/>
      <c r="AI429" s="221"/>
      <c r="AJ429" s="221"/>
      <c r="AK429" s="221"/>
      <c r="AL429" s="221"/>
      <c r="AM429" s="221"/>
      <c r="AN429" s="221"/>
      <c r="AO429" s="221"/>
      <c r="AP429" s="221"/>
      <c r="AQ429" s="221"/>
      <c r="AR429" s="221"/>
    </row>
    <row r="430" spans="1:44" s="384" customFormat="1" ht="12" customHeight="1">
      <c r="A430" s="221"/>
      <c r="P430" s="290"/>
      <c r="X430" s="221"/>
      <c r="Y430" s="221"/>
      <c r="Z430" s="221"/>
      <c r="AA430" s="221"/>
      <c r="AB430" s="221"/>
      <c r="AC430" s="221"/>
      <c r="AD430" s="221"/>
      <c r="AE430" s="221"/>
      <c r="AF430" s="221"/>
      <c r="AG430" s="221"/>
      <c r="AH430" s="221"/>
      <c r="AI430" s="221"/>
      <c r="AJ430" s="221"/>
      <c r="AK430" s="221"/>
      <c r="AL430" s="221"/>
      <c r="AM430" s="221"/>
      <c r="AN430" s="221"/>
      <c r="AO430" s="221"/>
      <c r="AP430" s="221"/>
      <c r="AQ430" s="221"/>
      <c r="AR430" s="221"/>
    </row>
    <row r="431" spans="1:44" s="384" customFormat="1" ht="12" customHeight="1">
      <c r="A431" s="221"/>
      <c r="P431" s="290"/>
      <c r="X431" s="221"/>
      <c r="Y431" s="221"/>
      <c r="Z431" s="221"/>
      <c r="AA431" s="221"/>
      <c r="AB431" s="221"/>
      <c r="AC431" s="221"/>
      <c r="AD431" s="221"/>
      <c r="AE431" s="221"/>
      <c r="AF431" s="221"/>
      <c r="AG431" s="221"/>
      <c r="AH431" s="221"/>
      <c r="AI431" s="221"/>
      <c r="AJ431" s="221"/>
      <c r="AK431" s="221"/>
      <c r="AL431" s="221"/>
      <c r="AM431" s="221"/>
      <c r="AN431" s="221"/>
      <c r="AO431" s="221"/>
      <c r="AP431" s="221"/>
      <c r="AQ431" s="221"/>
      <c r="AR431" s="221"/>
    </row>
    <row r="432" spans="1:44" s="384" customFormat="1" ht="12" customHeight="1">
      <c r="A432" s="221"/>
      <c r="P432" s="290"/>
      <c r="X432" s="221"/>
      <c r="Y432" s="221"/>
      <c r="Z432" s="221"/>
      <c r="AA432" s="221"/>
      <c r="AB432" s="221"/>
      <c r="AC432" s="221"/>
      <c r="AD432" s="221"/>
      <c r="AE432" s="221"/>
      <c r="AF432" s="221"/>
      <c r="AG432" s="221"/>
      <c r="AH432" s="221"/>
      <c r="AI432" s="221"/>
      <c r="AJ432" s="221"/>
      <c r="AK432" s="221"/>
      <c r="AL432" s="221"/>
      <c r="AM432" s="221"/>
      <c r="AN432" s="221"/>
      <c r="AO432" s="221"/>
      <c r="AP432" s="221"/>
      <c r="AQ432" s="221"/>
      <c r="AR432" s="221"/>
    </row>
    <row r="433" spans="1:44" s="384" customFormat="1" ht="12" customHeight="1">
      <c r="A433" s="221"/>
      <c r="P433" s="3098"/>
      <c r="X433" s="221"/>
      <c r="Y433" s="221"/>
      <c r="Z433" s="221"/>
      <c r="AA433" s="221"/>
      <c r="AB433" s="221"/>
      <c r="AC433" s="221"/>
      <c r="AD433" s="221"/>
      <c r="AE433" s="221"/>
      <c r="AF433" s="221"/>
      <c r="AG433" s="221"/>
      <c r="AH433" s="221"/>
      <c r="AI433" s="221"/>
      <c r="AJ433" s="221"/>
      <c r="AK433" s="221"/>
      <c r="AL433" s="221"/>
      <c r="AM433" s="221"/>
      <c r="AN433" s="221"/>
      <c r="AO433" s="221"/>
      <c r="AP433" s="221"/>
      <c r="AQ433" s="221"/>
      <c r="AR433" s="221"/>
    </row>
    <row r="434" spans="1:44" s="384" customFormat="1" ht="12" customHeight="1">
      <c r="A434" s="221"/>
      <c r="P434" s="290"/>
      <c r="X434" s="221"/>
      <c r="Y434" s="221"/>
      <c r="Z434" s="221"/>
      <c r="AA434" s="221"/>
      <c r="AB434" s="221"/>
      <c r="AC434" s="221"/>
      <c r="AD434" s="221"/>
      <c r="AE434" s="221"/>
      <c r="AF434" s="221"/>
      <c r="AG434" s="221"/>
      <c r="AH434" s="221"/>
      <c r="AI434" s="221"/>
      <c r="AJ434" s="221"/>
      <c r="AK434" s="221"/>
      <c r="AL434" s="221"/>
      <c r="AM434" s="221"/>
      <c r="AN434" s="221"/>
      <c r="AO434" s="221"/>
      <c r="AP434" s="221"/>
      <c r="AQ434" s="221"/>
      <c r="AR434" s="221"/>
    </row>
    <row r="435" spans="1:44" s="384" customFormat="1" ht="12" customHeight="1">
      <c r="A435" s="221"/>
      <c r="P435" s="290"/>
      <c r="X435" s="221"/>
      <c r="Y435" s="221"/>
      <c r="Z435" s="221"/>
      <c r="AA435" s="221"/>
      <c r="AB435" s="221"/>
      <c r="AC435" s="221"/>
      <c r="AD435" s="221"/>
      <c r="AE435" s="221"/>
      <c r="AF435" s="221"/>
      <c r="AG435" s="221"/>
      <c r="AH435" s="221"/>
      <c r="AI435" s="221"/>
      <c r="AJ435" s="221"/>
      <c r="AK435" s="221"/>
      <c r="AL435" s="221"/>
      <c r="AM435" s="221"/>
      <c r="AN435" s="221"/>
      <c r="AO435" s="221"/>
      <c r="AP435" s="221"/>
      <c r="AQ435" s="221"/>
      <c r="AR435" s="221"/>
    </row>
    <row r="436" spans="1:44" s="384" customFormat="1" ht="12" customHeight="1">
      <c r="A436" s="221"/>
      <c r="P436" s="290"/>
      <c r="X436" s="221"/>
      <c r="Y436" s="221"/>
      <c r="Z436" s="221"/>
      <c r="AA436" s="221"/>
      <c r="AB436" s="221"/>
      <c r="AC436" s="221"/>
      <c r="AD436" s="221"/>
      <c r="AE436" s="221"/>
      <c r="AF436" s="221"/>
      <c r="AG436" s="221"/>
      <c r="AH436" s="221"/>
      <c r="AI436" s="221"/>
      <c r="AJ436" s="221"/>
      <c r="AK436" s="221"/>
      <c r="AL436" s="221"/>
      <c r="AM436" s="221"/>
      <c r="AN436" s="221"/>
      <c r="AO436" s="221"/>
      <c r="AP436" s="221"/>
      <c r="AQ436" s="221"/>
      <c r="AR436" s="221"/>
    </row>
    <row r="437" spans="1:44" s="384" customFormat="1" ht="12" customHeight="1">
      <c r="A437" s="221"/>
      <c r="P437" s="290"/>
      <c r="X437" s="221"/>
      <c r="Y437" s="221"/>
      <c r="Z437" s="221"/>
      <c r="AA437" s="221"/>
      <c r="AB437" s="221"/>
      <c r="AC437" s="221"/>
      <c r="AD437" s="221"/>
      <c r="AE437" s="221"/>
      <c r="AF437" s="221"/>
      <c r="AG437" s="221"/>
      <c r="AH437" s="221"/>
      <c r="AI437" s="221"/>
      <c r="AJ437" s="221"/>
      <c r="AK437" s="221"/>
      <c r="AL437" s="221"/>
      <c r="AM437" s="221"/>
      <c r="AN437" s="221"/>
      <c r="AO437" s="221"/>
      <c r="AP437" s="221"/>
      <c r="AQ437" s="221"/>
      <c r="AR437" s="221"/>
    </row>
    <row r="438" spans="1:44" s="384" customFormat="1" ht="12" customHeight="1">
      <c r="A438" s="221"/>
      <c r="P438" s="290"/>
      <c r="X438" s="221"/>
      <c r="Y438" s="221"/>
      <c r="Z438" s="221"/>
      <c r="AA438" s="221"/>
      <c r="AB438" s="221"/>
      <c r="AC438" s="221"/>
      <c r="AD438" s="221"/>
      <c r="AE438" s="221"/>
      <c r="AF438" s="221"/>
      <c r="AG438" s="221"/>
      <c r="AH438" s="221"/>
      <c r="AI438" s="221"/>
      <c r="AJ438" s="221"/>
      <c r="AK438" s="221"/>
      <c r="AL438" s="221"/>
      <c r="AM438" s="221"/>
      <c r="AN438" s="221"/>
      <c r="AO438" s="221"/>
      <c r="AP438" s="221"/>
      <c r="AQ438" s="221"/>
      <c r="AR438" s="221"/>
    </row>
    <row r="439" spans="1:44" s="384" customFormat="1" ht="12" customHeight="1">
      <c r="A439" s="221"/>
      <c r="P439" s="3098"/>
      <c r="X439" s="221"/>
      <c r="Y439" s="221"/>
      <c r="Z439" s="221"/>
      <c r="AA439" s="221"/>
      <c r="AB439" s="221"/>
      <c r="AC439" s="221"/>
      <c r="AD439" s="221"/>
      <c r="AE439" s="221"/>
      <c r="AF439" s="221"/>
      <c r="AG439" s="221"/>
      <c r="AH439" s="221"/>
      <c r="AI439" s="221"/>
      <c r="AJ439" s="221"/>
      <c r="AK439" s="221"/>
      <c r="AL439" s="221"/>
      <c r="AM439" s="221"/>
      <c r="AN439" s="221"/>
      <c r="AO439" s="221"/>
      <c r="AP439" s="221"/>
      <c r="AQ439" s="221"/>
      <c r="AR439" s="221"/>
    </row>
    <row r="440" spans="1:44" s="384" customFormat="1" ht="12" customHeight="1">
      <c r="A440" s="221"/>
      <c r="P440" s="290"/>
      <c r="X440" s="221"/>
      <c r="Y440" s="221"/>
      <c r="Z440" s="221"/>
      <c r="AA440" s="221"/>
      <c r="AB440" s="221"/>
      <c r="AC440" s="221"/>
      <c r="AD440" s="221"/>
      <c r="AE440" s="221"/>
      <c r="AF440" s="221"/>
      <c r="AG440" s="221"/>
      <c r="AH440" s="221"/>
      <c r="AI440" s="221"/>
      <c r="AJ440" s="221"/>
      <c r="AK440" s="221"/>
      <c r="AL440" s="221"/>
      <c r="AM440" s="221"/>
      <c r="AN440" s="221"/>
      <c r="AO440" s="221"/>
      <c r="AP440" s="221"/>
      <c r="AQ440" s="221"/>
      <c r="AR440" s="221"/>
    </row>
    <row r="441" spans="1:44" s="384" customFormat="1" ht="12" customHeight="1">
      <c r="A441" s="221"/>
      <c r="P441" s="290"/>
      <c r="X441" s="221"/>
      <c r="Y441" s="221"/>
      <c r="Z441" s="221"/>
      <c r="AA441" s="221"/>
      <c r="AB441" s="221"/>
      <c r="AC441" s="221"/>
      <c r="AD441" s="221"/>
      <c r="AE441" s="221"/>
      <c r="AF441" s="221"/>
      <c r="AG441" s="221"/>
      <c r="AH441" s="221"/>
      <c r="AI441" s="221"/>
      <c r="AJ441" s="221"/>
      <c r="AK441" s="221"/>
      <c r="AL441" s="221"/>
      <c r="AM441" s="221"/>
      <c r="AN441" s="221"/>
      <c r="AO441" s="221"/>
      <c r="AP441" s="221"/>
      <c r="AQ441" s="221"/>
      <c r="AR441" s="221"/>
    </row>
    <row r="442" spans="1:44" s="384" customFormat="1" ht="12" customHeight="1">
      <c r="A442" s="221"/>
      <c r="P442" s="290"/>
      <c r="X442" s="221"/>
      <c r="Y442" s="221"/>
      <c r="Z442" s="221"/>
      <c r="AA442" s="221"/>
      <c r="AB442" s="221"/>
      <c r="AC442" s="221"/>
      <c r="AD442" s="221"/>
      <c r="AE442" s="221"/>
      <c r="AF442" s="221"/>
      <c r="AG442" s="221"/>
      <c r="AH442" s="221"/>
      <c r="AI442" s="221"/>
      <c r="AJ442" s="221"/>
      <c r="AK442" s="221"/>
      <c r="AL442" s="221"/>
      <c r="AM442" s="221"/>
      <c r="AN442" s="221"/>
      <c r="AO442" s="221"/>
      <c r="AP442" s="221"/>
      <c r="AQ442" s="221"/>
      <c r="AR442" s="221"/>
    </row>
    <row r="443" spans="1:44" s="384" customFormat="1" ht="12" customHeight="1">
      <c r="A443" s="221"/>
      <c r="P443" s="290"/>
      <c r="X443" s="221"/>
      <c r="Y443" s="221"/>
      <c r="Z443" s="221"/>
      <c r="AA443" s="221"/>
      <c r="AB443" s="221"/>
      <c r="AC443" s="221"/>
      <c r="AD443" s="221"/>
      <c r="AE443" s="221"/>
      <c r="AF443" s="221"/>
      <c r="AG443" s="221"/>
      <c r="AH443" s="221"/>
      <c r="AI443" s="221"/>
      <c r="AJ443" s="221"/>
      <c r="AK443" s="221"/>
      <c r="AL443" s="221"/>
      <c r="AM443" s="221"/>
      <c r="AN443" s="221"/>
      <c r="AO443" s="221"/>
      <c r="AP443" s="221"/>
      <c r="AQ443" s="221"/>
      <c r="AR443" s="221"/>
    </row>
    <row r="444" spans="1:44" s="384" customFormat="1" ht="12" customHeight="1">
      <c r="A444" s="221"/>
      <c r="P444" s="290"/>
      <c r="X444" s="221"/>
      <c r="Y444" s="221"/>
      <c r="Z444" s="221"/>
      <c r="AA444" s="221"/>
      <c r="AB444" s="221"/>
      <c r="AC444" s="221"/>
      <c r="AD444" s="221"/>
      <c r="AE444" s="221"/>
      <c r="AF444" s="221"/>
      <c r="AG444" s="221"/>
      <c r="AH444" s="221"/>
      <c r="AI444" s="221"/>
      <c r="AJ444" s="221"/>
      <c r="AK444" s="221"/>
      <c r="AL444" s="221"/>
      <c r="AM444" s="221"/>
      <c r="AN444" s="221"/>
      <c r="AO444" s="221"/>
      <c r="AP444" s="221"/>
      <c r="AQ444" s="221"/>
      <c r="AR444" s="221"/>
    </row>
    <row r="445" spans="1:44" s="384" customFormat="1" ht="12" customHeight="1">
      <c r="A445" s="221"/>
      <c r="P445" s="290"/>
      <c r="X445" s="221"/>
      <c r="Y445" s="221"/>
      <c r="Z445" s="221"/>
      <c r="AA445" s="221"/>
      <c r="AB445" s="221"/>
      <c r="AC445" s="221"/>
      <c r="AD445" s="221"/>
      <c r="AE445" s="221"/>
      <c r="AF445" s="221"/>
      <c r="AG445" s="221"/>
      <c r="AH445" s="221"/>
      <c r="AI445" s="221"/>
      <c r="AJ445" s="221"/>
      <c r="AK445" s="221"/>
      <c r="AL445" s="221"/>
      <c r="AM445" s="221"/>
      <c r="AN445" s="221"/>
      <c r="AO445" s="221"/>
      <c r="AP445" s="221"/>
      <c r="AQ445" s="221"/>
      <c r="AR445" s="221"/>
    </row>
    <row r="446" spans="1:44" s="384" customFormat="1" ht="12" customHeight="1">
      <c r="A446" s="221"/>
      <c r="P446" s="290"/>
      <c r="X446" s="221"/>
      <c r="Y446" s="221"/>
      <c r="Z446" s="221"/>
      <c r="AA446" s="221"/>
      <c r="AB446" s="221"/>
      <c r="AC446" s="221"/>
      <c r="AD446" s="221"/>
      <c r="AE446" s="221"/>
      <c r="AF446" s="221"/>
      <c r="AG446" s="221"/>
      <c r="AH446" s="221"/>
      <c r="AI446" s="221"/>
      <c r="AJ446" s="221"/>
      <c r="AK446" s="221"/>
      <c r="AL446" s="221"/>
      <c r="AM446" s="221"/>
      <c r="AN446" s="221"/>
      <c r="AO446" s="221"/>
      <c r="AP446" s="221"/>
      <c r="AQ446" s="221"/>
      <c r="AR446" s="221"/>
    </row>
    <row r="447" spans="1:44" s="384" customFormat="1" ht="12" customHeight="1">
      <c r="A447" s="221"/>
      <c r="P447" s="290"/>
      <c r="X447" s="221"/>
      <c r="Y447" s="221"/>
      <c r="Z447" s="221"/>
      <c r="AA447" s="221"/>
      <c r="AB447" s="221"/>
      <c r="AC447" s="221"/>
      <c r="AD447" s="221"/>
      <c r="AE447" s="221"/>
      <c r="AF447" s="221"/>
      <c r="AG447" s="221"/>
      <c r="AH447" s="221"/>
      <c r="AI447" s="221"/>
      <c r="AJ447" s="221"/>
      <c r="AK447" s="221"/>
      <c r="AL447" s="221"/>
      <c r="AM447" s="221"/>
      <c r="AN447" s="221"/>
      <c r="AO447" s="221"/>
      <c r="AP447" s="221"/>
      <c r="AQ447" s="221"/>
      <c r="AR447" s="221"/>
    </row>
    <row r="448" spans="1:44" s="384" customFormat="1" ht="12" customHeight="1">
      <c r="A448" s="221"/>
      <c r="P448" s="290"/>
      <c r="X448" s="221"/>
      <c r="Y448" s="221"/>
      <c r="Z448" s="221"/>
      <c r="AA448" s="221"/>
      <c r="AB448" s="221"/>
      <c r="AC448" s="221"/>
      <c r="AD448" s="221"/>
      <c r="AE448" s="221"/>
      <c r="AF448" s="221"/>
      <c r="AG448" s="221"/>
      <c r="AH448" s="221"/>
      <c r="AI448" s="221"/>
      <c r="AJ448" s="221"/>
      <c r="AK448" s="221"/>
      <c r="AL448" s="221"/>
      <c r="AM448" s="221"/>
      <c r="AN448" s="221"/>
      <c r="AO448" s="221"/>
      <c r="AP448" s="221"/>
      <c r="AQ448" s="221"/>
      <c r="AR448" s="221"/>
    </row>
    <row r="449" spans="1:44" s="384" customFormat="1" ht="12" customHeight="1">
      <c r="A449" s="221"/>
      <c r="P449" s="290"/>
      <c r="X449" s="221"/>
      <c r="Y449" s="221"/>
      <c r="Z449" s="221"/>
      <c r="AA449" s="221"/>
      <c r="AB449" s="221"/>
      <c r="AC449" s="221"/>
      <c r="AD449" s="221"/>
      <c r="AE449" s="221"/>
      <c r="AF449" s="221"/>
      <c r="AG449" s="221"/>
      <c r="AH449" s="221"/>
      <c r="AI449" s="221"/>
      <c r="AJ449" s="221"/>
      <c r="AK449" s="221"/>
      <c r="AL449" s="221"/>
      <c r="AM449" s="221"/>
      <c r="AN449" s="221"/>
      <c r="AO449" s="221"/>
      <c r="AP449" s="221"/>
      <c r="AQ449" s="221"/>
      <c r="AR449" s="221"/>
    </row>
    <row r="450" spans="1:44" s="384" customFormat="1" ht="12" customHeight="1">
      <c r="A450" s="221"/>
      <c r="P450" s="290"/>
      <c r="X450" s="221"/>
      <c r="Y450" s="221"/>
      <c r="Z450" s="221"/>
      <c r="AA450" s="221"/>
      <c r="AB450" s="221"/>
      <c r="AC450" s="221"/>
      <c r="AD450" s="221"/>
      <c r="AE450" s="221"/>
      <c r="AF450" s="221"/>
      <c r="AG450" s="221"/>
      <c r="AH450" s="221"/>
      <c r="AI450" s="221"/>
      <c r="AJ450" s="221"/>
      <c r="AK450" s="221"/>
      <c r="AL450" s="221"/>
      <c r="AM450" s="221"/>
      <c r="AN450" s="221"/>
      <c r="AO450" s="221"/>
      <c r="AP450" s="221"/>
      <c r="AQ450" s="221"/>
      <c r="AR450" s="221"/>
    </row>
    <row r="451" spans="1:44" s="384" customFormat="1" ht="12" customHeight="1">
      <c r="A451" s="221"/>
      <c r="P451" s="290"/>
      <c r="X451" s="221"/>
      <c r="Y451" s="221"/>
      <c r="Z451" s="221"/>
      <c r="AA451" s="221"/>
      <c r="AB451" s="221"/>
      <c r="AC451" s="221"/>
      <c r="AD451" s="221"/>
      <c r="AE451" s="221"/>
      <c r="AF451" s="221"/>
      <c r="AG451" s="221"/>
      <c r="AH451" s="221"/>
      <c r="AI451" s="221"/>
      <c r="AJ451" s="221"/>
      <c r="AK451" s="221"/>
      <c r="AL451" s="221"/>
      <c r="AM451" s="221"/>
      <c r="AN451" s="221"/>
      <c r="AO451" s="221"/>
      <c r="AP451" s="221"/>
      <c r="AQ451" s="221"/>
      <c r="AR451" s="221"/>
    </row>
    <row r="452" spans="1:44" s="384" customFormat="1" ht="12" customHeight="1">
      <c r="A452" s="221"/>
      <c r="P452" s="3098"/>
      <c r="X452" s="221"/>
      <c r="Y452" s="221"/>
      <c r="Z452" s="221"/>
      <c r="AA452" s="221"/>
      <c r="AB452" s="221"/>
      <c r="AC452" s="221"/>
      <c r="AD452" s="221"/>
      <c r="AE452" s="221"/>
      <c r="AF452" s="221"/>
      <c r="AG452" s="221"/>
      <c r="AH452" s="221"/>
      <c r="AI452" s="221"/>
      <c r="AJ452" s="221"/>
      <c r="AK452" s="221"/>
      <c r="AL452" s="221"/>
      <c r="AM452" s="221"/>
      <c r="AN452" s="221"/>
      <c r="AO452" s="221"/>
      <c r="AP452" s="221"/>
      <c r="AQ452" s="221"/>
      <c r="AR452" s="221"/>
    </row>
    <row r="453" spans="1:44" s="384" customFormat="1" ht="12" customHeight="1">
      <c r="A453" s="221"/>
      <c r="P453" s="290"/>
      <c r="X453" s="221"/>
      <c r="Y453" s="221"/>
      <c r="Z453" s="221"/>
      <c r="AA453" s="221"/>
      <c r="AB453" s="221"/>
      <c r="AC453" s="221"/>
      <c r="AD453" s="221"/>
      <c r="AE453" s="221"/>
      <c r="AF453" s="221"/>
      <c r="AG453" s="221"/>
      <c r="AH453" s="221"/>
      <c r="AI453" s="221"/>
      <c r="AJ453" s="221"/>
      <c r="AK453" s="221"/>
      <c r="AL453" s="221"/>
      <c r="AM453" s="221"/>
      <c r="AN453" s="221"/>
      <c r="AO453" s="221"/>
      <c r="AP453" s="221"/>
      <c r="AQ453" s="221"/>
      <c r="AR453" s="221"/>
    </row>
    <row r="454" spans="1:44" s="384" customFormat="1" ht="12" customHeight="1">
      <c r="A454" s="221"/>
      <c r="P454" s="290"/>
      <c r="X454" s="221"/>
      <c r="Y454" s="221"/>
      <c r="Z454" s="221"/>
      <c r="AA454" s="221"/>
      <c r="AB454" s="221"/>
      <c r="AC454" s="221"/>
      <c r="AD454" s="221"/>
      <c r="AE454" s="221"/>
      <c r="AF454" s="221"/>
      <c r="AG454" s="221"/>
      <c r="AH454" s="221"/>
      <c r="AI454" s="221"/>
      <c r="AJ454" s="221"/>
      <c r="AK454" s="221"/>
      <c r="AL454" s="221"/>
      <c r="AM454" s="221"/>
      <c r="AN454" s="221"/>
      <c r="AO454" s="221"/>
      <c r="AP454" s="221"/>
      <c r="AQ454" s="221"/>
      <c r="AR454" s="221"/>
    </row>
    <row r="455" spans="1:44" s="384" customFormat="1" ht="12" customHeight="1">
      <c r="A455" s="221"/>
      <c r="P455" s="290"/>
      <c r="X455" s="221"/>
      <c r="Y455" s="221"/>
      <c r="Z455" s="221"/>
      <c r="AA455" s="221"/>
      <c r="AB455" s="221"/>
      <c r="AC455" s="221"/>
      <c r="AD455" s="221"/>
      <c r="AE455" s="221"/>
      <c r="AF455" s="221"/>
      <c r="AG455" s="221"/>
      <c r="AH455" s="221"/>
      <c r="AI455" s="221"/>
      <c r="AJ455" s="221"/>
      <c r="AK455" s="221"/>
      <c r="AL455" s="221"/>
      <c r="AM455" s="221"/>
      <c r="AN455" s="221"/>
      <c r="AO455" s="221"/>
      <c r="AP455" s="221"/>
      <c r="AQ455" s="221"/>
      <c r="AR455" s="221"/>
    </row>
    <row r="456" spans="1:44" s="384" customFormat="1" ht="12" customHeight="1">
      <c r="A456" s="221"/>
      <c r="P456" s="290"/>
      <c r="X456" s="221"/>
      <c r="Y456" s="221"/>
      <c r="Z456" s="221"/>
      <c r="AA456" s="221"/>
      <c r="AB456" s="221"/>
      <c r="AC456" s="221"/>
      <c r="AD456" s="221"/>
      <c r="AE456" s="221"/>
      <c r="AF456" s="221"/>
      <c r="AG456" s="221"/>
      <c r="AH456" s="221"/>
      <c r="AI456" s="221"/>
      <c r="AJ456" s="221"/>
      <c r="AK456" s="221"/>
      <c r="AL456" s="221"/>
      <c r="AM456" s="221"/>
      <c r="AN456" s="221"/>
      <c r="AO456" s="221"/>
      <c r="AP456" s="221"/>
      <c r="AQ456" s="221"/>
      <c r="AR456" s="221"/>
    </row>
    <row r="457" spans="1:44" s="384" customFormat="1" ht="12" customHeight="1">
      <c r="A457" s="221"/>
      <c r="P457" s="290"/>
      <c r="X457" s="221"/>
      <c r="Y457" s="221"/>
      <c r="Z457" s="221"/>
      <c r="AA457" s="221"/>
      <c r="AB457" s="221"/>
      <c r="AC457" s="221"/>
      <c r="AD457" s="221"/>
      <c r="AE457" s="221"/>
      <c r="AF457" s="221"/>
      <c r="AG457" s="221"/>
      <c r="AH457" s="221"/>
      <c r="AI457" s="221"/>
      <c r="AJ457" s="221"/>
      <c r="AK457" s="221"/>
      <c r="AL457" s="221"/>
      <c r="AM457" s="221"/>
      <c r="AN457" s="221"/>
      <c r="AO457" s="221"/>
      <c r="AP457" s="221"/>
      <c r="AQ457" s="221"/>
      <c r="AR457" s="221"/>
    </row>
    <row r="458" spans="1:44" s="384" customFormat="1" ht="12" customHeight="1">
      <c r="A458" s="221"/>
      <c r="P458" s="290"/>
      <c r="X458" s="221"/>
      <c r="Y458" s="221"/>
      <c r="Z458" s="221"/>
      <c r="AA458" s="221"/>
      <c r="AB458" s="221"/>
      <c r="AC458" s="221"/>
      <c r="AD458" s="221"/>
      <c r="AE458" s="221"/>
      <c r="AF458" s="221"/>
      <c r="AG458" s="221"/>
      <c r="AH458" s="221"/>
      <c r="AI458" s="221"/>
      <c r="AJ458" s="221"/>
      <c r="AK458" s="221"/>
      <c r="AL458" s="221"/>
      <c r="AM458" s="221"/>
      <c r="AN458" s="221"/>
      <c r="AO458" s="221"/>
      <c r="AP458" s="221"/>
      <c r="AQ458" s="221"/>
      <c r="AR458" s="221"/>
    </row>
    <row r="459" spans="1:44" s="384" customFormat="1" ht="12" customHeight="1">
      <c r="A459" s="221"/>
      <c r="P459" s="290"/>
      <c r="X459" s="221"/>
      <c r="Y459" s="221"/>
      <c r="Z459" s="221"/>
      <c r="AA459" s="221"/>
      <c r="AB459" s="221"/>
      <c r="AC459" s="221"/>
      <c r="AD459" s="221"/>
      <c r="AE459" s="221"/>
      <c r="AF459" s="221"/>
      <c r="AG459" s="221"/>
      <c r="AH459" s="221"/>
      <c r="AI459" s="221"/>
      <c r="AJ459" s="221"/>
      <c r="AK459" s="221"/>
      <c r="AL459" s="221"/>
      <c r="AM459" s="221"/>
      <c r="AN459" s="221"/>
      <c r="AO459" s="221"/>
      <c r="AP459" s="221"/>
      <c r="AQ459" s="221"/>
      <c r="AR459" s="221"/>
    </row>
    <row r="460" spans="1:44" s="384" customFormat="1" ht="12" customHeight="1">
      <c r="A460" s="221"/>
      <c r="P460" s="290"/>
      <c r="X460" s="221"/>
      <c r="Y460" s="221"/>
      <c r="Z460" s="221"/>
      <c r="AA460" s="221"/>
      <c r="AB460" s="221"/>
      <c r="AC460" s="221"/>
      <c r="AD460" s="221"/>
      <c r="AE460" s="221"/>
      <c r="AF460" s="221"/>
      <c r="AG460" s="221"/>
      <c r="AH460" s="221"/>
      <c r="AI460" s="221"/>
      <c r="AJ460" s="221"/>
      <c r="AK460" s="221"/>
      <c r="AL460" s="221"/>
      <c r="AM460" s="221"/>
      <c r="AN460" s="221"/>
      <c r="AO460" s="221"/>
      <c r="AP460" s="221"/>
      <c r="AQ460" s="221"/>
      <c r="AR460" s="221"/>
    </row>
    <row r="461" spans="1:44" s="384" customFormat="1" ht="12" customHeight="1">
      <c r="A461" s="221"/>
      <c r="P461" s="290"/>
      <c r="X461" s="221"/>
      <c r="Y461" s="221"/>
      <c r="Z461" s="221"/>
      <c r="AA461" s="221"/>
      <c r="AB461" s="221"/>
      <c r="AC461" s="221"/>
      <c r="AD461" s="221"/>
      <c r="AE461" s="221"/>
      <c r="AF461" s="221"/>
      <c r="AG461" s="221"/>
      <c r="AH461" s="221"/>
      <c r="AI461" s="221"/>
      <c r="AJ461" s="221"/>
      <c r="AK461" s="221"/>
      <c r="AL461" s="221"/>
      <c r="AM461" s="221"/>
      <c r="AN461" s="221"/>
      <c r="AO461" s="221"/>
      <c r="AP461" s="221"/>
      <c r="AQ461" s="221"/>
      <c r="AR461" s="221"/>
    </row>
    <row r="462" spans="1:44" s="384" customFormat="1" ht="12" customHeight="1">
      <c r="A462" s="221"/>
      <c r="P462" s="290"/>
      <c r="X462" s="221"/>
      <c r="Y462" s="221"/>
      <c r="Z462" s="221"/>
      <c r="AA462" s="221"/>
      <c r="AB462" s="221"/>
      <c r="AC462" s="221"/>
      <c r="AD462" s="221"/>
      <c r="AE462" s="221"/>
      <c r="AF462" s="221"/>
      <c r="AG462" s="221"/>
      <c r="AH462" s="221"/>
      <c r="AI462" s="221"/>
      <c r="AJ462" s="221"/>
      <c r="AK462" s="221"/>
      <c r="AL462" s="221"/>
      <c r="AM462" s="221"/>
      <c r="AN462" s="221"/>
      <c r="AO462" s="221"/>
      <c r="AP462" s="221"/>
      <c r="AQ462" s="221"/>
      <c r="AR462" s="221"/>
    </row>
    <row r="463" spans="1:44" s="384" customFormat="1" ht="12" customHeight="1">
      <c r="A463" s="221"/>
      <c r="P463" s="290"/>
      <c r="X463" s="221"/>
      <c r="Y463" s="221"/>
      <c r="Z463" s="221"/>
      <c r="AA463" s="221"/>
      <c r="AB463" s="221"/>
      <c r="AC463" s="221"/>
      <c r="AD463" s="221"/>
      <c r="AE463" s="221"/>
      <c r="AF463" s="221"/>
      <c r="AG463" s="221"/>
      <c r="AH463" s="221"/>
      <c r="AI463" s="221"/>
      <c r="AJ463" s="221"/>
      <c r="AK463" s="221"/>
      <c r="AL463" s="221"/>
      <c r="AM463" s="221"/>
      <c r="AN463" s="221"/>
      <c r="AO463" s="221"/>
      <c r="AP463" s="221"/>
      <c r="AQ463" s="221"/>
      <c r="AR463" s="221"/>
    </row>
    <row r="464" spans="1:44" s="384" customFormat="1" ht="12" customHeight="1">
      <c r="A464" s="221"/>
      <c r="P464" s="290"/>
      <c r="X464" s="221"/>
      <c r="Y464" s="221"/>
      <c r="Z464" s="221"/>
      <c r="AA464" s="221"/>
      <c r="AB464" s="221"/>
      <c r="AC464" s="221"/>
      <c r="AD464" s="221"/>
      <c r="AE464" s="221"/>
      <c r="AF464" s="221"/>
      <c r="AG464" s="221"/>
      <c r="AH464" s="221"/>
      <c r="AI464" s="221"/>
      <c r="AJ464" s="221"/>
      <c r="AK464" s="221"/>
      <c r="AL464" s="221"/>
      <c r="AM464" s="221"/>
      <c r="AN464" s="221"/>
      <c r="AO464" s="221"/>
      <c r="AP464" s="221"/>
      <c r="AQ464" s="221"/>
      <c r="AR464" s="221"/>
    </row>
    <row r="465" spans="1:44" s="384" customFormat="1" ht="12" customHeight="1">
      <c r="A465" s="221"/>
      <c r="P465" s="290"/>
      <c r="X465" s="221"/>
      <c r="Y465" s="221"/>
      <c r="Z465" s="221"/>
      <c r="AA465" s="221"/>
      <c r="AB465" s="221"/>
      <c r="AC465" s="221"/>
      <c r="AD465" s="221"/>
      <c r="AE465" s="221"/>
      <c r="AF465" s="221"/>
      <c r="AG465" s="221"/>
      <c r="AH465" s="221"/>
      <c r="AI465" s="221"/>
      <c r="AJ465" s="221"/>
      <c r="AK465" s="221"/>
      <c r="AL465" s="221"/>
      <c r="AM465" s="221"/>
      <c r="AN465" s="221"/>
      <c r="AO465" s="221"/>
      <c r="AP465" s="221"/>
      <c r="AQ465" s="221"/>
      <c r="AR465" s="221"/>
    </row>
    <row r="466" spans="1:44" s="384" customFormat="1" ht="12" customHeight="1">
      <c r="A466" s="221"/>
      <c r="P466" s="3098"/>
      <c r="X466" s="221"/>
      <c r="Y466" s="221"/>
      <c r="Z466" s="221"/>
      <c r="AA466" s="221"/>
      <c r="AB466" s="221"/>
      <c r="AC466" s="221"/>
      <c r="AD466" s="221"/>
      <c r="AE466" s="221"/>
      <c r="AF466" s="221"/>
      <c r="AG466" s="221"/>
      <c r="AH466" s="221"/>
      <c r="AI466" s="221"/>
      <c r="AJ466" s="221"/>
      <c r="AK466" s="221"/>
      <c r="AL466" s="221"/>
      <c r="AM466" s="221"/>
      <c r="AN466" s="221"/>
      <c r="AO466" s="221"/>
      <c r="AP466" s="221"/>
      <c r="AQ466" s="221"/>
      <c r="AR466" s="221"/>
    </row>
    <row r="467" spans="1:44" s="384" customFormat="1" ht="12" customHeight="1">
      <c r="A467" s="221"/>
      <c r="P467" s="290"/>
      <c r="X467" s="221"/>
      <c r="Y467" s="221"/>
      <c r="Z467" s="221"/>
      <c r="AA467" s="221"/>
      <c r="AB467" s="221"/>
      <c r="AC467" s="221"/>
      <c r="AD467" s="221"/>
      <c r="AE467" s="221"/>
      <c r="AF467" s="221"/>
      <c r="AG467" s="221"/>
      <c r="AH467" s="221"/>
      <c r="AI467" s="221"/>
      <c r="AJ467" s="221"/>
      <c r="AK467" s="221"/>
      <c r="AL467" s="221"/>
      <c r="AM467" s="221"/>
      <c r="AN467" s="221"/>
      <c r="AO467" s="221"/>
      <c r="AP467" s="221"/>
      <c r="AQ467" s="221"/>
      <c r="AR467" s="221"/>
    </row>
    <row r="468" spans="1:44" s="384" customFormat="1" ht="12" customHeight="1">
      <c r="A468" s="221"/>
      <c r="P468" s="3098"/>
      <c r="X468" s="221"/>
      <c r="Y468" s="221"/>
      <c r="Z468" s="221"/>
      <c r="AA468" s="221"/>
      <c r="AB468" s="221"/>
      <c r="AC468" s="221"/>
      <c r="AD468" s="221"/>
      <c r="AE468" s="221"/>
      <c r="AF468" s="221"/>
      <c r="AG468" s="221"/>
      <c r="AH468" s="221"/>
      <c r="AI468" s="221"/>
      <c r="AJ468" s="221"/>
      <c r="AK468" s="221"/>
      <c r="AL468" s="221"/>
      <c r="AM468" s="221"/>
      <c r="AN468" s="221"/>
      <c r="AO468" s="221"/>
      <c r="AP468" s="221"/>
      <c r="AQ468" s="221"/>
      <c r="AR468" s="221"/>
    </row>
    <row r="469" spans="1:44" s="384" customFormat="1" ht="12" customHeight="1">
      <c r="A469" s="221"/>
      <c r="P469" s="290"/>
      <c r="X469" s="221"/>
      <c r="Y469" s="221"/>
      <c r="Z469" s="221"/>
      <c r="AA469" s="221"/>
      <c r="AB469" s="221"/>
      <c r="AC469" s="221"/>
      <c r="AD469" s="221"/>
      <c r="AE469" s="221"/>
      <c r="AF469" s="221"/>
      <c r="AG469" s="221"/>
      <c r="AH469" s="221"/>
      <c r="AI469" s="221"/>
      <c r="AJ469" s="221"/>
      <c r="AK469" s="221"/>
      <c r="AL469" s="221"/>
      <c r="AM469" s="221"/>
      <c r="AN469" s="221"/>
      <c r="AO469" s="221"/>
      <c r="AP469" s="221"/>
      <c r="AQ469" s="221"/>
      <c r="AR469" s="221"/>
    </row>
    <row r="470" spans="1:44" s="384" customFormat="1" ht="12" customHeight="1">
      <c r="A470" s="221"/>
      <c r="P470" s="3098"/>
      <c r="X470" s="221"/>
      <c r="Y470" s="221"/>
      <c r="Z470" s="221"/>
      <c r="AA470" s="221"/>
      <c r="AB470" s="221"/>
      <c r="AC470" s="221"/>
      <c r="AD470" s="221"/>
      <c r="AE470" s="221"/>
      <c r="AF470" s="221"/>
      <c r="AG470" s="221"/>
      <c r="AH470" s="221"/>
      <c r="AI470" s="221"/>
      <c r="AJ470" s="221"/>
      <c r="AK470" s="221"/>
      <c r="AL470" s="221"/>
      <c r="AM470" s="221"/>
      <c r="AN470" s="221"/>
      <c r="AO470" s="221"/>
      <c r="AP470" s="221"/>
      <c r="AQ470" s="221"/>
      <c r="AR470" s="221"/>
    </row>
    <row r="471" spans="1:44" s="384" customFormat="1" ht="12" customHeight="1">
      <c r="A471" s="221"/>
      <c r="P471" s="290"/>
      <c r="X471" s="221"/>
      <c r="Y471" s="221"/>
      <c r="Z471" s="221"/>
      <c r="AA471" s="221"/>
      <c r="AB471" s="221"/>
      <c r="AC471" s="221"/>
      <c r="AD471" s="221"/>
      <c r="AE471" s="221"/>
      <c r="AF471" s="221"/>
      <c r="AG471" s="221"/>
      <c r="AH471" s="221"/>
      <c r="AI471" s="221"/>
      <c r="AJ471" s="221"/>
      <c r="AK471" s="221"/>
      <c r="AL471" s="221"/>
      <c r="AM471" s="221"/>
      <c r="AN471" s="221"/>
      <c r="AO471" s="221"/>
      <c r="AP471" s="221"/>
      <c r="AQ471" s="221"/>
      <c r="AR471" s="221"/>
    </row>
    <row r="472" spans="1:44" s="384" customFormat="1" ht="12" customHeight="1">
      <c r="A472" s="221"/>
      <c r="P472" s="290"/>
      <c r="X472" s="221"/>
      <c r="Y472" s="221"/>
      <c r="Z472" s="221"/>
      <c r="AA472" s="221"/>
      <c r="AB472" s="221"/>
      <c r="AC472" s="221"/>
      <c r="AD472" s="221"/>
      <c r="AE472" s="221"/>
      <c r="AF472" s="221"/>
      <c r="AG472" s="221"/>
      <c r="AH472" s="221"/>
      <c r="AI472" s="221"/>
      <c r="AJ472" s="221"/>
      <c r="AK472" s="221"/>
      <c r="AL472" s="221"/>
      <c r="AM472" s="221"/>
      <c r="AN472" s="221"/>
      <c r="AO472" s="221"/>
      <c r="AP472" s="221"/>
      <c r="AQ472" s="221"/>
      <c r="AR472" s="221"/>
    </row>
    <row r="473" spans="1:44" s="384" customFormat="1" ht="12" customHeight="1">
      <c r="A473" s="221"/>
      <c r="P473" s="290"/>
      <c r="X473" s="221"/>
      <c r="Y473" s="221"/>
      <c r="Z473" s="221"/>
      <c r="AA473" s="221"/>
      <c r="AB473" s="221"/>
      <c r="AC473" s="221"/>
      <c r="AD473" s="221"/>
      <c r="AE473" s="221"/>
      <c r="AF473" s="221"/>
      <c r="AG473" s="221"/>
      <c r="AH473" s="221"/>
      <c r="AI473" s="221"/>
      <c r="AJ473" s="221"/>
      <c r="AK473" s="221"/>
      <c r="AL473" s="221"/>
      <c r="AM473" s="221"/>
      <c r="AN473" s="221"/>
      <c r="AO473" s="221"/>
      <c r="AP473" s="221"/>
      <c r="AQ473" s="221"/>
      <c r="AR473" s="221"/>
    </row>
    <row r="474" spans="1:44" s="384" customFormat="1" ht="12" customHeight="1">
      <c r="A474" s="221"/>
      <c r="P474" s="290"/>
      <c r="X474" s="221"/>
      <c r="Y474" s="221"/>
      <c r="Z474" s="221"/>
      <c r="AA474" s="221"/>
      <c r="AB474" s="221"/>
      <c r="AC474" s="221"/>
      <c r="AD474" s="221"/>
      <c r="AE474" s="221"/>
      <c r="AF474" s="221"/>
      <c r="AG474" s="221"/>
      <c r="AH474" s="221"/>
      <c r="AI474" s="221"/>
      <c r="AJ474" s="221"/>
      <c r="AK474" s="221"/>
      <c r="AL474" s="221"/>
      <c r="AM474" s="221"/>
      <c r="AN474" s="221"/>
      <c r="AO474" s="221"/>
      <c r="AP474" s="221"/>
      <c r="AQ474" s="221"/>
      <c r="AR474" s="221"/>
    </row>
    <row r="475" spans="1:44" s="384" customFormat="1" ht="12" customHeight="1">
      <c r="A475" s="221"/>
      <c r="P475" s="290"/>
      <c r="X475" s="221"/>
      <c r="Y475" s="221"/>
      <c r="Z475" s="221"/>
      <c r="AA475" s="221"/>
      <c r="AB475" s="221"/>
      <c r="AC475" s="221"/>
      <c r="AD475" s="221"/>
      <c r="AE475" s="221"/>
      <c r="AF475" s="221"/>
      <c r="AG475" s="221"/>
      <c r="AH475" s="221"/>
      <c r="AI475" s="221"/>
      <c r="AJ475" s="221"/>
      <c r="AK475" s="221"/>
      <c r="AL475" s="221"/>
      <c r="AM475" s="221"/>
      <c r="AN475" s="221"/>
      <c r="AO475" s="221"/>
      <c r="AP475" s="221"/>
      <c r="AQ475" s="221"/>
      <c r="AR475" s="221"/>
    </row>
    <row r="476" spans="1:44" s="384" customFormat="1" ht="12" customHeight="1">
      <c r="A476" s="221"/>
      <c r="P476" s="290"/>
      <c r="X476" s="221"/>
      <c r="Y476" s="221"/>
      <c r="Z476" s="221"/>
      <c r="AA476" s="221"/>
      <c r="AB476" s="221"/>
      <c r="AC476" s="221"/>
      <c r="AD476" s="221"/>
      <c r="AE476" s="221"/>
      <c r="AF476" s="221"/>
      <c r="AG476" s="221"/>
      <c r="AH476" s="221"/>
      <c r="AI476" s="221"/>
      <c r="AJ476" s="221"/>
      <c r="AK476" s="221"/>
      <c r="AL476" s="221"/>
      <c r="AM476" s="221"/>
      <c r="AN476" s="221"/>
      <c r="AO476" s="221"/>
      <c r="AP476" s="221"/>
      <c r="AQ476" s="221"/>
      <c r="AR476" s="221"/>
    </row>
    <row r="477" spans="1:44" s="384" customFormat="1" ht="12" customHeight="1">
      <c r="A477" s="221"/>
      <c r="P477" s="290"/>
      <c r="X477" s="221"/>
      <c r="Y477" s="221"/>
      <c r="Z477" s="221"/>
      <c r="AA477" s="221"/>
      <c r="AB477" s="221"/>
      <c r="AC477" s="221"/>
      <c r="AD477" s="221"/>
      <c r="AE477" s="221"/>
      <c r="AF477" s="221"/>
      <c r="AG477" s="221"/>
      <c r="AH477" s="221"/>
      <c r="AI477" s="221"/>
      <c r="AJ477" s="221"/>
      <c r="AK477" s="221"/>
      <c r="AL477" s="221"/>
      <c r="AM477" s="221"/>
      <c r="AN477" s="221"/>
      <c r="AO477" s="221"/>
      <c r="AP477" s="221"/>
      <c r="AQ477" s="221"/>
      <c r="AR477" s="221"/>
    </row>
    <row r="478" spans="1:44" s="384" customFormat="1" ht="12" customHeight="1">
      <c r="A478" s="221"/>
      <c r="P478" s="290"/>
      <c r="X478" s="221"/>
      <c r="Y478" s="221"/>
      <c r="Z478" s="221"/>
      <c r="AA478" s="221"/>
      <c r="AB478" s="221"/>
      <c r="AC478" s="221"/>
      <c r="AD478" s="221"/>
      <c r="AE478" s="221"/>
      <c r="AF478" s="221"/>
      <c r="AG478" s="221"/>
      <c r="AH478" s="221"/>
      <c r="AI478" s="221"/>
      <c r="AJ478" s="221"/>
      <c r="AK478" s="221"/>
      <c r="AL478" s="221"/>
      <c r="AM478" s="221"/>
      <c r="AN478" s="221"/>
      <c r="AO478" s="221"/>
      <c r="AP478" s="221"/>
      <c r="AQ478" s="221"/>
      <c r="AR478" s="221"/>
    </row>
    <row r="479" spans="1:44" s="384" customFormat="1" ht="12" customHeight="1">
      <c r="A479" s="221"/>
      <c r="P479" s="290"/>
      <c r="X479" s="221"/>
      <c r="Y479" s="221"/>
      <c r="Z479" s="221"/>
      <c r="AA479" s="221"/>
      <c r="AB479" s="221"/>
      <c r="AC479" s="221"/>
      <c r="AD479" s="221"/>
      <c r="AE479" s="221"/>
      <c r="AF479" s="221"/>
      <c r="AG479" s="221"/>
      <c r="AH479" s="221"/>
      <c r="AI479" s="221"/>
      <c r="AJ479" s="221"/>
      <c r="AK479" s="221"/>
      <c r="AL479" s="221"/>
      <c r="AM479" s="221"/>
      <c r="AN479" s="221"/>
      <c r="AO479" s="221"/>
      <c r="AP479" s="221"/>
      <c r="AQ479" s="221"/>
      <c r="AR479" s="221"/>
    </row>
    <row r="480" spans="1:44" s="384" customFormat="1" ht="12" customHeight="1">
      <c r="A480" s="221"/>
      <c r="P480" s="290"/>
      <c r="X480" s="221"/>
      <c r="Y480" s="221"/>
      <c r="Z480" s="221"/>
      <c r="AA480" s="221"/>
      <c r="AB480" s="221"/>
      <c r="AC480" s="221"/>
      <c r="AD480" s="221"/>
      <c r="AE480" s="221"/>
      <c r="AF480" s="221"/>
      <c r="AG480" s="221"/>
      <c r="AH480" s="221"/>
      <c r="AI480" s="221"/>
      <c r="AJ480" s="221"/>
      <c r="AK480" s="221"/>
      <c r="AL480" s="221"/>
      <c r="AM480" s="221"/>
      <c r="AN480" s="221"/>
      <c r="AO480" s="221"/>
      <c r="AP480" s="221"/>
      <c r="AQ480" s="221"/>
      <c r="AR480" s="221"/>
    </row>
    <row r="481" spans="1:44" s="384" customFormat="1" ht="12" customHeight="1">
      <c r="A481" s="221"/>
      <c r="P481" s="290"/>
      <c r="X481" s="221"/>
      <c r="Y481" s="221"/>
      <c r="Z481" s="221"/>
      <c r="AA481" s="221"/>
      <c r="AB481" s="221"/>
      <c r="AC481" s="221"/>
      <c r="AD481" s="221"/>
      <c r="AE481" s="221"/>
      <c r="AF481" s="221"/>
      <c r="AG481" s="221"/>
      <c r="AH481" s="221"/>
      <c r="AI481" s="221"/>
      <c r="AJ481" s="221"/>
      <c r="AK481" s="221"/>
      <c r="AL481" s="221"/>
      <c r="AM481" s="221"/>
      <c r="AN481" s="221"/>
      <c r="AO481" s="221"/>
      <c r="AP481" s="221"/>
      <c r="AQ481" s="221"/>
      <c r="AR481" s="221"/>
    </row>
    <row r="482" spans="1:44" s="384" customFormat="1" ht="12" customHeight="1">
      <c r="A482" s="221"/>
      <c r="P482" s="290"/>
      <c r="X482" s="221"/>
      <c r="Y482" s="221"/>
      <c r="Z482" s="221"/>
      <c r="AA482" s="221"/>
      <c r="AB482" s="221"/>
      <c r="AC482" s="221"/>
      <c r="AD482" s="221"/>
      <c r="AE482" s="221"/>
      <c r="AF482" s="221"/>
      <c r="AG482" s="221"/>
      <c r="AH482" s="221"/>
      <c r="AI482" s="221"/>
      <c r="AJ482" s="221"/>
      <c r="AK482" s="221"/>
      <c r="AL482" s="221"/>
      <c r="AM482" s="221"/>
      <c r="AN482" s="221"/>
      <c r="AO482" s="221"/>
      <c r="AP482" s="221"/>
      <c r="AQ482" s="221"/>
      <c r="AR482" s="221"/>
    </row>
    <row r="483" spans="1:44" s="384" customFormat="1" ht="12" customHeight="1">
      <c r="A483" s="221"/>
      <c r="P483" s="290"/>
      <c r="X483" s="221"/>
      <c r="Y483" s="221"/>
      <c r="Z483" s="221"/>
      <c r="AA483" s="221"/>
      <c r="AB483" s="221"/>
      <c r="AC483" s="221"/>
      <c r="AD483" s="221"/>
      <c r="AE483" s="221"/>
      <c r="AF483" s="221"/>
      <c r="AG483" s="221"/>
      <c r="AH483" s="221"/>
      <c r="AI483" s="221"/>
      <c r="AJ483" s="221"/>
      <c r="AK483" s="221"/>
      <c r="AL483" s="221"/>
      <c r="AM483" s="221"/>
      <c r="AN483" s="221"/>
      <c r="AO483" s="221"/>
      <c r="AP483" s="221"/>
      <c r="AQ483" s="221"/>
      <c r="AR483" s="221"/>
    </row>
    <row r="484" spans="1:44" s="384" customFormat="1" ht="12" customHeight="1">
      <c r="A484" s="221"/>
      <c r="P484" s="290"/>
      <c r="X484" s="221"/>
      <c r="Y484" s="221"/>
      <c r="Z484" s="221"/>
      <c r="AA484" s="221"/>
      <c r="AB484" s="221"/>
      <c r="AC484" s="221"/>
      <c r="AD484" s="221"/>
      <c r="AE484" s="221"/>
      <c r="AF484" s="221"/>
      <c r="AG484" s="221"/>
      <c r="AH484" s="221"/>
      <c r="AI484" s="221"/>
      <c r="AJ484" s="221"/>
      <c r="AK484" s="221"/>
      <c r="AL484" s="221"/>
      <c r="AM484" s="221"/>
      <c r="AN484" s="221"/>
      <c r="AO484" s="221"/>
      <c r="AP484" s="221"/>
      <c r="AQ484" s="221"/>
      <c r="AR484" s="221"/>
    </row>
    <row r="485" spans="1:44" s="384" customFormat="1" ht="12" customHeight="1">
      <c r="A485" s="221"/>
      <c r="P485" s="290"/>
      <c r="X485" s="221"/>
      <c r="Y485" s="221"/>
      <c r="Z485" s="221"/>
      <c r="AA485" s="221"/>
      <c r="AB485" s="221"/>
      <c r="AC485" s="221"/>
      <c r="AD485" s="221"/>
      <c r="AE485" s="221"/>
      <c r="AF485" s="221"/>
      <c r="AG485" s="221"/>
      <c r="AH485" s="221"/>
      <c r="AI485" s="221"/>
      <c r="AJ485" s="221"/>
      <c r="AK485" s="221"/>
      <c r="AL485" s="221"/>
      <c r="AM485" s="221"/>
      <c r="AN485" s="221"/>
      <c r="AO485" s="221"/>
      <c r="AP485" s="221"/>
      <c r="AQ485" s="221"/>
      <c r="AR485" s="221"/>
    </row>
    <row r="486" spans="1:44" s="384" customFormat="1" ht="12" customHeight="1">
      <c r="A486" s="221"/>
      <c r="P486" s="3098"/>
      <c r="X486" s="221"/>
      <c r="Y486" s="221"/>
      <c r="Z486" s="221"/>
      <c r="AA486" s="221"/>
      <c r="AB486" s="221"/>
      <c r="AC486" s="221"/>
      <c r="AD486" s="221"/>
      <c r="AE486" s="221"/>
      <c r="AF486" s="221"/>
      <c r="AG486" s="221"/>
      <c r="AH486" s="221"/>
      <c r="AI486" s="221"/>
      <c r="AJ486" s="221"/>
      <c r="AK486" s="221"/>
      <c r="AL486" s="221"/>
      <c r="AM486" s="221"/>
      <c r="AN486" s="221"/>
      <c r="AO486" s="221"/>
      <c r="AP486" s="221"/>
      <c r="AQ486" s="221"/>
      <c r="AR486" s="221"/>
    </row>
    <row r="487" spans="1:44" s="384" customFormat="1" ht="12" customHeight="1">
      <c r="A487" s="221"/>
      <c r="P487" s="290"/>
      <c r="X487" s="221"/>
      <c r="Y487" s="221"/>
      <c r="Z487" s="221"/>
      <c r="AA487" s="221"/>
      <c r="AB487" s="221"/>
      <c r="AC487" s="221"/>
      <c r="AD487" s="221"/>
      <c r="AE487" s="221"/>
      <c r="AF487" s="221"/>
      <c r="AG487" s="221"/>
      <c r="AH487" s="221"/>
      <c r="AI487" s="221"/>
      <c r="AJ487" s="221"/>
      <c r="AK487" s="221"/>
      <c r="AL487" s="221"/>
      <c r="AM487" s="221"/>
      <c r="AN487" s="221"/>
      <c r="AO487" s="221"/>
      <c r="AP487" s="221"/>
      <c r="AQ487" s="221"/>
      <c r="AR487" s="221"/>
    </row>
    <row r="488" spans="1:44" s="384" customFormat="1" ht="12" customHeight="1">
      <c r="A488" s="221"/>
      <c r="P488" s="290"/>
      <c r="X488" s="221"/>
      <c r="Y488" s="221"/>
      <c r="Z488" s="221"/>
      <c r="AA488" s="221"/>
      <c r="AB488" s="221"/>
      <c r="AC488" s="221"/>
      <c r="AD488" s="221"/>
      <c r="AE488" s="221"/>
      <c r="AF488" s="221"/>
      <c r="AG488" s="221"/>
      <c r="AH488" s="221"/>
      <c r="AI488" s="221"/>
      <c r="AJ488" s="221"/>
      <c r="AK488" s="221"/>
      <c r="AL488" s="221"/>
      <c r="AM488" s="221"/>
      <c r="AN488" s="221"/>
      <c r="AO488" s="221"/>
      <c r="AP488" s="221"/>
      <c r="AQ488" s="221"/>
      <c r="AR488" s="221"/>
    </row>
    <row r="489" spans="1:44" s="384" customFormat="1" ht="12" customHeight="1">
      <c r="A489" s="221"/>
      <c r="P489" s="290"/>
      <c r="X489" s="221"/>
      <c r="Y489" s="221"/>
      <c r="Z489" s="221"/>
      <c r="AA489" s="221"/>
      <c r="AB489" s="221"/>
      <c r="AC489" s="221"/>
      <c r="AD489" s="221"/>
      <c r="AE489" s="221"/>
      <c r="AF489" s="221"/>
      <c r="AG489" s="221"/>
      <c r="AH489" s="221"/>
      <c r="AI489" s="221"/>
      <c r="AJ489" s="221"/>
      <c r="AK489" s="221"/>
      <c r="AL489" s="221"/>
      <c r="AM489" s="221"/>
      <c r="AN489" s="221"/>
      <c r="AO489" s="221"/>
      <c r="AP489" s="221"/>
      <c r="AQ489" s="221"/>
      <c r="AR489" s="221"/>
    </row>
    <row r="490" spans="1:44" s="384" customFormat="1" ht="12" customHeight="1">
      <c r="A490" s="221"/>
      <c r="P490" s="290"/>
      <c r="X490" s="221"/>
      <c r="Y490" s="221"/>
      <c r="Z490" s="221"/>
      <c r="AA490" s="221"/>
      <c r="AB490" s="221"/>
      <c r="AC490" s="221"/>
      <c r="AD490" s="221"/>
      <c r="AE490" s="221"/>
      <c r="AF490" s="221"/>
      <c r="AG490" s="221"/>
      <c r="AH490" s="221"/>
      <c r="AI490" s="221"/>
      <c r="AJ490" s="221"/>
      <c r="AK490" s="221"/>
      <c r="AL490" s="221"/>
      <c r="AM490" s="221"/>
      <c r="AN490" s="221"/>
      <c r="AO490" s="221"/>
      <c r="AP490" s="221"/>
      <c r="AQ490" s="221"/>
      <c r="AR490" s="221"/>
    </row>
    <row r="491" spans="1:44" s="384" customFormat="1" ht="12" customHeight="1">
      <c r="A491" s="221"/>
      <c r="P491" s="290"/>
      <c r="X491" s="221"/>
      <c r="Y491" s="221"/>
      <c r="Z491" s="221"/>
      <c r="AA491" s="221"/>
      <c r="AB491" s="221"/>
      <c r="AC491" s="221"/>
      <c r="AD491" s="221"/>
      <c r="AE491" s="221"/>
      <c r="AF491" s="221"/>
      <c r="AG491" s="221"/>
      <c r="AH491" s="221"/>
      <c r="AI491" s="221"/>
      <c r="AJ491" s="221"/>
      <c r="AK491" s="221"/>
      <c r="AL491" s="221"/>
      <c r="AM491" s="221"/>
      <c r="AN491" s="221"/>
      <c r="AO491" s="221"/>
      <c r="AP491" s="221"/>
      <c r="AQ491" s="221"/>
      <c r="AR491" s="221"/>
    </row>
    <row r="492" spans="1:44" s="384" customFormat="1" ht="12" customHeight="1">
      <c r="A492" s="221"/>
      <c r="P492" s="290"/>
      <c r="X492" s="221"/>
      <c r="Y492" s="221"/>
      <c r="Z492" s="221"/>
      <c r="AA492" s="221"/>
      <c r="AB492" s="221"/>
      <c r="AC492" s="221"/>
      <c r="AD492" s="221"/>
      <c r="AE492" s="221"/>
      <c r="AF492" s="221"/>
      <c r="AG492" s="221"/>
      <c r="AH492" s="221"/>
      <c r="AI492" s="221"/>
      <c r="AJ492" s="221"/>
      <c r="AK492" s="221"/>
      <c r="AL492" s="221"/>
      <c r="AM492" s="221"/>
      <c r="AN492" s="221"/>
      <c r="AO492" s="221"/>
      <c r="AP492" s="221"/>
      <c r="AQ492" s="221"/>
      <c r="AR492" s="221"/>
    </row>
    <row r="493" spans="1:44" s="384" customFormat="1" ht="12" customHeight="1">
      <c r="A493" s="221"/>
      <c r="P493" s="290"/>
      <c r="X493" s="221"/>
      <c r="Y493" s="221"/>
      <c r="Z493" s="221"/>
      <c r="AA493" s="221"/>
      <c r="AB493" s="221"/>
      <c r="AC493" s="221"/>
      <c r="AD493" s="221"/>
      <c r="AE493" s="221"/>
      <c r="AF493" s="221"/>
      <c r="AG493" s="221"/>
      <c r="AH493" s="221"/>
      <c r="AI493" s="221"/>
      <c r="AJ493" s="221"/>
      <c r="AK493" s="221"/>
      <c r="AL493" s="221"/>
      <c r="AM493" s="221"/>
      <c r="AN493" s="221"/>
      <c r="AO493" s="221"/>
      <c r="AP493" s="221"/>
      <c r="AQ493" s="221"/>
      <c r="AR493" s="221"/>
    </row>
    <row r="494" spans="1:44" s="384" customFormat="1" ht="12" customHeight="1">
      <c r="A494" s="221"/>
      <c r="P494" s="290"/>
      <c r="X494" s="221"/>
      <c r="Y494" s="221"/>
      <c r="Z494" s="221"/>
      <c r="AA494" s="221"/>
      <c r="AB494" s="221"/>
      <c r="AC494" s="221"/>
      <c r="AD494" s="221"/>
      <c r="AE494" s="221"/>
      <c r="AF494" s="221"/>
      <c r="AG494" s="221"/>
      <c r="AH494" s="221"/>
      <c r="AI494" s="221"/>
      <c r="AJ494" s="221"/>
      <c r="AK494" s="221"/>
      <c r="AL494" s="221"/>
      <c r="AM494" s="221"/>
      <c r="AN494" s="221"/>
      <c r="AO494" s="221"/>
      <c r="AP494" s="221"/>
      <c r="AQ494" s="221"/>
      <c r="AR494" s="221"/>
    </row>
    <row r="495" spans="1:44" s="384" customFormat="1" ht="12" customHeight="1">
      <c r="A495" s="221"/>
      <c r="P495" s="3098"/>
      <c r="X495" s="221"/>
      <c r="Y495" s="221"/>
      <c r="Z495" s="221"/>
      <c r="AA495" s="221"/>
      <c r="AB495" s="221"/>
      <c r="AC495" s="221"/>
      <c r="AD495" s="221"/>
      <c r="AE495" s="221"/>
      <c r="AF495" s="221"/>
      <c r="AG495" s="221"/>
      <c r="AH495" s="221"/>
      <c r="AI495" s="221"/>
      <c r="AJ495" s="221"/>
      <c r="AK495" s="221"/>
      <c r="AL495" s="221"/>
      <c r="AM495" s="221"/>
      <c r="AN495" s="221"/>
      <c r="AO495" s="221"/>
      <c r="AP495" s="221"/>
      <c r="AQ495" s="221"/>
      <c r="AR495" s="221"/>
    </row>
    <row r="496" spans="1:44" s="384" customFormat="1" ht="12" customHeight="1">
      <c r="A496" s="221"/>
      <c r="P496" s="3098"/>
      <c r="X496" s="221"/>
      <c r="Y496" s="221"/>
      <c r="Z496" s="221"/>
      <c r="AA496" s="221"/>
      <c r="AB496" s="221"/>
      <c r="AC496" s="221"/>
      <c r="AD496" s="221"/>
      <c r="AE496" s="221"/>
      <c r="AF496" s="221"/>
      <c r="AG496" s="221"/>
      <c r="AH496" s="221"/>
      <c r="AI496" s="221"/>
      <c r="AJ496" s="221"/>
      <c r="AK496" s="221"/>
      <c r="AL496" s="221"/>
      <c r="AM496" s="221"/>
      <c r="AN496" s="221"/>
      <c r="AO496" s="221"/>
      <c r="AP496" s="221"/>
      <c r="AQ496" s="221"/>
      <c r="AR496" s="221"/>
    </row>
    <row r="497" spans="1:44" s="384" customFormat="1" ht="12" customHeight="1">
      <c r="A497" s="221"/>
      <c r="P497" s="290"/>
      <c r="X497" s="221"/>
      <c r="Y497" s="221"/>
      <c r="Z497" s="221"/>
      <c r="AA497" s="221"/>
      <c r="AB497" s="221"/>
      <c r="AC497" s="221"/>
      <c r="AD497" s="221"/>
      <c r="AE497" s="221"/>
      <c r="AF497" s="221"/>
      <c r="AG497" s="221"/>
      <c r="AH497" s="221"/>
      <c r="AI497" s="221"/>
      <c r="AJ497" s="221"/>
      <c r="AK497" s="221"/>
      <c r="AL497" s="221"/>
      <c r="AM497" s="221"/>
      <c r="AN497" s="221"/>
      <c r="AO497" s="221"/>
      <c r="AP497" s="221"/>
      <c r="AQ497" s="221"/>
      <c r="AR497" s="221"/>
    </row>
    <row r="498" spans="1:44" s="384" customFormat="1" ht="12" customHeight="1">
      <c r="A498" s="221"/>
      <c r="P498" s="290"/>
      <c r="X498" s="221"/>
      <c r="Y498" s="221"/>
      <c r="Z498" s="221"/>
      <c r="AA498" s="221"/>
      <c r="AB498" s="221"/>
      <c r="AC498" s="221"/>
      <c r="AD498" s="221"/>
      <c r="AE498" s="221"/>
      <c r="AF498" s="221"/>
      <c r="AG498" s="221"/>
      <c r="AH498" s="221"/>
      <c r="AI498" s="221"/>
      <c r="AJ498" s="221"/>
      <c r="AK498" s="221"/>
      <c r="AL498" s="221"/>
      <c r="AM498" s="221"/>
      <c r="AN498" s="221"/>
      <c r="AO498" s="221"/>
      <c r="AP498" s="221"/>
      <c r="AQ498" s="221"/>
      <c r="AR498" s="221"/>
    </row>
    <row r="499" spans="1:44" s="384" customFormat="1" ht="12" customHeight="1">
      <c r="A499" s="221"/>
      <c r="P499" s="290"/>
      <c r="X499" s="221"/>
      <c r="Y499" s="221"/>
      <c r="Z499" s="221"/>
      <c r="AA499" s="221"/>
      <c r="AB499" s="221"/>
      <c r="AC499" s="221"/>
      <c r="AD499" s="221"/>
      <c r="AE499" s="221"/>
      <c r="AF499" s="221"/>
      <c r="AG499" s="221"/>
      <c r="AH499" s="221"/>
      <c r="AI499" s="221"/>
      <c r="AJ499" s="221"/>
      <c r="AK499" s="221"/>
      <c r="AL499" s="221"/>
      <c r="AM499" s="221"/>
      <c r="AN499" s="221"/>
      <c r="AO499" s="221"/>
      <c r="AP499" s="221"/>
      <c r="AQ499" s="221"/>
      <c r="AR499" s="221"/>
    </row>
    <row r="500" spans="1:44" s="384" customFormat="1" ht="12" customHeight="1">
      <c r="A500" s="221"/>
      <c r="P500" s="290"/>
      <c r="X500" s="221"/>
      <c r="Y500" s="221"/>
      <c r="Z500" s="221"/>
      <c r="AA500" s="221"/>
      <c r="AB500" s="221"/>
      <c r="AC500" s="221"/>
      <c r="AD500" s="221"/>
      <c r="AE500" s="221"/>
      <c r="AF500" s="221"/>
      <c r="AG500" s="221"/>
      <c r="AH500" s="221"/>
      <c r="AI500" s="221"/>
      <c r="AJ500" s="221"/>
      <c r="AK500" s="221"/>
      <c r="AL500" s="221"/>
      <c r="AM500" s="221"/>
      <c r="AN500" s="221"/>
      <c r="AO500" s="221"/>
      <c r="AP500" s="221"/>
      <c r="AQ500" s="221"/>
      <c r="AR500" s="221"/>
    </row>
    <row r="501" spans="1:44" s="384" customFormat="1" ht="12" customHeight="1">
      <c r="A501" s="221"/>
      <c r="P501" s="290"/>
      <c r="X501" s="221"/>
      <c r="Y501" s="221"/>
      <c r="Z501" s="221"/>
      <c r="AA501" s="221"/>
      <c r="AB501" s="221"/>
      <c r="AC501" s="221"/>
      <c r="AD501" s="221"/>
      <c r="AE501" s="221"/>
      <c r="AF501" s="221"/>
      <c r="AG501" s="221"/>
      <c r="AH501" s="221"/>
      <c r="AI501" s="221"/>
      <c r="AJ501" s="221"/>
      <c r="AK501" s="221"/>
      <c r="AL501" s="221"/>
      <c r="AM501" s="221"/>
      <c r="AN501" s="221"/>
      <c r="AO501" s="221"/>
      <c r="AP501" s="221"/>
      <c r="AQ501" s="221"/>
      <c r="AR501" s="221"/>
    </row>
    <row r="502" spans="1:44" s="384" customFormat="1" ht="12" customHeight="1">
      <c r="A502" s="221"/>
      <c r="P502" s="290"/>
      <c r="X502" s="221"/>
      <c r="Y502" s="221"/>
      <c r="Z502" s="221"/>
      <c r="AA502" s="221"/>
      <c r="AB502" s="221"/>
      <c r="AC502" s="221"/>
      <c r="AD502" s="221"/>
      <c r="AE502" s="221"/>
      <c r="AF502" s="221"/>
      <c r="AG502" s="221"/>
      <c r="AH502" s="221"/>
      <c r="AI502" s="221"/>
      <c r="AJ502" s="221"/>
      <c r="AK502" s="221"/>
      <c r="AL502" s="221"/>
      <c r="AM502" s="221"/>
      <c r="AN502" s="221"/>
      <c r="AO502" s="221"/>
      <c r="AP502" s="221"/>
      <c r="AQ502" s="221"/>
      <c r="AR502" s="221"/>
    </row>
    <row r="503" spans="1:44" s="384" customFormat="1" ht="12" customHeight="1">
      <c r="A503" s="221"/>
      <c r="P503" s="290"/>
      <c r="X503" s="221"/>
      <c r="Y503" s="221"/>
      <c r="Z503" s="221"/>
      <c r="AA503" s="221"/>
      <c r="AB503" s="221"/>
      <c r="AC503" s="221"/>
      <c r="AD503" s="221"/>
      <c r="AE503" s="221"/>
      <c r="AF503" s="221"/>
      <c r="AG503" s="221"/>
      <c r="AH503" s="221"/>
      <c r="AI503" s="221"/>
      <c r="AJ503" s="221"/>
      <c r="AK503" s="221"/>
      <c r="AL503" s="221"/>
      <c r="AM503" s="221"/>
      <c r="AN503" s="221"/>
      <c r="AO503" s="221"/>
      <c r="AP503" s="221"/>
      <c r="AQ503" s="221"/>
      <c r="AR503" s="221"/>
    </row>
    <row r="504" spans="1:44" s="384" customFormat="1" ht="12" customHeight="1">
      <c r="A504" s="221"/>
      <c r="P504" s="290"/>
      <c r="X504" s="221"/>
      <c r="Y504" s="221"/>
      <c r="Z504" s="221"/>
      <c r="AA504" s="221"/>
      <c r="AB504" s="221"/>
      <c r="AC504" s="221"/>
      <c r="AD504" s="221"/>
      <c r="AE504" s="221"/>
      <c r="AF504" s="221"/>
      <c r="AG504" s="221"/>
      <c r="AH504" s="221"/>
      <c r="AI504" s="221"/>
      <c r="AJ504" s="221"/>
      <c r="AK504" s="221"/>
      <c r="AL504" s="221"/>
      <c r="AM504" s="221"/>
      <c r="AN504" s="221"/>
      <c r="AO504" s="221"/>
      <c r="AP504" s="221"/>
      <c r="AQ504" s="221"/>
      <c r="AR504" s="221"/>
    </row>
    <row r="505" spans="1:44" s="384" customFormat="1" ht="12" customHeight="1">
      <c r="A505" s="221"/>
      <c r="P505" s="290"/>
      <c r="X505" s="221"/>
      <c r="Y505" s="221"/>
      <c r="Z505" s="221"/>
      <c r="AA505" s="221"/>
      <c r="AB505" s="221"/>
      <c r="AC505" s="221"/>
      <c r="AD505" s="221"/>
      <c r="AE505" s="221"/>
      <c r="AF505" s="221"/>
      <c r="AG505" s="221"/>
      <c r="AH505" s="221"/>
      <c r="AI505" s="221"/>
      <c r="AJ505" s="221"/>
      <c r="AK505" s="221"/>
      <c r="AL505" s="221"/>
      <c r="AM505" s="221"/>
      <c r="AN505" s="221"/>
      <c r="AO505" s="221"/>
      <c r="AP505" s="221"/>
      <c r="AQ505" s="221"/>
      <c r="AR505" s="221"/>
    </row>
    <row r="506" spans="1:44" s="384" customFormat="1" ht="12" customHeight="1">
      <c r="A506" s="221"/>
      <c r="P506" s="3098"/>
      <c r="X506" s="221"/>
      <c r="Y506" s="221"/>
      <c r="Z506" s="221"/>
      <c r="AA506" s="221"/>
      <c r="AB506" s="221"/>
      <c r="AC506" s="221"/>
      <c r="AD506" s="221"/>
      <c r="AE506" s="221"/>
      <c r="AF506" s="221"/>
      <c r="AG506" s="221"/>
      <c r="AH506" s="221"/>
      <c r="AI506" s="221"/>
      <c r="AJ506" s="221"/>
      <c r="AK506" s="221"/>
      <c r="AL506" s="221"/>
      <c r="AM506" s="221"/>
      <c r="AN506" s="221"/>
      <c r="AO506" s="221"/>
      <c r="AP506" s="221"/>
      <c r="AQ506" s="221"/>
      <c r="AR506" s="221"/>
    </row>
    <row r="507" spans="1:44" s="384" customFormat="1" ht="12" customHeight="1">
      <c r="A507" s="221"/>
      <c r="P507" s="290"/>
      <c r="X507" s="221"/>
      <c r="Y507" s="221"/>
      <c r="Z507" s="221"/>
      <c r="AA507" s="221"/>
      <c r="AB507" s="221"/>
      <c r="AC507" s="221"/>
      <c r="AD507" s="221"/>
      <c r="AE507" s="221"/>
      <c r="AF507" s="221"/>
      <c r="AG507" s="221"/>
      <c r="AH507" s="221"/>
      <c r="AI507" s="221"/>
      <c r="AJ507" s="221"/>
      <c r="AK507" s="221"/>
      <c r="AL507" s="221"/>
      <c r="AM507" s="221"/>
      <c r="AN507" s="221"/>
      <c r="AO507" s="221"/>
      <c r="AP507" s="221"/>
      <c r="AQ507" s="221"/>
      <c r="AR507" s="221"/>
    </row>
    <row r="508" spans="1:44" s="384" customFormat="1" ht="12" customHeight="1">
      <c r="A508" s="221"/>
      <c r="P508" s="3097"/>
      <c r="X508" s="221"/>
      <c r="Y508" s="221"/>
      <c r="Z508" s="221"/>
      <c r="AA508" s="221"/>
      <c r="AB508" s="221"/>
      <c r="AC508" s="221"/>
      <c r="AD508" s="221"/>
      <c r="AE508" s="221"/>
      <c r="AF508" s="221"/>
      <c r="AG508" s="221"/>
      <c r="AH508" s="221"/>
      <c r="AI508" s="221"/>
      <c r="AJ508" s="221"/>
      <c r="AK508" s="221"/>
      <c r="AL508" s="221"/>
      <c r="AM508" s="221"/>
      <c r="AN508" s="221"/>
      <c r="AO508" s="221"/>
      <c r="AP508" s="221"/>
      <c r="AQ508" s="221"/>
      <c r="AR508" s="221"/>
    </row>
    <row r="509" spans="1:44" s="384" customFormat="1" ht="12" customHeight="1">
      <c r="A509" s="221"/>
      <c r="P509" s="3097"/>
      <c r="X509" s="221"/>
      <c r="Y509" s="221"/>
      <c r="Z509" s="221"/>
      <c r="AA509" s="221"/>
      <c r="AB509" s="221"/>
      <c r="AC509" s="221"/>
      <c r="AD509" s="221"/>
      <c r="AE509" s="221"/>
      <c r="AF509" s="221"/>
      <c r="AG509" s="221"/>
      <c r="AH509" s="221"/>
      <c r="AI509" s="221"/>
      <c r="AJ509" s="221"/>
      <c r="AK509" s="221"/>
      <c r="AL509" s="221"/>
      <c r="AM509" s="221"/>
      <c r="AN509" s="221"/>
      <c r="AO509" s="221"/>
      <c r="AP509" s="221"/>
      <c r="AQ509" s="221"/>
      <c r="AR509" s="221"/>
    </row>
    <row r="510" spans="1:44" s="384" customFormat="1" ht="12" customHeight="1">
      <c r="A510" s="221"/>
      <c r="P510" s="290"/>
      <c r="X510" s="221"/>
      <c r="Y510" s="221"/>
      <c r="Z510" s="221"/>
      <c r="AA510" s="221"/>
      <c r="AB510" s="221"/>
      <c r="AC510" s="221"/>
      <c r="AD510" s="221"/>
      <c r="AE510" s="221"/>
      <c r="AF510" s="221"/>
      <c r="AG510" s="221"/>
      <c r="AH510" s="221"/>
      <c r="AI510" s="221"/>
      <c r="AJ510" s="221"/>
      <c r="AK510" s="221"/>
      <c r="AL510" s="221"/>
      <c r="AM510" s="221"/>
      <c r="AN510" s="221"/>
      <c r="AO510" s="221"/>
      <c r="AP510" s="221"/>
      <c r="AQ510" s="221"/>
      <c r="AR510" s="221"/>
    </row>
    <row r="511" spans="1:44" s="384" customFormat="1" ht="12" customHeight="1">
      <c r="A511" s="221"/>
      <c r="P511" s="290"/>
      <c r="X511" s="221"/>
      <c r="Y511" s="221"/>
      <c r="Z511" s="221"/>
      <c r="AA511" s="221"/>
      <c r="AB511" s="221"/>
      <c r="AC511" s="221"/>
      <c r="AD511" s="221"/>
      <c r="AE511" s="221"/>
      <c r="AF511" s="221"/>
      <c r="AG511" s="221"/>
      <c r="AH511" s="221"/>
      <c r="AI511" s="221"/>
      <c r="AJ511" s="221"/>
      <c r="AK511" s="221"/>
      <c r="AL511" s="221"/>
      <c r="AM511" s="221"/>
      <c r="AN511" s="221"/>
      <c r="AO511" s="221"/>
      <c r="AP511" s="221"/>
      <c r="AQ511" s="221"/>
      <c r="AR511" s="221"/>
    </row>
    <row r="512" spans="1:44" s="384" customFormat="1" ht="12" customHeight="1">
      <c r="A512" s="221"/>
      <c r="P512" s="290"/>
      <c r="X512" s="221"/>
      <c r="Y512" s="221"/>
      <c r="Z512" s="221"/>
      <c r="AA512" s="221"/>
      <c r="AB512" s="221"/>
      <c r="AC512" s="221"/>
      <c r="AD512" s="221"/>
      <c r="AE512" s="221"/>
      <c r="AF512" s="221"/>
      <c r="AG512" s="221"/>
      <c r="AH512" s="221"/>
      <c r="AI512" s="221"/>
      <c r="AJ512" s="221"/>
      <c r="AK512" s="221"/>
      <c r="AL512" s="221"/>
      <c r="AM512" s="221"/>
      <c r="AN512" s="221"/>
      <c r="AO512" s="221"/>
      <c r="AP512" s="221"/>
      <c r="AQ512" s="221"/>
      <c r="AR512" s="221"/>
    </row>
    <row r="513" spans="1:44" s="384" customFormat="1" ht="12" customHeight="1">
      <c r="A513" s="221"/>
      <c r="P513" s="290"/>
      <c r="X513" s="221"/>
      <c r="Y513" s="221"/>
      <c r="Z513" s="221"/>
      <c r="AA513" s="221"/>
      <c r="AB513" s="221"/>
      <c r="AC513" s="221"/>
      <c r="AD513" s="221"/>
      <c r="AE513" s="221"/>
      <c r="AF513" s="221"/>
      <c r="AG513" s="221"/>
      <c r="AH513" s="221"/>
      <c r="AI513" s="221"/>
      <c r="AJ513" s="221"/>
      <c r="AK513" s="221"/>
      <c r="AL513" s="221"/>
      <c r="AM513" s="221"/>
      <c r="AN513" s="221"/>
      <c r="AO513" s="221"/>
      <c r="AP513" s="221"/>
      <c r="AQ513" s="221"/>
      <c r="AR513" s="221"/>
    </row>
    <row r="514" spans="1:44" s="384" customFormat="1" ht="12" customHeight="1">
      <c r="A514" s="221"/>
      <c r="P514" s="290"/>
      <c r="X514" s="221"/>
      <c r="Y514" s="221"/>
      <c r="Z514" s="221"/>
      <c r="AA514" s="221"/>
      <c r="AB514" s="221"/>
      <c r="AC514" s="221"/>
      <c r="AD514" s="221"/>
      <c r="AE514" s="221"/>
      <c r="AF514" s="221"/>
      <c r="AG514" s="221"/>
      <c r="AH514" s="221"/>
      <c r="AI514" s="221"/>
      <c r="AJ514" s="221"/>
      <c r="AK514" s="221"/>
      <c r="AL514" s="221"/>
      <c r="AM514" s="221"/>
      <c r="AN514" s="221"/>
      <c r="AO514" s="221"/>
      <c r="AP514" s="221"/>
      <c r="AQ514" s="221"/>
      <c r="AR514" s="221"/>
    </row>
    <row r="515" spans="1:44" s="384" customFormat="1" ht="12" customHeight="1">
      <c r="A515" s="221"/>
      <c r="P515" s="290"/>
      <c r="X515" s="221"/>
      <c r="Y515" s="221"/>
      <c r="Z515" s="221"/>
      <c r="AA515" s="221"/>
      <c r="AB515" s="221"/>
      <c r="AC515" s="221"/>
      <c r="AD515" s="221"/>
      <c r="AE515" s="221"/>
      <c r="AF515" s="221"/>
      <c r="AG515" s="221"/>
      <c r="AH515" s="221"/>
      <c r="AI515" s="221"/>
      <c r="AJ515" s="221"/>
      <c r="AK515" s="221"/>
      <c r="AL515" s="221"/>
      <c r="AM515" s="221"/>
      <c r="AN515" s="221"/>
      <c r="AO515" s="221"/>
      <c r="AP515" s="221"/>
      <c r="AQ515" s="221"/>
      <c r="AR515" s="221"/>
    </row>
    <row r="516" spans="1:44" s="384" customFormat="1" ht="12" customHeight="1">
      <c r="A516" s="221"/>
      <c r="P516" s="290"/>
      <c r="X516" s="221"/>
      <c r="Y516" s="221"/>
      <c r="Z516" s="221"/>
      <c r="AA516" s="221"/>
      <c r="AB516" s="221"/>
      <c r="AC516" s="221"/>
      <c r="AD516" s="221"/>
      <c r="AE516" s="221"/>
      <c r="AF516" s="221"/>
      <c r="AG516" s="221"/>
      <c r="AH516" s="221"/>
      <c r="AI516" s="221"/>
      <c r="AJ516" s="221"/>
      <c r="AK516" s="221"/>
      <c r="AL516" s="221"/>
      <c r="AM516" s="221"/>
      <c r="AN516" s="221"/>
      <c r="AO516" s="221"/>
      <c r="AP516" s="221"/>
      <c r="AQ516" s="221"/>
      <c r="AR516" s="221"/>
    </row>
    <row r="517" spans="1:44" s="384" customFormat="1" ht="12" customHeight="1">
      <c r="A517" s="221"/>
      <c r="P517" s="290"/>
      <c r="X517" s="221"/>
      <c r="Y517" s="221"/>
      <c r="Z517" s="221"/>
      <c r="AA517" s="221"/>
      <c r="AB517" s="221"/>
      <c r="AC517" s="221"/>
      <c r="AD517" s="221"/>
      <c r="AE517" s="221"/>
      <c r="AF517" s="221"/>
      <c r="AG517" s="221"/>
      <c r="AH517" s="221"/>
      <c r="AI517" s="221"/>
      <c r="AJ517" s="221"/>
      <c r="AK517" s="221"/>
      <c r="AL517" s="221"/>
      <c r="AM517" s="221"/>
      <c r="AN517" s="221"/>
      <c r="AO517" s="221"/>
      <c r="AP517" s="221"/>
      <c r="AQ517" s="221"/>
      <c r="AR517" s="221"/>
    </row>
    <row r="518" spans="1:44" s="384" customFormat="1" ht="12" customHeight="1">
      <c r="A518" s="221"/>
      <c r="P518" s="290"/>
      <c r="X518" s="221"/>
      <c r="Y518" s="221"/>
      <c r="Z518" s="221"/>
      <c r="AA518" s="221"/>
      <c r="AB518" s="221"/>
      <c r="AC518" s="221"/>
      <c r="AD518" s="221"/>
      <c r="AE518" s="221"/>
      <c r="AF518" s="221"/>
      <c r="AG518" s="221"/>
      <c r="AH518" s="221"/>
      <c r="AI518" s="221"/>
      <c r="AJ518" s="221"/>
      <c r="AK518" s="221"/>
      <c r="AL518" s="221"/>
      <c r="AM518" s="221"/>
      <c r="AN518" s="221"/>
      <c r="AO518" s="221"/>
      <c r="AP518" s="221"/>
      <c r="AQ518" s="221"/>
      <c r="AR518" s="221"/>
    </row>
    <row r="519" spans="1:44" s="384" customFormat="1" ht="12" customHeight="1">
      <c r="A519" s="221"/>
      <c r="P519" s="290"/>
      <c r="X519" s="221"/>
      <c r="Y519" s="221"/>
      <c r="Z519" s="221"/>
      <c r="AA519" s="221"/>
      <c r="AB519" s="221"/>
      <c r="AC519" s="221"/>
      <c r="AD519" s="221"/>
      <c r="AE519" s="221"/>
      <c r="AF519" s="221"/>
      <c r="AG519" s="221"/>
      <c r="AH519" s="221"/>
      <c r="AI519" s="221"/>
      <c r="AJ519" s="221"/>
      <c r="AK519" s="221"/>
      <c r="AL519" s="221"/>
      <c r="AM519" s="221"/>
      <c r="AN519" s="221"/>
      <c r="AO519" s="221"/>
      <c r="AP519" s="221"/>
      <c r="AQ519" s="221"/>
      <c r="AR519" s="221"/>
    </row>
    <row r="520" spans="1:44" s="384" customFormat="1" ht="12" customHeight="1">
      <c r="A520" s="221"/>
      <c r="P520" s="290"/>
      <c r="X520" s="221"/>
      <c r="Y520" s="221"/>
      <c r="Z520" s="221"/>
      <c r="AA520" s="221"/>
      <c r="AB520" s="221"/>
      <c r="AC520" s="221"/>
      <c r="AD520" s="221"/>
      <c r="AE520" s="221"/>
      <c r="AF520" s="221"/>
      <c r="AG520" s="221"/>
      <c r="AH520" s="221"/>
      <c r="AI520" s="221"/>
      <c r="AJ520" s="221"/>
      <c r="AK520" s="221"/>
      <c r="AL520" s="221"/>
      <c r="AM520" s="221"/>
      <c r="AN520" s="221"/>
      <c r="AO520" s="221"/>
      <c r="AP520" s="221"/>
      <c r="AQ520" s="221"/>
      <c r="AR520" s="221"/>
    </row>
    <row r="521" spans="1:44" s="384" customFormat="1" ht="12" customHeight="1">
      <c r="A521" s="221"/>
      <c r="P521" s="290"/>
      <c r="X521" s="221"/>
      <c r="Y521" s="221"/>
      <c r="Z521" s="221"/>
      <c r="AA521" s="221"/>
      <c r="AB521" s="221"/>
      <c r="AC521" s="221"/>
      <c r="AD521" s="221"/>
      <c r="AE521" s="221"/>
      <c r="AF521" s="221"/>
      <c r="AG521" s="221"/>
      <c r="AH521" s="221"/>
      <c r="AI521" s="221"/>
      <c r="AJ521" s="221"/>
      <c r="AK521" s="221"/>
      <c r="AL521" s="221"/>
      <c r="AM521" s="221"/>
      <c r="AN521" s="221"/>
      <c r="AO521" s="221"/>
      <c r="AP521" s="221"/>
      <c r="AQ521" s="221"/>
      <c r="AR521" s="221"/>
    </row>
    <row r="522" spans="1:44" s="384" customFormat="1" ht="12" customHeight="1">
      <c r="A522" s="221"/>
      <c r="P522" s="290"/>
      <c r="X522" s="221"/>
      <c r="Y522" s="221"/>
      <c r="Z522" s="221"/>
      <c r="AA522" s="221"/>
      <c r="AB522" s="221"/>
      <c r="AC522" s="221"/>
      <c r="AD522" s="221"/>
      <c r="AE522" s="221"/>
      <c r="AF522" s="221"/>
      <c r="AG522" s="221"/>
      <c r="AH522" s="221"/>
      <c r="AI522" s="221"/>
      <c r="AJ522" s="221"/>
      <c r="AK522" s="221"/>
      <c r="AL522" s="221"/>
      <c r="AM522" s="221"/>
      <c r="AN522" s="221"/>
      <c r="AO522" s="221"/>
      <c r="AP522" s="221"/>
      <c r="AQ522" s="221"/>
      <c r="AR522" s="221"/>
    </row>
    <row r="523" spans="1:44" s="384" customFormat="1" ht="12" customHeight="1">
      <c r="A523" s="221"/>
      <c r="P523" s="290"/>
      <c r="X523" s="221"/>
      <c r="Y523" s="221"/>
      <c r="Z523" s="221"/>
      <c r="AA523" s="221"/>
      <c r="AB523" s="221"/>
      <c r="AC523" s="221"/>
      <c r="AD523" s="221"/>
      <c r="AE523" s="221"/>
      <c r="AF523" s="221"/>
      <c r="AG523" s="221"/>
      <c r="AH523" s="221"/>
      <c r="AI523" s="221"/>
      <c r="AJ523" s="221"/>
      <c r="AK523" s="221"/>
      <c r="AL523" s="221"/>
      <c r="AM523" s="221"/>
      <c r="AN523" s="221"/>
      <c r="AO523" s="221"/>
      <c r="AP523" s="221"/>
      <c r="AQ523" s="221"/>
      <c r="AR523" s="221"/>
    </row>
    <row r="524" spans="1:44" s="384" customFormat="1" ht="12" customHeight="1">
      <c r="A524" s="221"/>
      <c r="P524" s="3098"/>
      <c r="X524" s="221"/>
      <c r="Y524" s="221"/>
      <c r="Z524" s="221"/>
      <c r="AA524" s="221"/>
      <c r="AB524" s="221"/>
      <c r="AC524" s="221"/>
      <c r="AD524" s="221"/>
      <c r="AE524" s="221"/>
      <c r="AF524" s="221"/>
      <c r="AG524" s="221"/>
      <c r="AH524" s="221"/>
      <c r="AI524" s="221"/>
      <c r="AJ524" s="221"/>
      <c r="AK524" s="221"/>
      <c r="AL524" s="221"/>
      <c r="AM524" s="221"/>
      <c r="AN524" s="221"/>
      <c r="AO524" s="221"/>
      <c r="AP524" s="221"/>
      <c r="AQ524" s="221"/>
      <c r="AR524" s="221"/>
    </row>
    <row r="525" spans="1:44" s="384" customFormat="1" ht="12" customHeight="1">
      <c r="A525" s="221"/>
      <c r="P525" s="290"/>
      <c r="X525" s="221"/>
      <c r="Y525" s="221"/>
      <c r="Z525" s="221"/>
      <c r="AA525" s="221"/>
      <c r="AB525" s="221"/>
      <c r="AC525" s="221"/>
      <c r="AD525" s="221"/>
      <c r="AE525" s="221"/>
      <c r="AF525" s="221"/>
      <c r="AG525" s="221"/>
      <c r="AH525" s="221"/>
      <c r="AI525" s="221"/>
      <c r="AJ525" s="221"/>
      <c r="AK525" s="221"/>
      <c r="AL525" s="221"/>
      <c r="AM525" s="221"/>
      <c r="AN525" s="221"/>
      <c r="AO525" s="221"/>
      <c r="AP525" s="221"/>
      <c r="AQ525" s="221"/>
      <c r="AR525" s="221"/>
    </row>
    <row r="526" spans="1:44" s="384" customFormat="1" ht="12" customHeight="1">
      <c r="A526" s="221"/>
      <c r="P526" s="290"/>
      <c r="X526" s="221"/>
      <c r="Y526" s="221"/>
      <c r="Z526" s="221"/>
      <c r="AA526" s="221"/>
      <c r="AB526" s="221"/>
      <c r="AC526" s="221"/>
      <c r="AD526" s="221"/>
      <c r="AE526" s="221"/>
      <c r="AF526" s="221"/>
      <c r="AG526" s="221"/>
      <c r="AH526" s="221"/>
      <c r="AI526" s="221"/>
      <c r="AJ526" s="221"/>
      <c r="AK526" s="221"/>
      <c r="AL526" s="221"/>
      <c r="AM526" s="221"/>
      <c r="AN526" s="221"/>
      <c r="AO526" s="221"/>
      <c r="AP526" s="221"/>
      <c r="AQ526" s="221"/>
      <c r="AR526" s="221"/>
    </row>
    <row r="527" spans="1:44" s="384" customFormat="1" ht="12" customHeight="1">
      <c r="A527" s="221"/>
      <c r="P527" s="290"/>
      <c r="X527" s="221"/>
      <c r="Y527" s="221"/>
      <c r="Z527" s="221"/>
      <c r="AA527" s="221"/>
      <c r="AB527" s="221"/>
      <c r="AC527" s="221"/>
      <c r="AD527" s="221"/>
      <c r="AE527" s="221"/>
      <c r="AF527" s="221"/>
      <c r="AG527" s="221"/>
      <c r="AH527" s="221"/>
      <c r="AI527" s="221"/>
      <c r="AJ527" s="221"/>
      <c r="AK527" s="221"/>
      <c r="AL527" s="221"/>
      <c r="AM527" s="221"/>
      <c r="AN527" s="221"/>
      <c r="AO527" s="221"/>
      <c r="AP527" s="221"/>
      <c r="AQ527" s="221"/>
      <c r="AR527" s="221"/>
    </row>
    <row r="528" spans="1:44" s="384" customFormat="1" ht="12" customHeight="1">
      <c r="A528" s="221"/>
      <c r="P528" s="290"/>
      <c r="X528" s="221"/>
      <c r="Y528" s="221"/>
      <c r="Z528" s="221"/>
      <c r="AA528" s="221"/>
      <c r="AB528" s="221"/>
      <c r="AC528" s="221"/>
      <c r="AD528" s="221"/>
      <c r="AE528" s="221"/>
      <c r="AF528" s="221"/>
      <c r="AG528" s="221"/>
      <c r="AH528" s="221"/>
      <c r="AI528" s="221"/>
      <c r="AJ528" s="221"/>
      <c r="AK528" s="221"/>
      <c r="AL528" s="221"/>
      <c r="AM528" s="221"/>
      <c r="AN528" s="221"/>
      <c r="AO528" s="221"/>
      <c r="AP528" s="221"/>
      <c r="AQ528" s="221"/>
      <c r="AR528" s="221"/>
    </row>
    <row r="529" spans="1:44" s="384" customFormat="1" ht="12" customHeight="1">
      <c r="A529" s="221"/>
      <c r="P529" s="290"/>
      <c r="X529" s="221"/>
      <c r="Y529" s="221"/>
      <c r="Z529" s="221"/>
      <c r="AA529" s="221"/>
      <c r="AB529" s="221"/>
      <c r="AC529" s="221"/>
      <c r="AD529" s="221"/>
      <c r="AE529" s="221"/>
      <c r="AF529" s="221"/>
      <c r="AG529" s="221"/>
      <c r="AH529" s="221"/>
      <c r="AI529" s="221"/>
      <c r="AJ529" s="221"/>
      <c r="AK529" s="221"/>
      <c r="AL529" s="221"/>
      <c r="AM529" s="221"/>
      <c r="AN529" s="221"/>
      <c r="AO529" s="221"/>
      <c r="AP529" s="221"/>
      <c r="AQ529" s="221"/>
      <c r="AR529" s="221"/>
    </row>
    <row r="530" spans="1:44" s="384" customFormat="1" ht="12" customHeight="1">
      <c r="A530" s="221"/>
      <c r="P530" s="290"/>
      <c r="X530" s="221"/>
      <c r="Y530" s="221"/>
      <c r="Z530" s="221"/>
      <c r="AA530" s="221"/>
      <c r="AB530" s="221"/>
      <c r="AC530" s="221"/>
      <c r="AD530" s="221"/>
      <c r="AE530" s="221"/>
      <c r="AF530" s="221"/>
      <c r="AG530" s="221"/>
      <c r="AH530" s="221"/>
      <c r="AI530" s="221"/>
      <c r="AJ530" s="221"/>
      <c r="AK530" s="221"/>
      <c r="AL530" s="221"/>
      <c r="AM530" s="221"/>
      <c r="AN530" s="221"/>
      <c r="AO530" s="221"/>
      <c r="AP530" s="221"/>
      <c r="AQ530" s="221"/>
      <c r="AR530" s="221"/>
    </row>
    <row r="531" spans="1:44" s="384" customFormat="1" ht="12" customHeight="1">
      <c r="A531" s="221"/>
      <c r="P531" s="290"/>
      <c r="X531" s="221"/>
      <c r="Y531" s="221"/>
      <c r="Z531" s="221"/>
      <c r="AA531" s="221"/>
      <c r="AB531" s="221"/>
      <c r="AC531" s="221"/>
      <c r="AD531" s="221"/>
      <c r="AE531" s="221"/>
      <c r="AF531" s="221"/>
      <c r="AG531" s="221"/>
      <c r="AH531" s="221"/>
      <c r="AI531" s="221"/>
      <c r="AJ531" s="221"/>
      <c r="AK531" s="221"/>
      <c r="AL531" s="221"/>
      <c r="AM531" s="221"/>
      <c r="AN531" s="221"/>
      <c r="AO531" s="221"/>
      <c r="AP531" s="221"/>
      <c r="AQ531" s="221"/>
      <c r="AR531" s="221"/>
    </row>
    <row r="532" spans="1:44" s="384" customFormat="1" ht="12" customHeight="1">
      <c r="A532" s="221"/>
      <c r="P532" s="290"/>
      <c r="X532" s="221"/>
      <c r="Y532" s="221"/>
      <c r="Z532" s="221"/>
      <c r="AA532" s="221"/>
      <c r="AB532" s="221"/>
      <c r="AC532" s="221"/>
      <c r="AD532" s="221"/>
      <c r="AE532" s="221"/>
      <c r="AF532" s="221"/>
      <c r="AG532" s="221"/>
      <c r="AH532" s="221"/>
      <c r="AI532" s="221"/>
      <c r="AJ532" s="221"/>
      <c r="AK532" s="221"/>
      <c r="AL532" s="221"/>
      <c r="AM532" s="221"/>
      <c r="AN532" s="221"/>
      <c r="AO532" s="221"/>
      <c r="AP532" s="221"/>
      <c r="AQ532" s="221"/>
      <c r="AR532" s="221"/>
    </row>
    <row r="533" spans="1:44" s="384" customFormat="1" ht="12" customHeight="1">
      <c r="A533" s="221"/>
      <c r="P533" s="3098"/>
      <c r="X533" s="221"/>
      <c r="Y533" s="221"/>
      <c r="Z533" s="221"/>
      <c r="AA533" s="221"/>
      <c r="AB533" s="221"/>
      <c r="AC533" s="221"/>
      <c r="AD533" s="221"/>
      <c r="AE533" s="221"/>
      <c r="AF533" s="221"/>
      <c r="AG533" s="221"/>
      <c r="AH533" s="221"/>
      <c r="AI533" s="221"/>
      <c r="AJ533" s="221"/>
      <c r="AK533" s="221"/>
      <c r="AL533" s="221"/>
      <c r="AM533" s="221"/>
      <c r="AN533" s="221"/>
      <c r="AO533" s="221"/>
      <c r="AP533" s="221"/>
      <c r="AQ533" s="221"/>
      <c r="AR533" s="221"/>
    </row>
    <row r="534" spans="1:44" s="384" customFormat="1" ht="12" customHeight="1">
      <c r="A534" s="221"/>
      <c r="P534" s="290"/>
      <c r="X534" s="221"/>
      <c r="Y534" s="221"/>
      <c r="Z534" s="221"/>
      <c r="AA534" s="221"/>
      <c r="AB534" s="221"/>
      <c r="AC534" s="221"/>
      <c r="AD534" s="221"/>
      <c r="AE534" s="221"/>
      <c r="AF534" s="221"/>
      <c r="AG534" s="221"/>
      <c r="AH534" s="221"/>
      <c r="AI534" s="221"/>
      <c r="AJ534" s="221"/>
      <c r="AK534" s="221"/>
      <c r="AL534" s="221"/>
      <c r="AM534" s="221"/>
      <c r="AN534" s="221"/>
      <c r="AO534" s="221"/>
      <c r="AP534" s="221"/>
      <c r="AQ534" s="221"/>
      <c r="AR534" s="221"/>
    </row>
    <row r="535" spans="1:44" s="384" customFormat="1" ht="12" customHeight="1">
      <c r="A535" s="221"/>
      <c r="P535" s="290"/>
      <c r="X535" s="221"/>
      <c r="Y535" s="221"/>
      <c r="Z535" s="221"/>
      <c r="AA535" s="221"/>
      <c r="AB535" s="221"/>
      <c r="AC535" s="221"/>
      <c r="AD535" s="221"/>
      <c r="AE535" s="221"/>
      <c r="AF535" s="221"/>
      <c r="AG535" s="221"/>
      <c r="AH535" s="221"/>
      <c r="AI535" s="221"/>
      <c r="AJ535" s="221"/>
      <c r="AK535" s="221"/>
      <c r="AL535" s="221"/>
      <c r="AM535" s="221"/>
      <c r="AN535" s="221"/>
      <c r="AO535" s="221"/>
      <c r="AP535" s="221"/>
      <c r="AQ535" s="221"/>
      <c r="AR535" s="221"/>
    </row>
    <row r="536" spans="1:44" s="384" customFormat="1" ht="12" customHeight="1">
      <c r="A536" s="221"/>
      <c r="P536" s="290"/>
      <c r="X536" s="221"/>
      <c r="Y536" s="221"/>
      <c r="Z536" s="221"/>
      <c r="AA536" s="221"/>
      <c r="AB536" s="221"/>
      <c r="AC536" s="221"/>
      <c r="AD536" s="221"/>
      <c r="AE536" s="221"/>
      <c r="AF536" s="221"/>
      <c r="AG536" s="221"/>
      <c r="AH536" s="221"/>
      <c r="AI536" s="221"/>
      <c r="AJ536" s="221"/>
      <c r="AK536" s="221"/>
      <c r="AL536" s="221"/>
      <c r="AM536" s="221"/>
      <c r="AN536" s="221"/>
      <c r="AO536" s="221"/>
      <c r="AP536" s="221"/>
      <c r="AQ536" s="221"/>
      <c r="AR536" s="221"/>
    </row>
    <row r="537" spans="1:44" s="384" customFormat="1" ht="12" customHeight="1">
      <c r="A537" s="221"/>
      <c r="P537" s="290"/>
      <c r="X537" s="221"/>
      <c r="Y537" s="221"/>
      <c r="Z537" s="221"/>
      <c r="AA537" s="221"/>
      <c r="AB537" s="221"/>
      <c r="AC537" s="221"/>
      <c r="AD537" s="221"/>
      <c r="AE537" s="221"/>
      <c r="AF537" s="221"/>
      <c r="AG537" s="221"/>
      <c r="AH537" s="221"/>
      <c r="AI537" s="221"/>
      <c r="AJ537" s="221"/>
      <c r="AK537" s="221"/>
      <c r="AL537" s="221"/>
      <c r="AM537" s="221"/>
      <c r="AN537" s="221"/>
      <c r="AO537" s="221"/>
      <c r="AP537" s="221"/>
      <c r="AQ537" s="221"/>
      <c r="AR537" s="221"/>
    </row>
    <row r="538" spans="1:44" s="384" customFormat="1" ht="12" customHeight="1">
      <c r="A538" s="221"/>
      <c r="P538" s="290"/>
      <c r="X538" s="221"/>
      <c r="Y538" s="221"/>
      <c r="Z538" s="221"/>
      <c r="AA538" s="221"/>
      <c r="AB538" s="221"/>
      <c r="AC538" s="221"/>
      <c r="AD538" s="221"/>
      <c r="AE538" s="221"/>
      <c r="AF538" s="221"/>
      <c r="AG538" s="221"/>
      <c r="AH538" s="221"/>
      <c r="AI538" s="221"/>
      <c r="AJ538" s="221"/>
      <c r="AK538" s="221"/>
      <c r="AL538" s="221"/>
      <c r="AM538" s="221"/>
      <c r="AN538" s="221"/>
      <c r="AO538" s="221"/>
      <c r="AP538" s="221"/>
      <c r="AQ538" s="221"/>
      <c r="AR538" s="221"/>
    </row>
    <row r="539" spans="1:44" s="384" customFormat="1" ht="12" customHeight="1">
      <c r="A539" s="221"/>
      <c r="P539" s="290"/>
      <c r="X539" s="221"/>
      <c r="Y539" s="221"/>
      <c r="Z539" s="221"/>
      <c r="AA539" s="221"/>
      <c r="AB539" s="221"/>
      <c r="AC539" s="221"/>
      <c r="AD539" s="221"/>
      <c r="AE539" s="221"/>
      <c r="AF539" s="221"/>
      <c r="AG539" s="221"/>
      <c r="AH539" s="221"/>
      <c r="AI539" s="221"/>
      <c r="AJ539" s="221"/>
      <c r="AK539" s="221"/>
      <c r="AL539" s="221"/>
      <c r="AM539" s="221"/>
      <c r="AN539" s="221"/>
      <c r="AO539" s="221"/>
      <c r="AP539" s="221"/>
      <c r="AQ539" s="221"/>
      <c r="AR539" s="221"/>
    </row>
    <row r="540" spans="1:44" s="384" customFormat="1" ht="12" customHeight="1">
      <c r="A540" s="221"/>
      <c r="P540" s="290"/>
      <c r="X540" s="221"/>
      <c r="Y540" s="221"/>
      <c r="Z540" s="221"/>
      <c r="AA540" s="221"/>
      <c r="AB540" s="221"/>
      <c r="AC540" s="221"/>
      <c r="AD540" s="221"/>
      <c r="AE540" s="221"/>
      <c r="AF540" s="221"/>
      <c r="AG540" s="221"/>
      <c r="AH540" s="221"/>
      <c r="AI540" s="221"/>
      <c r="AJ540" s="221"/>
      <c r="AK540" s="221"/>
      <c r="AL540" s="221"/>
      <c r="AM540" s="221"/>
      <c r="AN540" s="221"/>
      <c r="AO540" s="221"/>
      <c r="AP540" s="221"/>
      <c r="AQ540" s="221"/>
      <c r="AR540" s="221"/>
    </row>
    <row r="541" spans="1:44" s="384" customFormat="1" ht="12" customHeight="1">
      <c r="A541" s="221"/>
      <c r="P541" s="290"/>
      <c r="X541" s="221"/>
      <c r="Y541" s="221"/>
      <c r="Z541" s="221"/>
      <c r="AA541" s="221"/>
      <c r="AB541" s="221"/>
      <c r="AC541" s="221"/>
      <c r="AD541" s="221"/>
      <c r="AE541" s="221"/>
      <c r="AF541" s="221"/>
      <c r="AG541" s="221"/>
      <c r="AH541" s="221"/>
      <c r="AI541" s="221"/>
      <c r="AJ541" s="221"/>
      <c r="AK541" s="221"/>
      <c r="AL541" s="221"/>
      <c r="AM541" s="221"/>
      <c r="AN541" s="221"/>
      <c r="AO541" s="221"/>
      <c r="AP541" s="221"/>
      <c r="AQ541" s="221"/>
      <c r="AR541" s="221"/>
    </row>
    <row r="542" spans="1:44" s="384" customFormat="1" ht="12" customHeight="1">
      <c r="A542" s="221"/>
      <c r="P542" s="290"/>
      <c r="X542" s="221"/>
      <c r="Y542" s="221"/>
      <c r="Z542" s="221"/>
      <c r="AA542" s="221"/>
      <c r="AB542" s="221"/>
      <c r="AC542" s="221"/>
      <c r="AD542" s="221"/>
      <c r="AE542" s="221"/>
      <c r="AF542" s="221"/>
      <c r="AG542" s="221"/>
      <c r="AH542" s="221"/>
      <c r="AI542" s="221"/>
      <c r="AJ542" s="221"/>
      <c r="AK542" s="221"/>
      <c r="AL542" s="221"/>
      <c r="AM542" s="221"/>
      <c r="AN542" s="221"/>
      <c r="AO542" s="221"/>
      <c r="AP542" s="221"/>
      <c r="AQ542" s="221"/>
      <c r="AR542" s="221"/>
    </row>
    <row r="543" spans="1:44" s="384" customFormat="1" ht="12" customHeight="1">
      <c r="A543" s="221"/>
      <c r="P543" s="290"/>
      <c r="X543" s="221"/>
      <c r="Y543" s="221"/>
      <c r="Z543" s="221"/>
      <c r="AA543" s="221"/>
      <c r="AB543" s="221"/>
      <c r="AC543" s="221"/>
      <c r="AD543" s="221"/>
      <c r="AE543" s="221"/>
      <c r="AF543" s="221"/>
      <c r="AG543" s="221"/>
      <c r="AH543" s="221"/>
      <c r="AI543" s="221"/>
      <c r="AJ543" s="221"/>
      <c r="AK543" s="221"/>
      <c r="AL543" s="221"/>
      <c r="AM543" s="221"/>
      <c r="AN543" s="221"/>
      <c r="AO543" s="221"/>
      <c r="AP543" s="221"/>
      <c r="AQ543" s="221"/>
      <c r="AR543" s="221"/>
    </row>
    <row r="544" spans="1:44" s="384" customFormat="1" ht="12" customHeight="1">
      <c r="A544" s="221"/>
      <c r="P544" s="290"/>
      <c r="X544" s="221"/>
      <c r="Y544" s="221"/>
      <c r="Z544" s="221"/>
      <c r="AA544" s="221"/>
      <c r="AB544" s="221"/>
      <c r="AC544" s="221"/>
      <c r="AD544" s="221"/>
      <c r="AE544" s="221"/>
      <c r="AF544" s="221"/>
      <c r="AG544" s="221"/>
      <c r="AH544" s="221"/>
      <c r="AI544" s="221"/>
      <c r="AJ544" s="221"/>
      <c r="AK544" s="221"/>
      <c r="AL544" s="221"/>
      <c r="AM544" s="221"/>
      <c r="AN544" s="221"/>
      <c r="AO544" s="221"/>
      <c r="AP544" s="221"/>
      <c r="AQ544" s="221"/>
      <c r="AR544" s="221"/>
    </row>
    <row r="545" spans="1:44" s="384" customFormat="1" ht="12" customHeight="1">
      <c r="A545" s="221"/>
      <c r="P545" s="290"/>
      <c r="X545" s="221"/>
      <c r="Y545" s="221"/>
      <c r="Z545" s="221"/>
      <c r="AA545" s="221"/>
      <c r="AB545" s="221"/>
      <c r="AC545" s="221"/>
      <c r="AD545" s="221"/>
      <c r="AE545" s="221"/>
      <c r="AF545" s="221"/>
      <c r="AG545" s="221"/>
      <c r="AH545" s="221"/>
      <c r="AI545" s="221"/>
      <c r="AJ545" s="221"/>
      <c r="AK545" s="221"/>
      <c r="AL545" s="221"/>
      <c r="AM545" s="221"/>
      <c r="AN545" s="221"/>
      <c r="AO545" s="221"/>
      <c r="AP545" s="221"/>
      <c r="AQ545" s="221"/>
      <c r="AR545" s="221"/>
    </row>
    <row r="546" spans="1:44" s="384" customFormat="1" ht="12" customHeight="1">
      <c r="A546" s="221"/>
      <c r="P546" s="290"/>
      <c r="X546" s="221"/>
      <c r="Y546" s="221"/>
      <c r="Z546" s="221"/>
      <c r="AA546" s="221"/>
      <c r="AB546" s="221"/>
      <c r="AC546" s="221"/>
      <c r="AD546" s="221"/>
      <c r="AE546" s="221"/>
      <c r="AF546" s="221"/>
      <c r="AG546" s="221"/>
      <c r="AH546" s="221"/>
      <c r="AI546" s="221"/>
      <c r="AJ546" s="221"/>
      <c r="AK546" s="221"/>
      <c r="AL546" s="221"/>
      <c r="AM546" s="221"/>
      <c r="AN546" s="221"/>
      <c r="AO546" s="221"/>
      <c r="AP546" s="221"/>
      <c r="AQ546" s="221"/>
      <c r="AR546" s="221"/>
    </row>
    <row r="547" spans="1:44" s="384" customFormat="1" ht="12" customHeight="1">
      <c r="A547" s="221"/>
      <c r="P547" s="290"/>
      <c r="X547" s="221"/>
      <c r="Y547" s="221"/>
      <c r="Z547" s="221"/>
      <c r="AA547" s="221"/>
      <c r="AB547" s="221"/>
      <c r="AC547" s="221"/>
      <c r="AD547" s="221"/>
      <c r="AE547" s="221"/>
      <c r="AF547" s="221"/>
      <c r="AG547" s="221"/>
      <c r="AH547" s="221"/>
      <c r="AI547" s="221"/>
      <c r="AJ547" s="221"/>
      <c r="AK547" s="221"/>
      <c r="AL547" s="221"/>
      <c r="AM547" s="221"/>
      <c r="AN547" s="221"/>
      <c r="AO547" s="221"/>
      <c r="AP547" s="221"/>
      <c r="AQ547" s="221"/>
      <c r="AR547" s="221"/>
    </row>
    <row r="548" spans="1:44" s="384" customFormat="1" ht="12" customHeight="1">
      <c r="A548" s="221"/>
      <c r="P548" s="290"/>
      <c r="X548" s="221"/>
      <c r="Y548" s="221"/>
      <c r="Z548" s="221"/>
      <c r="AA548" s="221"/>
      <c r="AB548" s="221"/>
      <c r="AC548" s="221"/>
      <c r="AD548" s="221"/>
      <c r="AE548" s="221"/>
      <c r="AF548" s="221"/>
      <c r="AG548" s="221"/>
      <c r="AH548" s="221"/>
      <c r="AI548" s="221"/>
      <c r="AJ548" s="221"/>
      <c r="AK548" s="221"/>
      <c r="AL548" s="221"/>
      <c r="AM548" s="221"/>
      <c r="AN548" s="221"/>
      <c r="AO548" s="221"/>
      <c r="AP548" s="221"/>
      <c r="AQ548" s="221"/>
      <c r="AR548" s="221"/>
    </row>
    <row r="549" spans="1:44" s="384" customFormat="1" ht="12" customHeight="1">
      <c r="A549" s="221"/>
      <c r="P549" s="290"/>
      <c r="X549" s="221"/>
      <c r="Y549" s="221"/>
      <c r="Z549" s="221"/>
      <c r="AA549" s="221"/>
      <c r="AB549" s="221"/>
      <c r="AC549" s="221"/>
      <c r="AD549" s="221"/>
      <c r="AE549" s="221"/>
      <c r="AF549" s="221"/>
      <c r="AG549" s="221"/>
      <c r="AH549" s="221"/>
      <c r="AI549" s="221"/>
      <c r="AJ549" s="221"/>
      <c r="AK549" s="221"/>
      <c r="AL549" s="221"/>
      <c r="AM549" s="221"/>
      <c r="AN549" s="221"/>
      <c r="AO549" s="221"/>
      <c r="AP549" s="221"/>
      <c r="AQ549" s="221"/>
      <c r="AR549" s="221"/>
    </row>
    <row r="550" spans="1:44" s="384" customFormat="1" ht="12" customHeight="1">
      <c r="A550" s="221"/>
      <c r="P550" s="290"/>
      <c r="X550" s="221"/>
      <c r="Y550" s="221"/>
      <c r="Z550" s="221"/>
      <c r="AA550" s="221"/>
      <c r="AB550" s="221"/>
      <c r="AC550" s="221"/>
      <c r="AD550" s="221"/>
      <c r="AE550" s="221"/>
      <c r="AF550" s="221"/>
      <c r="AG550" s="221"/>
      <c r="AH550" s="221"/>
      <c r="AI550" s="221"/>
      <c r="AJ550" s="221"/>
      <c r="AK550" s="221"/>
      <c r="AL550" s="221"/>
      <c r="AM550" s="221"/>
      <c r="AN550" s="221"/>
      <c r="AO550" s="221"/>
      <c r="AP550" s="221"/>
      <c r="AQ550" s="221"/>
      <c r="AR550" s="221"/>
    </row>
    <row r="551" spans="1:44" s="384" customFormat="1" ht="12" customHeight="1">
      <c r="A551" s="221"/>
      <c r="P551" s="3097"/>
      <c r="X551" s="221"/>
      <c r="Y551" s="221"/>
      <c r="Z551" s="221"/>
      <c r="AA551" s="221"/>
      <c r="AB551" s="221"/>
      <c r="AC551" s="221"/>
      <c r="AD551" s="221"/>
      <c r="AE551" s="221"/>
      <c r="AF551" s="221"/>
      <c r="AG551" s="221"/>
      <c r="AH551" s="221"/>
      <c r="AI551" s="221"/>
      <c r="AJ551" s="221"/>
      <c r="AK551" s="221"/>
      <c r="AL551" s="221"/>
      <c r="AM551" s="221"/>
      <c r="AN551" s="221"/>
      <c r="AO551" s="221"/>
      <c r="AP551" s="221"/>
      <c r="AQ551" s="221"/>
      <c r="AR551" s="221"/>
    </row>
    <row r="552" spans="1:44" s="384" customFormat="1" ht="12" customHeight="1">
      <c r="A552" s="221"/>
      <c r="P552" s="290"/>
      <c r="X552" s="221"/>
      <c r="Y552" s="221"/>
      <c r="Z552" s="221"/>
      <c r="AA552" s="221"/>
      <c r="AB552" s="221"/>
      <c r="AC552" s="221"/>
      <c r="AD552" s="221"/>
      <c r="AE552" s="221"/>
      <c r="AF552" s="221"/>
      <c r="AG552" s="221"/>
      <c r="AH552" s="221"/>
      <c r="AI552" s="221"/>
      <c r="AJ552" s="221"/>
      <c r="AK552" s="221"/>
      <c r="AL552" s="221"/>
      <c r="AM552" s="221"/>
      <c r="AN552" s="221"/>
      <c r="AO552" s="221"/>
      <c r="AP552" s="221"/>
      <c r="AQ552" s="221"/>
      <c r="AR552" s="221"/>
    </row>
    <row r="553" spans="1:44" s="384" customFormat="1" ht="12" customHeight="1">
      <c r="A553" s="221"/>
      <c r="P553" s="290"/>
      <c r="X553" s="221"/>
      <c r="Y553" s="221"/>
      <c r="Z553" s="221"/>
      <c r="AA553" s="221"/>
      <c r="AB553" s="221"/>
      <c r="AC553" s="221"/>
      <c r="AD553" s="221"/>
      <c r="AE553" s="221"/>
      <c r="AF553" s="221"/>
      <c r="AG553" s="221"/>
      <c r="AH553" s="221"/>
      <c r="AI553" s="221"/>
      <c r="AJ553" s="221"/>
      <c r="AK553" s="221"/>
      <c r="AL553" s="221"/>
      <c r="AM553" s="221"/>
      <c r="AN553" s="221"/>
      <c r="AO553" s="221"/>
      <c r="AP553" s="221"/>
      <c r="AQ553" s="221"/>
      <c r="AR553" s="221"/>
    </row>
    <row r="554" spans="1:44" s="384" customFormat="1" ht="12" customHeight="1">
      <c r="A554" s="221"/>
      <c r="P554" s="290"/>
      <c r="X554" s="221"/>
      <c r="Y554" s="221"/>
      <c r="Z554" s="221"/>
      <c r="AA554" s="221"/>
      <c r="AB554" s="221"/>
      <c r="AC554" s="221"/>
      <c r="AD554" s="221"/>
      <c r="AE554" s="221"/>
      <c r="AF554" s="221"/>
      <c r="AG554" s="221"/>
      <c r="AH554" s="221"/>
      <c r="AI554" s="221"/>
      <c r="AJ554" s="221"/>
      <c r="AK554" s="221"/>
      <c r="AL554" s="221"/>
      <c r="AM554" s="221"/>
      <c r="AN554" s="221"/>
      <c r="AO554" s="221"/>
      <c r="AP554" s="221"/>
      <c r="AQ554" s="221"/>
      <c r="AR554" s="221"/>
    </row>
    <row r="555" spans="1:44" s="384" customFormat="1" ht="12" customHeight="1">
      <c r="A555" s="221"/>
      <c r="P555" s="290"/>
      <c r="X555" s="221"/>
      <c r="Y555" s="221"/>
      <c r="Z555" s="221"/>
      <c r="AA555" s="221"/>
      <c r="AB555" s="221"/>
      <c r="AC555" s="221"/>
      <c r="AD555" s="221"/>
      <c r="AE555" s="221"/>
      <c r="AF555" s="221"/>
      <c r="AG555" s="221"/>
      <c r="AH555" s="221"/>
      <c r="AI555" s="221"/>
      <c r="AJ555" s="221"/>
      <c r="AK555" s="221"/>
      <c r="AL555" s="221"/>
      <c r="AM555" s="221"/>
      <c r="AN555" s="221"/>
      <c r="AO555" s="221"/>
      <c r="AP555" s="221"/>
      <c r="AQ555" s="221"/>
      <c r="AR555" s="221"/>
    </row>
    <row r="556" spans="1:44" s="384" customFormat="1" ht="12" customHeight="1">
      <c r="A556" s="221"/>
      <c r="P556" s="3098"/>
      <c r="X556" s="221"/>
      <c r="Y556" s="221"/>
      <c r="Z556" s="221"/>
      <c r="AA556" s="221"/>
      <c r="AB556" s="221"/>
      <c r="AC556" s="221"/>
      <c r="AD556" s="221"/>
      <c r="AE556" s="221"/>
      <c r="AF556" s="221"/>
      <c r="AG556" s="221"/>
      <c r="AH556" s="221"/>
      <c r="AI556" s="221"/>
      <c r="AJ556" s="221"/>
      <c r="AK556" s="221"/>
      <c r="AL556" s="221"/>
      <c r="AM556" s="221"/>
      <c r="AN556" s="221"/>
      <c r="AO556" s="221"/>
      <c r="AP556" s="221"/>
      <c r="AQ556" s="221"/>
      <c r="AR556" s="221"/>
    </row>
    <row r="557" spans="1:44" s="384" customFormat="1" ht="12" customHeight="1">
      <c r="A557" s="221"/>
      <c r="P557" s="290"/>
      <c r="X557" s="221"/>
      <c r="Y557" s="221"/>
      <c r="Z557" s="221"/>
      <c r="AA557" s="221"/>
      <c r="AB557" s="221"/>
      <c r="AC557" s="221"/>
      <c r="AD557" s="221"/>
      <c r="AE557" s="221"/>
      <c r="AF557" s="221"/>
      <c r="AG557" s="221"/>
      <c r="AH557" s="221"/>
      <c r="AI557" s="221"/>
      <c r="AJ557" s="221"/>
      <c r="AK557" s="221"/>
      <c r="AL557" s="221"/>
      <c r="AM557" s="221"/>
      <c r="AN557" s="221"/>
      <c r="AO557" s="221"/>
      <c r="AP557" s="221"/>
      <c r="AQ557" s="221"/>
      <c r="AR557" s="221"/>
    </row>
    <row r="558" spans="1:44" s="384" customFormat="1" ht="12" customHeight="1">
      <c r="A558" s="221"/>
      <c r="P558" s="290"/>
      <c r="X558" s="221"/>
      <c r="Y558" s="221"/>
      <c r="Z558" s="221"/>
      <c r="AA558" s="221"/>
      <c r="AB558" s="221"/>
      <c r="AC558" s="221"/>
      <c r="AD558" s="221"/>
      <c r="AE558" s="221"/>
      <c r="AF558" s="221"/>
      <c r="AG558" s="221"/>
      <c r="AH558" s="221"/>
      <c r="AI558" s="221"/>
      <c r="AJ558" s="221"/>
      <c r="AK558" s="221"/>
      <c r="AL558" s="221"/>
      <c r="AM558" s="221"/>
      <c r="AN558" s="221"/>
      <c r="AO558" s="221"/>
      <c r="AP558" s="221"/>
      <c r="AQ558" s="221"/>
      <c r="AR558" s="221"/>
    </row>
    <row r="559" spans="1:44" s="384" customFormat="1" ht="12" customHeight="1">
      <c r="A559" s="221"/>
      <c r="P559" s="3098"/>
      <c r="X559" s="221"/>
      <c r="Y559" s="221"/>
      <c r="Z559" s="221"/>
      <c r="AA559" s="221"/>
      <c r="AB559" s="221"/>
      <c r="AC559" s="221"/>
      <c r="AD559" s="221"/>
      <c r="AE559" s="221"/>
      <c r="AF559" s="221"/>
      <c r="AG559" s="221"/>
      <c r="AH559" s="221"/>
      <c r="AI559" s="221"/>
      <c r="AJ559" s="221"/>
      <c r="AK559" s="221"/>
      <c r="AL559" s="221"/>
      <c r="AM559" s="221"/>
      <c r="AN559" s="221"/>
      <c r="AO559" s="221"/>
      <c r="AP559" s="221"/>
      <c r="AQ559" s="221"/>
      <c r="AR559" s="221"/>
    </row>
    <row r="560" spans="1:44" s="384" customFormat="1" ht="12" customHeight="1">
      <c r="A560" s="221"/>
      <c r="P560" s="290"/>
      <c r="X560" s="221"/>
      <c r="Y560" s="221"/>
      <c r="Z560" s="221"/>
      <c r="AA560" s="221"/>
      <c r="AB560" s="221"/>
      <c r="AC560" s="221"/>
      <c r="AD560" s="221"/>
      <c r="AE560" s="221"/>
      <c r="AF560" s="221"/>
      <c r="AG560" s="221"/>
      <c r="AH560" s="221"/>
      <c r="AI560" s="221"/>
      <c r="AJ560" s="221"/>
      <c r="AK560" s="221"/>
      <c r="AL560" s="221"/>
      <c r="AM560" s="221"/>
      <c r="AN560" s="221"/>
      <c r="AO560" s="221"/>
      <c r="AP560" s="221"/>
      <c r="AQ560" s="221"/>
      <c r="AR560" s="221"/>
    </row>
    <row r="561" spans="1:44" s="384" customFormat="1" ht="12" customHeight="1">
      <c r="A561" s="221"/>
      <c r="P561" s="290"/>
      <c r="X561" s="221"/>
      <c r="Y561" s="221"/>
      <c r="Z561" s="221"/>
      <c r="AA561" s="221"/>
      <c r="AB561" s="221"/>
      <c r="AC561" s="221"/>
      <c r="AD561" s="221"/>
      <c r="AE561" s="221"/>
      <c r="AF561" s="221"/>
      <c r="AG561" s="221"/>
      <c r="AH561" s="221"/>
      <c r="AI561" s="221"/>
      <c r="AJ561" s="221"/>
      <c r="AK561" s="221"/>
      <c r="AL561" s="221"/>
      <c r="AM561" s="221"/>
      <c r="AN561" s="221"/>
      <c r="AO561" s="221"/>
      <c r="AP561" s="221"/>
      <c r="AQ561" s="221"/>
      <c r="AR561" s="221"/>
    </row>
    <row r="562" spans="1:44" s="384" customFormat="1" ht="12" customHeight="1">
      <c r="A562" s="221"/>
      <c r="P562" s="290"/>
      <c r="X562" s="221"/>
      <c r="Y562" s="221"/>
      <c r="Z562" s="221"/>
      <c r="AA562" s="221"/>
      <c r="AB562" s="221"/>
      <c r="AC562" s="221"/>
      <c r="AD562" s="221"/>
      <c r="AE562" s="221"/>
      <c r="AF562" s="221"/>
      <c r="AG562" s="221"/>
      <c r="AH562" s="221"/>
      <c r="AI562" s="221"/>
      <c r="AJ562" s="221"/>
      <c r="AK562" s="221"/>
      <c r="AL562" s="221"/>
      <c r="AM562" s="221"/>
      <c r="AN562" s="221"/>
      <c r="AO562" s="221"/>
      <c r="AP562" s="221"/>
      <c r="AQ562" s="221"/>
      <c r="AR562" s="221"/>
    </row>
    <row r="563" spans="1:44" s="384" customFormat="1" ht="12" customHeight="1">
      <c r="A563" s="221"/>
      <c r="P563" s="290"/>
      <c r="X563" s="221"/>
      <c r="Y563" s="221"/>
      <c r="Z563" s="221"/>
      <c r="AA563" s="221"/>
      <c r="AB563" s="221"/>
      <c r="AC563" s="221"/>
      <c r="AD563" s="221"/>
      <c r="AE563" s="221"/>
      <c r="AF563" s="221"/>
      <c r="AG563" s="221"/>
      <c r="AH563" s="221"/>
      <c r="AI563" s="221"/>
      <c r="AJ563" s="221"/>
      <c r="AK563" s="221"/>
      <c r="AL563" s="221"/>
      <c r="AM563" s="221"/>
      <c r="AN563" s="221"/>
      <c r="AO563" s="221"/>
      <c r="AP563" s="221"/>
      <c r="AQ563" s="221"/>
      <c r="AR563" s="221"/>
    </row>
    <row r="564" spans="1:44" s="384" customFormat="1" ht="12" customHeight="1">
      <c r="A564" s="221"/>
      <c r="P564" s="290"/>
      <c r="X564" s="221"/>
      <c r="Y564" s="221"/>
      <c r="Z564" s="221"/>
      <c r="AA564" s="221"/>
      <c r="AB564" s="221"/>
      <c r="AC564" s="221"/>
      <c r="AD564" s="221"/>
      <c r="AE564" s="221"/>
      <c r="AF564" s="221"/>
      <c r="AG564" s="221"/>
      <c r="AH564" s="221"/>
      <c r="AI564" s="221"/>
      <c r="AJ564" s="221"/>
      <c r="AK564" s="221"/>
      <c r="AL564" s="221"/>
      <c r="AM564" s="221"/>
      <c r="AN564" s="221"/>
      <c r="AO564" s="221"/>
      <c r="AP564" s="221"/>
      <c r="AQ564" s="221"/>
      <c r="AR564" s="221"/>
    </row>
    <row r="565" spans="1:44" s="384" customFormat="1" ht="12" customHeight="1">
      <c r="A565" s="221"/>
      <c r="P565" s="290"/>
      <c r="X565" s="221"/>
      <c r="Y565" s="221"/>
      <c r="Z565" s="221"/>
      <c r="AA565" s="221"/>
      <c r="AB565" s="221"/>
      <c r="AC565" s="221"/>
      <c r="AD565" s="221"/>
      <c r="AE565" s="221"/>
      <c r="AF565" s="221"/>
      <c r="AG565" s="221"/>
      <c r="AH565" s="221"/>
      <c r="AI565" s="221"/>
      <c r="AJ565" s="221"/>
      <c r="AK565" s="221"/>
      <c r="AL565" s="221"/>
      <c r="AM565" s="221"/>
      <c r="AN565" s="221"/>
      <c r="AO565" s="221"/>
      <c r="AP565" s="221"/>
      <c r="AQ565" s="221"/>
      <c r="AR565" s="221"/>
    </row>
    <row r="566" spans="1:44" s="384" customFormat="1" ht="12" customHeight="1">
      <c r="A566" s="221"/>
      <c r="P566" s="290"/>
      <c r="X566" s="221"/>
      <c r="Y566" s="221"/>
      <c r="Z566" s="221"/>
      <c r="AA566" s="221"/>
      <c r="AB566" s="221"/>
      <c r="AC566" s="221"/>
      <c r="AD566" s="221"/>
      <c r="AE566" s="221"/>
      <c r="AF566" s="221"/>
      <c r="AG566" s="221"/>
      <c r="AH566" s="221"/>
      <c r="AI566" s="221"/>
      <c r="AJ566" s="221"/>
      <c r="AK566" s="221"/>
      <c r="AL566" s="221"/>
      <c r="AM566" s="221"/>
      <c r="AN566" s="221"/>
      <c r="AO566" s="221"/>
      <c r="AP566" s="221"/>
      <c r="AQ566" s="221"/>
      <c r="AR566" s="221"/>
    </row>
    <row r="567" spans="1:44" s="384" customFormat="1" ht="12" customHeight="1">
      <c r="A567" s="221"/>
      <c r="P567" s="290"/>
      <c r="X567" s="221"/>
      <c r="Y567" s="221"/>
      <c r="Z567" s="221"/>
      <c r="AA567" s="221"/>
      <c r="AB567" s="221"/>
      <c r="AC567" s="221"/>
      <c r="AD567" s="221"/>
      <c r="AE567" s="221"/>
      <c r="AF567" s="221"/>
      <c r="AG567" s="221"/>
      <c r="AH567" s="221"/>
      <c r="AI567" s="221"/>
      <c r="AJ567" s="221"/>
      <c r="AK567" s="221"/>
      <c r="AL567" s="221"/>
      <c r="AM567" s="221"/>
      <c r="AN567" s="221"/>
      <c r="AO567" s="221"/>
      <c r="AP567" s="221"/>
      <c r="AQ567" s="221"/>
      <c r="AR567" s="221"/>
    </row>
    <row r="568" spans="1:44" s="384" customFormat="1" ht="12" customHeight="1">
      <c r="A568" s="221"/>
      <c r="P568" s="290"/>
      <c r="X568" s="221"/>
      <c r="Y568" s="221"/>
      <c r="Z568" s="221"/>
      <c r="AA568" s="221"/>
      <c r="AB568" s="221"/>
      <c r="AC568" s="221"/>
      <c r="AD568" s="221"/>
      <c r="AE568" s="221"/>
      <c r="AF568" s="221"/>
      <c r="AG568" s="221"/>
      <c r="AH568" s="221"/>
      <c r="AI568" s="221"/>
      <c r="AJ568" s="221"/>
      <c r="AK568" s="221"/>
      <c r="AL568" s="221"/>
      <c r="AM568" s="221"/>
      <c r="AN568" s="221"/>
      <c r="AO568" s="221"/>
      <c r="AP568" s="221"/>
      <c r="AQ568" s="221"/>
      <c r="AR568" s="221"/>
    </row>
    <row r="569" spans="1:44" s="384" customFormat="1" ht="12" customHeight="1">
      <c r="A569" s="221"/>
      <c r="P569" s="290"/>
      <c r="X569" s="221"/>
      <c r="Y569" s="221"/>
      <c r="Z569" s="221"/>
      <c r="AA569" s="221"/>
      <c r="AB569" s="221"/>
      <c r="AC569" s="221"/>
      <c r="AD569" s="221"/>
      <c r="AE569" s="221"/>
      <c r="AF569" s="221"/>
      <c r="AG569" s="221"/>
      <c r="AH569" s="221"/>
      <c r="AI569" s="221"/>
      <c r="AJ569" s="221"/>
      <c r="AK569" s="221"/>
      <c r="AL569" s="221"/>
      <c r="AM569" s="221"/>
      <c r="AN569" s="221"/>
      <c r="AO569" s="221"/>
      <c r="AP569" s="221"/>
      <c r="AQ569" s="221"/>
      <c r="AR569" s="221"/>
    </row>
    <row r="570" spans="1:44" s="384" customFormat="1" ht="12" customHeight="1">
      <c r="A570" s="221"/>
      <c r="P570" s="290"/>
      <c r="X570" s="221"/>
      <c r="Y570" s="221"/>
      <c r="Z570" s="221"/>
      <c r="AA570" s="221"/>
      <c r="AB570" s="221"/>
      <c r="AC570" s="221"/>
      <c r="AD570" s="221"/>
      <c r="AE570" s="221"/>
      <c r="AF570" s="221"/>
      <c r="AG570" s="221"/>
      <c r="AH570" s="221"/>
      <c r="AI570" s="221"/>
      <c r="AJ570" s="221"/>
      <c r="AK570" s="221"/>
      <c r="AL570" s="221"/>
      <c r="AM570" s="221"/>
      <c r="AN570" s="221"/>
      <c r="AO570" s="221"/>
      <c r="AP570" s="221"/>
      <c r="AQ570" s="221"/>
      <c r="AR570" s="221"/>
    </row>
    <row r="571" spans="1:44" s="384" customFormat="1" ht="12" customHeight="1">
      <c r="A571" s="221"/>
      <c r="P571" s="3098"/>
      <c r="X571" s="221"/>
      <c r="Y571" s="221"/>
      <c r="Z571" s="221"/>
      <c r="AA571" s="221"/>
      <c r="AB571" s="221"/>
      <c r="AC571" s="221"/>
      <c r="AD571" s="221"/>
      <c r="AE571" s="221"/>
      <c r="AF571" s="221"/>
      <c r="AG571" s="221"/>
      <c r="AH571" s="221"/>
      <c r="AI571" s="221"/>
      <c r="AJ571" s="221"/>
      <c r="AK571" s="221"/>
      <c r="AL571" s="221"/>
      <c r="AM571" s="221"/>
      <c r="AN571" s="221"/>
      <c r="AO571" s="221"/>
      <c r="AP571" s="221"/>
      <c r="AQ571" s="221"/>
      <c r="AR571" s="221"/>
    </row>
    <row r="572" spans="1:44" s="384" customFormat="1" ht="12" customHeight="1">
      <c r="A572" s="221"/>
      <c r="P572" s="290"/>
      <c r="X572" s="221"/>
      <c r="Y572" s="221"/>
      <c r="Z572" s="221"/>
      <c r="AA572" s="221"/>
      <c r="AB572" s="221"/>
      <c r="AC572" s="221"/>
      <c r="AD572" s="221"/>
      <c r="AE572" s="221"/>
      <c r="AF572" s="221"/>
      <c r="AG572" s="221"/>
      <c r="AH572" s="221"/>
      <c r="AI572" s="221"/>
      <c r="AJ572" s="221"/>
      <c r="AK572" s="221"/>
      <c r="AL572" s="221"/>
      <c r="AM572" s="221"/>
      <c r="AN572" s="221"/>
      <c r="AO572" s="221"/>
      <c r="AP572" s="221"/>
      <c r="AQ572" s="221"/>
      <c r="AR572" s="221"/>
    </row>
    <row r="573" spans="1:44" s="384" customFormat="1" ht="12" customHeight="1">
      <c r="A573" s="221"/>
      <c r="P573" s="290"/>
      <c r="X573" s="221"/>
      <c r="Y573" s="221"/>
      <c r="Z573" s="221"/>
      <c r="AA573" s="221"/>
      <c r="AB573" s="221"/>
      <c r="AC573" s="221"/>
      <c r="AD573" s="221"/>
      <c r="AE573" s="221"/>
      <c r="AF573" s="221"/>
      <c r="AG573" s="221"/>
      <c r="AH573" s="221"/>
      <c r="AI573" s="221"/>
      <c r="AJ573" s="221"/>
      <c r="AK573" s="221"/>
      <c r="AL573" s="221"/>
      <c r="AM573" s="221"/>
      <c r="AN573" s="221"/>
      <c r="AO573" s="221"/>
      <c r="AP573" s="221"/>
      <c r="AQ573" s="221"/>
      <c r="AR573" s="221"/>
    </row>
    <row r="574" spans="1:44" s="384" customFormat="1" ht="12" customHeight="1">
      <c r="A574" s="221"/>
      <c r="P574" s="3097"/>
      <c r="X574" s="221"/>
      <c r="Y574" s="221"/>
      <c r="Z574" s="221"/>
      <c r="AA574" s="221"/>
      <c r="AB574" s="221"/>
      <c r="AC574" s="221"/>
      <c r="AD574" s="221"/>
      <c r="AE574" s="221"/>
      <c r="AF574" s="221"/>
      <c r="AG574" s="221"/>
      <c r="AH574" s="221"/>
      <c r="AI574" s="221"/>
      <c r="AJ574" s="221"/>
      <c r="AK574" s="221"/>
      <c r="AL574" s="221"/>
      <c r="AM574" s="221"/>
      <c r="AN574" s="221"/>
      <c r="AO574" s="221"/>
      <c r="AP574" s="221"/>
      <c r="AQ574" s="221"/>
      <c r="AR574" s="221"/>
    </row>
    <row r="575" spans="1:44" s="384" customFormat="1" ht="12" customHeight="1">
      <c r="A575" s="221"/>
      <c r="P575" s="290"/>
      <c r="X575" s="221"/>
      <c r="Y575" s="221"/>
      <c r="Z575" s="221"/>
      <c r="AA575" s="221"/>
      <c r="AB575" s="221"/>
      <c r="AC575" s="221"/>
      <c r="AD575" s="221"/>
      <c r="AE575" s="221"/>
      <c r="AF575" s="221"/>
      <c r="AG575" s="221"/>
      <c r="AH575" s="221"/>
      <c r="AI575" s="221"/>
      <c r="AJ575" s="221"/>
      <c r="AK575" s="221"/>
      <c r="AL575" s="221"/>
      <c r="AM575" s="221"/>
      <c r="AN575" s="221"/>
      <c r="AO575" s="221"/>
      <c r="AP575" s="221"/>
      <c r="AQ575" s="221"/>
      <c r="AR575" s="221"/>
    </row>
    <row r="576" spans="1:44" s="384" customFormat="1" ht="12" customHeight="1">
      <c r="A576" s="221"/>
      <c r="P576" s="290"/>
      <c r="X576" s="221"/>
      <c r="Y576" s="221"/>
      <c r="Z576" s="221"/>
      <c r="AA576" s="221"/>
      <c r="AB576" s="221"/>
      <c r="AC576" s="221"/>
      <c r="AD576" s="221"/>
      <c r="AE576" s="221"/>
      <c r="AF576" s="221"/>
      <c r="AG576" s="221"/>
      <c r="AH576" s="221"/>
      <c r="AI576" s="221"/>
      <c r="AJ576" s="221"/>
      <c r="AK576" s="221"/>
      <c r="AL576" s="221"/>
      <c r="AM576" s="221"/>
      <c r="AN576" s="221"/>
      <c r="AO576" s="221"/>
      <c r="AP576" s="221"/>
      <c r="AQ576" s="221"/>
      <c r="AR576" s="221"/>
    </row>
    <row r="577" spans="1:44" s="384" customFormat="1" ht="12" customHeight="1">
      <c r="A577" s="221"/>
      <c r="P577" s="290"/>
      <c r="X577" s="221"/>
      <c r="Y577" s="221"/>
      <c r="Z577" s="221"/>
      <c r="AA577" s="221"/>
      <c r="AB577" s="221"/>
      <c r="AC577" s="221"/>
      <c r="AD577" s="221"/>
      <c r="AE577" s="221"/>
      <c r="AF577" s="221"/>
      <c r="AG577" s="221"/>
      <c r="AH577" s="221"/>
      <c r="AI577" s="221"/>
      <c r="AJ577" s="221"/>
      <c r="AK577" s="221"/>
      <c r="AL577" s="221"/>
      <c r="AM577" s="221"/>
      <c r="AN577" s="221"/>
      <c r="AO577" s="221"/>
      <c r="AP577" s="221"/>
      <c r="AQ577" s="221"/>
      <c r="AR577" s="221"/>
    </row>
    <row r="578" spans="1:44" s="384" customFormat="1" ht="12" customHeight="1">
      <c r="A578" s="221"/>
      <c r="P578" s="290"/>
      <c r="X578" s="221"/>
      <c r="Y578" s="221"/>
      <c r="Z578" s="221"/>
      <c r="AA578" s="221"/>
      <c r="AB578" s="221"/>
      <c r="AC578" s="221"/>
      <c r="AD578" s="221"/>
      <c r="AE578" s="221"/>
      <c r="AF578" s="221"/>
      <c r="AG578" s="221"/>
      <c r="AH578" s="221"/>
      <c r="AI578" s="221"/>
      <c r="AJ578" s="221"/>
      <c r="AK578" s="221"/>
      <c r="AL578" s="221"/>
      <c r="AM578" s="221"/>
      <c r="AN578" s="221"/>
      <c r="AO578" s="221"/>
      <c r="AP578" s="221"/>
      <c r="AQ578" s="221"/>
      <c r="AR578" s="221"/>
    </row>
    <row r="579" spans="1:44" s="384" customFormat="1" ht="12" customHeight="1">
      <c r="A579" s="221"/>
      <c r="P579" s="290"/>
      <c r="X579" s="221"/>
      <c r="Y579" s="221"/>
      <c r="Z579" s="221"/>
      <c r="AA579" s="221"/>
      <c r="AB579" s="221"/>
      <c r="AC579" s="221"/>
      <c r="AD579" s="221"/>
      <c r="AE579" s="221"/>
      <c r="AF579" s="221"/>
      <c r="AG579" s="221"/>
      <c r="AH579" s="221"/>
      <c r="AI579" s="221"/>
      <c r="AJ579" s="221"/>
      <c r="AK579" s="221"/>
      <c r="AL579" s="221"/>
      <c r="AM579" s="221"/>
      <c r="AN579" s="221"/>
      <c r="AO579" s="221"/>
      <c r="AP579" s="221"/>
      <c r="AQ579" s="221"/>
      <c r="AR579" s="221"/>
    </row>
    <row r="580" spans="1:44" s="384" customFormat="1" ht="12" customHeight="1">
      <c r="A580" s="221"/>
      <c r="P580" s="290"/>
      <c r="X580" s="221"/>
      <c r="Y580" s="221"/>
      <c r="Z580" s="221"/>
      <c r="AA580" s="221"/>
      <c r="AB580" s="221"/>
      <c r="AC580" s="221"/>
      <c r="AD580" s="221"/>
      <c r="AE580" s="221"/>
      <c r="AF580" s="221"/>
      <c r="AG580" s="221"/>
      <c r="AH580" s="221"/>
      <c r="AI580" s="221"/>
      <c r="AJ580" s="221"/>
      <c r="AK580" s="221"/>
      <c r="AL580" s="221"/>
      <c r="AM580" s="221"/>
      <c r="AN580" s="221"/>
      <c r="AO580" s="221"/>
      <c r="AP580" s="221"/>
      <c r="AQ580" s="221"/>
      <c r="AR580" s="221"/>
    </row>
    <row r="581" spans="1:44" s="384" customFormat="1" ht="12" customHeight="1">
      <c r="A581" s="221"/>
      <c r="P581" s="290"/>
      <c r="X581" s="221"/>
      <c r="Y581" s="221"/>
      <c r="Z581" s="221"/>
      <c r="AA581" s="221"/>
      <c r="AB581" s="221"/>
      <c r="AC581" s="221"/>
      <c r="AD581" s="221"/>
      <c r="AE581" s="221"/>
      <c r="AF581" s="221"/>
      <c r="AG581" s="221"/>
      <c r="AH581" s="221"/>
      <c r="AI581" s="221"/>
      <c r="AJ581" s="221"/>
      <c r="AK581" s="221"/>
      <c r="AL581" s="221"/>
      <c r="AM581" s="221"/>
      <c r="AN581" s="221"/>
      <c r="AO581" s="221"/>
      <c r="AP581" s="221"/>
      <c r="AQ581" s="221"/>
      <c r="AR581" s="221"/>
    </row>
    <row r="582" spans="1:44" s="384" customFormat="1" ht="12" customHeight="1">
      <c r="A582" s="221"/>
      <c r="P582" s="290"/>
      <c r="X582" s="221"/>
      <c r="Y582" s="221"/>
      <c r="Z582" s="221"/>
      <c r="AA582" s="221"/>
      <c r="AB582" s="221"/>
      <c r="AC582" s="221"/>
      <c r="AD582" s="221"/>
      <c r="AE582" s="221"/>
      <c r="AF582" s="221"/>
      <c r="AG582" s="221"/>
      <c r="AH582" s="221"/>
      <c r="AI582" s="221"/>
      <c r="AJ582" s="221"/>
      <c r="AK582" s="221"/>
      <c r="AL582" s="221"/>
      <c r="AM582" s="221"/>
      <c r="AN582" s="221"/>
      <c r="AO582" s="221"/>
      <c r="AP582" s="221"/>
      <c r="AQ582" s="221"/>
      <c r="AR582" s="221"/>
    </row>
    <row r="583" spans="1:44" s="384" customFormat="1" ht="12" customHeight="1">
      <c r="A583" s="221"/>
      <c r="P583" s="290"/>
      <c r="X583" s="221"/>
      <c r="Y583" s="221"/>
      <c r="Z583" s="221"/>
      <c r="AA583" s="221"/>
      <c r="AB583" s="221"/>
      <c r="AC583" s="221"/>
      <c r="AD583" s="221"/>
      <c r="AE583" s="221"/>
      <c r="AF583" s="221"/>
      <c r="AG583" s="221"/>
      <c r="AH583" s="221"/>
      <c r="AI583" s="221"/>
      <c r="AJ583" s="221"/>
      <c r="AK583" s="221"/>
      <c r="AL583" s="221"/>
      <c r="AM583" s="221"/>
      <c r="AN583" s="221"/>
      <c r="AO583" s="221"/>
      <c r="AP583" s="221"/>
      <c r="AQ583" s="221"/>
      <c r="AR583" s="221"/>
    </row>
    <row r="584" spans="1:44" s="384" customFormat="1" ht="12" customHeight="1">
      <c r="A584" s="221"/>
      <c r="P584" s="3098"/>
      <c r="X584" s="221"/>
      <c r="Y584" s="221"/>
      <c r="Z584" s="221"/>
      <c r="AA584" s="221"/>
      <c r="AB584" s="221"/>
      <c r="AC584" s="221"/>
      <c r="AD584" s="221"/>
      <c r="AE584" s="221"/>
      <c r="AF584" s="221"/>
      <c r="AG584" s="221"/>
      <c r="AH584" s="221"/>
      <c r="AI584" s="221"/>
      <c r="AJ584" s="221"/>
      <c r="AK584" s="221"/>
      <c r="AL584" s="221"/>
      <c r="AM584" s="221"/>
      <c r="AN584" s="221"/>
      <c r="AO584" s="221"/>
      <c r="AP584" s="221"/>
      <c r="AQ584" s="221"/>
      <c r="AR584" s="221"/>
    </row>
    <row r="585" spans="1:44" s="384" customFormat="1" ht="12" customHeight="1">
      <c r="A585" s="221"/>
      <c r="P585" s="3098"/>
      <c r="X585" s="221"/>
      <c r="Y585" s="221"/>
      <c r="Z585" s="221"/>
      <c r="AA585" s="221"/>
      <c r="AB585" s="221"/>
      <c r="AC585" s="221"/>
      <c r="AD585" s="221"/>
      <c r="AE585" s="221"/>
      <c r="AF585" s="221"/>
      <c r="AG585" s="221"/>
      <c r="AH585" s="221"/>
      <c r="AI585" s="221"/>
      <c r="AJ585" s="221"/>
      <c r="AK585" s="221"/>
      <c r="AL585" s="221"/>
      <c r="AM585" s="221"/>
      <c r="AN585" s="221"/>
      <c r="AO585" s="221"/>
      <c r="AP585" s="221"/>
      <c r="AQ585" s="221"/>
      <c r="AR585" s="221"/>
    </row>
    <row r="586" spans="1:44" s="384" customFormat="1" ht="12" customHeight="1">
      <c r="A586" s="221"/>
      <c r="P586" s="3098"/>
      <c r="X586" s="221"/>
      <c r="Y586" s="221"/>
      <c r="Z586" s="221"/>
      <c r="AA586" s="221"/>
      <c r="AB586" s="221"/>
      <c r="AC586" s="221"/>
      <c r="AD586" s="221"/>
      <c r="AE586" s="221"/>
      <c r="AF586" s="221"/>
      <c r="AG586" s="221"/>
      <c r="AH586" s="221"/>
      <c r="AI586" s="221"/>
      <c r="AJ586" s="221"/>
      <c r="AK586" s="221"/>
      <c r="AL586" s="221"/>
      <c r="AM586" s="221"/>
      <c r="AN586" s="221"/>
      <c r="AO586" s="221"/>
      <c r="AP586" s="221"/>
      <c r="AQ586" s="221"/>
      <c r="AR586" s="221"/>
    </row>
    <row r="587" spans="1:44" s="384" customFormat="1" ht="12" customHeight="1">
      <c r="A587" s="221"/>
      <c r="P587" s="290"/>
      <c r="X587" s="221"/>
      <c r="Y587" s="221"/>
      <c r="Z587" s="221"/>
      <c r="AA587" s="221"/>
      <c r="AB587" s="221"/>
      <c r="AC587" s="221"/>
      <c r="AD587" s="221"/>
      <c r="AE587" s="221"/>
      <c r="AF587" s="221"/>
      <c r="AG587" s="221"/>
      <c r="AH587" s="221"/>
      <c r="AI587" s="221"/>
      <c r="AJ587" s="221"/>
      <c r="AK587" s="221"/>
      <c r="AL587" s="221"/>
      <c r="AM587" s="221"/>
      <c r="AN587" s="221"/>
      <c r="AO587" s="221"/>
      <c r="AP587" s="221"/>
      <c r="AQ587" s="221"/>
      <c r="AR587" s="221"/>
    </row>
    <row r="588" spans="1:44" s="384" customFormat="1" ht="12" customHeight="1">
      <c r="A588" s="221"/>
      <c r="P588" s="290"/>
      <c r="X588" s="221"/>
      <c r="Y588" s="221"/>
      <c r="Z588" s="221"/>
      <c r="AA588" s="221"/>
      <c r="AB588" s="221"/>
      <c r="AC588" s="221"/>
      <c r="AD588" s="221"/>
      <c r="AE588" s="221"/>
      <c r="AF588" s="221"/>
      <c r="AG588" s="221"/>
      <c r="AH588" s="221"/>
      <c r="AI588" s="221"/>
      <c r="AJ588" s="221"/>
      <c r="AK588" s="221"/>
      <c r="AL588" s="221"/>
      <c r="AM588" s="221"/>
      <c r="AN588" s="221"/>
      <c r="AO588" s="221"/>
      <c r="AP588" s="221"/>
      <c r="AQ588" s="221"/>
      <c r="AR588" s="221"/>
    </row>
    <row r="589" spans="1:44" s="384" customFormat="1" ht="12" customHeight="1">
      <c r="A589" s="221"/>
      <c r="P589" s="290"/>
      <c r="X589" s="221"/>
      <c r="Y589" s="221"/>
      <c r="Z589" s="221"/>
      <c r="AA589" s="221"/>
      <c r="AB589" s="221"/>
      <c r="AC589" s="221"/>
      <c r="AD589" s="221"/>
      <c r="AE589" s="221"/>
      <c r="AF589" s="221"/>
      <c r="AG589" s="221"/>
      <c r="AH589" s="221"/>
      <c r="AI589" s="221"/>
      <c r="AJ589" s="221"/>
      <c r="AK589" s="221"/>
      <c r="AL589" s="221"/>
      <c r="AM589" s="221"/>
      <c r="AN589" s="221"/>
      <c r="AO589" s="221"/>
      <c r="AP589" s="221"/>
      <c r="AQ589" s="221"/>
      <c r="AR589" s="221"/>
    </row>
    <row r="590" spans="1:44" s="384" customFormat="1" ht="12" customHeight="1">
      <c r="A590" s="221"/>
      <c r="P590" s="290"/>
      <c r="X590" s="221"/>
      <c r="Y590" s="221"/>
      <c r="Z590" s="221"/>
      <c r="AA590" s="221"/>
      <c r="AB590" s="221"/>
      <c r="AC590" s="221"/>
      <c r="AD590" s="221"/>
      <c r="AE590" s="221"/>
      <c r="AF590" s="221"/>
      <c r="AG590" s="221"/>
      <c r="AH590" s="221"/>
      <c r="AI590" s="221"/>
      <c r="AJ590" s="221"/>
      <c r="AK590" s="221"/>
      <c r="AL590" s="221"/>
      <c r="AM590" s="221"/>
      <c r="AN590" s="221"/>
      <c r="AO590" s="221"/>
      <c r="AP590" s="221"/>
      <c r="AQ590" s="221"/>
      <c r="AR590" s="221"/>
    </row>
    <row r="591" spans="1:44" s="384" customFormat="1" ht="12" customHeight="1">
      <c r="A591" s="221"/>
      <c r="P591" s="290"/>
      <c r="X591" s="221"/>
      <c r="Y591" s="221"/>
      <c r="Z591" s="221"/>
      <c r="AA591" s="221"/>
      <c r="AB591" s="221"/>
      <c r="AC591" s="221"/>
      <c r="AD591" s="221"/>
      <c r="AE591" s="221"/>
      <c r="AF591" s="221"/>
      <c r="AG591" s="221"/>
      <c r="AH591" s="221"/>
      <c r="AI591" s="221"/>
      <c r="AJ591" s="221"/>
      <c r="AK591" s="221"/>
      <c r="AL591" s="221"/>
      <c r="AM591" s="221"/>
      <c r="AN591" s="221"/>
      <c r="AO591" s="221"/>
      <c r="AP591" s="221"/>
      <c r="AQ591" s="221"/>
      <c r="AR591" s="221"/>
    </row>
    <row r="592" spans="1:44" s="384" customFormat="1" ht="12" customHeight="1">
      <c r="A592" s="221"/>
      <c r="P592" s="290"/>
      <c r="X592" s="221"/>
      <c r="Y592" s="221"/>
      <c r="Z592" s="221"/>
      <c r="AA592" s="221"/>
      <c r="AB592" s="221"/>
      <c r="AC592" s="221"/>
      <c r="AD592" s="221"/>
      <c r="AE592" s="221"/>
      <c r="AF592" s="221"/>
      <c r="AG592" s="221"/>
      <c r="AH592" s="221"/>
      <c r="AI592" s="221"/>
      <c r="AJ592" s="221"/>
      <c r="AK592" s="221"/>
      <c r="AL592" s="221"/>
      <c r="AM592" s="221"/>
      <c r="AN592" s="221"/>
      <c r="AO592" s="221"/>
      <c r="AP592" s="221"/>
      <c r="AQ592" s="221"/>
      <c r="AR592" s="221"/>
    </row>
    <row r="593" spans="1:44" s="384" customFormat="1" ht="12" customHeight="1">
      <c r="A593" s="221"/>
      <c r="P593" s="290"/>
      <c r="X593" s="221"/>
      <c r="Y593" s="221"/>
      <c r="Z593" s="221"/>
      <c r="AA593" s="221"/>
      <c r="AB593" s="221"/>
      <c r="AC593" s="221"/>
      <c r="AD593" s="221"/>
      <c r="AE593" s="221"/>
      <c r="AF593" s="221"/>
      <c r="AG593" s="221"/>
      <c r="AH593" s="221"/>
      <c r="AI593" s="221"/>
      <c r="AJ593" s="221"/>
      <c r="AK593" s="221"/>
      <c r="AL593" s="221"/>
      <c r="AM593" s="221"/>
      <c r="AN593" s="221"/>
      <c r="AO593" s="221"/>
      <c r="AP593" s="221"/>
      <c r="AQ593" s="221"/>
      <c r="AR593" s="221"/>
    </row>
    <row r="594" spans="1:44" s="384" customFormat="1" ht="12" customHeight="1">
      <c r="A594" s="221"/>
      <c r="P594" s="290"/>
      <c r="X594" s="221"/>
      <c r="Y594" s="221"/>
      <c r="Z594" s="221"/>
      <c r="AA594" s="221"/>
      <c r="AB594" s="221"/>
      <c r="AC594" s="221"/>
      <c r="AD594" s="221"/>
      <c r="AE594" s="221"/>
      <c r="AF594" s="221"/>
      <c r="AG594" s="221"/>
      <c r="AH594" s="221"/>
      <c r="AI594" s="221"/>
      <c r="AJ594" s="221"/>
      <c r="AK594" s="221"/>
      <c r="AL594" s="221"/>
      <c r="AM594" s="221"/>
      <c r="AN594" s="221"/>
      <c r="AO594" s="221"/>
      <c r="AP594" s="221"/>
      <c r="AQ594" s="221"/>
      <c r="AR594" s="221"/>
    </row>
    <row r="595" spans="1:44" s="384" customFormat="1" ht="12" customHeight="1">
      <c r="A595" s="221"/>
      <c r="P595" s="290"/>
      <c r="X595" s="221"/>
      <c r="Y595" s="221"/>
      <c r="Z595" s="221"/>
      <c r="AA595" s="221"/>
      <c r="AB595" s="221"/>
      <c r="AC595" s="221"/>
      <c r="AD595" s="221"/>
      <c r="AE595" s="221"/>
      <c r="AF595" s="221"/>
      <c r="AG595" s="221"/>
      <c r="AH595" s="221"/>
      <c r="AI595" s="221"/>
      <c r="AJ595" s="221"/>
      <c r="AK595" s="221"/>
      <c r="AL595" s="221"/>
      <c r="AM595" s="221"/>
      <c r="AN595" s="221"/>
      <c r="AO595" s="221"/>
      <c r="AP595" s="221"/>
      <c r="AQ595" s="221"/>
      <c r="AR595" s="221"/>
    </row>
    <row r="596" spans="1:44" s="384" customFormat="1" ht="12" customHeight="1">
      <c r="A596" s="221"/>
      <c r="P596" s="290"/>
      <c r="X596" s="221"/>
      <c r="Y596" s="221"/>
      <c r="Z596" s="221"/>
      <c r="AA596" s="221"/>
      <c r="AB596" s="221"/>
      <c r="AC596" s="221"/>
      <c r="AD596" s="221"/>
      <c r="AE596" s="221"/>
      <c r="AF596" s="221"/>
      <c r="AG596" s="221"/>
      <c r="AH596" s="221"/>
      <c r="AI596" s="221"/>
      <c r="AJ596" s="221"/>
      <c r="AK596" s="221"/>
      <c r="AL596" s="221"/>
      <c r="AM596" s="221"/>
      <c r="AN596" s="221"/>
      <c r="AO596" s="221"/>
      <c r="AP596" s="221"/>
      <c r="AQ596" s="221"/>
      <c r="AR596" s="221"/>
    </row>
    <row r="597" spans="1:44" s="384" customFormat="1" ht="12" customHeight="1">
      <c r="A597" s="221"/>
      <c r="P597" s="290"/>
      <c r="X597" s="221"/>
      <c r="Y597" s="221"/>
      <c r="Z597" s="221"/>
      <c r="AA597" s="221"/>
      <c r="AB597" s="221"/>
      <c r="AC597" s="221"/>
      <c r="AD597" s="221"/>
      <c r="AE597" s="221"/>
      <c r="AF597" s="221"/>
      <c r="AG597" s="221"/>
      <c r="AH597" s="221"/>
      <c r="AI597" s="221"/>
      <c r="AJ597" s="221"/>
      <c r="AK597" s="221"/>
      <c r="AL597" s="221"/>
      <c r="AM597" s="221"/>
      <c r="AN597" s="221"/>
      <c r="AO597" s="221"/>
      <c r="AP597" s="221"/>
      <c r="AQ597" s="221"/>
      <c r="AR597" s="221"/>
    </row>
    <row r="598" spans="1:44" s="384" customFormat="1" ht="12" customHeight="1">
      <c r="A598" s="221"/>
      <c r="P598" s="290"/>
      <c r="X598" s="221"/>
      <c r="Y598" s="221"/>
      <c r="Z598" s="221"/>
      <c r="AA598" s="221"/>
      <c r="AB598" s="221"/>
      <c r="AC598" s="221"/>
      <c r="AD598" s="221"/>
      <c r="AE598" s="221"/>
      <c r="AF598" s="221"/>
      <c r="AG598" s="221"/>
      <c r="AH598" s="221"/>
      <c r="AI598" s="221"/>
      <c r="AJ598" s="221"/>
      <c r="AK598" s="221"/>
      <c r="AL598" s="221"/>
      <c r="AM598" s="221"/>
      <c r="AN598" s="221"/>
      <c r="AO598" s="221"/>
      <c r="AP598" s="221"/>
      <c r="AQ598" s="221"/>
      <c r="AR598" s="221"/>
    </row>
    <row r="599" spans="1:44" s="384" customFormat="1" ht="12" customHeight="1">
      <c r="A599" s="221"/>
      <c r="P599" s="3097"/>
      <c r="X599" s="221"/>
      <c r="Y599" s="221"/>
      <c r="Z599" s="221"/>
      <c r="AA599" s="221"/>
      <c r="AB599" s="221"/>
      <c r="AC599" s="221"/>
      <c r="AD599" s="221"/>
      <c r="AE599" s="221"/>
      <c r="AF599" s="221"/>
      <c r="AG599" s="221"/>
      <c r="AH599" s="221"/>
      <c r="AI599" s="221"/>
      <c r="AJ599" s="221"/>
      <c r="AK599" s="221"/>
      <c r="AL599" s="221"/>
      <c r="AM599" s="221"/>
      <c r="AN599" s="221"/>
      <c r="AO599" s="221"/>
      <c r="AP599" s="221"/>
      <c r="AQ599" s="221"/>
      <c r="AR599" s="221"/>
    </row>
    <row r="600" spans="1:44" s="384" customFormat="1" ht="12" customHeight="1">
      <c r="A600" s="221"/>
      <c r="P600" s="290"/>
      <c r="X600" s="221"/>
      <c r="Y600" s="221"/>
      <c r="Z600" s="221"/>
      <c r="AA600" s="221"/>
      <c r="AB600" s="221"/>
      <c r="AC600" s="221"/>
      <c r="AD600" s="221"/>
      <c r="AE600" s="221"/>
      <c r="AF600" s="221"/>
      <c r="AG600" s="221"/>
      <c r="AH600" s="221"/>
      <c r="AI600" s="221"/>
      <c r="AJ600" s="221"/>
      <c r="AK600" s="221"/>
      <c r="AL600" s="221"/>
      <c r="AM600" s="221"/>
      <c r="AN600" s="221"/>
      <c r="AO600" s="221"/>
      <c r="AP600" s="221"/>
      <c r="AQ600" s="221"/>
      <c r="AR600" s="221"/>
    </row>
    <row r="601" spans="1:44" s="384" customFormat="1" ht="12" customHeight="1">
      <c r="A601" s="221"/>
      <c r="P601" s="290"/>
      <c r="X601" s="221"/>
      <c r="Y601" s="221"/>
      <c r="Z601" s="221"/>
      <c r="AA601" s="221"/>
      <c r="AB601" s="221"/>
      <c r="AC601" s="221"/>
      <c r="AD601" s="221"/>
      <c r="AE601" s="221"/>
      <c r="AF601" s="221"/>
      <c r="AG601" s="221"/>
      <c r="AH601" s="221"/>
      <c r="AI601" s="221"/>
      <c r="AJ601" s="221"/>
      <c r="AK601" s="221"/>
      <c r="AL601" s="221"/>
      <c r="AM601" s="221"/>
      <c r="AN601" s="221"/>
      <c r="AO601" s="221"/>
      <c r="AP601" s="221"/>
      <c r="AQ601" s="221"/>
      <c r="AR601" s="221"/>
    </row>
    <row r="602" spans="1:44" s="384" customFormat="1" ht="12" customHeight="1">
      <c r="A602" s="221"/>
      <c r="P602" s="290"/>
      <c r="X602" s="221"/>
      <c r="Y602" s="221"/>
      <c r="Z602" s="221"/>
      <c r="AA602" s="221"/>
      <c r="AB602" s="221"/>
      <c r="AC602" s="221"/>
      <c r="AD602" s="221"/>
      <c r="AE602" s="221"/>
      <c r="AF602" s="221"/>
      <c r="AG602" s="221"/>
      <c r="AH602" s="221"/>
      <c r="AI602" s="221"/>
      <c r="AJ602" s="221"/>
      <c r="AK602" s="221"/>
      <c r="AL602" s="221"/>
      <c r="AM602" s="221"/>
      <c r="AN602" s="221"/>
      <c r="AO602" s="221"/>
      <c r="AP602" s="221"/>
      <c r="AQ602" s="221"/>
      <c r="AR602" s="221"/>
    </row>
    <row r="603" spans="1:44" s="384" customFormat="1" ht="12" customHeight="1">
      <c r="A603" s="221"/>
      <c r="P603" s="290"/>
      <c r="X603" s="221"/>
      <c r="Y603" s="221"/>
      <c r="Z603" s="221"/>
      <c r="AA603" s="221"/>
      <c r="AB603" s="221"/>
      <c r="AC603" s="221"/>
      <c r="AD603" s="221"/>
      <c r="AE603" s="221"/>
      <c r="AF603" s="221"/>
      <c r="AG603" s="221"/>
      <c r="AH603" s="221"/>
      <c r="AI603" s="221"/>
      <c r="AJ603" s="221"/>
      <c r="AK603" s="221"/>
      <c r="AL603" s="221"/>
      <c r="AM603" s="221"/>
      <c r="AN603" s="221"/>
      <c r="AO603" s="221"/>
      <c r="AP603" s="221"/>
      <c r="AQ603" s="221"/>
      <c r="AR603" s="221"/>
    </row>
    <row r="604" spans="1:44" s="384" customFormat="1" ht="12" customHeight="1">
      <c r="A604" s="221"/>
      <c r="P604" s="3098"/>
      <c r="X604" s="221"/>
      <c r="Y604" s="221"/>
      <c r="Z604" s="221"/>
      <c r="AA604" s="221"/>
      <c r="AB604" s="221"/>
      <c r="AC604" s="221"/>
      <c r="AD604" s="221"/>
      <c r="AE604" s="221"/>
      <c r="AF604" s="221"/>
      <c r="AG604" s="221"/>
      <c r="AH604" s="221"/>
      <c r="AI604" s="221"/>
      <c r="AJ604" s="221"/>
      <c r="AK604" s="221"/>
      <c r="AL604" s="221"/>
      <c r="AM604" s="221"/>
      <c r="AN604" s="221"/>
      <c r="AO604" s="221"/>
      <c r="AP604" s="221"/>
      <c r="AQ604" s="221"/>
      <c r="AR604" s="221"/>
    </row>
    <row r="605" spans="1:44" s="384" customFormat="1" ht="12" customHeight="1">
      <c r="A605" s="221"/>
      <c r="P605" s="290"/>
      <c r="X605" s="221"/>
      <c r="Y605" s="221"/>
      <c r="Z605" s="221"/>
      <c r="AA605" s="221"/>
      <c r="AB605" s="221"/>
      <c r="AC605" s="221"/>
      <c r="AD605" s="221"/>
      <c r="AE605" s="221"/>
      <c r="AF605" s="221"/>
      <c r="AG605" s="221"/>
      <c r="AH605" s="221"/>
      <c r="AI605" s="221"/>
      <c r="AJ605" s="221"/>
      <c r="AK605" s="221"/>
      <c r="AL605" s="221"/>
      <c r="AM605" s="221"/>
      <c r="AN605" s="221"/>
      <c r="AO605" s="221"/>
      <c r="AP605" s="221"/>
      <c r="AQ605" s="221"/>
      <c r="AR605" s="221"/>
    </row>
    <row r="606" spans="1:44" s="384" customFormat="1" ht="12" customHeight="1">
      <c r="A606" s="221"/>
      <c r="P606" s="290"/>
      <c r="X606" s="221"/>
      <c r="Y606" s="221"/>
      <c r="Z606" s="221"/>
      <c r="AA606" s="221"/>
      <c r="AB606" s="221"/>
      <c r="AC606" s="221"/>
      <c r="AD606" s="221"/>
      <c r="AE606" s="221"/>
      <c r="AF606" s="221"/>
      <c r="AG606" s="221"/>
      <c r="AH606" s="221"/>
      <c r="AI606" s="221"/>
      <c r="AJ606" s="221"/>
      <c r="AK606" s="221"/>
      <c r="AL606" s="221"/>
      <c r="AM606" s="221"/>
      <c r="AN606" s="221"/>
      <c r="AO606" s="221"/>
      <c r="AP606" s="221"/>
      <c r="AQ606" s="221"/>
      <c r="AR606" s="221"/>
    </row>
    <row r="607" spans="1:44" s="384" customFormat="1" ht="12" customHeight="1">
      <c r="A607" s="221"/>
      <c r="P607" s="290"/>
      <c r="X607" s="221"/>
      <c r="Y607" s="221"/>
      <c r="Z607" s="221"/>
      <c r="AA607" s="221"/>
      <c r="AB607" s="221"/>
      <c r="AC607" s="221"/>
      <c r="AD607" s="221"/>
      <c r="AE607" s="221"/>
      <c r="AF607" s="221"/>
      <c r="AG607" s="221"/>
      <c r="AH607" s="221"/>
      <c r="AI607" s="221"/>
      <c r="AJ607" s="221"/>
      <c r="AK607" s="221"/>
      <c r="AL607" s="221"/>
      <c r="AM607" s="221"/>
      <c r="AN607" s="221"/>
      <c r="AO607" s="221"/>
      <c r="AP607" s="221"/>
      <c r="AQ607" s="221"/>
      <c r="AR607" s="221"/>
    </row>
    <row r="608" spans="1:44" s="384" customFormat="1" ht="12" customHeight="1">
      <c r="A608" s="221"/>
      <c r="P608" s="290"/>
      <c r="X608" s="221"/>
      <c r="Y608" s="221"/>
      <c r="Z608" s="221"/>
      <c r="AA608" s="221"/>
      <c r="AB608" s="221"/>
      <c r="AC608" s="221"/>
      <c r="AD608" s="221"/>
      <c r="AE608" s="221"/>
      <c r="AF608" s="221"/>
      <c r="AG608" s="221"/>
      <c r="AH608" s="221"/>
      <c r="AI608" s="221"/>
      <c r="AJ608" s="221"/>
      <c r="AK608" s="221"/>
      <c r="AL608" s="221"/>
      <c r="AM608" s="221"/>
      <c r="AN608" s="221"/>
      <c r="AO608" s="221"/>
      <c r="AP608" s="221"/>
      <c r="AQ608" s="221"/>
      <c r="AR608" s="221"/>
    </row>
    <row r="609" spans="1:44" s="384" customFormat="1" ht="12" customHeight="1">
      <c r="A609" s="221"/>
      <c r="P609" s="290"/>
      <c r="X609" s="221"/>
      <c r="Y609" s="221"/>
      <c r="Z609" s="221"/>
      <c r="AA609" s="221"/>
      <c r="AB609" s="221"/>
      <c r="AC609" s="221"/>
      <c r="AD609" s="221"/>
      <c r="AE609" s="221"/>
      <c r="AF609" s="221"/>
      <c r="AG609" s="221"/>
      <c r="AH609" s="221"/>
      <c r="AI609" s="221"/>
      <c r="AJ609" s="221"/>
      <c r="AK609" s="221"/>
      <c r="AL609" s="221"/>
      <c r="AM609" s="221"/>
      <c r="AN609" s="221"/>
      <c r="AO609" s="221"/>
      <c r="AP609" s="221"/>
      <c r="AQ609" s="221"/>
      <c r="AR609" s="221"/>
    </row>
    <row r="610" spans="1:44" s="384" customFormat="1" ht="12" customHeight="1">
      <c r="A610" s="221"/>
      <c r="P610" s="290"/>
      <c r="X610" s="221"/>
      <c r="Y610" s="221"/>
      <c r="Z610" s="221"/>
      <c r="AA610" s="221"/>
      <c r="AB610" s="221"/>
      <c r="AC610" s="221"/>
      <c r="AD610" s="221"/>
      <c r="AE610" s="221"/>
      <c r="AF610" s="221"/>
      <c r="AG610" s="221"/>
      <c r="AH610" s="221"/>
      <c r="AI610" s="221"/>
      <c r="AJ610" s="221"/>
      <c r="AK610" s="221"/>
      <c r="AL610" s="221"/>
      <c r="AM610" s="221"/>
      <c r="AN610" s="221"/>
      <c r="AO610" s="221"/>
      <c r="AP610" s="221"/>
      <c r="AQ610" s="221"/>
      <c r="AR610" s="221"/>
    </row>
    <row r="611" spans="1:44" s="384" customFormat="1" ht="12" customHeight="1">
      <c r="A611" s="221"/>
      <c r="P611" s="290"/>
      <c r="X611" s="221"/>
      <c r="Y611" s="221"/>
      <c r="Z611" s="221"/>
      <c r="AA611" s="221"/>
      <c r="AB611" s="221"/>
      <c r="AC611" s="221"/>
      <c r="AD611" s="221"/>
      <c r="AE611" s="221"/>
      <c r="AF611" s="221"/>
      <c r="AG611" s="221"/>
      <c r="AH611" s="221"/>
      <c r="AI611" s="221"/>
      <c r="AJ611" s="221"/>
      <c r="AK611" s="221"/>
      <c r="AL611" s="221"/>
      <c r="AM611" s="221"/>
      <c r="AN611" s="221"/>
      <c r="AO611" s="221"/>
      <c r="AP611" s="221"/>
      <c r="AQ611" s="221"/>
      <c r="AR611" s="221"/>
    </row>
    <row r="612" spans="1:44" s="384" customFormat="1" ht="12" customHeight="1">
      <c r="A612" s="221"/>
      <c r="P612" s="290"/>
      <c r="X612" s="221"/>
      <c r="Y612" s="221"/>
      <c r="Z612" s="221"/>
      <c r="AA612" s="221"/>
      <c r="AB612" s="221"/>
      <c r="AC612" s="221"/>
      <c r="AD612" s="221"/>
      <c r="AE612" s="221"/>
      <c r="AF612" s="221"/>
      <c r="AG612" s="221"/>
      <c r="AH612" s="221"/>
      <c r="AI612" s="221"/>
      <c r="AJ612" s="221"/>
      <c r="AK612" s="221"/>
      <c r="AL612" s="221"/>
      <c r="AM612" s="221"/>
      <c r="AN612" s="221"/>
      <c r="AO612" s="221"/>
      <c r="AP612" s="221"/>
      <c r="AQ612" s="221"/>
      <c r="AR612" s="221"/>
    </row>
    <row r="613" spans="1:44" s="384" customFormat="1" ht="12" customHeight="1">
      <c r="A613" s="221"/>
      <c r="P613" s="290"/>
      <c r="R613" s="3096" t="s">
        <v>272</v>
      </c>
      <c r="S613" s="3096" t="s">
        <v>273</v>
      </c>
      <c r="T613" s="3096" t="s">
        <v>274</v>
      </c>
      <c r="X613" s="221"/>
      <c r="Y613" s="221"/>
      <c r="Z613" s="221"/>
      <c r="AA613" s="221"/>
      <c r="AB613" s="221"/>
      <c r="AC613" s="221"/>
      <c r="AD613" s="221"/>
      <c r="AE613" s="221"/>
      <c r="AF613" s="221"/>
      <c r="AG613" s="221"/>
      <c r="AH613" s="221"/>
      <c r="AI613" s="221"/>
      <c r="AJ613" s="221"/>
      <c r="AK613" s="221"/>
      <c r="AL613" s="221"/>
      <c r="AM613" s="221"/>
      <c r="AN613" s="221"/>
      <c r="AO613" s="221"/>
      <c r="AP613" s="221"/>
      <c r="AQ613" s="221"/>
      <c r="AR613" s="221"/>
    </row>
    <row r="614" spans="1:44" s="384" customFormat="1" ht="12" customHeight="1">
      <c r="A614" s="221"/>
      <c r="P614" s="290"/>
      <c r="R614" s="3096" t="s">
        <v>275</v>
      </c>
      <c r="S614" s="3096" t="s">
        <v>276</v>
      </c>
      <c r="T614" s="3099" t="s">
        <v>277</v>
      </c>
      <c r="X614" s="221"/>
      <c r="Y614" s="221"/>
      <c r="Z614" s="221"/>
      <c r="AA614" s="221"/>
      <c r="AB614" s="221"/>
      <c r="AC614" s="221"/>
      <c r="AD614" s="221"/>
      <c r="AE614" s="221"/>
      <c r="AF614" s="221"/>
      <c r="AG614" s="221"/>
      <c r="AH614" s="221"/>
      <c r="AI614" s="221"/>
      <c r="AJ614" s="221"/>
      <c r="AK614" s="221"/>
      <c r="AL614" s="221"/>
      <c r="AM614" s="221"/>
      <c r="AN614" s="221"/>
      <c r="AO614" s="221"/>
      <c r="AP614" s="221"/>
      <c r="AQ614" s="221"/>
      <c r="AR614" s="221"/>
    </row>
    <row r="615" spans="1:44" s="384" customFormat="1" ht="12" customHeight="1">
      <c r="A615" s="221"/>
      <c r="P615" s="3098"/>
      <c r="R615" s="3096" t="s">
        <v>278</v>
      </c>
      <c r="S615" s="3096" t="s">
        <v>279</v>
      </c>
      <c r="T615" s="3099" t="s">
        <v>277</v>
      </c>
      <c r="X615" s="221"/>
      <c r="Y615" s="221"/>
      <c r="Z615" s="221"/>
      <c r="AA615" s="221"/>
      <c r="AB615" s="221"/>
      <c r="AC615" s="221"/>
      <c r="AD615" s="221"/>
      <c r="AE615" s="221"/>
      <c r="AF615" s="221"/>
      <c r="AG615" s="221"/>
      <c r="AH615" s="221"/>
      <c r="AI615" s="221"/>
      <c r="AJ615" s="221"/>
      <c r="AK615" s="221"/>
      <c r="AL615" s="221"/>
      <c r="AM615" s="221"/>
      <c r="AN615" s="221"/>
      <c r="AO615" s="221"/>
      <c r="AP615" s="221"/>
      <c r="AQ615" s="221"/>
      <c r="AR615" s="221"/>
    </row>
    <row r="616" spans="1:44" s="384" customFormat="1" ht="12" customHeight="1">
      <c r="A616" s="221"/>
      <c r="P616" s="290"/>
      <c r="R616" s="3096" t="s">
        <v>280</v>
      </c>
      <c r="S616" s="3096" t="s">
        <v>281</v>
      </c>
      <c r="T616" s="3099" t="s">
        <v>277</v>
      </c>
      <c r="X616" s="221"/>
      <c r="Y616" s="221"/>
      <c r="Z616" s="221"/>
      <c r="AA616" s="221"/>
      <c r="AB616" s="221"/>
      <c r="AC616" s="221"/>
      <c r="AD616" s="221"/>
      <c r="AE616" s="221"/>
      <c r="AF616" s="221"/>
      <c r="AG616" s="221"/>
      <c r="AH616" s="221"/>
      <c r="AI616" s="221"/>
      <c r="AJ616" s="221"/>
      <c r="AK616" s="221"/>
      <c r="AL616" s="221"/>
      <c r="AM616" s="221"/>
      <c r="AN616" s="221"/>
      <c r="AO616" s="221"/>
      <c r="AP616" s="221"/>
      <c r="AQ616" s="221"/>
      <c r="AR616" s="221"/>
    </row>
    <row r="617" spans="1:44" s="384" customFormat="1" ht="12" customHeight="1">
      <c r="A617" s="221"/>
      <c r="P617" s="290"/>
      <c r="R617" s="3096" t="s">
        <v>282</v>
      </c>
      <c r="S617" s="3096"/>
      <c r="T617" s="3099" t="s">
        <v>277</v>
      </c>
      <c r="X617" s="221"/>
      <c r="Y617" s="221"/>
      <c r="Z617" s="221"/>
      <c r="AA617" s="221"/>
      <c r="AB617" s="221"/>
      <c r="AC617" s="221"/>
      <c r="AD617" s="221"/>
      <c r="AE617" s="221"/>
      <c r="AF617" s="221"/>
      <c r="AG617" s="221"/>
      <c r="AH617" s="221"/>
      <c r="AI617" s="221"/>
      <c r="AJ617" s="221"/>
      <c r="AK617" s="221"/>
      <c r="AL617" s="221"/>
      <c r="AM617" s="221"/>
      <c r="AN617" s="221"/>
      <c r="AO617" s="221"/>
      <c r="AP617" s="221"/>
      <c r="AQ617" s="221"/>
      <c r="AR617" s="221"/>
    </row>
    <row r="618" spans="1:44" s="384" customFormat="1" ht="12" customHeight="1">
      <c r="A618" s="221"/>
      <c r="P618" s="290"/>
      <c r="R618" s="3096" t="s">
        <v>283</v>
      </c>
      <c r="S618" s="3096" t="s">
        <v>284</v>
      </c>
      <c r="T618" s="3099" t="s">
        <v>277</v>
      </c>
      <c r="X618" s="221"/>
      <c r="Y618" s="221"/>
      <c r="Z618" s="221"/>
      <c r="AA618" s="221"/>
      <c r="AB618" s="221"/>
      <c r="AC618" s="221"/>
      <c r="AD618" s="221"/>
      <c r="AE618" s="221"/>
      <c r="AF618" s="221"/>
      <c r="AG618" s="221"/>
      <c r="AH618" s="221"/>
      <c r="AI618" s="221"/>
      <c r="AJ618" s="221"/>
      <c r="AK618" s="221"/>
      <c r="AL618" s="221"/>
      <c r="AM618" s="221"/>
      <c r="AN618" s="221"/>
      <c r="AO618" s="221"/>
      <c r="AP618" s="221"/>
      <c r="AQ618" s="221"/>
      <c r="AR618" s="221"/>
    </row>
    <row r="619" spans="1:44" s="384" customFormat="1" ht="12" customHeight="1">
      <c r="A619" s="221"/>
      <c r="P619" s="290"/>
      <c r="R619" s="3096" t="s">
        <v>285</v>
      </c>
      <c r="S619" s="3096" t="s">
        <v>281</v>
      </c>
      <c r="T619" s="3099" t="s">
        <v>277</v>
      </c>
      <c r="X619" s="221"/>
      <c r="Y619" s="221"/>
      <c r="Z619" s="221"/>
      <c r="AA619" s="221"/>
      <c r="AB619" s="221"/>
      <c r="AC619" s="221"/>
      <c r="AD619" s="221"/>
      <c r="AE619" s="221"/>
      <c r="AF619" s="221"/>
      <c r="AG619" s="221"/>
      <c r="AH619" s="221"/>
      <c r="AI619" s="221"/>
      <c r="AJ619" s="221"/>
      <c r="AK619" s="221"/>
      <c r="AL619" s="221"/>
      <c r="AM619" s="221"/>
      <c r="AN619" s="221"/>
      <c r="AO619" s="221"/>
      <c r="AP619" s="221"/>
      <c r="AQ619" s="221"/>
      <c r="AR619" s="221"/>
    </row>
    <row r="620" spans="1:44" s="384" customFormat="1" ht="12" customHeight="1">
      <c r="A620" s="221"/>
      <c r="P620" s="290"/>
      <c r="R620" s="3096" t="s">
        <v>286</v>
      </c>
      <c r="S620" s="3096" t="s">
        <v>287</v>
      </c>
      <c r="T620" s="3099" t="s">
        <v>277</v>
      </c>
      <c r="X620" s="221"/>
      <c r="Y620" s="221"/>
      <c r="Z620" s="221"/>
      <c r="AA620" s="221"/>
      <c r="AB620" s="221"/>
      <c r="AC620" s="221"/>
      <c r="AD620" s="221"/>
      <c r="AE620" s="221"/>
      <c r="AF620" s="221"/>
      <c r="AG620" s="221"/>
      <c r="AH620" s="221"/>
      <c r="AI620" s="221"/>
      <c r="AJ620" s="221"/>
      <c r="AK620" s="221"/>
      <c r="AL620" s="221"/>
      <c r="AM620" s="221"/>
      <c r="AN620" s="221"/>
      <c r="AO620" s="221"/>
      <c r="AP620" s="221"/>
      <c r="AQ620" s="221"/>
      <c r="AR620" s="221"/>
    </row>
    <row r="621" spans="1:44" s="384" customFormat="1" ht="12" customHeight="1">
      <c r="A621" s="221"/>
      <c r="P621" s="290"/>
      <c r="R621" s="3096" t="s">
        <v>288</v>
      </c>
      <c r="S621" s="3096" t="s">
        <v>289</v>
      </c>
      <c r="T621" s="3099" t="s">
        <v>277</v>
      </c>
      <c r="X621" s="221"/>
      <c r="Y621" s="221"/>
      <c r="Z621" s="221"/>
      <c r="AA621" s="221"/>
      <c r="AB621" s="221"/>
      <c r="AC621" s="221"/>
      <c r="AD621" s="221"/>
      <c r="AE621" s="221"/>
      <c r="AF621" s="221"/>
      <c r="AG621" s="221"/>
      <c r="AH621" s="221"/>
      <c r="AI621" s="221"/>
      <c r="AJ621" s="221"/>
      <c r="AK621" s="221"/>
      <c r="AL621" s="221"/>
      <c r="AM621" s="221"/>
      <c r="AN621" s="221"/>
      <c r="AO621" s="221"/>
      <c r="AP621" s="221"/>
      <c r="AQ621" s="221"/>
      <c r="AR621" s="221"/>
    </row>
    <row r="622" spans="1:44" s="384" customFormat="1" ht="12" customHeight="1">
      <c r="A622" s="221"/>
      <c r="P622" s="290"/>
      <c r="R622" s="3096" t="s">
        <v>290</v>
      </c>
      <c r="S622" s="3096" t="s">
        <v>291</v>
      </c>
      <c r="T622" s="3099" t="s">
        <v>277</v>
      </c>
      <c r="X622" s="221"/>
      <c r="Y622" s="221"/>
      <c r="Z622" s="221"/>
      <c r="AA622" s="221"/>
      <c r="AB622" s="221"/>
      <c r="AC622" s="221"/>
      <c r="AD622" s="221"/>
      <c r="AE622" s="221"/>
      <c r="AF622" s="221"/>
      <c r="AG622" s="221"/>
      <c r="AH622" s="221"/>
      <c r="AI622" s="221"/>
      <c r="AJ622" s="221"/>
      <c r="AK622" s="221"/>
      <c r="AL622" s="221"/>
      <c r="AM622" s="221"/>
      <c r="AN622" s="221"/>
      <c r="AO622" s="221"/>
      <c r="AP622" s="221"/>
      <c r="AQ622" s="221"/>
      <c r="AR622" s="221"/>
    </row>
    <row r="623" spans="1:44" s="384" customFormat="1" ht="12" customHeight="1">
      <c r="A623" s="221"/>
      <c r="P623" s="290"/>
      <c r="R623" s="3096" t="s">
        <v>292</v>
      </c>
      <c r="S623" s="3096" t="s">
        <v>276</v>
      </c>
      <c r="T623" s="3099" t="s">
        <v>277</v>
      </c>
      <c r="X623" s="221"/>
      <c r="Y623" s="221"/>
      <c r="Z623" s="221"/>
      <c r="AA623" s="221"/>
      <c r="AB623" s="221"/>
      <c r="AC623" s="221"/>
      <c r="AD623" s="221"/>
      <c r="AE623" s="221"/>
      <c r="AF623" s="221"/>
      <c r="AG623" s="221"/>
      <c r="AH623" s="221"/>
      <c r="AI623" s="221"/>
      <c r="AJ623" s="221"/>
      <c r="AK623" s="221"/>
      <c r="AL623" s="221"/>
      <c r="AM623" s="221"/>
      <c r="AN623" s="221"/>
      <c r="AO623" s="221"/>
      <c r="AP623" s="221"/>
      <c r="AQ623" s="221"/>
      <c r="AR623" s="221"/>
    </row>
    <row r="624" spans="1:44" s="384" customFormat="1" ht="12" customHeight="1">
      <c r="A624" s="221"/>
      <c r="P624" s="290"/>
      <c r="R624" s="3096" t="s">
        <v>293</v>
      </c>
      <c r="S624" s="3096" t="s">
        <v>294</v>
      </c>
      <c r="T624" s="3099" t="s">
        <v>277</v>
      </c>
      <c r="X624" s="221"/>
      <c r="Y624" s="221"/>
      <c r="Z624" s="221"/>
      <c r="AA624" s="221"/>
      <c r="AB624" s="221"/>
      <c r="AC624" s="221"/>
      <c r="AD624" s="221"/>
      <c r="AE624" s="221"/>
      <c r="AF624" s="221"/>
      <c r="AG624" s="221"/>
      <c r="AH624" s="221"/>
      <c r="AI624" s="221"/>
      <c r="AJ624" s="221"/>
      <c r="AK624" s="221"/>
      <c r="AL624" s="221"/>
      <c r="AM624" s="221"/>
      <c r="AN624" s="221"/>
      <c r="AO624" s="221"/>
      <c r="AP624" s="221"/>
      <c r="AQ624" s="221"/>
      <c r="AR624" s="221"/>
    </row>
    <row r="625" spans="1:44" s="384" customFormat="1" ht="12" customHeight="1">
      <c r="A625" s="221"/>
      <c r="P625" s="290"/>
      <c r="R625" s="3096" t="s">
        <v>295</v>
      </c>
      <c r="S625" s="3096" t="s">
        <v>296</v>
      </c>
      <c r="T625" s="3099" t="s">
        <v>277</v>
      </c>
      <c r="X625" s="221"/>
      <c r="Y625" s="221"/>
      <c r="Z625" s="221"/>
      <c r="AA625" s="221"/>
      <c r="AB625" s="221"/>
      <c r="AC625" s="221"/>
      <c r="AD625" s="221"/>
      <c r="AE625" s="221"/>
      <c r="AF625" s="221"/>
      <c r="AG625" s="221"/>
      <c r="AH625" s="221"/>
      <c r="AI625" s="221"/>
      <c r="AJ625" s="221"/>
      <c r="AK625" s="221"/>
      <c r="AL625" s="221"/>
      <c r="AM625" s="221"/>
      <c r="AN625" s="221"/>
      <c r="AO625" s="221"/>
      <c r="AP625" s="221"/>
      <c r="AQ625" s="221"/>
      <c r="AR625" s="221"/>
    </row>
    <row r="626" spans="1:44" s="384" customFormat="1" ht="12" customHeight="1">
      <c r="A626" s="221"/>
      <c r="P626" s="290"/>
      <c r="R626" s="3096" t="s">
        <v>297</v>
      </c>
      <c r="S626" s="3096" t="s">
        <v>298</v>
      </c>
      <c r="T626" s="3099" t="s">
        <v>277</v>
      </c>
      <c r="X626" s="221"/>
      <c r="Y626" s="221"/>
      <c r="Z626" s="221"/>
      <c r="AA626" s="221"/>
      <c r="AB626" s="221"/>
      <c r="AC626" s="221"/>
      <c r="AD626" s="221"/>
      <c r="AE626" s="221"/>
      <c r="AF626" s="221"/>
      <c r="AG626" s="221"/>
      <c r="AH626" s="221"/>
      <c r="AI626" s="221"/>
      <c r="AJ626" s="221"/>
      <c r="AK626" s="221"/>
      <c r="AL626" s="221"/>
      <c r="AM626" s="221"/>
      <c r="AN626" s="221"/>
      <c r="AO626" s="221"/>
      <c r="AP626" s="221"/>
      <c r="AQ626" s="221"/>
      <c r="AR626" s="221"/>
    </row>
    <row r="627" spans="1:44" s="384" customFormat="1" ht="12" customHeight="1">
      <c r="A627" s="221"/>
      <c r="P627" s="290"/>
      <c r="R627" s="3096" t="s">
        <v>299</v>
      </c>
      <c r="S627" s="3096" t="s">
        <v>294</v>
      </c>
      <c r="T627" s="3099" t="s">
        <v>277</v>
      </c>
      <c r="X627" s="221"/>
      <c r="Y627" s="221"/>
      <c r="Z627" s="221"/>
      <c r="AA627" s="221"/>
      <c r="AB627" s="221"/>
      <c r="AC627" s="221"/>
      <c r="AD627" s="221"/>
      <c r="AE627" s="221"/>
      <c r="AF627" s="221"/>
      <c r="AG627" s="221"/>
      <c r="AH627" s="221"/>
      <c r="AI627" s="221"/>
      <c r="AJ627" s="221"/>
      <c r="AK627" s="221"/>
      <c r="AL627" s="221"/>
      <c r="AM627" s="221"/>
      <c r="AN627" s="221"/>
      <c r="AO627" s="221"/>
      <c r="AP627" s="221"/>
      <c r="AQ627" s="221"/>
      <c r="AR627" s="221"/>
    </row>
    <row r="628" spans="1:44" s="384" customFormat="1" ht="12" customHeight="1">
      <c r="A628" s="221"/>
      <c r="P628" s="290"/>
      <c r="R628" s="3096" t="s">
        <v>300</v>
      </c>
      <c r="S628" s="3096" t="s">
        <v>301</v>
      </c>
      <c r="T628" s="3099" t="s">
        <v>277</v>
      </c>
      <c r="X628" s="221"/>
      <c r="Y628" s="221"/>
      <c r="Z628" s="221"/>
      <c r="AA628" s="221"/>
      <c r="AB628" s="221"/>
      <c r="AC628" s="221"/>
      <c r="AD628" s="221"/>
      <c r="AE628" s="221"/>
      <c r="AF628" s="221"/>
      <c r="AG628" s="221"/>
      <c r="AH628" s="221"/>
      <c r="AI628" s="221"/>
      <c r="AJ628" s="221"/>
      <c r="AK628" s="221"/>
      <c r="AL628" s="221"/>
      <c r="AM628" s="221"/>
      <c r="AN628" s="221"/>
      <c r="AO628" s="221"/>
      <c r="AP628" s="221"/>
      <c r="AQ628" s="221"/>
      <c r="AR628" s="221"/>
    </row>
    <row r="629" spans="1:44" s="384" customFormat="1" ht="12" customHeight="1">
      <c r="A629" s="221"/>
      <c r="P629" s="3097"/>
      <c r="R629" s="3096" t="s">
        <v>302</v>
      </c>
      <c r="S629" s="3096" t="s">
        <v>284</v>
      </c>
      <c r="T629" s="3099" t="s">
        <v>277</v>
      </c>
      <c r="X629" s="221"/>
      <c r="Y629" s="221"/>
      <c r="Z629" s="221"/>
      <c r="AA629" s="221"/>
      <c r="AB629" s="221"/>
      <c r="AC629" s="221"/>
      <c r="AD629" s="221"/>
      <c r="AE629" s="221"/>
      <c r="AF629" s="221"/>
      <c r="AG629" s="221"/>
      <c r="AH629" s="221"/>
      <c r="AI629" s="221"/>
      <c r="AJ629" s="221"/>
      <c r="AK629" s="221"/>
      <c r="AL629" s="221"/>
      <c r="AM629" s="221"/>
      <c r="AN629" s="221"/>
      <c r="AO629" s="221"/>
      <c r="AP629" s="221"/>
      <c r="AQ629" s="221"/>
      <c r="AR629" s="221"/>
    </row>
    <row r="630" spans="1:44" s="384" customFormat="1" ht="12" customHeight="1">
      <c r="A630" s="221"/>
      <c r="P630" s="290"/>
      <c r="R630" s="3096" t="s">
        <v>303</v>
      </c>
      <c r="S630" s="3096" t="s">
        <v>304</v>
      </c>
      <c r="T630" s="3099" t="s">
        <v>277</v>
      </c>
      <c r="X630" s="221"/>
      <c r="Y630" s="221"/>
      <c r="Z630" s="221"/>
      <c r="AA630" s="221"/>
      <c r="AB630" s="221"/>
      <c r="AC630" s="221"/>
      <c r="AD630" s="221"/>
      <c r="AE630" s="221"/>
      <c r="AF630" s="221"/>
      <c r="AG630" s="221"/>
      <c r="AH630" s="221"/>
      <c r="AI630" s="221"/>
      <c r="AJ630" s="221"/>
      <c r="AK630" s="221"/>
      <c r="AL630" s="221"/>
      <c r="AM630" s="221"/>
      <c r="AN630" s="221"/>
      <c r="AO630" s="221"/>
      <c r="AP630" s="221"/>
      <c r="AQ630" s="221"/>
      <c r="AR630" s="221"/>
    </row>
    <row r="631" spans="1:44" s="384" customFormat="1" ht="12" customHeight="1">
      <c r="A631" s="221"/>
      <c r="P631" s="3098"/>
      <c r="R631" s="3096" t="s">
        <v>305</v>
      </c>
      <c r="S631" s="3096" t="s">
        <v>306</v>
      </c>
      <c r="T631" s="3099" t="s">
        <v>277</v>
      </c>
      <c r="X631" s="221"/>
      <c r="Y631" s="221"/>
      <c r="Z631" s="221"/>
      <c r="AA631" s="221"/>
      <c r="AB631" s="221"/>
      <c r="AC631" s="221"/>
      <c r="AD631" s="221"/>
      <c r="AE631" s="221"/>
      <c r="AF631" s="221"/>
      <c r="AG631" s="221"/>
      <c r="AH631" s="221"/>
      <c r="AI631" s="221"/>
      <c r="AJ631" s="221"/>
      <c r="AK631" s="221"/>
      <c r="AL631" s="221"/>
      <c r="AM631" s="221"/>
      <c r="AN631" s="221"/>
      <c r="AO631" s="221"/>
      <c r="AP631" s="221"/>
      <c r="AQ631" s="221"/>
      <c r="AR631" s="221"/>
    </row>
    <row r="632" spans="1:44" s="384" customFormat="1" ht="12" customHeight="1">
      <c r="A632" s="221"/>
      <c r="P632" s="290"/>
      <c r="R632" s="3096" t="s">
        <v>307</v>
      </c>
      <c r="S632" s="3096" t="s">
        <v>276</v>
      </c>
      <c r="T632" s="3099" t="s">
        <v>277</v>
      </c>
      <c r="X632" s="221"/>
      <c r="Y632" s="221"/>
      <c r="Z632" s="221"/>
      <c r="AA632" s="221"/>
      <c r="AB632" s="221"/>
      <c r="AC632" s="221"/>
      <c r="AD632" s="221"/>
      <c r="AE632" s="221"/>
      <c r="AF632" s="221"/>
      <c r="AG632" s="221"/>
      <c r="AH632" s="221"/>
      <c r="AI632" s="221"/>
      <c r="AJ632" s="221"/>
      <c r="AK632" s="221"/>
      <c r="AL632" s="221"/>
      <c r="AM632" s="221"/>
      <c r="AN632" s="221"/>
      <c r="AO632" s="221"/>
      <c r="AP632" s="221"/>
      <c r="AQ632" s="221"/>
      <c r="AR632" s="221"/>
    </row>
    <row r="633" spans="1:44" s="384" customFormat="1" ht="12" customHeight="1">
      <c r="A633" s="221"/>
      <c r="P633" s="290"/>
      <c r="R633" s="3096" t="s">
        <v>308</v>
      </c>
      <c r="S633" s="3096" t="s">
        <v>309</v>
      </c>
      <c r="T633" s="3099" t="s">
        <v>277</v>
      </c>
      <c r="X633" s="221"/>
      <c r="Y633" s="221"/>
      <c r="Z633" s="221"/>
      <c r="AA633" s="221"/>
      <c r="AB633" s="221"/>
      <c r="AC633" s="221"/>
      <c r="AD633" s="221"/>
      <c r="AE633" s="221"/>
      <c r="AF633" s="221"/>
      <c r="AG633" s="221"/>
      <c r="AH633" s="221"/>
      <c r="AI633" s="221"/>
      <c r="AJ633" s="221"/>
      <c r="AK633" s="221"/>
      <c r="AL633" s="221"/>
      <c r="AM633" s="221"/>
      <c r="AN633" s="221"/>
      <c r="AO633" s="221"/>
      <c r="AP633" s="221"/>
      <c r="AQ633" s="221"/>
      <c r="AR633" s="221"/>
    </row>
    <row r="634" spans="1:44" s="384" customFormat="1" ht="12" customHeight="1">
      <c r="A634" s="221"/>
      <c r="P634" s="3098"/>
      <c r="R634" s="3096" t="s">
        <v>310</v>
      </c>
      <c r="S634" s="3096" t="s">
        <v>311</v>
      </c>
      <c r="T634" s="3099" t="s">
        <v>277</v>
      </c>
      <c r="X634" s="221"/>
      <c r="Y634" s="221"/>
      <c r="Z634" s="221"/>
      <c r="AA634" s="221"/>
      <c r="AB634" s="221"/>
      <c r="AC634" s="221"/>
      <c r="AD634" s="221"/>
      <c r="AE634" s="221"/>
      <c r="AF634" s="221"/>
      <c r="AG634" s="221"/>
      <c r="AH634" s="221"/>
      <c r="AI634" s="221"/>
      <c r="AJ634" s="221"/>
      <c r="AK634" s="221"/>
      <c r="AL634" s="221"/>
      <c r="AM634" s="221"/>
      <c r="AN634" s="221"/>
      <c r="AO634" s="221"/>
      <c r="AP634" s="221"/>
      <c r="AQ634" s="221"/>
      <c r="AR634" s="221"/>
    </row>
    <row r="635" spans="1:44" s="384" customFormat="1" ht="12" customHeight="1">
      <c r="A635" s="221"/>
      <c r="P635" s="290"/>
      <c r="R635" s="3096" t="s">
        <v>312</v>
      </c>
      <c r="S635" s="3096" t="s">
        <v>313</v>
      </c>
      <c r="T635" s="3099" t="s">
        <v>277</v>
      </c>
      <c r="X635" s="221"/>
      <c r="Y635" s="221"/>
      <c r="Z635" s="221"/>
      <c r="AA635" s="221"/>
      <c r="AB635" s="221"/>
      <c r="AC635" s="221"/>
      <c r="AD635" s="221"/>
      <c r="AE635" s="221"/>
      <c r="AF635" s="221"/>
      <c r="AG635" s="221"/>
      <c r="AH635" s="221"/>
      <c r="AI635" s="221"/>
      <c r="AJ635" s="221"/>
      <c r="AK635" s="221"/>
      <c r="AL635" s="221"/>
      <c r="AM635" s="221"/>
      <c r="AN635" s="221"/>
      <c r="AO635" s="221"/>
      <c r="AP635" s="221"/>
      <c r="AQ635" s="221"/>
      <c r="AR635" s="221"/>
    </row>
    <row r="636" spans="1:44" s="384" customFormat="1" ht="12" customHeight="1">
      <c r="A636" s="221"/>
      <c r="P636" s="290"/>
      <c r="Q636" s="3100"/>
      <c r="R636" s="3096" t="s">
        <v>314</v>
      </c>
      <c r="S636" s="3096" t="s">
        <v>315</v>
      </c>
      <c r="T636" s="3099" t="s">
        <v>277</v>
      </c>
      <c r="X636" s="221"/>
      <c r="Y636" s="221"/>
      <c r="Z636" s="221"/>
      <c r="AA636" s="221"/>
      <c r="AB636" s="221"/>
      <c r="AC636" s="221"/>
      <c r="AD636" s="221"/>
      <c r="AE636" s="221"/>
      <c r="AF636" s="221"/>
      <c r="AG636" s="221"/>
      <c r="AH636" s="221"/>
      <c r="AI636" s="221"/>
      <c r="AJ636" s="221"/>
      <c r="AK636" s="221"/>
      <c r="AL636" s="221"/>
      <c r="AM636" s="221"/>
      <c r="AN636" s="221"/>
      <c r="AO636" s="221"/>
      <c r="AP636" s="221"/>
      <c r="AQ636" s="221"/>
      <c r="AR636" s="221"/>
    </row>
    <row r="637" spans="1:44" s="384" customFormat="1" ht="12" customHeight="1">
      <c r="A637" s="221"/>
      <c r="P637" s="290"/>
      <c r="R637" s="3096" t="s">
        <v>316</v>
      </c>
      <c r="S637" s="3096" t="s">
        <v>281</v>
      </c>
      <c r="T637" s="3099" t="s">
        <v>277</v>
      </c>
      <c r="X637" s="221"/>
      <c r="Y637" s="221"/>
      <c r="Z637" s="221"/>
      <c r="AA637" s="221"/>
      <c r="AB637" s="221"/>
      <c r="AC637" s="221"/>
      <c r="AD637" s="221"/>
      <c r="AE637" s="221"/>
      <c r="AF637" s="221"/>
      <c r="AG637" s="221"/>
      <c r="AH637" s="221"/>
      <c r="AI637" s="221"/>
      <c r="AJ637" s="221"/>
      <c r="AK637" s="221"/>
      <c r="AL637" s="221"/>
      <c r="AM637" s="221"/>
      <c r="AN637" s="221"/>
      <c r="AO637" s="221"/>
      <c r="AP637" s="221"/>
      <c r="AQ637" s="221"/>
      <c r="AR637" s="221"/>
    </row>
    <row r="638" spans="1:44" s="384" customFormat="1" ht="12" customHeight="1">
      <c r="A638" s="221"/>
      <c r="P638" s="3098"/>
      <c r="R638" s="3096" t="s">
        <v>317</v>
      </c>
      <c r="S638" s="3096" t="s">
        <v>318</v>
      </c>
      <c r="T638" s="3099" t="s">
        <v>277</v>
      </c>
      <c r="X638" s="221"/>
      <c r="Y638" s="221"/>
      <c r="Z638" s="221"/>
      <c r="AA638" s="221"/>
      <c r="AB638" s="221"/>
      <c r="AC638" s="221"/>
      <c r="AD638" s="221"/>
      <c r="AE638" s="221"/>
      <c r="AF638" s="221"/>
      <c r="AG638" s="221"/>
      <c r="AH638" s="221"/>
      <c r="AI638" s="221"/>
      <c r="AJ638" s="221"/>
      <c r="AK638" s="221"/>
      <c r="AL638" s="221"/>
      <c r="AM638" s="221"/>
      <c r="AN638" s="221"/>
      <c r="AO638" s="221"/>
      <c r="AP638" s="221"/>
      <c r="AQ638" s="221"/>
      <c r="AR638" s="221"/>
    </row>
    <row r="639" spans="1:44" s="384" customFormat="1" ht="12" customHeight="1">
      <c r="A639" s="221"/>
      <c r="P639" s="3098"/>
      <c r="R639" s="3096" t="s">
        <v>319</v>
      </c>
      <c r="S639" s="3096" t="s">
        <v>320</v>
      </c>
      <c r="T639" s="3099" t="s">
        <v>277</v>
      </c>
      <c r="X639" s="221"/>
      <c r="Y639" s="221"/>
      <c r="Z639" s="221"/>
      <c r="AA639" s="221"/>
      <c r="AB639" s="221"/>
      <c r="AC639" s="221"/>
      <c r="AD639" s="221"/>
      <c r="AE639" s="221"/>
      <c r="AF639" s="221"/>
      <c r="AG639" s="221"/>
      <c r="AH639" s="221"/>
      <c r="AI639" s="221"/>
      <c r="AJ639" s="221"/>
      <c r="AK639" s="221"/>
      <c r="AL639" s="221"/>
      <c r="AM639" s="221"/>
      <c r="AN639" s="221"/>
      <c r="AO639" s="221"/>
      <c r="AP639" s="221"/>
      <c r="AQ639" s="221"/>
      <c r="AR639" s="221"/>
    </row>
    <row r="640" spans="1:44" s="384" customFormat="1" ht="12" customHeight="1">
      <c r="A640" s="221"/>
      <c r="P640" s="290"/>
      <c r="R640" s="3096" t="s">
        <v>321</v>
      </c>
      <c r="S640" s="3096" t="s">
        <v>315</v>
      </c>
      <c r="T640" s="3099" t="s">
        <v>277</v>
      </c>
      <c r="X640" s="221"/>
      <c r="Y640" s="221"/>
      <c r="Z640" s="221"/>
      <c r="AA640" s="221"/>
      <c r="AB640" s="221"/>
      <c r="AC640" s="221"/>
      <c r="AD640" s="221"/>
      <c r="AE640" s="221"/>
      <c r="AF640" s="221"/>
      <c r="AG640" s="221"/>
      <c r="AH640" s="221"/>
      <c r="AI640" s="221"/>
      <c r="AJ640" s="221"/>
      <c r="AK640" s="221"/>
      <c r="AL640" s="221"/>
      <c r="AM640" s="221"/>
      <c r="AN640" s="221"/>
      <c r="AO640" s="221"/>
      <c r="AP640" s="221"/>
      <c r="AQ640" s="221"/>
      <c r="AR640" s="221"/>
    </row>
    <row r="641" spans="1:44" s="384" customFormat="1" ht="12" customHeight="1">
      <c r="A641" s="221"/>
      <c r="P641" s="290"/>
      <c r="R641" s="3096" t="s">
        <v>322</v>
      </c>
      <c r="S641" s="3096" t="s">
        <v>323</v>
      </c>
      <c r="T641" s="3099" t="s">
        <v>277</v>
      </c>
      <c r="X641" s="221"/>
      <c r="Y641" s="221"/>
      <c r="Z641" s="221"/>
      <c r="AA641" s="221"/>
      <c r="AB641" s="221"/>
      <c r="AC641" s="221"/>
      <c r="AD641" s="221"/>
      <c r="AE641" s="221"/>
      <c r="AF641" s="221"/>
      <c r="AG641" s="221"/>
      <c r="AH641" s="221"/>
      <c r="AI641" s="221"/>
      <c r="AJ641" s="221"/>
      <c r="AK641" s="221"/>
      <c r="AL641" s="221"/>
      <c r="AM641" s="221"/>
      <c r="AN641" s="221"/>
      <c r="AO641" s="221"/>
      <c r="AP641" s="221"/>
      <c r="AQ641" s="221"/>
      <c r="AR641" s="221"/>
    </row>
    <row r="642" spans="1:44" s="384" customFormat="1" ht="12" customHeight="1">
      <c r="A642" s="221"/>
      <c r="P642" s="290"/>
      <c r="R642" s="3096" t="s">
        <v>324</v>
      </c>
      <c r="S642" s="3096" t="s">
        <v>311</v>
      </c>
      <c r="T642" s="3099" t="s">
        <v>277</v>
      </c>
      <c r="X642" s="221"/>
      <c r="Y642" s="221"/>
      <c r="Z642" s="221"/>
      <c r="AA642" s="221"/>
      <c r="AB642" s="221"/>
      <c r="AC642" s="221"/>
      <c r="AD642" s="221"/>
      <c r="AE642" s="221"/>
      <c r="AF642" s="221"/>
      <c r="AG642" s="221"/>
      <c r="AH642" s="221"/>
      <c r="AI642" s="221"/>
      <c r="AJ642" s="221"/>
      <c r="AK642" s="221"/>
      <c r="AL642" s="221"/>
      <c r="AM642" s="221"/>
      <c r="AN642" s="221"/>
      <c r="AO642" s="221"/>
      <c r="AP642" s="221"/>
      <c r="AQ642" s="221"/>
      <c r="AR642" s="221"/>
    </row>
    <row r="643" spans="1:44" s="384" customFormat="1" ht="12" customHeight="1">
      <c r="A643" s="221"/>
      <c r="P643" s="290"/>
      <c r="R643" s="385" t="s">
        <v>325</v>
      </c>
      <c r="S643" s="385" t="s">
        <v>326</v>
      </c>
      <c r="T643" s="3099" t="s">
        <v>277</v>
      </c>
      <c r="X643" s="221"/>
      <c r="Y643" s="221"/>
      <c r="Z643" s="221"/>
      <c r="AA643" s="221"/>
      <c r="AB643" s="221"/>
      <c r="AC643" s="221"/>
      <c r="AD643" s="221"/>
      <c r="AE643" s="221"/>
      <c r="AF643" s="221"/>
      <c r="AG643" s="221"/>
      <c r="AH643" s="221"/>
      <c r="AI643" s="221"/>
      <c r="AJ643" s="221"/>
      <c r="AK643" s="221"/>
      <c r="AL643" s="221"/>
      <c r="AM643" s="221"/>
      <c r="AN643" s="221"/>
      <c r="AO643" s="221"/>
      <c r="AP643" s="221"/>
      <c r="AQ643" s="221"/>
      <c r="AR643" s="221"/>
    </row>
    <row r="644" spans="1:44" s="384" customFormat="1" ht="12" customHeight="1">
      <c r="A644" s="221"/>
      <c r="P644" s="290"/>
      <c r="R644" s="3096" t="s">
        <v>327</v>
      </c>
      <c r="S644" s="3096" t="s">
        <v>301</v>
      </c>
      <c r="T644" s="3099" t="s">
        <v>277</v>
      </c>
      <c r="X644" s="221"/>
      <c r="Y644" s="221"/>
      <c r="Z644" s="221"/>
      <c r="AA644" s="221"/>
      <c r="AB644" s="221"/>
      <c r="AC644" s="221"/>
      <c r="AD644" s="221"/>
      <c r="AE644" s="221"/>
      <c r="AF644" s="221"/>
      <c r="AG644" s="221"/>
      <c r="AH644" s="221"/>
      <c r="AI644" s="221"/>
      <c r="AJ644" s="221"/>
      <c r="AK644" s="221"/>
      <c r="AL644" s="221"/>
      <c r="AM644" s="221"/>
      <c r="AN644" s="221"/>
      <c r="AO644" s="221"/>
      <c r="AP644" s="221"/>
      <c r="AQ644" s="221"/>
      <c r="AR644" s="221"/>
    </row>
    <row r="645" spans="1:44" s="384" customFormat="1" ht="12" customHeight="1">
      <c r="A645" s="221"/>
      <c r="P645" s="290"/>
      <c r="R645" s="3096" t="s">
        <v>328</v>
      </c>
      <c r="S645" s="3096" t="s">
        <v>298</v>
      </c>
      <c r="T645" s="3099" t="s">
        <v>277</v>
      </c>
      <c r="X645" s="221"/>
      <c r="Y645" s="221"/>
      <c r="Z645" s="221"/>
      <c r="AA645" s="221"/>
      <c r="AB645" s="221"/>
      <c r="AC645" s="221"/>
      <c r="AD645" s="221"/>
      <c r="AE645" s="221"/>
      <c r="AF645" s="221"/>
      <c r="AG645" s="221"/>
      <c r="AH645" s="221"/>
      <c r="AI645" s="221"/>
      <c r="AJ645" s="221"/>
      <c r="AK645" s="221"/>
      <c r="AL645" s="221"/>
      <c r="AM645" s="221"/>
      <c r="AN645" s="221"/>
      <c r="AO645" s="221"/>
      <c r="AP645" s="221"/>
      <c r="AQ645" s="221"/>
      <c r="AR645" s="221"/>
    </row>
    <row r="646" spans="1:44" s="384" customFormat="1" ht="12" customHeight="1">
      <c r="A646" s="221"/>
      <c r="P646" s="290"/>
      <c r="R646" s="3096" t="s">
        <v>329</v>
      </c>
      <c r="S646" s="3096"/>
      <c r="T646" s="3099" t="s">
        <v>277</v>
      </c>
      <c r="X646" s="221"/>
      <c r="Y646" s="221"/>
      <c r="Z646" s="221"/>
      <c r="AA646" s="221"/>
      <c r="AB646" s="221"/>
      <c r="AC646" s="221"/>
      <c r="AD646" s="221"/>
      <c r="AE646" s="221"/>
      <c r="AF646" s="221"/>
      <c r="AG646" s="221"/>
      <c r="AH646" s="221"/>
      <c r="AI646" s="221"/>
      <c r="AJ646" s="221"/>
      <c r="AK646" s="221"/>
      <c r="AL646" s="221"/>
      <c r="AM646" s="221"/>
      <c r="AN646" s="221"/>
      <c r="AO646" s="221"/>
      <c r="AP646" s="221"/>
      <c r="AQ646" s="221"/>
      <c r="AR646" s="221"/>
    </row>
    <row r="647" spans="1:44" s="384" customFormat="1" ht="12" customHeight="1">
      <c r="A647" s="221"/>
      <c r="P647" s="290"/>
      <c r="R647" s="3096" t="s">
        <v>330</v>
      </c>
      <c r="S647" s="3096" t="s">
        <v>318</v>
      </c>
      <c r="T647" s="3099" t="s">
        <v>277</v>
      </c>
      <c r="X647" s="221"/>
      <c r="Y647" s="221"/>
      <c r="Z647" s="221"/>
      <c r="AA647" s="221"/>
      <c r="AB647" s="221"/>
      <c r="AC647" s="221"/>
      <c r="AD647" s="221"/>
      <c r="AE647" s="221"/>
      <c r="AF647" s="221"/>
      <c r="AG647" s="221"/>
      <c r="AH647" s="221"/>
      <c r="AI647" s="221"/>
      <c r="AJ647" s="221"/>
      <c r="AK647" s="221"/>
      <c r="AL647" s="221"/>
      <c r="AM647" s="221"/>
      <c r="AN647" s="221"/>
      <c r="AO647" s="221"/>
      <c r="AP647" s="221"/>
      <c r="AQ647" s="221"/>
      <c r="AR647" s="221"/>
    </row>
    <row r="648" spans="1:44" s="384" customFormat="1" ht="12" customHeight="1">
      <c r="A648" s="221"/>
      <c r="P648" s="290"/>
      <c r="R648" s="3096" t="s">
        <v>331</v>
      </c>
      <c r="S648" s="3096" t="s">
        <v>332</v>
      </c>
      <c r="T648" s="3099" t="s">
        <v>277</v>
      </c>
      <c r="X648" s="221"/>
      <c r="Y648" s="221"/>
      <c r="Z648" s="221"/>
      <c r="AA648" s="221"/>
      <c r="AB648" s="221"/>
      <c r="AC648" s="221"/>
      <c r="AD648" s="221"/>
      <c r="AE648" s="221"/>
      <c r="AF648" s="221"/>
      <c r="AG648" s="221"/>
      <c r="AH648" s="221"/>
      <c r="AI648" s="221"/>
      <c r="AJ648" s="221"/>
      <c r="AK648" s="221"/>
      <c r="AL648" s="221"/>
      <c r="AM648" s="221"/>
      <c r="AN648" s="221"/>
      <c r="AO648" s="221"/>
      <c r="AP648" s="221"/>
      <c r="AQ648" s="221"/>
      <c r="AR648" s="221"/>
    </row>
    <row r="649" spans="1:44" s="384" customFormat="1" ht="12" customHeight="1">
      <c r="A649" s="221"/>
      <c r="P649" s="290"/>
      <c r="R649" s="3096" t="s">
        <v>333</v>
      </c>
      <c r="S649" s="3096" t="s">
        <v>334</v>
      </c>
      <c r="T649" s="3099" t="s">
        <v>277</v>
      </c>
      <c r="X649" s="221"/>
      <c r="Y649" s="221"/>
      <c r="Z649" s="221"/>
      <c r="AA649" s="221"/>
      <c r="AB649" s="221"/>
      <c r="AC649" s="221"/>
      <c r="AD649" s="221"/>
      <c r="AE649" s="221"/>
      <c r="AF649" s="221"/>
      <c r="AG649" s="221"/>
      <c r="AH649" s="221"/>
      <c r="AI649" s="221"/>
      <c r="AJ649" s="221"/>
      <c r="AK649" s="221"/>
      <c r="AL649" s="221"/>
      <c r="AM649" s="221"/>
      <c r="AN649" s="221"/>
      <c r="AO649" s="221"/>
      <c r="AP649" s="221"/>
      <c r="AQ649" s="221"/>
      <c r="AR649" s="221"/>
    </row>
    <row r="650" spans="1:44" s="384" customFormat="1" ht="12" customHeight="1">
      <c r="A650" s="221"/>
      <c r="P650" s="290"/>
      <c r="R650" s="3096" t="s">
        <v>335</v>
      </c>
      <c r="S650" s="3096" t="s">
        <v>276</v>
      </c>
      <c r="T650" s="3099" t="s">
        <v>277</v>
      </c>
      <c r="X650" s="221"/>
      <c r="Y650" s="221"/>
      <c r="Z650" s="221"/>
      <c r="AA650" s="221"/>
      <c r="AB650" s="221"/>
      <c r="AC650" s="221"/>
      <c r="AD650" s="221"/>
      <c r="AE650" s="221"/>
      <c r="AF650" s="221"/>
      <c r="AG650" s="221"/>
      <c r="AH650" s="221"/>
      <c r="AI650" s="221"/>
      <c r="AJ650" s="221"/>
      <c r="AK650" s="221"/>
      <c r="AL650" s="221"/>
      <c r="AM650" s="221"/>
      <c r="AN650" s="221"/>
      <c r="AO650" s="221"/>
      <c r="AP650" s="221"/>
      <c r="AQ650" s="221"/>
      <c r="AR650" s="221"/>
    </row>
    <row r="651" spans="1:44" s="384" customFormat="1" ht="12" customHeight="1">
      <c r="A651" s="221"/>
      <c r="P651" s="290"/>
      <c r="R651" s="3096" t="s">
        <v>336</v>
      </c>
      <c r="S651" s="3096" t="s">
        <v>276</v>
      </c>
      <c r="T651" s="3099" t="s">
        <v>277</v>
      </c>
      <c r="X651" s="221"/>
      <c r="Y651" s="221"/>
      <c r="Z651" s="221"/>
      <c r="AA651" s="221"/>
      <c r="AB651" s="221"/>
      <c r="AC651" s="221"/>
      <c r="AD651" s="221"/>
      <c r="AE651" s="221"/>
      <c r="AF651" s="221"/>
      <c r="AG651" s="221"/>
      <c r="AH651" s="221"/>
      <c r="AI651" s="221"/>
      <c r="AJ651" s="221"/>
      <c r="AK651" s="221"/>
      <c r="AL651" s="221"/>
      <c r="AM651" s="221"/>
      <c r="AN651" s="221"/>
      <c r="AO651" s="221"/>
      <c r="AP651" s="221"/>
      <c r="AQ651" s="221"/>
      <c r="AR651" s="221"/>
    </row>
    <row r="652" spans="1:44" s="384" customFormat="1" ht="12" customHeight="1">
      <c r="A652" s="221"/>
      <c r="P652" s="290"/>
      <c r="R652" s="3096" t="s">
        <v>337</v>
      </c>
      <c r="S652" s="3096" t="s">
        <v>276</v>
      </c>
      <c r="T652" s="3099" t="s">
        <v>277</v>
      </c>
      <c r="X652" s="221"/>
      <c r="Y652" s="221"/>
      <c r="Z652" s="221"/>
      <c r="AA652" s="221"/>
      <c r="AB652" s="221"/>
      <c r="AC652" s="221"/>
      <c r="AD652" s="221"/>
      <c r="AE652" s="221"/>
      <c r="AF652" s="221"/>
      <c r="AG652" s="221"/>
      <c r="AH652" s="221"/>
      <c r="AI652" s="221"/>
      <c r="AJ652" s="221"/>
      <c r="AK652" s="221"/>
      <c r="AL652" s="221"/>
      <c r="AM652" s="221"/>
      <c r="AN652" s="221"/>
      <c r="AO652" s="221"/>
      <c r="AP652" s="221"/>
      <c r="AQ652" s="221"/>
      <c r="AR652" s="221"/>
    </row>
    <row r="653" spans="1:44" s="384" customFormat="1" ht="12" customHeight="1">
      <c r="A653" s="221"/>
      <c r="P653" s="290"/>
      <c r="R653" s="3096" t="s">
        <v>338</v>
      </c>
      <c r="S653" s="3096" t="s">
        <v>276</v>
      </c>
      <c r="T653" s="3099" t="s">
        <v>277</v>
      </c>
      <c r="X653" s="221"/>
      <c r="Y653" s="221"/>
      <c r="Z653" s="221"/>
      <c r="AA653" s="221"/>
      <c r="AB653" s="221"/>
      <c r="AC653" s="221"/>
      <c r="AD653" s="221"/>
      <c r="AE653" s="221"/>
      <c r="AF653" s="221"/>
      <c r="AG653" s="221"/>
      <c r="AH653" s="221"/>
      <c r="AI653" s="221"/>
      <c r="AJ653" s="221"/>
      <c r="AK653" s="221"/>
      <c r="AL653" s="221"/>
      <c r="AM653" s="221"/>
      <c r="AN653" s="221"/>
      <c r="AO653" s="221"/>
      <c r="AP653" s="221"/>
      <c r="AQ653" s="221"/>
      <c r="AR653" s="221"/>
    </row>
    <row r="654" spans="1:44" s="384" customFormat="1" ht="12" customHeight="1">
      <c r="A654" s="221"/>
      <c r="P654" s="290"/>
      <c r="R654" s="3096" t="s">
        <v>339</v>
      </c>
      <c r="S654" s="3096" t="s">
        <v>340</v>
      </c>
      <c r="T654" s="3099" t="s">
        <v>277</v>
      </c>
      <c r="X654" s="221"/>
      <c r="Y654" s="221"/>
      <c r="Z654" s="221"/>
      <c r="AA654" s="221"/>
      <c r="AB654" s="221"/>
      <c r="AC654" s="221"/>
      <c r="AD654" s="221"/>
      <c r="AE654" s="221"/>
      <c r="AF654" s="221"/>
      <c r="AG654" s="221"/>
      <c r="AH654" s="221"/>
      <c r="AI654" s="221"/>
      <c r="AJ654" s="221"/>
      <c r="AK654" s="221"/>
      <c r="AL654" s="221"/>
      <c r="AM654" s="221"/>
      <c r="AN654" s="221"/>
      <c r="AO654" s="221"/>
      <c r="AP654" s="221"/>
      <c r="AQ654" s="221"/>
      <c r="AR654" s="221"/>
    </row>
    <row r="655" spans="1:44" s="384" customFormat="1" ht="12" customHeight="1">
      <c r="A655" s="221"/>
      <c r="P655" s="290"/>
      <c r="R655" s="3096" t="s">
        <v>341</v>
      </c>
      <c r="S655" s="3096" t="s">
        <v>342</v>
      </c>
      <c r="T655" s="3099" t="s">
        <v>277</v>
      </c>
      <c r="X655" s="221"/>
      <c r="Y655" s="221"/>
      <c r="Z655" s="221"/>
      <c r="AA655" s="221"/>
      <c r="AB655" s="221"/>
      <c r="AC655" s="221"/>
      <c r="AD655" s="221"/>
      <c r="AE655" s="221"/>
      <c r="AF655" s="221"/>
      <c r="AG655" s="221"/>
      <c r="AH655" s="221"/>
      <c r="AI655" s="221"/>
      <c r="AJ655" s="221"/>
      <c r="AK655" s="221"/>
      <c r="AL655" s="221"/>
      <c r="AM655" s="221"/>
      <c r="AN655" s="221"/>
      <c r="AO655" s="221"/>
      <c r="AP655" s="221"/>
      <c r="AQ655" s="221"/>
      <c r="AR655" s="221"/>
    </row>
    <row r="656" spans="1:44" s="384" customFormat="1" ht="12" customHeight="1">
      <c r="A656" s="221"/>
      <c r="P656" s="290"/>
      <c r="R656" s="3096" t="s">
        <v>343</v>
      </c>
      <c r="S656" s="3096" t="s">
        <v>344</v>
      </c>
      <c r="T656" s="3099" t="s">
        <v>277</v>
      </c>
      <c r="X656" s="221"/>
      <c r="Y656" s="221"/>
      <c r="Z656" s="221"/>
      <c r="AA656" s="221"/>
      <c r="AB656" s="221"/>
      <c r="AC656" s="221"/>
      <c r="AD656" s="221"/>
      <c r="AE656" s="221"/>
      <c r="AF656" s="221"/>
      <c r="AG656" s="221"/>
      <c r="AH656" s="221"/>
      <c r="AI656" s="221"/>
      <c r="AJ656" s="221"/>
      <c r="AK656" s="221"/>
      <c r="AL656" s="221"/>
      <c r="AM656" s="221"/>
      <c r="AN656" s="221"/>
      <c r="AO656" s="221"/>
      <c r="AP656" s="221"/>
      <c r="AQ656" s="221"/>
      <c r="AR656" s="221"/>
    </row>
    <row r="657" spans="1:44" s="384" customFormat="1" ht="12" customHeight="1">
      <c r="A657" s="221"/>
      <c r="P657" s="3098"/>
      <c r="R657" s="3096" t="s">
        <v>345</v>
      </c>
      <c r="S657" s="3096" t="s">
        <v>276</v>
      </c>
      <c r="T657" s="3099" t="s">
        <v>277</v>
      </c>
      <c r="X657" s="221"/>
      <c r="Y657" s="221"/>
      <c r="Z657" s="221"/>
      <c r="AA657" s="221"/>
      <c r="AB657" s="221"/>
      <c r="AC657" s="221"/>
      <c r="AD657" s="221"/>
      <c r="AE657" s="221"/>
      <c r="AF657" s="221"/>
      <c r="AG657" s="221"/>
      <c r="AH657" s="221"/>
      <c r="AI657" s="221"/>
      <c r="AJ657" s="221"/>
      <c r="AK657" s="221"/>
      <c r="AL657" s="221"/>
      <c r="AM657" s="221"/>
      <c r="AN657" s="221"/>
      <c r="AO657" s="221"/>
      <c r="AP657" s="221"/>
      <c r="AQ657" s="221"/>
      <c r="AR657" s="221"/>
    </row>
    <row r="658" spans="1:44" s="384" customFormat="1" ht="12" customHeight="1">
      <c r="A658" s="221"/>
      <c r="P658" s="290"/>
      <c r="R658" s="3096" t="s">
        <v>346</v>
      </c>
      <c r="S658" s="3096" t="s">
        <v>347</v>
      </c>
      <c r="T658" s="3099" t="s">
        <v>277</v>
      </c>
      <c r="X658" s="221"/>
      <c r="Y658" s="221"/>
      <c r="Z658" s="221"/>
      <c r="AA658" s="221"/>
      <c r="AB658" s="221"/>
      <c r="AC658" s="221"/>
      <c r="AD658" s="221"/>
      <c r="AE658" s="221"/>
      <c r="AF658" s="221"/>
      <c r="AG658" s="221"/>
      <c r="AH658" s="221"/>
      <c r="AI658" s="221"/>
      <c r="AJ658" s="221"/>
      <c r="AK658" s="221"/>
      <c r="AL658" s="221"/>
      <c r="AM658" s="221"/>
      <c r="AN658" s="221"/>
      <c r="AO658" s="221"/>
      <c r="AP658" s="221"/>
      <c r="AQ658" s="221"/>
      <c r="AR658" s="221"/>
    </row>
    <row r="659" spans="1:44" s="384" customFormat="1" ht="12" customHeight="1">
      <c r="A659" s="221"/>
      <c r="P659" s="290"/>
      <c r="R659" s="3096" t="s">
        <v>348</v>
      </c>
      <c r="S659" s="3096" t="s">
        <v>349</v>
      </c>
      <c r="T659" s="3099" t="s">
        <v>277</v>
      </c>
      <c r="X659" s="221"/>
      <c r="Y659" s="221"/>
      <c r="Z659" s="221"/>
      <c r="AA659" s="221"/>
      <c r="AB659" s="221"/>
      <c r="AC659" s="221"/>
      <c r="AD659" s="221"/>
      <c r="AE659" s="221"/>
      <c r="AF659" s="221"/>
      <c r="AG659" s="221"/>
      <c r="AH659" s="221"/>
      <c r="AI659" s="221"/>
      <c r="AJ659" s="221"/>
      <c r="AK659" s="221"/>
      <c r="AL659" s="221"/>
      <c r="AM659" s="221"/>
      <c r="AN659" s="221"/>
      <c r="AO659" s="221"/>
      <c r="AP659" s="221"/>
      <c r="AQ659" s="221"/>
      <c r="AR659" s="221"/>
    </row>
    <row r="660" spans="1:44" s="384" customFormat="1" ht="12" customHeight="1">
      <c r="A660" s="221"/>
      <c r="P660" s="290"/>
      <c r="R660" s="3096" t="s">
        <v>350</v>
      </c>
      <c r="S660" s="3096" t="s">
        <v>351</v>
      </c>
      <c r="T660" s="3099" t="s">
        <v>277</v>
      </c>
      <c r="X660" s="221"/>
      <c r="Y660" s="221"/>
      <c r="Z660" s="221"/>
      <c r="AA660" s="221"/>
      <c r="AB660" s="221"/>
      <c r="AC660" s="221"/>
      <c r="AD660" s="221"/>
      <c r="AE660" s="221"/>
      <c r="AF660" s="221"/>
      <c r="AG660" s="221"/>
      <c r="AH660" s="221"/>
      <c r="AI660" s="221"/>
      <c r="AJ660" s="221"/>
      <c r="AK660" s="221"/>
      <c r="AL660" s="221"/>
      <c r="AM660" s="221"/>
      <c r="AN660" s="221"/>
      <c r="AO660" s="221"/>
      <c r="AP660" s="221"/>
      <c r="AQ660" s="221"/>
      <c r="AR660" s="221"/>
    </row>
    <row r="661" spans="1:44" s="384" customFormat="1" ht="12" customHeight="1">
      <c r="A661" s="221"/>
      <c r="P661" s="290"/>
      <c r="R661" s="3096" t="s">
        <v>352</v>
      </c>
      <c r="S661" s="3096" t="s">
        <v>291</v>
      </c>
      <c r="T661" s="3099" t="s">
        <v>277</v>
      </c>
      <c r="X661" s="221"/>
      <c r="Y661" s="221"/>
      <c r="Z661" s="221"/>
      <c r="AA661" s="221"/>
      <c r="AB661" s="221"/>
      <c r="AC661" s="221"/>
      <c r="AD661" s="221"/>
      <c r="AE661" s="221"/>
      <c r="AF661" s="221"/>
      <c r="AG661" s="221"/>
      <c r="AH661" s="221"/>
      <c r="AI661" s="221"/>
      <c r="AJ661" s="221"/>
      <c r="AK661" s="221"/>
      <c r="AL661" s="221"/>
      <c r="AM661" s="221"/>
      <c r="AN661" s="221"/>
      <c r="AO661" s="221"/>
      <c r="AP661" s="221"/>
      <c r="AQ661" s="221"/>
      <c r="AR661" s="221"/>
    </row>
    <row r="662" spans="1:44" s="384" customFormat="1" ht="12" customHeight="1">
      <c r="A662" s="221"/>
      <c r="P662" s="290"/>
      <c r="R662" s="3096" t="s">
        <v>353</v>
      </c>
      <c r="S662" s="3096" t="s">
        <v>315</v>
      </c>
      <c r="T662" s="3099" t="s">
        <v>277</v>
      </c>
      <c r="X662" s="221"/>
      <c r="Y662" s="221"/>
      <c r="Z662" s="221"/>
      <c r="AA662" s="221"/>
      <c r="AB662" s="221"/>
      <c r="AC662" s="221"/>
      <c r="AD662" s="221"/>
      <c r="AE662" s="221"/>
      <c r="AF662" s="221"/>
      <c r="AG662" s="221"/>
      <c r="AH662" s="221"/>
      <c r="AI662" s="221"/>
      <c r="AJ662" s="221"/>
      <c r="AK662" s="221"/>
      <c r="AL662" s="221"/>
      <c r="AM662" s="221"/>
      <c r="AN662" s="221"/>
      <c r="AO662" s="221"/>
      <c r="AP662" s="221"/>
      <c r="AQ662" s="221"/>
      <c r="AR662" s="221"/>
    </row>
    <row r="663" spans="1:44" s="384" customFormat="1" ht="12" customHeight="1">
      <c r="A663" s="221"/>
      <c r="P663" s="290"/>
      <c r="R663" s="3096" t="s">
        <v>354</v>
      </c>
      <c r="S663" s="3096" t="s">
        <v>276</v>
      </c>
      <c r="T663" s="3099" t="s">
        <v>277</v>
      </c>
      <c r="X663" s="221"/>
      <c r="Y663" s="221"/>
      <c r="Z663" s="221"/>
      <c r="AA663" s="221"/>
      <c r="AB663" s="221"/>
      <c r="AC663" s="221"/>
      <c r="AD663" s="221"/>
      <c r="AE663" s="221"/>
      <c r="AF663" s="221"/>
      <c r="AG663" s="221"/>
      <c r="AH663" s="221"/>
      <c r="AI663" s="221"/>
      <c r="AJ663" s="221"/>
      <c r="AK663" s="221"/>
      <c r="AL663" s="221"/>
      <c r="AM663" s="221"/>
      <c r="AN663" s="221"/>
      <c r="AO663" s="221"/>
      <c r="AP663" s="221"/>
      <c r="AQ663" s="221"/>
      <c r="AR663" s="221"/>
    </row>
    <row r="664" spans="1:44" s="384" customFormat="1" ht="12" customHeight="1">
      <c r="A664" s="221"/>
      <c r="P664" s="290"/>
      <c r="R664" s="3096" t="s">
        <v>355</v>
      </c>
      <c r="S664" s="3096" t="s">
        <v>356</v>
      </c>
      <c r="T664" s="3099" t="s">
        <v>277</v>
      </c>
      <c r="X664" s="221"/>
      <c r="Y664" s="221"/>
      <c r="Z664" s="221"/>
      <c r="AA664" s="221"/>
      <c r="AB664" s="221"/>
      <c r="AC664" s="221"/>
      <c r="AD664" s="221"/>
      <c r="AE664" s="221"/>
      <c r="AF664" s="221"/>
      <c r="AG664" s="221"/>
      <c r="AH664" s="221"/>
      <c r="AI664" s="221"/>
      <c r="AJ664" s="221"/>
      <c r="AK664" s="221"/>
      <c r="AL664" s="221"/>
      <c r="AM664" s="221"/>
      <c r="AN664" s="221"/>
      <c r="AO664" s="221"/>
      <c r="AP664" s="221"/>
      <c r="AQ664" s="221"/>
      <c r="AR664" s="221"/>
    </row>
    <row r="665" spans="1:44" s="384" customFormat="1" ht="12" customHeight="1">
      <c r="A665" s="221"/>
      <c r="P665" s="290"/>
      <c r="R665" s="3096" t="s">
        <v>357</v>
      </c>
      <c r="S665" s="3096" t="s">
        <v>318</v>
      </c>
      <c r="T665" s="3099" t="s">
        <v>277</v>
      </c>
      <c r="X665" s="221"/>
      <c r="Y665" s="221"/>
      <c r="Z665" s="221"/>
      <c r="AA665" s="221"/>
      <c r="AB665" s="221"/>
      <c r="AC665" s="221"/>
      <c r="AD665" s="221"/>
      <c r="AE665" s="221"/>
      <c r="AF665" s="221"/>
      <c r="AG665" s="221"/>
      <c r="AH665" s="221"/>
      <c r="AI665" s="221"/>
      <c r="AJ665" s="221"/>
      <c r="AK665" s="221"/>
      <c r="AL665" s="221"/>
      <c r="AM665" s="221"/>
      <c r="AN665" s="221"/>
      <c r="AO665" s="221"/>
      <c r="AP665" s="221"/>
      <c r="AQ665" s="221"/>
      <c r="AR665" s="221"/>
    </row>
    <row r="666" spans="1:44" s="384" customFormat="1" ht="12" customHeight="1">
      <c r="A666" s="221"/>
      <c r="P666" s="3097"/>
      <c r="R666" s="3096" t="s">
        <v>358</v>
      </c>
      <c r="S666" s="3096" t="s">
        <v>309</v>
      </c>
      <c r="T666" s="3099" t="s">
        <v>277</v>
      </c>
      <c r="X666" s="221"/>
      <c r="Y666" s="221"/>
      <c r="Z666" s="221"/>
      <c r="AA666" s="221"/>
      <c r="AB666" s="221"/>
      <c r="AC666" s="221"/>
      <c r="AD666" s="221"/>
      <c r="AE666" s="221"/>
      <c r="AF666" s="221"/>
      <c r="AG666" s="221"/>
      <c r="AH666" s="221"/>
      <c r="AI666" s="221"/>
      <c r="AJ666" s="221"/>
      <c r="AK666" s="221"/>
      <c r="AL666" s="221"/>
      <c r="AM666" s="221"/>
      <c r="AN666" s="221"/>
      <c r="AO666" s="221"/>
      <c r="AP666" s="221"/>
      <c r="AQ666" s="221"/>
      <c r="AR666" s="221"/>
    </row>
    <row r="667" spans="1:44" s="384" customFormat="1" ht="12" customHeight="1">
      <c r="A667" s="221"/>
      <c r="P667" s="3098"/>
      <c r="R667" s="3096" t="s">
        <v>359</v>
      </c>
      <c r="S667" s="3096" t="s">
        <v>311</v>
      </c>
      <c r="T667" s="3099" t="s">
        <v>277</v>
      </c>
      <c r="X667" s="221"/>
      <c r="Y667" s="221"/>
      <c r="Z667" s="221"/>
      <c r="AA667" s="221"/>
      <c r="AB667" s="221"/>
      <c r="AC667" s="221"/>
      <c r="AD667" s="221"/>
      <c r="AE667" s="221"/>
      <c r="AF667" s="221"/>
      <c r="AG667" s="221"/>
      <c r="AH667" s="221"/>
      <c r="AI667" s="221"/>
      <c r="AJ667" s="221"/>
      <c r="AK667" s="221"/>
      <c r="AL667" s="221"/>
      <c r="AM667" s="221"/>
      <c r="AN667" s="221"/>
      <c r="AO667" s="221"/>
      <c r="AP667" s="221"/>
      <c r="AQ667" s="221"/>
      <c r="AR667" s="221"/>
    </row>
    <row r="668" spans="1:44" s="384" customFormat="1" ht="12" customHeight="1">
      <c r="A668" s="221"/>
      <c r="P668" s="290"/>
      <c r="R668" s="3096" t="s">
        <v>360</v>
      </c>
      <c r="S668" s="3096" t="s">
        <v>276</v>
      </c>
      <c r="T668" s="3099" t="s">
        <v>277</v>
      </c>
      <c r="X668" s="221"/>
      <c r="Y668" s="221"/>
      <c r="Z668" s="221"/>
      <c r="AA668" s="221"/>
      <c r="AB668" s="221"/>
      <c r="AC668" s="221"/>
      <c r="AD668" s="221"/>
      <c r="AE668" s="221"/>
      <c r="AF668" s="221"/>
      <c r="AG668" s="221"/>
      <c r="AH668" s="221"/>
      <c r="AI668" s="221"/>
      <c r="AJ668" s="221"/>
      <c r="AK668" s="221"/>
      <c r="AL668" s="221"/>
      <c r="AM668" s="221"/>
      <c r="AN668" s="221"/>
      <c r="AO668" s="221"/>
      <c r="AP668" s="221"/>
      <c r="AQ668" s="221"/>
      <c r="AR668" s="221"/>
    </row>
    <row r="669" spans="1:44" s="384" customFormat="1" ht="12" customHeight="1">
      <c r="A669" s="221"/>
      <c r="P669" s="290"/>
      <c r="R669" s="3096" t="s">
        <v>361</v>
      </c>
      <c r="S669" s="3096" t="s">
        <v>340</v>
      </c>
      <c r="T669" s="3099" t="s">
        <v>277</v>
      </c>
      <c r="X669" s="221"/>
      <c r="Y669" s="221"/>
      <c r="Z669" s="221"/>
      <c r="AA669" s="221"/>
      <c r="AB669" s="221"/>
      <c r="AC669" s="221"/>
      <c r="AD669" s="221"/>
      <c r="AE669" s="221"/>
      <c r="AF669" s="221"/>
      <c r="AG669" s="221"/>
      <c r="AH669" s="221"/>
      <c r="AI669" s="221"/>
      <c r="AJ669" s="221"/>
      <c r="AK669" s="221"/>
      <c r="AL669" s="221"/>
      <c r="AM669" s="221"/>
      <c r="AN669" s="221"/>
      <c r="AO669" s="221"/>
      <c r="AP669" s="221"/>
      <c r="AQ669" s="221"/>
      <c r="AR669" s="221"/>
    </row>
    <row r="670" spans="1:44" s="384" customFormat="1" ht="12" customHeight="1">
      <c r="A670" s="221"/>
      <c r="P670" s="3098"/>
      <c r="R670" s="3096" t="s">
        <v>362</v>
      </c>
      <c r="S670" s="3096" t="s">
        <v>301</v>
      </c>
      <c r="T670" s="3099" t="s">
        <v>277</v>
      </c>
      <c r="X670" s="221"/>
      <c r="Y670" s="221"/>
      <c r="Z670" s="221"/>
      <c r="AA670" s="221"/>
      <c r="AB670" s="221"/>
      <c r="AC670" s="221"/>
      <c r="AD670" s="221"/>
      <c r="AE670" s="221"/>
      <c r="AF670" s="221"/>
      <c r="AG670" s="221"/>
      <c r="AH670" s="221"/>
      <c r="AI670" s="221"/>
      <c r="AJ670" s="221"/>
      <c r="AK670" s="221"/>
      <c r="AL670" s="221"/>
      <c r="AM670" s="221"/>
      <c r="AN670" s="221"/>
      <c r="AO670" s="221"/>
      <c r="AP670" s="221"/>
      <c r="AQ670" s="221"/>
      <c r="AR670" s="221"/>
    </row>
    <row r="671" spans="1:44" s="384" customFormat="1" ht="12" customHeight="1">
      <c r="A671" s="221"/>
      <c r="P671" s="290"/>
      <c r="R671" s="3096" t="s">
        <v>363</v>
      </c>
      <c r="S671" s="3096" t="s">
        <v>318</v>
      </c>
      <c r="T671" s="3099" t="s">
        <v>277</v>
      </c>
      <c r="X671" s="221"/>
      <c r="Y671" s="221"/>
      <c r="Z671" s="221"/>
      <c r="AA671" s="221"/>
      <c r="AB671" s="221"/>
      <c r="AC671" s="221"/>
      <c r="AD671" s="221"/>
      <c r="AE671" s="221"/>
      <c r="AF671" s="221"/>
      <c r="AG671" s="221"/>
      <c r="AH671" s="221"/>
      <c r="AI671" s="221"/>
      <c r="AJ671" s="221"/>
      <c r="AK671" s="221"/>
      <c r="AL671" s="221"/>
      <c r="AM671" s="221"/>
      <c r="AN671" s="221"/>
      <c r="AO671" s="221"/>
      <c r="AP671" s="221"/>
      <c r="AQ671" s="221"/>
      <c r="AR671" s="221"/>
    </row>
    <row r="672" spans="1:44" s="384" customFormat="1" ht="12" customHeight="1">
      <c r="A672" s="221"/>
      <c r="P672" s="290"/>
      <c r="R672" s="3096" t="s">
        <v>364</v>
      </c>
      <c r="S672" s="3096" t="s">
        <v>318</v>
      </c>
      <c r="T672" s="3099" t="s">
        <v>277</v>
      </c>
      <c r="X672" s="221"/>
      <c r="Y672" s="221"/>
      <c r="Z672" s="221"/>
      <c r="AA672" s="221"/>
      <c r="AB672" s="221"/>
      <c r="AC672" s="221"/>
      <c r="AD672" s="221"/>
      <c r="AE672" s="221"/>
      <c r="AF672" s="221"/>
      <c r="AG672" s="221"/>
      <c r="AH672" s="221"/>
      <c r="AI672" s="221"/>
      <c r="AJ672" s="221"/>
      <c r="AK672" s="221"/>
      <c r="AL672" s="221"/>
      <c r="AM672" s="221"/>
      <c r="AN672" s="221"/>
      <c r="AO672" s="221"/>
      <c r="AP672" s="221"/>
      <c r="AQ672" s="221"/>
      <c r="AR672" s="221"/>
    </row>
    <row r="673" spans="1:44" s="384" customFormat="1" ht="12" customHeight="1">
      <c r="A673" s="221"/>
      <c r="P673" s="290"/>
      <c r="X673" s="221"/>
      <c r="Y673" s="221"/>
      <c r="Z673" s="221"/>
      <c r="AA673" s="221"/>
      <c r="AB673" s="221"/>
      <c r="AC673" s="221"/>
      <c r="AD673" s="221"/>
      <c r="AE673" s="221"/>
      <c r="AF673" s="221"/>
      <c r="AG673" s="221"/>
      <c r="AH673" s="221"/>
      <c r="AI673" s="221"/>
      <c r="AJ673" s="221"/>
      <c r="AK673" s="221"/>
      <c r="AL673" s="221"/>
      <c r="AM673" s="221"/>
      <c r="AN673" s="221"/>
      <c r="AO673" s="221"/>
      <c r="AP673" s="221"/>
      <c r="AQ673" s="221"/>
      <c r="AR673" s="221"/>
    </row>
    <row r="674" spans="1:44" s="384" customFormat="1" ht="12" customHeight="1">
      <c r="A674" s="221"/>
      <c r="P674" s="290"/>
      <c r="X674" s="221"/>
      <c r="Y674" s="221"/>
      <c r="Z674" s="221"/>
      <c r="AA674" s="221"/>
      <c r="AB674" s="221"/>
      <c r="AC674" s="221"/>
      <c r="AD674" s="221"/>
      <c r="AE674" s="221"/>
      <c r="AF674" s="221"/>
      <c r="AG674" s="221"/>
      <c r="AH674" s="221"/>
      <c r="AI674" s="221"/>
      <c r="AJ674" s="221"/>
      <c r="AK674" s="221"/>
      <c r="AL674" s="221"/>
      <c r="AM674" s="221"/>
      <c r="AN674" s="221"/>
      <c r="AO674" s="221"/>
      <c r="AP674" s="221"/>
      <c r="AQ674" s="221"/>
      <c r="AR674" s="221"/>
    </row>
    <row r="675" spans="1:44" s="384" customFormat="1" ht="12" customHeight="1">
      <c r="A675" s="221"/>
      <c r="P675" s="290"/>
      <c r="X675" s="221"/>
      <c r="Y675" s="221"/>
      <c r="Z675" s="221"/>
      <c r="AA675" s="221"/>
      <c r="AB675" s="221"/>
      <c r="AC675" s="221"/>
      <c r="AD675" s="221"/>
      <c r="AE675" s="221"/>
      <c r="AF675" s="221"/>
      <c r="AG675" s="221"/>
      <c r="AH675" s="221"/>
      <c r="AI675" s="221"/>
      <c r="AJ675" s="221"/>
      <c r="AK675" s="221"/>
      <c r="AL675" s="221"/>
      <c r="AM675" s="221"/>
      <c r="AN675" s="221"/>
      <c r="AO675" s="221"/>
      <c r="AP675" s="221"/>
      <c r="AQ675" s="221"/>
      <c r="AR675" s="221"/>
    </row>
    <row r="676" spans="1:44" s="384" customFormat="1" ht="12" customHeight="1">
      <c r="A676" s="221"/>
      <c r="P676" s="290"/>
      <c r="X676" s="221"/>
      <c r="Y676" s="221"/>
      <c r="Z676" s="221"/>
      <c r="AA676" s="221"/>
      <c r="AB676" s="221"/>
      <c r="AC676" s="221"/>
      <c r="AD676" s="221"/>
      <c r="AE676" s="221"/>
      <c r="AF676" s="221"/>
      <c r="AG676" s="221"/>
      <c r="AH676" s="221"/>
      <c r="AI676" s="221"/>
      <c r="AJ676" s="221"/>
      <c r="AK676" s="221"/>
      <c r="AL676" s="221"/>
      <c r="AM676" s="221"/>
      <c r="AN676" s="221"/>
      <c r="AO676" s="221"/>
      <c r="AP676" s="221"/>
      <c r="AQ676" s="221"/>
      <c r="AR676" s="221"/>
    </row>
    <row r="677" spans="1:44" s="384" customFormat="1" ht="12" customHeight="1">
      <c r="A677" s="221"/>
      <c r="P677" s="290"/>
      <c r="X677" s="221"/>
      <c r="Y677" s="221"/>
      <c r="Z677" s="221"/>
      <c r="AA677" s="221"/>
      <c r="AB677" s="221"/>
      <c r="AC677" s="221"/>
      <c r="AD677" s="221"/>
      <c r="AE677" s="221"/>
      <c r="AF677" s="221"/>
      <c r="AG677" s="221"/>
      <c r="AH677" s="221"/>
      <c r="AI677" s="221"/>
      <c r="AJ677" s="221"/>
      <c r="AK677" s="221"/>
      <c r="AL677" s="221"/>
      <c r="AM677" s="221"/>
      <c r="AN677" s="221"/>
      <c r="AO677" s="221"/>
      <c r="AP677" s="221"/>
      <c r="AQ677" s="221"/>
      <c r="AR677" s="221"/>
    </row>
    <row r="678" spans="1:44" s="384" customFormat="1" ht="12" customHeight="1">
      <c r="A678" s="221"/>
      <c r="P678" s="3098"/>
      <c r="X678" s="221"/>
      <c r="Y678" s="221"/>
      <c r="Z678" s="221"/>
      <c r="AA678" s="221"/>
      <c r="AB678" s="221"/>
      <c r="AC678" s="221"/>
      <c r="AD678" s="221"/>
      <c r="AE678" s="221"/>
      <c r="AF678" s="221"/>
      <c r="AG678" s="221"/>
      <c r="AH678" s="221"/>
      <c r="AI678" s="221"/>
      <c r="AJ678" s="221"/>
      <c r="AK678" s="221"/>
      <c r="AL678" s="221"/>
      <c r="AM678" s="221"/>
      <c r="AN678" s="221"/>
      <c r="AO678" s="221"/>
      <c r="AP678" s="221"/>
      <c r="AQ678" s="221"/>
      <c r="AR678" s="221"/>
    </row>
    <row r="679" spans="1:44" s="384" customFormat="1" ht="12" customHeight="1">
      <c r="A679" s="221"/>
      <c r="P679" s="290"/>
      <c r="X679" s="221"/>
      <c r="Y679" s="221"/>
      <c r="Z679" s="221"/>
      <c r="AA679" s="221"/>
      <c r="AB679" s="221"/>
      <c r="AC679" s="221"/>
      <c r="AD679" s="221"/>
      <c r="AE679" s="221"/>
      <c r="AF679" s="221"/>
      <c r="AG679" s="221"/>
      <c r="AH679" s="221"/>
      <c r="AI679" s="221"/>
      <c r="AJ679" s="221"/>
      <c r="AK679" s="221"/>
      <c r="AL679" s="221"/>
      <c r="AM679" s="221"/>
      <c r="AN679" s="221"/>
      <c r="AO679" s="221"/>
      <c r="AP679" s="221"/>
      <c r="AQ679" s="221"/>
      <c r="AR679" s="221"/>
    </row>
    <row r="680" spans="1:44" s="384" customFormat="1" ht="12" customHeight="1">
      <c r="A680" s="221"/>
      <c r="P680" s="290"/>
      <c r="X680" s="221"/>
      <c r="Y680" s="221"/>
      <c r="Z680" s="221"/>
      <c r="AA680" s="221"/>
      <c r="AB680" s="221"/>
      <c r="AC680" s="221"/>
      <c r="AD680" s="221"/>
      <c r="AE680" s="221"/>
      <c r="AF680" s="221"/>
      <c r="AG680" s="221"/>
      <c r="AH680" s="221"/>
      <c r="AI680" s="221"/>
      <c r="AJ680" s="221"/>
      <c r="AK680" s="221"/>
      <c r="AL680" s="221"/>
      <c r="AM680" s="221"/>
      <c r="AN680" s="221"/>
      <c r="AO680" s="221"/>
      <c r="AP680" s="221"/>
      <c r="AQ680" s="221"/>
      <c r="AR680" s="221"/>
    </row>
    <row r="681" spans="1:44" s="384" customFormat="1" ht="12" customHeight="1">
      <c r="A681" s="221"/>
      <c r="P681" s="290"/>
      <c r="X681" s="221"/>
      <c r="Y681" s="221"/>
      <c r="Z681" s="221"/>
      <c r="AA681" s="221"/>
      <c r="AB681" s="221"/>
      <c r="AC681" s="221"/>
      <c r="AD681" s="221"/>
      <c r="AE681" s="221"/>
      <c r="AF681" s="221"/>
      <c r="AG681" s="221"/>
      <c r="AH681" s="221"/>
      <c r="AI681" s="221"/>
      <c r="AJ681" s="221"/>
      <c r="AK681" s="221"/>
      <c r="AL681" s="221"/>
      <c r="AM681" s="221"/>
      <c r="AN681" s="221"/>
      <c r="AO681" s="221"/>
      <c r="AP681" s="221"/>
      <c r="AQ681" s="221"/>
      <c r="AR681" s="221"/>
    </row>
    <row r="682" spans="1:44" s="384" customFormat="1" ht="12" customHeight="1">
      <c r="A682" s="221"/>
      <c r="P682" s="290"/>
      <c r="X682" s="221"/>
      <c r="Y682" s="221"/>
      <c r="Z682" s="221"/>
      <c r="AA682" s="221"/>
      <c r="AB682" s="221"/>
      <c r="AC682" s="221"/>
      <c r="AD682" s="221"/>
      <c r="AE682" s="221"/>
      <c r="AF682" s="221"/>
      <c r="AG682" s="221"/>
      <c r="AH682" s="221"/>
      <c r="AI682" s="221"/>
      <c r="AJ682" s="221"/>
      <c r="AK682" s="221"/>
      <c r="AL682" s="221"/>
      <c r="AM682" s="221"/>
      <c r="AN682" s="221"/>
      <c r="AO682" s="221"/>
      <c r="AP682" s="221"/>
      <c r="AQ682" s="221"/>
      <c r="AR682" s="221"/>
    </row>
    <row r="683" spans="1:44" s="384" customFormat="1" ht="12" customHeight="1">
      <c r="A683" s="221"/>
      <c r="P683" s="3098"/>
      <c r="X683" s="221"/>
      <c r="Y683" s="221"/>
      <c r="Z683" s="221"/>
      <c r="AA683" s="221"/>
      <c r="AB683" s="221"/>
      <c r="AC683" s="221"/>
      <c r="AD683" s="221"/>
      <c r="AE683" s="221"/>
      <c r="AF683" s="221"/>
      <c r="AG683" s="221"/>
      <c r="AH683" s="221"/>
      <c r="AI683" s="221"/>
      <c r="AJ683" s="221"/>
      <c r="AK683" s="221"/>
      <c r="AL683" s="221"/>
      <c r="AM683" s="221"/>
      <c r="AN683" s="221"/>
      <c r="AO683" s="221"/>
      <c r="AP683" s="221"/>
      <c r="AQ683" s="221"/>
      <c r="AR683" s="221"/>
    </row>
    <row r="684" spans="1:44" s="384" customFormat="1" ht="12" customHeight="1">
      <c r="A684" s="221"/>
      <c r="P684" s="290"/>
      <c r="X684" s="221"/>
      <c r="Y684" s="221"/>
      <c r="Z684" s="221"/>
      <c r="AA684" s="221"/>
      <c r="AB684" s="221"/>
      <c r="AC684" s="221"/>
      <c r="AD684" s="221"/>
      <c r="AE684" s="221"/>
      <c r="AF684" s="221"/>
      <c r="AG684" s="221"/>
      <c r="AH684" s="221"/>
      <c r="AI684" s="221"/>
      <c r="AJ684" s="221"/>
      <c r="AK684" s="221"/>
      <c r="AL684" s="221"/>
      <c r="AM684" s="221"/>
      <c r="AN684" s="221"/>
      <c r="AO684" s="221"/>
      <c r="AP684" s="221"/>
      <c r="AQ684" s="221"/>
      <c r="AR684" s="221"/>
    </row>
    <row r="685" spans="1:44" s="384" customFormat="1" ht="12" customHeight="1">
      <c r="A685" s="221"/>
      <c r="P685" s="290"/>
      <c r="X685" s="221"/>
      <c r="Y685" s="221"/>
      <c r="Z685" s="221"/>
      <c r="AA685" s="221"/>
      <c r="AB685" s="221"/>
      <c r="AC685" s="221"/>
      <c r="AD685" s="221"/>
      <c r="AE685" s="221"/>
      <c r="AF685" s="221"/>
      <c r="AG685" s="221"/>
      <c r="AH685" s="221"/>
      <c r="AI685" s="221"/>
      <c r="AJ685" s="221"/>
      <c r="AK685" s="221"/>
      <c r="AL685" s="221"/>
      <c r="AM685" s="221"/>
      <c r="AN685" s="221"/>
      <c r="AO685" s="221"/>
      <c r="AP685" s="221"/>
      <c r="AQ685" s="221"/>
      <c r="AR685" s="221"/>
    </row>
    <row r="686" spans="1:44" s="384" customFormat="1" ht="12" customHeight="1">
      <c r="A686" s="221"/>
      <c r="P686" s="290"/>
      <c r="X686" s="221"/>
      <c r="Y686" s="221"/>
      <c r="Z686" s="221"/>
      <c r="AA686" s="221"/>
      <c r="AB686" s="221"/>
      <c r="AC686" s="221"/>
      <c r="AD686" s="221"/>
      <c r="AE686" s="221"/>
      <c r="AF686" s="221"/>
      <c r="AG686" s="221"/>
      <c r="AH686" s="221"/>
      <c r="AI686" s="221"/>
      <c r="AJ686" s="221"/>
      <c r="AK686" s="221"/>
      <c r="AL686" s="221"/>
      <c r="AM686" s="221"/>
      <c r="AN686" s="221"/>
      <c r="AO686" s="221"/>
      <c r="AP686" s="221"/>
      <c r="AQ686" s="221"/>
      <c r="AR686" s="221"/>
    </row>
    <row r="687" spans="1:44" s="384" customFormat="1" ht="12" customHeight="1">
      <c r="A687" s="221"/>
      <c r="P687" s="290"/>
      <c r="X687" s="221"/>
      <c r="Y687" s="221"/>
      <c r="Z687" s="221"/>
      <c r="AA687" s="221"/>
      <c r="AB687" s="221"/>
      <c r="AC687" s="221"/>
      <c r="AD687" s="221"/>
      <c r="AE687" s="221"/>
      <c r="AF687" s="221"/>
      <c r="AG687" s="221"/>
      <c r="AH687" s="221"/>
      <c r="AI687" s="221"/>
      <c r="AJ687" s="221"/>
      <c r="AK687" s="221"/>
      <c r="AL687" s="221"/>
      <c r="AM687" s="221"/>
      <c r="AN687" s="221"/>
      <c r="AO687" s="221"/>
      <c r="AP687" s="221"/>
      <c r="AQ687" s="221"/>
      <c r="AR687" s="221"/>
    </row>
    <row r="688" spans="1:44" s="384" customFormat="1" ht="12" customHeight="1">
      <c r="A688" s="221"/>
      <c r="P688" s="290"/>
      <c r="X688" s="221"/>
      <c r="Y688" s="221"/>
      <c r="Z688" s="221"/>
      <c r="AA688" s="221"/>
      <c r="AB688" s="221"/>
      <c r="AC688" s="221"/>
      <c r="AD688" s="221"/>
      <c r="AE688" s="221"/>
      <c r="AF688" s="221"/>
      <c r="AG688" s="221"/>
      <c r="AH688" s="221"/>
      <c r="AI688" s="221"/>
      <c r="AJ688" s="221"/>
      <c r="AK688" s="221"/>
      <c r="AL688" s="221"/>
      <c r="AM688" s="221"/>
      <c r="AN688" s="221"/>
      <c r="AO688" s="221"/>
      <c r="AP688" s="221"/>
      <c r="AQ688" s="221"/>
      <c r="AR688" s="221"/>
    </row>
    <row r="689" spans="1:44" s="384" customFormat="1" ht="12" customHeight="1">
      <c r="A689" s="221"/>
      <c r="P689" s="3098"/>
      <c r="X689" s="221"/>
      <c r="Y689" s="221"/>
      <c r="Z689" s="221"/>
      <c r="AA689" s="221"/>
      <c r="AB689" s="221"/>
      <c r="AC689" s="221"/>
      <c r="AD689" s="221"/>
      <c r="AE689" s="221"/>
      <c r="AF689" s="221"/>
      <c r="AG689" s="221"/>
      <c r="AH689" s="221"/>
      <c r="AI689" s="221"/>
      <c r="AJ689" s="221"/>
      <c r="AK689" s="221"/>
      <c r="AL689" s="221"/>
      <c r="AM689" s="221"/>
      <c r="AN689" s="221"/>
      <c r="AO689" s="221"/>
      <c r="AP689" s="221"/>
      <c r="AQ689" s="221"/>
      <c r="AR689" s="221"/>
    </row>
    <row r="690" spans="1:44" s="384" customFormat="1" ht="12" customHeight="1">
      <c r="A690" s="221"/>
      <c r="P690" s="290"/>
      <c r="X690" s="221"/>
      <c r="Y690" s="221"/>
      <c r="Z690" s="221"/>
      <c r="AA690" s="221"/>
      <c r="AB690" s="221"/>
      <c r="AC690" s="221"/>
      <c r="AD690" s="221"/>
      <c r="AE690" s="221"/>
      <c r="AF690" s="221"/>
      <c r="AG690" s="221"/>
      <c r="AH690" s="221"/>
      <c r="AI690" s="221"/>
      <c r="AJ690" s="221"/>
      <c r="AK690" s="221"/>
      <c r="AL690" s="221"/>
      <c r="AM690" s="221"/>
      <c r="AN690" s="221"/>
      <c r="AO690" s="221"/>
      <c r="AP690" s="221"/>
      <c r="AQ690" s="221"/>
      <c r="AR690" s="221"/>
    </row>
    <row r="691" spans="1:44" s="384" customFormat="1" ht="12" customHeight="1">
      <c r="A691" s="221"/>
      <c r="P691" s="290"/>
      <c r="X691" s="221"/>
      <c r="Y691" s="221"/>
      <c r="Z691" s="221"/>
      <c r="AA691" s="221"/>
      <c r="AB691" s="221"/>
      <c r="AC691" s="221"/>
      <c r="AD691" s="221"/>
      <c r="AE691" s="221"/>
      <c r="AF691" s="221"/>
      <c r="AG691" s="221"/>
      <c r="AH691" s="221"/>
      <c r="AI691" s="221"/>
      <c r="AJ691" s="221"/>
      <c r="AK691" s="221"/>
      <c r="AL691" s="221"/>
      <c r="AM691" s="221"/>
      <c r="AN691" s="221"/>
      <c r="AO691" s="221"/>
      <c r="AP691" s="221"/>
      <c r="AQ691" s="221"/>
      <c r="AR691" s="221"/>
    </row>
    <row r="692" spans="1:44" s="384" customFormat="1" ht="12" customHeight="1">
      <c r="A692" s="221"/>
      <c r="P692" s="290"/>
      <c r="X692" s="221"/>
      <c r="Y692" s="221"/>
      <c r="Z692" s="221"/>
      <c r="AA692" s="221"/>
      <c r="AB692" s="221"/>
      <c r="AC692" s="221"/>
      <c r="AD692" s="221"/>
      <c r="AE692" s="221"/>
      <c r="AF692" s="221"/>
      <c r="AG692" s="221"/>
      <c r="AH692" s="221"/>
      <c r="AI692" s="221"/>
      <c r="AJ692" s="221"/>
      <c r="AK692" s="221"/>
      <c r="AL692" s="221"/>
      <c r="AM692" s="221"/>
      <c r="AN692" s="221"/>
      <c r="AO692" s="221"/>
      <c r="AP692" s="221"/>
      <c r="AQ692" s="221"/>
      <c r="AR692" s="221"/>
    </row>
    <row r="693" spans="1:44" s="384" customFormat="1" ht="12" customHeight="1">
      <c r="A693" s="221"/>
      <c r="P693" s="290"/>
      <c r="X693" s="221"/>
      <c r="Y693" s="221"/>
      <c r="Z693" s="221"/>
      <c r="AA693" s="221"/>
      <c r="AB693" s="221"/>
      <c r="AC693" s="221"/>
      <c r="AD693" s="221"/>
      <c r="AE693" s="221"/>
      <c r="AF693" s="221"/>
      <c r="AG693" s="221"/>
      <c r="AH693" s="221"/>
      <c r="AI693" s="221"/>
      <c r="AJ693" s="221"/>
      <c r="AK693" s="221"/>
      <c r="AL693" s="221"/>
      <c r="AM693" s="221"/>
      <c r="AN693" s="221"/>
      <c r="AO693" s="221"/>
      <c r="AP693" s="221"/>
      <c r="AQ693" s="221"/>
      <c r="AR693" s="221"/>
    </row>
    <row r="694" spans="1:44" s="384" customFormat="1" ht="12" customHeight="1">
      <c r="A694" s="221"/>
      <c r="P694" s="290"/>
      <c r="X694" s="221"/>
      <c r="Y694" s="221"/>
      <c r="Z694" s="221"/>
      <c r="AA694" s="221"/>
      <c r="AB694" s="221"/>
      <c r="AC694" s="221"/>
      <c r="AD694" s="221"/>
      <c r="AE694" s="221"/>
      <c r="AF694" s="221"/>
      <c r="AG694" s="221"/>
      <c r="AH694" s="221"/>
      <c r="AI694" s="221"/>
      <c r="AJ694" s="221"/>
      <c r="AK694" s="221"/>
      <c r="AL694" s="221"/>
      <c r="AM694" s="221"/>
      <c r="AN694" s="221"/>
      <c r="AO694" s="221"/>
      <c r="AP694" s="221"/>
      <c r="AQ694" s="221"/>
      <c r="AR694" s="221"/>
    </row>
    <row r="695" spans="1:44" s="384" customFormat="1" ht="12" customHeight="1">
      <c r="A695" s="221"/>
      <c r="P695" s="290"/>
      <c r="X695" s="221"/>
      <c r="Y695" s="221"/>
      <c r="Z695" s="221"/>
      <c r="AA695" s="221"/>
      <c r="AB695" s="221"/>
      <c r="AC695" s="221"/>
      <c r="AD695" s="221"/>
      <c r="AE695" s="221"/>
      <c r="AF695" s="221"/>
      <c r="AG695" s="221"/>
      <c r="AH695" s="221"/>
      <c r="AI695" s="221"/>
      <c r="AJ695" s="221"/>
      <c r="AK695" s="221"/>
      <c r="AL695" s="221"/>
      <c r="AM695" s="221"/>
      <c r="AN695" s="221"/>
      <c r="AO695" s="221"/>
      <c r="AP695" s="221"/>
      <c r="AQ695" s="221"/>
      <c r="AR695" s="221"/>
    </row>
    <row r="696" spans="1:44" s="384" customFormat="1" ht="12" customHeight="1">
      <c r="A696" s="221"/>
      <c r="P696" s="290"/>
      <c r="X696" s="221"/>
      <c r="Y696" s="221"/>
      <c r="Z696" s="221"/>
      <c r="AA696" s="221"/>
      <c r="AB696" s="221"/>
      <c r="AC696" s="221"/>
      <c r="AD696" s="221"/>
      <c r="AE696" s="221"/>
      <c r="AF696" s="221"/>
      <c r="AG696" s="221"/>
      <c r="AH696" s="221"/>
      <c r="AI696" s="221"/>
      <c r="AJ696" s="221"/>
      <c r="AK696" s="221"/>
      <c r="AL696" s="221"/>
      <c r="AM696" s="221"/>
      <c r="AN696" s="221"/>
      <c r="AO696" s="221"/>
      <c r="AP696" s="221"/>
      <c r="AQ696" s="221"/>
      <c r="AR696" s="221"/>
    </row>
    <row r="697" spans="1:44" s="384" customFormat="1" ht="12" customHeight="1">
      <c r="A697" s="221"/>
      <c r="P697" s="290"/>
      <c r="X697" s="221"/>
      <c r="Y697" s="221"/>
      <c r="Z697" s="221"/>
      <c r="AA697" s="221"/>
      <c r="AB697" s="221"/>
      <c r="AC697" s="221"/>
      <c r="AD697" s="221"/>
      <c r="AE697" s="221"/>
      <c r="AF697" s="221"/>
      <c r="AG697" s="221"/>
      <c r="AH697" s="221"/>
      <c r="AI697" s="221"/>
      <c r="AJ697" s="221"/>
      <c r="AK697" s="221"/>
      <c r="AL697" s="221"/>
      <c r="AM697" s="221"/>
      <c r="AN697" s="221"/>
      <c r="AO697" s="221"/>
      <c r="AP697" s="221"/>
      <c r="AQ697" s="221"/>
      <c r="AR697" s="221"/>
    </row>
    <row r="698" spans="1:44" s="384" customFormat="1" ht="12" customHeight="1">
      <c r="A698" s="221"/>
      <c r="P698" s="290"/>
      <c r="X698" s="221"/>
      <c r="Y698" s="221"/>
      <c r="Z698" s="221"/>
      <c r="AA698" s="221"/>
      <c r="AB698" s="221"/>
      <c r="AC698" s="221"/>
      <c r="AD698" s="221"/>
      <c r="AE698" s="221"/>
      <c r="AF698" s="221"/>
      <c r="AG698" s="221"/>
      <c r="AH698" s="221"/>
      <c r="AI698" s="221"/>
      <c r="AJ698" s="221"/>
      <c r="AK698" s="221"/>
      <c r="AL698" s="221"/>
      <c r="AM698" s="221"/>
      <c r="AN698" s="221"/>
      <c r="AO698" s="221"/>
      <c r="AP698" s="221"/>
      <c r="AQ698" s="221"/>
      <c r="AR698" s="221"/>
    </row>
    <row r="699" spans="1:44" s="384" customFormat="1" ht="12" customHeight="1">
      <c r="A699" s="221"/>
      <c r="P699" s="290"/>
      <c r="X699" s="221"/>
      <c r="Y699" s="221"/>
      <c r="Z699" s="221"/>
      <c r="AA699" s="221"/>
      <c r="AB699" s="221"/>
      <c r="AC699" s="221"/>
      <c r="AD699" s="221"/>
      <c r="AE699" s="221"/>
      <c r="AF699" s="221"/>
      <c r="AG699" s="221"/>
      <c r="AH699" s="221"/>
      <c r="AI699" s="221"/>
      <c r="AJ699" s="221"/>
      <c r="AK699" s="221"/>
      <c r="AL699" s="221"/>
      <c r="AM699" s="221"/>
      <c r="AN699" s="221"/>
      <c r="AO699" s="221"/>
      <c r="AP699" s="221"/>
      <c r="AQ699" s="221"/>
      <c r="AR699" s="221"/>
    </row>
    <row r="700" spans="1:44" s="384" customFormat="1" ht="12" customHeight="1">
      <c r="A700" s="221"/>
      <c r="P700" s="3098"/>
      <c r="X700" s="221"/>
      <c r="Y700" s="221"/>
      <c r="Z700" s="221"/>
      <c r="AA700" s="221"/>
      <c r="AB700" s="221"/>
      <c r="AC700" s="221"/>
      <c r="AD700" s="221"/>
      <c r="AE700" s="221"/>
      <c r="AF700" s="221"/>
      <c r="AG700" s="221"/>
      <c r="AH700" s="221"/>
      <c r="AI700" s="221"/>
      <c r="AJ700" s="221"/>
      <c r="AK700" s="221"/>
      <c r="AL700" s="221"/>
      <c r="AM700" s="221"/>
      <c r="AN700" s="221"/>
      <c r="AO700" s="221"/>
      <c r="AP700" s="221"/>
      <c r="AQ700" s="221"/>
      <c r="AR700" s="221"/>
    </row>
    <row r="701" spans="1:44" s="384" customFormat="1" ht="12" customHeight="1">
      <c r="A701" s="221"/>
      <c r="P701" s="290"/>
      <c r="X701" s="221"/>
      <c r="Y701" s="221"/>
      <c r="Z701" s="221"/>
      <c r="AA701" s="221"/>
      <c r="AB701" s="221"/>
      <c r="AC701" s="221"/>
      <c r="AD701" s="221"/>
      <c r="AE701" s="221"/>
      <c r="AF701" s="221"/>
      <c r="AG701" s="221"/>
      <c r="AH701" s="221"/>
      <c r="AI701" s="221"/>
      <c r="AJ701" s="221"/>
      <c r="AK701" s="221"/>
      <c r="AL701" s="221"/>
      <c r="AM701" s="221"/>
      <c r="AN701" s="221"/>
      <c r="AO701" s="221"/>
      <c r="AP701" s="221"/>
      <c r="AQ701" s="221"/>
      <c r="AR701" s="221"/>
    </row>
    <row r="702" spans="1:44" s="384" customFormat="1" ht="12" customHeight="1">
      <c r="A702" s="221"/>
      <c r="P702" s="290"/>
      <c r="X702" s="221"/>
      <c r="Y702" s="221"/>
      <c r="Z702" s="221"/>
      <c r="AA702" s="221"/>
      <c r="AB702" s="221"/>
      <c r="AC702" s="221"/>
      <c r="AD702" s="221"/>
      <c r="AE702" s="221"/>
      <c r="AF702" s="221"/>
      <c r="AG702" s="221"/>
      <c r="AH702" s="221"/>
      <c r="AI702" s="221"/>
      <c r="AJ702" s="221"/>
      <c r="AK702" s="221"/>
      <c r="AL702" s="221"/>
      <c r="AM702" s="221"/>
      <c r="AN702" s="221"/>
      <c r="AO702" s="221"/>
      <c r="AP702" s="221"/>
      <c r="AQ702" s="221"/>
      <c r="AR702" s="221"/>
    </row>
    <row r="703" spans="1:44" s="384" customFormat="1" ht="12" customHeight="1">
      <c r="A703" s="221"/>
      <c r="P703" s="290"/>
      <c r="X703" s="221"/>
      <c r="Y703" s="221"/>
      <c r="Z703" s="221"/>
      <c r="AA703" s="221"/>
      <c r="AB703" s="221"/>
      <c r="AC703" s="221"/>
      <c r="AD703" s="221"/>
      <c r="AE703" s="221"/>
      <c r="AF703" s="221"/>
      <c r="AG703" s="221"/>
      <c r="AH703" s="221"/>
      <c r="AI703" s="221"/>
      <c r="AJ703" s="221"/>
      <c r="AK703" s="221"/>
      <c r="AL703" s="221"/>
      <c r="AM703" s="221"/>
      <c r="AN703" s="221"/>
      <c r="AO703" s="221"/>
      <c r="AP703" s="221"/>
      <c r="AQ703" s="221"/>
      <c r="AR703" s="221"/>
    </row>
    <row r="704" spans="1:44" s="384" customFormat="1" ht="12" customHeight="1">
      <c r="A704" s="221"/>
      <c r="P704" s="290"/>
      <c r="X704" s="221"/>
      <c r="Y704" s="221"/>
      <c r="Z704" s="221"/>
      <c r="AA704" s="221"/>
      <c r="AB704" s="221"/>
      <c r="AC704" s="221"/>
      <c r="AD704" s="221"/>
      <c r="AE704" s="221"/>
      <c r="AF704" s="221"/>
      <c r="AG704" s="221"/>
      <c r="AH704" s="221"/>
      <c r="AI704" s="221"/>
      <c r="AJ704" s="221"/>
      <c r="AK704" s="221"/>
      <c r="AL704" s="221"/>
      <c r="AM704" s="221"/>
      <c r="AN704" s="221"/>
      <c r="AO704" s="221"/>
      <c r="AP704" s="221"/>
      <c r="AQ704" s="221"/>
      <c r="AR704" s="221"/>
    </row>
    <row r="705" spans="1:44" s="384" customFormat="1" ht="12" customHeight="1">
      <c r="A705" s="221"/>
      <c r="P705" s="290"/>
      <c r="X705" s="221"/>
      <c r="Y705" s="221"/>
      <c r="Z705" s="221"/>
      <c r="AA705" s="221"/>
      <c r="AB705" s="221"/>
      <c r="AC705" s="221"/>
      <c r="AD705" s="221"/>
      <c r="AE705" s="221"/>
      <c r="AF705" s="221"/>
      <c r="AG705" s="221"/>
      <c r="AH705" s="221"/>
      <c r="AI705" s="221"/>
      <c r="AJ705" s="221"/>
      <c r="AK705" s="221"/>
      <c r="AL705" s="221"/>
      <c r="AM705" s="221"/>
      <c r="AN705" s="221"/>
      <c r="AO705" s="221"/>
      <c r="AP705" s="221"/>
      <c r="AQ705" s="221"/>
      <c r="AR705" s="221"/>
    </row>
    <row r="706" spans="1:44" s="384" customFormat="1" ht="12" customHeight="1">
      <c r="A706" s="221"/>
      <c r="P706" s="290"/>
      <c r="X706" s="221"/>
      <c r="Y706" s="221"/>
      <c r="Z706" s="221"/>
      <c r="AA706" s="221"/>
      <c r="AB706" s="221"/>
      <c r="AC706" s="221"/>
      <c r="AD706" s="221"/>
      <c r="AE706" s="221"/>
      <c r="AF706" s="221"/>
      <c r="AG706" s="221"/>
      <c r="AH706" s="221"/>
      <c r="AI706" s="221"/>
      <c r="AJ706" s="221"/>
      <c r="AK706" s="221"/>
      <c r="AL706" s="221"/>
      <c r="AM706" s="221"/>
      <c r="AN706" s="221"/>
      <c r="AO706" s="221"/>
      <c r="AP706" s="221"/>
      <c r="AQ706" s="221"/>
      <c r="AR706" s="221"/>
    </row>
    <row r="707" spans="1:44" s="384" customFormat="1" ht="12" customHeight="1">
      <c r="A707" s="221"/>
      <c r="P707" s="290"/>
      <c r="X707" s="221"/>
      <c r="Y707" s="221"/>
      <c r="Z707" s="221"/>
      <c r="AA707" s="221"/>
      <c r="AB707" s="221"/>
      <c r="AC707" s="221"/>
      <c r="AD707" s="221"/>
      <c r="AE707" s="221"/>
      <c r="AF707" s="221"/>
      <c r="AG707" s="221"/>
      <c r="AH707" s="221"/>
      <c r="AI707" s="221"/>
      <c r="AJ707" s="221"/>
      <c r="AK707" s="221"/>
      <c r="AL707" s="221"/>
      <c r="AM707" s="221"/>
      <c r="AN707" s="221"/>
      <c r="AO707" s="221"/>
      <c r="AP707" s="221"/>
      <c r="AQ707" s="221"/>
      <c r="AR707" s="221"/>
    </row>
    <row r="708" spans="1:44" s="384" customFormat="1" ht="12" customHeight="1">
      <c r="A708" s="221"/>
      <c r="P708" s="290"/>
      <c r="X708" s="221"/>
      <c r="Y708" s="221"/>
      <c r="Z708" s="221"/>
      <c r="AA708" s="221"/>
      <c r="AB708" s="221"/>
      <c r="AC708" s="221"/>
      <c r="AD708" s="221"/>
      <c r="AE708" s="221"/>
      <c r="AF708" s="221"/>
      <c r="AG708" s="221"/>
      <c r="AH708" s="221"/>
      <c r="AI708" s="221"/>
      <c r="AJ708" s="221"/>
      <c r="AK708" s="221"/>
      <c r="AL708" s="221"/>
      <c r="AM708" s="221"/>
      <c r="AN708" s="221"/>
      <c r="AO708" s="221"/>
      <c r="AP708" s="221"/>
      <c r="AQ708" s="221"/>
      <c r="AR708" s="221"/>
    </row>
    <row r="709" spans="1:44" s="384" customFormat="1" ht="12" customHeight="1">
      <c r="A709" s="221"/>
      <c r="P709" s="290"/>
      <c r="X709" s="221"/>
      <c r="Y709" s="221"/>
      <c r="Z709" s="221"/>
      <c r="AA709" s="221"/>
      <c r="AB709" s="221"/>
      <c r="AC709" s="221"/>
      <c r="AD709" s="221"/>
      <c r="AE709" s="221"/>
      <c r="AF709" s="221"/>
      <c r="AG709" s="221"/>
      <c r="AH709" s="221"/>
      <c r="AI709" s="221"/>
      <c r="AJ709" s="221"/>
      <c r="AK709" s="221"/>
      <c r="AL709" s="221"/>
      <c r="AM709" s="221"/>
      <c r="AN709" s="221"/>
      <c r="AO709" s="221"/>
      <c r="AP709" s="221"/>
      <c r="AQ709" s="221"/>
      <c r="AR709" s="221"/>
    </row>
    <row r="710" spans="1:44" s="384" customFormat="1" ht="12" customHeight="1">
      <c r="A710" s="221"/>
      <c r="P710" s="290"/>
      <c r="X710" s="221"/>
      <c r="Y710" s="221"/>
      <c r="Z710" s="221"/>
      <c r="AA710" s="221"/>
      <c r="AB710" s="221"/>
      <c r="AC710" s="221"/>
      <c r="AD710" s="221"/>
      <c r="AE710" s="221"/>
      <c r="AF710" s="221"/>
      <c r="AG710" s="221"/>
      <c r="AH710" s="221"/>
      <c r="AI710" s="221"/>
      <c r="AJ710" s="221"/>
      <c r="AK710" s="221"/>
      <c r="AL710" s="221"/>
      <c r="AM710" s="221"/>
      <c r="AN710" s="221"/>
      <c r="AO710" s="221"/>
      <c r="AP710" s="221"/>
      <c r="AQ710" s="221"/>
      <c r="AR710" s="221"/>
    </row>
    <row r="711" spans="1:44" s="384" customFormat="1" ht="12" customHeight="1">
      <c r="A711" s="221"/>
      <c r="P711" s="290"/>
      <c r="X711" s="221"/>
      <c r="Y711" s="221"/>
      <c r="Z711" s="221"/>
      <c r="AA711" s="221"/>
      <c r="AB711" s="221"/>
      <c r="AC711" s="221"/>
      <c r="AD711" s="221"/>
      <c r="AE711" s="221"/>
      <c r="AF711" s="221"/>
      <c r="AG711" s="221"/>
      <c r="AH711" s="221"/>
      <c r="AI711" s="221"/>
      <c r="AJ711" s="221"/>
      <c r="AK711" s="221"/>
      <c r="AL711" s="221"/>
      <c r="AM711" s="221"/>
      <c r="AN711" s="221"/>
      <c r="AO711" s="221"/>
      <c r="AP711" s="221"/>
      <c r="AQ711" s="221"/>
      <c r="AR711" s="221"/>
    </row>
    <row r="712" spans="1:44" s="384" customFormat="1" ht="12" customHeight="1">
      <c r="A712" s="221"/>
      <c r="P712" s="3098"/>
      <c r="X712" s="221"/>
      <c r="Y712" s="221"/>
      <c r="Z712" s="221"/>
      <c r="AA712" s="221"/>
      <c r="AB712" s="221"/>
      <c r="AC712" s="221"/>
      <c r="AD712" s="221"/>
      <c r="AE712" s="221"/>
      <c r="AF712" s="221"/>
      <c r="AG712" s="221"/>
      <c r="AH712" s="221"/>
      <c r="AI712" s="221"/>
      <c r="AJ712" s="221"/>
      <c r="AK712" s="221"/>
      <c r="AL712" s="221"/>
      <c r="AM712" s="221"/>
      <c r="AN712" s="221"/>
      <c r="AO712" s="221"/>
      <c r="AP712" s="221"/>
      <c r="AQ712" s="221"/>
      <c r="AR712" s="221"/>
    </row>
    <row r="713" spans="1:44" s="384" customFormat="1" ht="12" customHeight="1">
      <c r="A713" s="221"/>
      <c r="P713" s="3098"/>
      <c r="X713" s="221"/>
      <c r="Y713" s="221"/>
      <c r="Z713" s="221"/>
      <c r="AA713" s="221"/>
      <c r="AB713" s="221"/>
      <c r="AC713" s="221"/>
      <c r="AD713" s="221"/>
      <c r="AE713" s="221"/>
      <c r="AF713" s="221"/>
      <c r="AG713" s="221"/>
      <c r="AH713" s="221"/>
      <c r="AI713" s="221"/>
      <c r="AJ713" s="221"/>
      <c r="AK713" s="221"/>
      <c r="AL713" s="221"/>
      <c r="AM713" s="221"/>
      <c r="AN713" s="221"/>
      <c r="AO713" s="221"/>
      <c r="AP713" s="221"/>
      <c r="AQ713" s="221"/>
      <c r="AR713" s="221"/>
    </row>
    <row r="714" spans="1:44" s="384" customFormat="1" ht="12" customHeight="1">
      <c r="A714" s="221"/>
      <c r="P714" s="290"/>
      <c r="X714" s="221"/>
      <c r="Y714" s="221"/>
      <c r="Z714" s="221"/>
      <c r="AA714" s="221"/>
      <c r="AB714" s="221"/>
      <c r="AC714" s="221"/>
      <c r="AD714" s="221"/>
      <c r="AE714" s="221"/>
      <c r="AF714" s="221"/>
      <c r="AG714" s="221"/>
      <c r="AH714" s="221"/>
      <c r="AI714" s="221"/>
      <c r="AJ714" s="221"/>
      <c r="AK714" s="221"/>
      <c r="AL714" s="221"/>
      <c r="AM714" s="221"/>
      <c r="AN714" s="221"/>
      <c r="AO714" s="221"/>
      <c r="AP714" s="221"/>
      <c r="AQ714" s="221"/>
      <c r="AR714" s="221"/>
    </row>
    <row r="715" spans="1:44" s="384" customFormat="1" ht="12" customHeight="1">
      <c r="A715" s="221"/>
      <c r="P715" s="290"/>
      <c r="X715" s="221"/>
      <c r="Y715" s="221"/>
      <c r="Z715" s="221"/>
      <c r="AA715" s="221"/>
      <c r="AB715" s="221"/>
      <c r="AC715" s="221"/>
      <c r="AD715" s="221"/>
      <c r="AE715" s="221"/>
      <c r="AF715" s="221"/>
      <c r="AG715" s="221"/>
      <c r="AH715" s="221"/>
      <c r="AI715" s="221"/>
      <c r="AJ715" s="221"/>
      <c r="AK715" s="221"/>
      <c r="AL715" s="221"/>
      <c r="AM715" s="221"/>
      <c r="AN715" s="221"/>
      <c r="AO715" s="221"/>
      <c r="AP715" s="221"/>
      <c r="AQ715" s="221"/>
      <c r="AR715" s="221"/>
    </row>
    <row r="716" spans="1:44" s="384" customFormat="1" ht="12" customHeight="1">
      <c r="A716" s="221"/>
      <c r="P716" s="290"/>
      <c r="X716" s="221"/>
      <c r="Y716" s="221"/>
      <c r="Z716" s="221"/>
      <c r="AA716" s="221"/>
      <c r="AB716" s="221"/>
      <c r="AC716" s="221"/>
      <c r="AD716" s="221"/>
      <c r="AE716" s="221"/>
      <c r="AF716" s="221"/>
      <c r="AG716" s="221"/>
      <c r="AH716" s="221"/>
      <c r="AI716" s="221"/>
      <c r="AJ716" s="221"/>
      <c r="AK716" s="221"/>
      <c r="AL716" s="221"/>
      <c r="AM716" s="221"/>
      <c r="AN716" s="221"/>
      <c r="AO716" s="221"/>
      <c r="AP716" s="221"/>
      <c r="AQ716" s="221"/>
      <c r="AR716" s="221"/>
    </row>
    <row r="717" spans="1:44" s="384" customFormat="1" ht="12" customHeight="1">
      <c r="A717" s="221"/>
      <c r="P717" s="290"/>
      <c r="X717" s="221"/>
      <c r="Y717" s="221"/>
      <c r="Z717" s="221"/>
      <c r="AA717" s="221"/>
      <c r="AB717" s="221"/>
      <c r="AC717" s="221"/>
      <c r="AD717" s="221"/>
      <c r="AE717" s="221"/>
      <c r="AF717" s="221"/>
      <c r="AG717" s="221"/>
      <c r="AH717" s="221"/>
      <c r="AI717" s="221"/>
      <c r="AJ717" s="221"/>
      <c r="AK717" s="221"/>
      <c r="AL717" s="221"/>
      <c r="AM717" s="221"/>
      <c r="AN717" s="221"/>
      <c r="AO717" s="221"/>
      <c r="AP717" s="221"/>
      <c r="AQ717" s="221"/>
      <c r="AR717" s="221"/>
    </row>
    <row r="718" spans="1:44" s="384" customFormat="1" ht="12" customHeight="1">
      <c r="A718" s="221"/>
      <c r="P718" s="290"/>
      <c r="X718" s="221"/>
      <c r="Y718" s="221"/>
      <c r="Z718" s="221"/>
      <c r="AA718" s="221"/>
      <c r="AB718" s="221"/>
      <c r="AC718" s="221"/>
      <c r="AD718" s="221"/>
      <c r="AE718" s="221"/>
      <c r="AF718" s="221"/>
      <c r="AG718" s="221"/>
      <c r="AH718" s="221"/>
      <c r="AI718" s="221"/>
      <c r="AJ718" s="221"/>
      <c r="AK718" s="221"/>
      <c r="AL718" s="221"/>
      <c r="AM718" s="221"/>
      <c r="AN718" s="221"/>
      <c r="AO718" s="221"/>
      <c r="AP718" s="221"/>
      <c r="AQ718" s="221"/>
      <c r="AR718" s="221"/>
    </row>
    <row r="719" spans="1:44" s="384" customFormat="1" ht="12" customHeight="1">
      <c r="A719" s="221"/>
      <c r="P719" s="290"/>
      <c r="X719" s="221"/>
      <c r="Y719" s="221"/>
      <c r="Z719" s="221"/>
      <c r="AA719" s="221"/>
      <c r="AB719" s="221"/>
      <c r="AC719" s="221"/>
      <c r="AD719" s="221"/>
      <c r="AE719" s="221"/>
      <c r="AF719" s="221"/>
      <c r="AG719" s="221"/>
      <c r="AH719" s="221"/>
      <c r="AI719" s="221"/>
      <c r="AJ719" s="221"/>
      <c r="AK719" s="221"/>
      <c r="AL719" s="221"/>
      <c r="AM719" s="221"/>
      <c r="AN719" s="221"/>
      <c r="AO719" s="221"/>
      <c r="AP719" s="221"/>
      <c r="AQ719" s="221"/>
      <c r="AR719" s="221"/>
    </row>
    <row r="720" spans="1:44" s="384" customFormat="1" ht="12" customHeight="1">
      <c r="A720" s="221"/>
      <c r="P720" s="290"/>
      <c r="X720" s="221"/>
      <c r="Y720" s="221"/>
      <c r="Z720" s="221"/>
      <c r="AA720" s="221"/>
      <c r="AB720" s="221"/>
      <c r="AC720" s="221"/>
      <c r="AD720" s="221"/>
      <c r="AE720" s="221"/>
      <c r="AF720" s="221"/>
      <c r="AG720" s="221"/>
      <c r="AH720" s="221"/>
      <c r="AI720" s="221"/>
      <c r="AJ720" s="221"/>
      <c r="AK720" s="221"/>
      <c r="AL720" s="221"/>
      <c r="AM720" s="221"/>
      <c r="AN720" s="221"/>
      <c r="AO720" s="221"/>
      <c r="AP720" s="221"/>
      <c r="AQ720" s="221"/>
      <c r="AR720" s="221"/>
    </row>
    <row r="721" spans="1:44" s="384" customFormat="1" ht="12" customHeight="1">
      <c r="A721" s="221"/>
      <c r="P721" s="290"/>
      <c r="X721" s="221"/>
      <c r="Y721" s="221"/>
      <c r="Z721" s="221"/>
      <c r="AA721" s="221"/>
      <c r="AB721" s="221"/>
      <c r="AC721" s="221"/>
      <c r="AD721" s="221"/>
      <c r="AE721" s="221"/>
      <c r="AF721" s="221"/>
      <c r="AG721" s="221"/>
      <c r="AH721" s="221"/>
      <c r="AI721" s="221"/>
      <c r="AJ721" s="221"/>
      <c r="AK721" s="221"/>
      <c r="AL721" s="221"/>
      <c r="AM721" s="221"/>
      <c r="AN721" s="221"/>
      <c r="AO721" s="221"/>
      <c r="AP721" s="221"/>
      <c r="AQ721" s="221"/>
      <c r="AR721" s="221"/>
    </row>
    <row r="722" spans="1:44" s="384" customFormat="1" ht="12" customHeight="1">
      <c r="A722" s="221"/>
      <c r="P722" s="290"/>
      <c r="X722" s="221"/>
      <c r="Y722" s="221"/>
      <c r="Z722" s="221"/>
      <c r="AA722" s="221"/>
      <c r="AB722" s="221"/>
      <c r="AC722" s="221"/>
      <c r="AD722" s="221"/>
      <c r="AE722" s="221"/>
      <c r="AF722" s="221"/>
      <c r="AG722" s="221"/>
      <c r="AH722" s="221"/>
      <c r="AI722" s="221"/>
      <c r="AJ722" s="221"/>
      <c r="AK722" s="221"/>
      <c r="AL722" s="221"/>
      <c r="AM722" s="221"/>
      <c r="AN722" s="221"/>
      <c r="AO722" s="221"/>
      <c r="AP722" s="221"/>
      <c r="AQ722" s="221"/>
      <c r="AR722" s="221"/>
    </row>
    <row r="723" spans="1:44" s="384" customFormat="1" ht="12" customHeight="1">
      <c r="A723" s="221"/>
      <c r="P723" s="290"/>
      <c r="X723" s="221"/>
      <c r="Y723" s="221"/>
      <c r="Z723" s="221"/>
      <c r="AA723" s="221"/>
      <c r="AB723" s="221"/>
      <c r="AC723" s="221"/>
      <c r="AD723" s="221"/>
      <c r="AE723" s="221"/>
      <c r="AF723" s="221"/>
      <c r="AG723" s="221"/>
      <c r="AH723" s="221"/>
      <c r="AI723" s="221"/>
      <c r="AJ723" s="221"/>
      <c r="AK723" s="221"/>
      <c r="AL723" s="221"/>
      <c r="AM723" s="221"/>
      <c r="AN723" s="221"/>
      <c r="AO723" s="221"/>
      <c r="AP723" s="221"/>
      <c r="AQ723" s="221"/>
      <c r="AR723" s="221"/>
    </row>
    <row r="724" spans="1:44" s="384" customFormat="1" ht="12" customHeight="1">
      <c r="A724" s="221"/>
      <c r="P724" s="290"/>
      <c r="Q724" s="3100"/>
      <c r="X724" s="221"/>
      <c r="Y724" s="221"/>
      <c r="Z724" s="221"/>
      <c r="AA724" s="221"/>
      <c r="AB724" s="221"/>
      <c r="AC724" s="221"/>
      <c r="AD724" s="221"/>
      <c r="AE724" s="221"/>
      <c r="AF724" s="221"/>
      <c r="AG724" s="221"/>
      <c r="AH724" s="221"/>
      <c r="AI724" s="221"/>
      <c r="AJ724" s="221"/>
      <c r="AK724" s="221"/>
      <c r="AL724" s="221"/>
      <c r="AM724" s="221"/>
      <c r="AN724" s="221"/>
      <c r="AO724" s="221"/>
      <c r="AP724" s="221"/>
      <c r="AQ724" s="221"/>
      <c r="AR724" s="221"/>
    </row>
    <row r="725" spans="1:44" s="384" customFormat="1" ht="12" customHeight="1">
      <c r="A725" s="221"/>
      <c r="P725" s="290"/>
      <c r="X725" s="221"/>
      <c r="Y725" s="221"/>
      <c r="Z725" s="221"/>
      <c r="AA725" s="221"/>
      <c r="AB725" s="221"/>
      <c r="AC725" s="221"/>
      <c r="AD725" s="221"/>
      <c r="AE725" s="221"/>
      <c r="AF725" s="221"/>
      <c r="AG725" s="221"/>
      <c r="AH725" s="221"/>
      <c r="AI725" s="221"/>
      <c r="AJ725" s="221"/>
      <c r="AK725" s="221"/>
      <c r="AL725" s="221"/>
      <c r="AM725" s="221"/>
      <c r="AN725" s="221"/>
      <c r="AO725" s="221"/>
      <c r="AP725" s="221"/>
      <c r="AQ725" s="221"/>
      <c r="AR725" s="221"/>
    </row>
    <row r="726" spans="1:44" s="384" customFormat="1" ht="12" customHeight="1">
      <c r="A726" s="221"/>
      <c r="P726" s="290"/>
      <c r="X726" s="221"/>
      <c r="Y726" s="221"/>
      <c r="Z726" s="221"/>
      <c r="AA726" s="221"/>
      <c r="AB726" s="221"/>
      <c r="AC726" s="221"/>
      <c r="AD726" s="221"/>
      <c r="AE726" s="221"/>
      <c r="AF726" s="221"/>
      <c r="AG726" s="221"/>
      <c r="AH726" s="221"/>
      <c r="AI726" s="221"/>
      <c r="AJ726" s="221"/>
      <c r="AK726" s="221"/>
      <c r="AL726" s="221"/>
      <c r="AM726" s="221"/>
      <c r="AN726" s="221"/>
      <c r="AO726" s="221"/>
      <c r="AP726" s="221"/>
      <c r="AQ726" s="221"/>
      <c r="AR726" s="221"/>
    </row>
    <row r="727" spans="1:44" s="384" customFormat="1" ht="12" customHeight="1">
      <c r="A727" s="221"/>
      <c r="P727" s="290"/>
      <c r="X727" s="221"/>
      <c r="Y727" s="221"/>
      <c r="Z727" s="221"/>
      <c r="AA727" s="221"/>
      <c r="AB727" s="221"/>
      <c r="AC727" s="221"/>
      <c r="AD727" s="221"/>
      <c r="AE727" s="221"/>
      <c r="AF727" s="221"/>
      <c r="AG727" s="221"/>
      <c r="AH727" s="221"/>
      <c r="AI727" s="221"/>
      <c r="AJ727" s="221"/>
      <c r="AK727" s="221"/>
      <c r="AL727" s="221"/>
      <c r="AM727" s="221"/>
      <c r="AN727" s="221"/>
      <c r="AO727" s="221"/>
      <c r="AP727" s="221"/>
      <c r="AQ727" s="221"/>
      <c r="AR727" s="221"/>
    </row>
    <row r="728" spans="1:44" s="384" customFormat="1" ht="12" customHeight="1">
      <c r="A728" s="221"/>
      <c r="P728" s="290"/>
      <c r="X728" s="221"/>
      <c r="Y728" s="221"/>
      <c r="Z728" s="221"/>
      <c r="AA728" s="221"/>
      <c r="AB728" s="221"/>
      <c r="AC728" s="221"/>
      <c r="AD728" s="221"/>
      <c r="AE728" s="221"/>
      <c r="AF728" s="221"/>
      <c r="AG728" s="221"/>
      <c r="AH728" s="221"/>
      <c r="AI728" s="221"/>
      <c r="AJ728" s="221"/>
      <c r="AK728" s="221"/>
      <c r="AL728" s="221"/>
      <c r="AM728" s="221"/>
      <c r="AN728" s="221"/>
      <c r="AO728" s="221"/>
      <c r="AP728" s="221"/>
      <c r="AQ728" s="221"/>
      <c r="AR728" s="221"/>
    </row>
    <row r="729" spans="1:44" s="384" customFormat="1" ht="12" customHeight="1">
      <c r="A729" s="221"/>
      <c r="P729" s="3097"/>
      <c r="X729" s="221"/>
      <c r="Y729" s="221"/>
      <c r="Z729" s="221"/>
      <c r="AA729" s="221"/>
      <c r="AB729" s="221"/>
      <c r="AC729" s="221"/>
      <c r="AD729" s="221"/>
      <c r="AE729" s="221"/>
      <c r="AF729" s="221"/>
      <c r="AG729" s="221"/>
      <c r="AH729" s="221"/>
      <c r="AI729" s="221"/>
      <c r="AJ729" s="221"/>
      <c r="AK729" s="221"/>
      <c r="AL729" s="221"/>
      <c r="AM729" s="221"/>
      <c r="AN729" s="221"/>
      <c r="AO729" s="221"/>
      <c r="AP729" s="221"/>
      <c r="AQ729" s="221"/>
      <c r="AR729" s="221"/>
    </row>
    <row r="730" spans="1:44" s="384" customFormat="1" ht="12" customHeight="1">
      <c r="A730" s="221"/>
      <c r="P730" s="290"/>
      <c r="X730" s="221"/>
      <c r="Y730" s="221"/>
      <c r="Z730" s="221"/>
      <c r="AA730" s="221"/>
      <c r="AB730" s="221"/>
      <c r="AC730" s="221"/>
      <c r="AD730" s="221"/>
      <c r="AE730" s="221"/>
      <c r="AF730" s="221"/>
      <c r="AG730" s="221"/>
      <c r="AH730" s="221"/>
      <c r="AI730" s="221"/>
      <c r="AJ730" s="221"/>
      <c r="AK730" s="221"/>
      <c r="AL730" s="221"/>
      <c r="AM730" s="221"/>
      <c r="AN730" s="221"/>
      <c r="AO730" s="221"/>
      <c r="AP730" s="221"/>
      <c r="AQ730" s="221"/>
      <c r="AR730" s="221"/>
    </row>
    <row r="731" spans="1:44" s="384" customFormat="1" ht="12" customHeight="1">
      <c r="A731" s="221"/>
      <c r="P731" s="290"/>
      <c r="X731" s="221"/>
      <c r="Y731" s="221"/>
      <c r="Z731" s="221"/>
      <c r="AA731" s="221"/>
      <c r="AB731" s="221"/>
      <c r="AC731" s="221"/>
      <c r="AD731" s="221"/>
      <c r="AE731" s="221"/>
      <c r="AF731" s="221"/>
      <c r="AG731" s="221"/>
      <c r="AH731" s="221"/>
      <c r="AI731" s="221"/>
      <c r="AJ731" s="221"/>
      <c r="AK731" s="221"/>
      <c r="AL731" s="221"/>
      <c r="AM731" s="221"/>
      <c r="AN731" s="221"/>
      <c r="AO731" s="221"/>
      <c r="AP731" s="221"/>
      <c r="AQ731" s="221"/>
      <c r="AR731" s="221"/>
    </row>
    <row r="732" spans="1:44" s="384" customFormat="1" ht="12" customHeight="1">
      <c r="A732" s="221"/>
      <c r="P732" s="290"/>
      <c r="X732" s="221"/>
      <c r="Y732" s="221"/>
      <c r="Z732" s="221"/>
      <c r="AA732" s="221"/>
      <c r="AB732" s="221"/>
      <c r="AC732" s="221"/>
      <c r="AD732" s="221"/>
      <c r="AE732" s="221"/>
      <c r="AF732" s="221"/>
      <c r="AG732" s="221"/>
      <c r="AH732" s="221"/>
      <c r="AI732" s="221"/>
      <c r="AJ732" s="221"/>
      <c r="AK732" s="221"/>
      <c r="AL732" s="221"/>
      <c r="AM732" s="221"/>
      <c r="AN732" s="221"/>
      <c r="AO732" s="221"/>
      <c r="AP732" s="221"/>
      <c r="AQ732" s="221"/>
      <c r="AR732" s="221"/>
    </row>
    <row r="733" spans="1:44" s="384" customFormat="1" ht="12" customHeight="1">
      <c r="A733" s="221"/>
      <c r="P733" s="290"/>
      <c r="X733" s="221"/>
      <c r="Y733" s="221"/>
      <c r="Z733" s="221"/>
      <c r="AA733" s="221"/>
      <c r="AB733" s="221"/>
      <c r="AC733" s="221"/>
      <c r="AD733" s="221"/>
      <c r="AE733" s="221"/>
      <c r="AF733" s="221"/>
      <c r="AG733" s="221"/>
      <c r="AH733" s="221"/>
      <c r="AI733" s="221"/>
      <c r="AJ733" s="221"/>
      <c r="AK733" s="221"/>
      <c r="AL733" s="221"/>
      <c r="AM733" s="221"/>
      <c r="AN733" s="221"/>
      <c r="AO733" s="221"/>
      <c r="AP733" s="221"/>
      <c r="AQ733" s="221"/>
      <c r="AR733" s="221"/>
    </row>
    <row r="734" spans="1:44" s="384" customFormat="1" ht="12" customHeight="1">
      <c r="A734" s="221"/>
      <c r="P734" s="290"/>
      <c r="X734" s="221"/>
      <c r="Y734" s="221"/>
      <c r="Z734" s="221"/>
      <c r="AA734" s="221"/>
      <c r="AB734" s="221"/>
      <c r="AC734" s="221"/>
      <c r="AD734" s="221"/>
      <c r="AE734" s="221"/>
      <c r="AF734" s="221"/>
      <c r="AG734" s="221"/>
      <c r="AH734" s="221"/>
      <c r="AI734" s="221"/>
      <c r="AJ734" s="221"/>
      <c r="AK734" s="221"/>
      <c r="AL734" s="221"/>
      <c r="AM734" s="221"/>
      <c r="AN734" s="221"/>
      <c r="AO734" s="221"/>
      <c r="AP734" s="221"/>
      <c r="AQ734" s="221"/>
      <c r="AR734" s="221"/>
    </row>
    <row r="735" spans="1:44" s="384" customFormat="1" ht="12" customHeight="1">
      <c r="A735" s="221"/>
      <c r="P735" s="290"/>
      <c r="X735" s="221"/>
      <c r="Y735" s="221"/>
      <c r="Z735" s="221"/>
      <c r="AA735" s="221"/>
      <c r="AB735" s="221"/>
      <c r="AC735" s="221"/>
      <c r="AD735" s="221"/>
      <c r="AE735" s="221"/>
      <c r="AF735" s="221"/>
      <c r="AG735" s="221"/>
      <c r="AH735" s="221"/>
      <c r="AI735" s="221"/>
      <c r="AJ735" s="221"/>
      <c r="AK735" s="221"/>
      <c r="AL735" s="221"/>
      <c r="AM735" s="221"/>
      <c r="AN735" s="221"/>
      <c r="AO735" s="221"/>
      <c r="AP735" s="221"/>
      <c r="AQ735" s="221"/>
      <c r="AR735" s="221"/>
    </row>
    <row r="736" spans="1:44" s="384" customFormat="1" ht="12" customHeight="1">
      <c r="A736" s="221"/>
      <c r="P736" s="290"/>
      <c r="X736" s="221"/>
      <c r="Y736" s="221"/>
      <c r="Z736" s="221"/>
      <c r="AA736" s="221"/>
      <c r="AB736" s="221"/>
      <c r="AC736" s="221"/>
      <c r="AD736" s="221"/>
      <c r="AE736" s="221"/>
      <c r="AF736" s="221"/>
      <c r="AG736" s="221"/>
      <c r="AH736" s="221"/>
      <c r="AI736" s="221"/>
      <c r="AJ736" s="221"/>
      <c r="AK736" s="221"/>
      <c r="AL736" s="221"/>
      <c r="AM736" s="221"/>
      <c r="AN736" s="221"/>
      <c r="AO736" s="221"/>
      <c r="AP736" s="221"/>
      <c r="AQ736" s="221"/>
      <c r="AR736" s="221"/>
    </row>
    <row r="737" spans="1:44" s="384" customFormat="1" ht="12" customHeight="1">
      <c r="A737" s="221"/>
      <c r="P737" s="290"/>
      <c r="X737" s="221"/>
      <c r="Y737" s="221"/>
      <c r="Z737" s="221"/>
      <c r="AA737" s="221"/>
      <c r="AB737" s="221"/>
      <c r="AC737" s="221"/>
      <c r="AD737" s="221"/>
      <c r="AE737" s="221"/>
      <c r="AF737" s="221"/>
      <c r="AG737" s="221"/>
      <c r="AH737" s="221"/>
      <c r="AI737" s="221"/>
      <c r="AJ737" s="221"/>
      <c r="AK737" s="221"/>
      <c r="AL737" s="221"/>
      <c r="AM737" s="221"/>
      <c r="AN737" s="221"/>
      <c r="AO737" s="221"/>
      <c r="AP737" s="221"/>
      <c r="AQ737" s="221"/>
      <c r="AR737" s="221"/>
    </row>
    <row r="738" spans="1:44" s="384" customFormat="1" ht="12" customHeight="1">
      <c r="A738" s="221"/>
      <c r="P738" s="290"/>
      <c r="X738" s="221"/>
      <c r="Y738" s="221"/>
      <c r="Z738" s="221"/>
      <c r="AA738" s="221"/>
      <c r="AB738" s="221"/>
      <c r="AC738" s="221"/>
      <c r="AD738" s="221"/>
      <c r="AE738" s="221"/>
      <c r="AF738" s="221"/>
      <c r="AG738" s="221"/>
      <c r="AH738" s="221"/>
      <c r="AI738" s="221"/>
      <c r="AJ738" s="221"/>
      <c r="AK738" s="221"/>
      <c r="AL738" s="221"/>
      <c r="AM738" s="221"/>
      <c r="AN738" s="221"/>
      <c r="AO738" s="221"/>
      <c r="AP738" s="221"/>
      <c r="AQ738" s="221"/>
      <c r="AR738" s="221"/>
    </row>
    <row r="739" spans="1:44" s="384" customFormat="1" ht="12" customHeight="1">
      <c r="A739" s="221"/>
      <c r="P739" s="290"/>
      <c r="X739" s="221"/>
      <c r="Y739" s="221"/>
      <c r="Z739" s="221"/>
      <c r="AA739" s="221"/>
      <c r="AB739" s="221"/>
      <c r="AC739" s="221"/>
      <c r="AD739" s="221"/>
      <c r="AE739" s="221"/>
      <c r="AF739" s="221"/>
      <c r="AG739" s="221"/>
      <c r="AH739" s="221"/>
      <c r="AI739" s="221"/>
      <c r="AJ739" s="221"/>
      <c r="AK739" s="221"/>
      <c r="AL739" s="221"/>
      <c r="AM739" s="221"/>
      <c r="AN739" s="221"/>
      <c r="AO739" s="221"/>
      <c r="AP739" s="221"/>
      <c r="AQ739" s="221"/>
      <c r="AR739" s="221"/>
    </row>
    <row r="740" spans="1:44" s="384" customFormat="1" ht="12" customHeight="1">
      <c r="A740" s="221"/>
      <c r="P740" s="290"/>
      <c r="X740" s="221"/>
      <c r="Y740" s="221"/>
      <c r="Z740" s="221"/>
      <c r="AA740" s="221"/>
      <c r="AB740" s="221"/>
      <c r="AC740" s="221"/>
      <c r="AD740" s="221"/>
      <c r="AE740" s="221"/>
      <c r="AF740" s="221"/>
      <c r="AG740" s="221"/>
      <c r="AH740" s="221"/>
      <c r="AI740" s="221"/>
      <c r="AJ740" s="221"/>
      <c r="AK740" s="221"/>
      <c r="AL740" s="221"/>
      <c r="AM740" s="221"/>
      <c r="AN740" s="221"/>
      <c r="AO740" s="221"/>
      <c r="AP740" s="221"/>
      <c r="AQ740" s="221"/>
      <c r="AR740" s="221"/>
    </row>
    <row r="741" spans="1:44" s="384" customFormat="1" ht="12" customHeight="1">
      <c r="A741" s="221"/>
      <c r="P741" s="3098"/>
      <c r="X741" s="221"/>
      <c r="Y741" s="221"/>
      <c r="Z741" s="221"/>
      <c r="AA741" s="221"/>
      <c r="AB741" s="221"/>
      <c r="AC741" s="221"/>
      <c r="AD741" s="221"/>
      <c r="AE741" s="221"/>
      <c r="AF741" s="221"/>
      <c r="AG741" s="221"/>
      <c r="AH741" s="221"/>
      <c r="AI741" s="221"/>
      <c r="AJ741" s="221"/>
      <c r="AK741" s="221"/>
      <c r="AL741" s="221"/>
      <c r="AM741" s="221"/>
      <c r="AN741" s="221"/>
      <c r="AO741" s="221"/>
      <c r="AP741" s="221"/>
      <c r="AQ741" s="221"/>
      <c r="AR741" s="221"/>
    </row>
    <row r="742" spans="1:44" s="384" customFormat="1" ht="12" customHeight="1">
      <c r="A742" s="221"/>
      <c r="P742" s="290"/>
      <c r="X742" s="221"/>
      <c r="Y742" s="221"/>
      <c r="Z742" s="221"/>
      <c r="AA742" s="221"/>
      <c r="AB742" s="221"/>
      <c r="AC742" s="221"/>
      <c r="AD742" s="221"/>
      <c r="AE742" s="221"/>
      <c r="AF742" s="221"/>
      <c r="AG742" s="221"/>
      <c r="AH742" s="221"/>
      <c r="AI742" s="221"/>
      <c r="AJ742" s="221"/>
      <c r="AK742" s="221"/>
      <c r="AL742" s="221"/>
      <c r="AM742" s="221"/>
      <c r="AN742" s="221"/>
      <c r="AO742" s="221"/>
      <c r="AP742" s="221"/>
      <c r="AQ742" s="221"/>
      <c r="AR742" s="221"/>
    </row>
    <row r="743" spans="1:44" s="384" customFormat="1" ht="12" customHeight="1">
      <c r="A743" s="221"/>
      <c r="P743" s="290"/>
      <c r="X743" s="221"/>
      <c r="Y743" s="221"/>
      <c r="Z743" s="221"/>
      <c r="AA743" s="221"/>
      <c r="AB743" s="221"/>
      <c r="AC743" s="221"/>
      <c r="AD743" s="221"/>
      <c r="AE743" s="221"/>
      <c r="AF743" s="221"/>
      <c r="AG743" s="221"/>
      <c r="AH743" s="221"/>
      <c r="AI743" s="221"/>
      <c r="AJ743" s="221"/>
      <c r="AK743" s="221"/>
      <c r="AL743" s="221"/>
      <c r="AM743" s="221"/>
      <c r="AN743" s="221"/>
      <c r="AO743" s="221"/>
      <c r="AP743" s="221"/>
      <c r="AQ743" s="221"/>
      <c r="AR743" s="221"/>
    </row>
    <row r="744" spans="1:44" s="384" customFormat="1" ht="12" customHeight="1">
      <c r="A744" s="221"/>
      <c r="P744" s="290"/>
      <c r="X744" s="221"/>
      <c r="Y744" s="221"/>
      <c r="Z744" s="221"/>
      <c r="AA744" s="221"/>
      <c r="AB744" s="221"/>
      <c r="AC744" s="221"/>
      <c r="AD744" s="221"/>
      <c r="AE744" s="221"/>
      <c r="AF744" s="221"/>
      <c r="AG744" s="221"/>
      <c r="AH744" s="221"/>
      <c r="AI744" s="221"/>
      <c r="AJ744" s="221"/>
      <c r="AK744" s="221"/>
      <c r="AL744" s="221"/>
      <c r="AM744" s="221"/>
      <c r="AN744" s="221"/>
      <c r="AO744" s="221"/>
      <c r="AP744" s="221"/>
      <c r="AQ744" s="221"/>
      <c r="AR744" s="221"/>
    </row>
    <row r="745" spans="1:44" s="384" customFormat="1" ht="12" customHeight="1">
      <c r="A745" s="221"/>
      <c r="P745" s="290"/>
      <c r="X745" s="221"/>
      <c r="Y745" s="221"/>
      <c r="Z745" s="221"/>
      <c r="AA745" s="221"/>
      <c r="AB745" s="221"/>
      <c r="AC745" s="221"/>
      <c r="AD745" s="221"/>
      <c r="AE745" s="221"/>
      <c r="AF745" s="221"/>
      <c r="AG745" s="221"/>
      <c r="AH745" s="221"/>
      <c r="AI745" s="221"/>
      <c r="AJ745" s="221"/>
      <c r="AK745" s="221"/>
      <c r="AL745" s="221"/>
      <c r="AM745" s="221"/>
      <c r="AN745" s="221"/>
      <c r="AO745" s="221"/>
      <c r="AP745" s="221"/>
      <c r="AQ745" s="221"/>
      <c r="AR745" s="221"/>
    </row>
    <row r="746" spans="1:44" s="384" customFormat="1" ht="12" customHeight="1">
      <c r="A746" s="221"/>
      <c r="P746" s="290"/>
      <c r="X746" s="221"/>
      <c r="Y746" s="221"/>
      <c r="Z746" s="221"/>
      <c r="AA746" s="221"/>
      <c r="AB746" s="221"/>
      <c r="AC746" s="221"/>
      <c r="AD746" s="221"/>
      <c r="AE746" s="221"/>
      <c r="AF746" s="221"/>
      <c r="AG746" s="221"/>
      <c r="AH746" s="221"/>
      <c r="AI746" s="221"/>
      <c r="AJ746" s="221"/>
      <c r="AK746" s="221"/>
      <c r="AL746" s="221"/>
      <c r="AM746" s="221"/>
      <c r="AN746" s="221"/>
      <c r="AO746" s="221"/>
      <c r="AP746" s="221"/>
      <c r="AQ746" s="221"/>
      <c r="AR746" s="221"/>
    </row>
    <row r="747" spans="1:44" s="384" customFormat="1" ht="12" customHeight="1">
      <c r="A747" s="221"/>
      <c r="P747" s="290"/>
      <c r="X747" s="221"/>
      <c r="Y747" s="221"/>
      <c r="Z747" s="221"/>
      <c r="AA747" s="221"/>
      <c r="AB747" s="221"/>
      <c r="AC747" s="221"/>
      <c r="AD747" s="221"/>
      <c r="AE747" s="221"/>
      <c r="AF747" s="221"/>
      <c r="AG747" s="221"/>
      <c r="AH747" s="221"/>
      <c r="AI747" s="221"/>
      <c r="AJ747" s="221"/>
      <c r="AK747" s="221"/>
      <c r="AL747" s="221"/>
      <c r="AM747" s="221"/>
      <c r="AN747" s="221"/>
      <c r="AO747" s="221"/>
      <c r="AP747" s="221"/>
      <c r="AQ747" s="221"/>
      <c r="AR747" s="221"/>
    </row>
    <row r="748" spans="1:44" s="384" customFormat="1" ht="12" customHeight="1">
      <c r="A748" s="221"/>
      <c r="P748" s="290"/>
      <c r="X748" s="221"/>
      <c r="Y748" s="221"/>
      <c r="Z748" s="221"/>
      <c r="AA748" s="221"/>
      <c r="AB748" s="221"/>
      <c r="AC748" s="221"/>
      <c r="AD748" s="221"/>
      <c r="AE748" s="221"/>
      <c r="AF748" s="221"/>
      <c r="AG748" s="221"/>
      <c r="AH748" s="221"/>
      <c r="AI748" s="221"/>
      <c r="AJ748" s="221"/>
      <c r="AK748" s="221"/>
      <c r="AL748" s="221"/>
      <c r="AM748" s="221"/>
      <c r="AN748" s="221"/>
      <c r="AO748" s="221"/>
      <c r="AP748" s="221"/>
      <c r="AQ748" s="221"/>
      <c r="AR748" s="221"/>
    </row>
    <row r="749" spans="1:44" s="384" customFormat="1" ht="12" customHeight="1">
      <c r="A749" s="221"/>
      <c r="P749" s="290"/>
      <c r="X749" s="221"/>
      <c r="Y749" s="221"/>
      <c r="Z749" s="221"/>
      <c r="AA749" s="221"/>
      <c r="AB749" s="221"/>
      <c r="AC749" s="221"/>
      <c r="AD749" s="221"/>
      <c r="AE749" s="221"/>
      <c r="AF749" s="221"/>
      <c r="AG749" s="221"/>
      <c r="AH749" s="221"/>
      <c r="AI749" s="221"/>
      <c r="AJ749" s="221"/>
      <c r="AK749" s="221"/>
      <c r="AL749" s="221"/>
      <c r="AM749" s="221"/>
      <c r="AN749" s="221"/>
      <c r="AO749" s="221"/>
      <c r="AP749" s="221"/>
      <c r="AQ749" s="221"/>
      <c r="AR749" s="221"/>
    </row>
    <row r="750" spans="1:44" s="384" customFormat="1" ht="12" customHeight="1">
      <c r="A750" s="221"/>
      <c r="P750" s="290"/>
      <c r="X750" s="221"/>
      <c r="Y750" s="221"/>
      <c r="Z750" s="221"/>
      <c r="AA750" s="221"/>
      <c r="AB750" s="221"/>
      <c r="AC750" s="221"/>
      <c r="AD750" s="221"/>
      <c r="AE750" s="221"/>
      <c r="AF750" s="221"/>
      <c r="AG750" s="221"/>
      <c r="AH750" s="221"/>
      <c r="AI750" s="221"/>
      <c r="AJ750" s="221"/>
      <c r="AK750" s="221"/>
      <c r="AL750" s="221"/>
      <c r="AM750" s="221"/>
      <c r="AN750" s="221"/>
      <c r="AO750" s="221"/>
      <c r="AP750" s="221"/>
      <c r="AQ750" s="221"/>
      <c r="AR750" s="221"/>
    </row>
    <row r="751" spans="1:44" s="384" customFormat="1" ht="12" customHeight="1">
      <c r="A751" s="221"/>
      <c r="P751" s="3098"/>
      <c r="X751" s="221"/>
      <c r="Y751" s="221"/>
      <c r="Z751" s="221"/>
      <c r="AA751" s="221"/>
      <c r="AB751" s="221"/>
      <c r="AC751" s="221"/>
      <c r="AD751" s="221"/>
      <c r="AE751" s="221"/>
      <c r="AF751" s="221"/>
      <c r="AG751" s="221"/>
      <c r="AH751" s="221"/>
      <c r="AI751" s="221"/>
      <c r="AJ751" s="221"/>
      <c r="AK751" s="221"/>
      <c r="AL751" s="221"/>
      <c r="AM751" s="221"/>
      <c r="AN751" s="221"/>
      <c r="AO751" s="221"/>
      <c r="AP751" s="221"/>
      <c r="AQ751" s="221"/>
      <c r="AR751" s="221"/>
    </row>
    <row r="752" spans="1:44" s="384" customFormat="1" ht="12" customHeight="1">
      <c r="A752" s="221"/>
      <c r="P752" s="290"/>
      <c r="X752" s="221"/>
      <c r="Y752" s="221"/>
      <c r="Z752" s="221"/>
      <c r="AA752" s="221"/>
      <c r="AB752" s="221"/>
      <c r="AC752" s="221"/>
      <c r="AD752" s="221"/>
      <c r="AE752" s="221"/>
      <c r="AF752" s="221"/>
      <c r="AG752" s="221"/>
      <c r="AH752" s="221"/>
      <c r="AI752" s="221"/>
      <c r="AJ752" s="221"/>
      <c r="AK752" s="221"/>
      <c r="AL752" s="221"/>
      <c r="AM752" s="221"/>
      <c r="AN752" s="221"/>
      <c r="AO752" s="221"/>
      <c r="AP752" s="221"/>
      <c r="AQ752" s="221"/>
      <c r="AR752" s="221"/>
    </row>
    <row r="753" spans="1:44" s="384" customFormat="1" ht="12" customHeight="1">
      <c r="A753" s="221"/>
      <c r="P753" s="290"/>
      <c r="X753" s="221"/>
      <c r="Y753" s="221"/>
      <c r="Z753" s="221"/>
      <c r="AA753" s="221"/>
      <c r="AB753" s="221"/>
      <c r="AC753" s="221"/>
      <c r="AD753" s="221"/>
      <c r="AE753" s="221"/>
      <c r="AF753" s="221"/>
      <c r="AG753" s="221"/>
      <c r="AH753" s="221"/>
      <c r="AI753" s="221"/>
      <c r="AJ753" s="221"/>
      <c r="AK753" s="221"/>
      <c r="AL753" s="221"/>
      <c r="AM753" s="221"/>
      <c r="AN753" s="221"/>
      <c r="AO753" s="221"/>
      <c r="AP753" s="221"/>
      <c r="AQ753" s="221"/>
      <c r="AR753" s="221"/>
    </row>
    <row r="754" spans="1:44" s="384" customFormat="1" ht="12" customHeight="1">
      <c r="A754" s="221"/>
      <c r="P754" s="290"/>
      <c r="X754" s="221"/>
      <c r="Y754" s="221"/>
      <c r="Z754" s="221"/>
      <c r="AA754" s="221"/>
      <c r="AB754" s="221"/>
      <c r="AC754" s="221"/>
      <c r="AD754" s="221"/>
      <c r="AE754" s="221"/>
      <c r="AF754" s="221"/>
      <c r="AG754" s="221"/>
      <c r="AH754" s="221"/>
      <c r="AI754" s="221"/>
      <c r="AJ754" s="221"/>
      <c r="AK754" s="221"/>
      <c r="AL754" s="221"/>
      <c r="AM754" s="221"/>
      <c r="AN754" s="221"/>
      <c r="AO754" s="221"/>
      <c r="AP754" s="221"/>
      <c r="AQ754" s="221"/>
      <c r="AR754" s="221"/>
    </row>
    <row r="755" spans="1:44" s="384" customFormat="1" ht="12" customHeight="1">
      <c r="A755" s="221"/>
      <c r="P755" s="290"/>
      <c r="X755" s="221"/>
      <c r="Y755" s="221"/>
      <c r="Z755" s="221"/>
      <c r="AA755" s="221"/>
      <c r="AB755" s="221"/>
      <c r="AC755" s="221"/>
      <c r="AD755" s="221"/>
      <c r="AE755" s="221"/>
      <c r="AF755" s="221"/>
      <c r="AG755" s="221"/>
      <c r="AH755" s="221"/>
      <c r="AI755" s="221"/>
      <c r="AJ755" s="221"/>
      <c r="AK755" s="221"/>
      <c r="AL755" s="221"/>
      <c r="AM755" s="221"/>
      <c r="AN755" s="221"/>
      <c r="AO755" s="221"/>
      <c r="AP755" s="221"/>
      <c r="AQ755" s="221"/>
      <c r="AR755" s="221"/>
    </row>
    <row r="756" spans="1:44" s="384" customFormat="1" ht="12" customHeight="1">
      <c r="A756" s="221"/>
      <c r="P756" s="290"/>
      <c r="X756" s="221"/>
      <c r="Y756" s="221"/>
      <c r="Z756" s="221"/>
      <c r="AA756" s="221"/>
      <c r="AB756" s="221"/>
      <c r="AC756" s="221"/>
      <c r="AD756" s="221"/>
      <c r="AE756" s="221"/>
      <c r="AF756" s="221"/>
      <c r="AG756" s="221"/>
      <c r="AH756" s="221"/>
      <c r="AI756" s="221"/>
      <c r="AJ756" s="221"/>
      <c r="AK756" s="221"/>
      <c r="AL756" s="221"/>
      <c r="AM756" s="221"/>
      <c r="AN756" s="221"/>
      <c r="AO756" s="221"/>
      <c r="AP756" s="221"/>
      <c r="AQ756" s="221"/>
      <c r="AR756" s="221"/>
    </row>
    <row r="757" spans="1:44" s="384" customFormat="1" ht="12" customHeight="1">
      <c r="A757" s="221"/>
      <c r="P757" s="3097"/>
      <c r="X757" s="221"/>
      <c r="Y757" s="221"/>
      <c r="Z757" s="221"/>
      <c r="AA757" s="221"/>
      <c r="AB757" s="221"/>
      <c r="AC757" s="221"/>
      <c r="AD757" s="221"/>
      <c r="AE757" s="221"/>
      <c r="AF757" s="221"/>
      <c r="AG757" s="221"/>
      <c r="AH757" s="221"/>
      <c r="AI757" s="221"/>
      <c r="AJ757" s="221"/>
      <c r="AK757" s="221"/>
      <c r="AL757" s="221"/>
      <c r="AM757" s="221"/>
      <c r="AN757" s="221"/>
      <c r="AO757" s="221"/>
      <c r="AP757" s="221"/>
      <c r="AQ757" s="221"/>
      <c r="AR757" s="221"/>
    </row>
    <row r="758" spans="1:44" s="384" customFormat="1" ht="12" customHeight="1">
      <c r="A758" s="221"/>
      <c r="P758" s="290"/>
      <c r="X758" s="221"/>
      <c r="Y758" s="221"/>
      <c r="Z758" s="221"/>
      <c r="AA758" s="221"/>
      <c r="AB758" s="221"/>
      <c r="AC758" s="221"/>
      <c r="AD758" s="221"/>
      <c r="AE758" s="221"/>
      <c r="AF758" s="221"/>
      <c r="AG758" s="221"/>
      <c r="AH758" s="221"/>
      <c r="AI758" s="221"/>
      <c r="AJ758" s="221"/>
      <c r="AK758" s="221"/>
      <c r="AL758" s="221"/>
      <c r="AM758" s="221"/>
      <c r="AN758" s="221"/>
      <c r="AO758" s="221"/>
      <c r="AP758" s="221"/>
      <c r="AQ758" s="221"/>
      <c r="AR758" s="221"/>
    </row>
    <row r="759" spans="1:44" s="384" customFormat="1" ht="12" customHeight="1">
      <c r="A759" s="221"/>
      <c r="P759" s="290"/>
      <c r="X759" s="221"/>
      <c r="Y759" s="221"/>
      <c r="Z759" s="221"/>
      <c r="AA759" s="221"/>
      <c r="AB759" s="221"/>
      <c r="AC759" s="221"/>
      <c r="AD759" s="221"/>
      <c r="AE759" s="221"/>
      <c r="AF759" s="221"/>
      <c r="AG759" s="221"/>
      <c r="AH759" s="221"/>
      <c r="AI759" s="221"/>
      <c r="AJ759" s="221"/>
      <c r="AK759" s="221"/>
      <c r="AL759" s="221"/>
      <c r="AM759" s="221"/>
      <c r="AN759" s="221"/>
      <c r="AO759" s="221"/>
      <c r="AP759" s="221"/>
      <c r="AQ759" s="221"/>
      <c r="AR759" s="221"/>
    </row>
    <row r="760" spans="1:44" s="384" customFormat="1" ht="12" customHeight="1">
      <c r="A760" s="221"/>
      <c r="P760" s="3098"/>
      <c r="X760" s="221"/>
      <c r="Y760" s="221"/>
      <c r="Z760" s="221"/>
      <c r="AA760" s="221"/>
      <c r="AB760" s="221"/>
      <c r="AC760" s="221"/>
      <c r="AD760" s="221"/>
      <c r="AE760" s="221"/>
      <c r="AF760" s="221"/>
      <c r="AG760" s="221"/>
      <c r="AH760" s="221"/>
      <c r="AI760" s="221"/>
      <c r="AJ760" s="221"/>
      <c r="AK760" s="221"/>
      <c r="AL760" s="221"/>
      <c r="AM760" s="221"/>
      <c r="AN760" s="221"/>
      <c r="AO760" s="221"/>
      <c r="AP760" s="221"/>
      <c r="AQ760" s="221"/>
      <c r="AR760" s="221"/>
    </row>
    <row r="761" spans="1:44" s="384" customFormat="1" ht="12" customHeight="1">
      <c r="A761" s="221"/>
      <c r="P761" s="290"/>
      <c r="X761" s="221"/>
      <c r="Y761" s="221"/>
      <c r="Z761" s="221"/>
      <c r="AA761" s="221"/>
      <c r="AB761" s="221"/>
      <c r="AC761" s="221"/>
      <c r="AD761" s="221"/>
      <c r="AE761" s="221"/>
      <c r="AF761" s="221"/>
      <c r="AG761" s="221"/>
      <c r="AH761" s="221"/>
      <c r="AI761" s="221"/>
      <c r="AJ761" s="221"/>
      <c r="AK761" s="221"/>
      <c r="AL761" s="221"/>
      <c r="AM761" s="221"/>
      <c r="AN761" s="221"/>
      <c r="AO761" s="221"/>
      <c r="AP761" s="221"/>
      <c r="AQ761" s="221"/>
      <c r="AR761" s="221"/>
    </row>
    <row r="762" spans="1:44" s="384" customFormat="1" ht="12" customHeight="1">
      <c r="A762" s="221"/>
      <c r="P762" s="290"/>
      <c r="X762" s="221"/>
      <c r="Y762" s="221"/>
      <c r="Z762" s="221"/>
      <c r="AA762" s="221"/>
      <c r="AB762" s="221"/>
      <c r="AC762" s="221"/>
      <c r="AD762" s="221"/>
      <c r="AE762" s="221"/>
      <c r="AF762" s="221"/>
      <c r="AG762" s="221"/>
      <c r="AH762" s="221"/>
      <c r="AI762" s="221"/>
      <c r="AJ762" s="221"/>
      <c r="AK762" s="221"/>
      <c r="AL762" s="221"/>
      <c r="AM762" s="221"/>
      <c r="AN762" s="221"/>
      <c r="AO762" s="221"/>
      <c r="AP762" s="221"/>
      <c r="AQ762" s="221"/>
      <c r="AR762" s="221"/>
    </row>
    <row r="763" spans="1:44" s="384" customFormat="1" ht="12" customHeight="1">
      <c r="A763" s="221"/>
      <c r="P763" s="290"/>
      <c r="X763" s="221"/>
      <c r="Y763" s="221"/>
      <c r="Z763" s="221"/>
      <c r="AA763" s="221"/>
      <c r="AB763" s="221"/>
      <c r="AC763" s="221"/>
      <c r="AD763" s="221"/>
      <c r="AE763" s="221"/>
      <c r="AF763" s="221"/>
      <c r="AG763" s="221"/>
      <c r="AH763" s="221"/>
      <c r="AI763" s="221"/>
      <c r="AJ763" s="221"/>
      <c r="AK763" s="221"/>
      <c r="AL763" s="221"/>
      <c r="AM763" s="221"/>
      <c r="AN763" s="221"/>
      <c r="AO763" s="221"/>
      <c r="AP763" s="221"/>
      <c r="AQ763" s="221"/>
      <c r="AR763" s="221"/>
    </row>
    <row r="764" spans="1:44" s="384" customFormat="1" ht="12" customHeight="1">
      <c r="A764" s="221"/>
      <c r="P764" s="290"/>
      <c r="X764" s="221"/>
      <c r="Y764" s="221"/>
      <c r="Z764" s="221"/>
      <c r="AA764" s="221"/>
      <c r="AB764" s="221"/>
      <c r="AC764" s="221"/>
      <c r="AD764" s="221"/>
      <c r="AE764" s="221"/>
      <c r="AF764" s="221"/>
      <c r="AG764" s="221"/>
      <c r="AH764" s="221"/>
      <c r="AI764" s="221"/>
      <c r="AJ764" s="221"/>
      <c r="AK764" s="221"/>
      <c r="AL764" s="221"/>
      <c r="AM764" s="221"/>
      <c r="AN764" s="221"/>
      <c r="AO764" s="221"/>
      <c r="AP764" s="221"/>
      <c r="AQ764" s="221"/>
      <c r="AR764" s="221"/>
    </row>
    <row r="765" spans="1:44" s="384" customFormat="1" ht="12" customHeight="1">
      <c r="A765" s="221"/>
      <c r="P765" s="290"/>
      <c r="X765" s="221"/>
      <c r="Y765" s="221"/>
      <c r="Z765" s="221"/>
      <c r="AA765" s="221"/>
      <c r="AB765" s="221"/>
      <c r="AC765" s="221"/>
      <c r="AD765" s="221"/>
      <c r="AE765" s="221"/>
      <c r="AF765" s="221"/>
      <c r="AG765" s="221"/>
      <c r="AH765" s="221"/>
      <c r="AI765" s="221"/>
      <c r="AJ765" s="221"/>
      <c r="AK765" s="221"/>
      <c r="AL765" s="221"/>
      <c r="AM765" s="221"/>
      <c r="AN765" s="221"/>
      <c r="AO765" s="221"/>
      <c r="AP765" s="221"/>
      <c r="AQ765" s="221"/>
      <c r="AR765" s="221"/>
    </row>
    <row r="766" spans="1:44" s="384" customFormat="1" ht="12" customHeight="1">
      <c r="A766" s="221"/>
      <c r="P766" s="290"/>
      <c r="X766" s="221"/>
      <c r="Y766" s="221"/>
      <c r="Z766" s="221"/>
      <c r="AA766" s="221"/>
      <c r="AB766" s="221"/>
      <c r="AC766" s="221"/>
      <c r="AD766" s="221"/>
      <c r="AE766" s="221"/>
      <c r="AF766" s="221"/>
      <c r="AG766" s="221"/>
      <c r="AH766" s="221"/>
      <c r="AI766" s="221"/>
      <c r="AJ766" s="221"/>
      <c r="AK766" s="221"/>
      <c r="AL766" s="221"/>
      <c r="AM766" s="221"/>
      <c r="AN766" s="221"/>
      <c r="AO766" s="221"/>
      <c r="AP766" s="221"/>
      <c r="AQ766" s="221"/>
      <c r="AR766" s="221"/>
    </row>
    <row r="767" spans="1:44" s="384" customFormat="1" ht="12" customHeight="1">
      <c r="A767" s="221"/>
      <c r="P767" s="290"/>
      <c r="X767" s="221"/>
      <c r="Y767" s="221"/>
      <c r="Z767" s="221"/>
      <c r="AA767" s="221"/>
      <c r="AB767" s="221"/>
      <c r="AC767" s="221"/>
      <c r="AD767" s="221"/>
      <c r="AE767" s="221"/>
      <c r="AF767" s="221"/>
      <c r="AG767" s="221"/>
      <c r="AH767" s="221"/>
      <c r="AI767" s="221"/>
      <c r="AJ767" s="221"/>
      <c r="AK767" s="221"/>
      <c r="AL767" s="221"/>
      <c r="AM767" s="221"/>
      <c r="AN767" s="221"/>
      <c r="AO767" s="221"/>
      <c r="AP767" s="221"/>
      <c r="AQ767" s="221"/>
      <c r="AR767" s="221"/>
    </row>
    <row r="768" spans="1:44" s="384" customFormat="1" ht="12" customHeight="1">
      <c r="A768" s="221"/>
      <c r="P768" s="290"/>
      <c r="X768" s="221"/>
      <c r="Y768" s="221"/>
      <c r="Z768" s="221"/>
      <c r="AA768" s="221"/>
      <c r="AB768" s="221"/>
      <c r="AC768" s="221"/>
      <c r="AD768" s="221"/>
      <c r="AE768" s="221"/>
      <c r="AF768" s="221"/>
      <c r="AG768" s="221"/>
      <c r="AH768" s="221"/>
      <c r="AI768" s="221"/>
      <c r="AJ768" s="221"/>
      <c r="AK768" s="221"/>
      <c r="AL768" s="221"/>
      <c r="AM768" s="221"/>
      <c r="AN768" s="221"/>
      <c r="AO768" s="221"/>
      <c r="AP768" s="221"/>
      <c r="AQ768" s="221"/>
      <c r="AR768" s="221"/>
    </row>
    <row r="769" spans="1:44" s="384" customFormat="1" ht="12" customHeight="1">
      <c r="A769" s="221"/>
      <c r="P769" s="290"/>
      <c r="X769" s="221"/>
      <c r="Y769" s="221"/>
      <c r="Z769" s="221"/>
      <c r="AA769" s="221"/>
      <c r="AB769" s="221"/>
      <c r="AC769" s="221"/>
      <c r="AD769" s="221"/>
      <c r="AE769" s="221"/>
      <c r="AF769" s="221"/>
      <c r="AG769" s="221"/>
      <c r="AH769" s="221"/>
      <c r="AI769" s="221"/>
      <c r="AJ769" s="221"/>
      <c r="AK769" s="221"/>
      <c r="AL769" s="221"/>
      <c r="AM769" s="221"/>
      <c r="AN769" s="221"/>
      <c r="AO769" s="221"/>
      <c r="AP769" s="221"/>
      <c r="AQ769" s="221"/>
      <c r="AR769" s="221"/>
    </row>
    <row r="770" spans="1:44" s="384" customFormat="1" ht="12" customHeight="1">
      <c r="A770" s="221"/>
      <c r="P770" s="290"/>
      <c r="X770" s="221"/>
      <c r="Y770" s="221"/>
      <c r="Z770" s="221"/>
      <c r="AA770" s="221"/>
      <c r="AB770" s="221"/>
      <c r="AC770" s="221"/>
      <c r="AD770" s="221"/>
      <c r="AE770" s="221"/>
      <c r="AF770" s="221"/>
      <c r="AG770" s="221"/>
      <c r="AH770" s="221"/>
      <c r="AI770" s="221"/>
      <c r="AJ770" s="221"/>
      <c r="AK770" s="221"/>
      <c r="AL770" s="221"/>
      <c r="AM770" s="221"/>
      <c r="AN770" s="221"/>
      <c r="AO770" s="221"/>
      <c r="AP770" s="221"/>
      <c r="AQ770" s="221"/>
      <c r="AR770" s="221"/>
    </row>
    <row r="771" spans="1:44" s="384" customFormat="1" ht="12" customHeight="1">
      <c r="A771" s="221"/>
      <c r="P771" s="290"/>
      <c r="X771" s="221"/>
      <c r="Y771" s="221"/>
      <c r="Z771" s="221"/>
      <c r="AA771" s="221"/>
      <c r="AB771" s="221"/>
      <c r="AC771" s="221"/>
      <c r="AD771" s="221"/>
      <c r="AE771" s="221"/>
      <c r="AF771" s="221"/>
      <c r="AG771" s="221"/>
      <c r="AH771" s="221"/>
      <c r="AI771" s="221"/>
      <c r="AJ771" s="221"/>
      <c r="AK771" s="221"/>
      <c r="AL771" s="221"/>
      <c r="AM771" s="221"/>
      <c r="AN771" s="221"/>
      <c r="AO771" s="221"/>
      <c r="AP771" s="221"/>
      <c r="AQ771" s="221"/>
      <c r="AR771" s="221"/>
    </row>
    <row r="772" spans="1:44" s="384" customFormat="1" ht="12" customHeight="1">
      <c r="A772" s="221"/>
      <c r="P772" s="290"/>
      <c r="X772" s="221"/>
      <c r="Y772" s="221"/>
      <c r="Z772" s="221"/>
      <c r="AA772" s="221"/>
      <c r="AB772" s="221"/>
      <c r="AC772" s="221"/>
      <c r="AD772" s="221"/>
      <c r="AE772" s="221"/>
      <c r="AF772" s="221"/>
      <c r="AG772" s="221"/>
      <c r="AH772" s="221"/>
      <c r="AI772" s="221"/>
      <c r="AJ772" s="221"/>
      <c r="AK772" s="221"/>
      <c r="AL772" s="221"/>
      <c r="AM772" s="221"/>
      <c r="AN772" s="221"/>
      <c r="AO772" s="221"/>
      <c r="AP772" s="221"/>
      <c r="AQ772" s="221"/>
      <c r="AR772" s="221"/>
    </row>
    <row r="773" spans="1:44" s="384" customFormat="1" ht="12" customHeight="1">
      <c r="A773" s="221"/>
      <c r="P773" s="290"/>
      <c r="X773" s="221"/>
      <c r="Y773" s="221"/>
      <c r="Z773" s="221"/>
      <c r="AA773" s="221"/>
      <c r="AB773" s="221"/>
      <c r="AC773" s="221"/>
      <c r="AD773" s="221"/>
      <c r="AE773" s="221"/>
      <c r="AF773" s="221"/>
      <c r="AG773" s="221"/>
      <c r="AH773" s="221"/>
      <c r="AI773" s="221"/>
      <c r="AJ773" s="221"/>
      <c r="AK773" s="221"/>
      <c r="AL773" s="221"/>
      <c r="AM773" s="221"/>
      <c r="AN773" s="221"/>
      <c r="AO773" s="221"/>
      <c r="AP773" s="221"/>
      <c r="AQ773" s="221"/>
      <c r="AR773" s="221"/>
    </row>
    <row r="774" spans="1:44" s="384" customFormat="1" ht="12" customHeight="1">
      <c r="A774" s="221"/>
      <c r="P774" s="290"/>
      <c r="X774" s="221"/>
      <c r="Y774" s="221"/>
      <c r="Z774" s="221"/>
      <c r="AA774" s="221"/>
      <c r="AB774" s="221"/>
      <c r="AC774" s="221"/>
      <c r="AD774" s="221"/>
      <c r="AE774" s="221"/>
      <c r="AF774" s="221"/>
      <c r="AG774" s="221"/>
      <c r="AH774" s="221"/>
      <c r="AI774" s="221"/>
      <c r="AJ774" s="221"/>
      <c r="AK774" s="221"/>
      <c r="AL774" s="221"/>
      <c r="AM774" s="221"/>
      <c r="AN774" s="221"/>
      <c r="AO774" s="221"/>
      <c r="AP774" s="221"/>
      <c r="AQ774" s="221"/>
      <c r="AR774" s="221"/>
    </row>
    <row r="775" spans="1:44" s="384" customFormat="1" ht="12" customHeight="1">
      <c r="A775" s="221"/>
      <c r="P775" s="290"/>
      <c r="X775" s="221"/>
      <c r="Y775" s="221"/>
      <c r="Z775" s="221"/>
      <c r="AA775" s="221"/>
      <c r="AB775" s="221"/>
      <c r="AC775" s="221"/>
      <c r="AD775" s="221"/>
      <c r="AE775" s="221"/>
      <c r="AF775" s="221"/>
      <c r="AG775" s="221"/>
      <c r="AH775" s="221"/>
      <c r="AI775" s="221"/>
      <c r="AJ775" s="221"/>
      <c r="AK775" s="221"/>
      <c r="AL775" s="221"/>
      <c r="AM775" s="221"/>
      <c r="AN775" s="221"/>
      <c r="AO775" s="221"/>
      <c r="AP775" s="221"/>
      <c r="AQ775" s="221"/>
      <c r="AR775" s="221"/>
    </row>
    <row r="776" spans="1:44" s="384" customFormat="1" ht="12" customHeight="1">
      <c r="A776" s="221"/>
      <c r="P776" s="3097"/>
      <c r="X776" s="221"/>
      <c r="Y776" s="221"/>
      <c r="Z776" s="221"/>
      <c r="AA776" s="221"/>
      <c r="AB776" s="221"/>
      <c r="AC776" s="221"/>
      <c r="AD776" s="221"/>
      <c r="AE776" s="221"/>
      <c r="AF776" s="221"/>
      <c r="AG776" s="221"/>
      <c r="AH776" s="221"/>
      <c r="AI776" s="221"/>
      <c r="AJ776" s="221"/>
      <c r="AK776" s="221"/>
      <c r="AL776" s="221"/>
      <c r="AM776" s="221"/>
      <c r="AN776" s="221"/>
      <c r="AO776" s="221"/>
      <c r="AP776" s="221"/>
      <c r="AQ776" s="221"/>
      <c r="AR776" s="221"/>
    </row>
    <row r="777" spans="1:44" s="384" customFormat="1" ht="12" customHeight="1">
      <c r="A777" s="221"/>
      <c r="P777" s="290"/>
      <c r="X777" s="221"/>
      <c r="Y777" s="221"/>
      <c r="Z777" s="221"/>
      <c r="AA777" s="221"/>
      <c r="AB777" s="221"/>
      <c r="AC777" s="221"/>
      <c r="AD777" s="221"/>
      <c r="AE777" s="221"/>
      <c r="AF777" s="221"/>
      <c r="AG777" s="221"/>
      <c r="AH777" s="221"/>
      <c r="AI777" s="221"/>
      <c r="AJ777" s="221"/>
      <c r="AK777" s="221"/>
      <c r="AL777" s="221"/>
      <c r="AM777" s="221"/>
      <c r="AN777" s="221"/>
      <c r="AO777" s="221"/>
      <c r="AP777" s="221"/>
      <c r="AQ777" s="221"/>
      <c r="AR777" s="221"/>
    </row>
    <row r="778" spans="1:44" s="384" customFormat="1" ht="12" customHeight="1">
      <c r="A778" s="221"/>
      <c r="P778" s="290"/>
      <c r="X778" s="221"/>
      <c r="Y778" s="221"/>
      <c r="Z778" s="221"/>
      <c r="AA778" s="221"/>
      <c r="AB778" s="221"/>
      <c r="AC778" s="221"/>
      <c r="AD778" s="221"/>
      <c r="AE778" s="221"/>
      <c r="AF778" s="221"/>
      <c r="AG778" s="221"/>
      <c r="AH778" s="221"/>
      <c r="AI778" s="221"/>
      <c r="AJ778" s="221"/>
      <c r="AK778" s="221"/>
      <c r="AL778" s="221"/>
      <c r="AM778" s="221"/>
      <c r="AN778" s="221"/>
      <c r="AO778" s="221"/>
      <c r="AP778" s="221"/>
      <c r="AQ778" s="221"/>
      <c r="AR778" s="221"/>
    </row>
    <row r="779" spans="1:44" s="384" customFormat="1" ht="12" customHeight="1">
      <c r="A779" s="221"/>
      <c r="P779" s="290"/>
      <c r="X779" s="221"/>
      <c r="Y779" s="221"/>
      <c r="Z779" s="221"/>
      <c r="AA779" s="221"/>
      <c r="AB779" s="221"/>
      <c r="AC779" s="221"/>
      <c r="AD779" s="221"/>
      <c r="AE779" s="221"/>
      <c r="AF779" s="221"/>
      <c r="AG779" s="221"/>
      <c r="AH779" s="221"/>
      <c r="AI779" s="221"/>
      <c r="AJ779" s="221"/>
      <c r="AK779" s="221"/>
      <c r="AL779" s="221"/>
      <c r="AM779" s="221"/>
      <c r="AN779" s="221"/>
      <c r="AO779" s="221"/>
      <c r="AP779" s="221"/>
      <c r="AQ779" s="221"/>
      <c r="AR779" s="221"/>
    </row>
    <row r="780" spans="1:44" s="384" customFormat="1" ht="12" customHeight="1">
      <c r="A780" s="221"/>
      <c r="P780" s="3098"/>
      <c r="X780" s="221"/>
      <c r="Y780" s="221"/>
      <c r="Z780" s="221"/>
      <c r="AA780" s="221"/>
      <c r="AB780" s="221"/>
      <c r="AC780" s="221"/>
      <c r="AD780" s="221"/>
      <c r="AE780" s="221"/>
      <c r="AF780" s="221"/>
      <c r="AG780" s="221"/>
      <c r="AH780" s="221"/>
      <c r="AI780" s="221"/>
      <c r="AJ780" s="221"/>
      <c r="AK780" s="221"/>
      <c r="AL780" s="221"/>
      <c r="AM780" s="221"/>
      <c r="AN780" s="221"/>
      <c r="AO780" s="221"/>
      <c r="AP780" s="221"/>
      <c r="AQ780" s="221"/>
      <c r="AR780" s="221"/>
    </row>
    <row r="781" spans="1:44" s="384" customFormat="1" ht="12" customHeight="1">
      <c r="A781" s="221"/>
      <c r="P781" s="290"/>
      <c r="X781" s="221"/>
      <c r="Y781" s="221"/>
      <c r="Z781" s="221"/>
      <c r="AA781" s="221"/>
      <c r="AB781" s="221"/>
      <c r="AC781" s="221"/>
      <c r="AD781" s="221"/>
      <c r="AE781" s="221"/>
      <c r="AF781" s="221"/>
      <c r="AG781" s="221"/>
      <c r="AH781" s="221"/>
      <c r="AI781" s="221"/>
      <c r="AJ781" s="221"/>
      <c r="AK781" s="221"/>
      <c r="AL781" s="221"/>
      <c r="AM781" s="221"/>
      <c r="AN781" s="221"/>
      <c r="AO781" s="221"/>
      <c r="AP781" s="221"/>
      <c r="AQ781" s="221"/>
      <c r="AR781" s="221"/>
    </row>
    <row r="782" spans="1:44" s="384" customFormat="1" ht="12" customHeight="1">
      <c r="A782" s="221"/>
      <c r="P782" s="290"/>
      <c r="X782" s="221"/>
      <c r="Y782" s="221"/>
      <c r="Z782" s="221"/>
      <c r="AA782" s="221"/>
      <c r="AB782" s="221"/>
      <c r="AC782" s="221"/>
      <c r="AD782" s="221"/>
      <c r="AE782" s="221"/>
      <c r="AF782" s="221"/>
      <c r="AG782" s="221"/>
      <c r="AH782" s="221"/>
      <c r="AI782" s="221"/>
      <c r="AJ782" s="221"/>
      <c r="AK782" s="221"/>
      <c r="AL782" s="221"/>
      <c r="AM782" s="221"/>
      <c r="AN782" s="221"/>
      <c r="AO782" s="221"/>
      <c r="AP782" s="221"/>
      <c r="AQ782" s="221"/>
      <c r="AR782" s="221"/>
    </row>
    <row r="783" spans="1:44" s="384" customFormat="1" ht="12" customHeight="1">
      <c r="A783" s="221"/>
      <c r="P783" s="290"/>
      <c r="X783" s="221"/>
      <c r="Y783" s="221"/>
      <c r="Z783" s="221"/>
      <c r="AA783" s="221"/>
      <c r="AB783" s="221"/>
      <c r="AC783" s="221"/>
      <c r="AD783" s="221"/>
      <c r="AE783" s="221"/>
      <c r="AF783" s="221"/>
      <c r="AG783" s="221"/>
      <c r="AH783" s="221"/>
      <c r="AI783" s="221"/>
      <c r="AJ783" s="221"/>
      <c r="AK783" s="221"/>
      <c r="AL783" s="221"/>
      <c r="AM783" s="221"/>
      <c r="AN783" s="221"/>
      <c r="AO783" s="221"/>
      <c r="AP783" s="221"/>
      <c r="AQ783" s="221"/>
      <c r="AR783" s="221"/>
    </row>
    <row r="784" spans="1:44" s="384" customFormat="1" ht="12" customHeight="1">
      <c r="A784" s="221"/>
      <c r="P784" s="3098"/>
      <c r="X784" s="221"/>
      <c r="Y784" s="221"/>
      <c r="Z784" s="221"/>
      <c r="AA784" s="221"/>
      <c r="AB784" s="221"/>
      <c r="AC784" s="221"/>
      <c r="AD784" s="221"/>
      <c r="AE784" s="221"/>
      <c r="AF784" s="221"/>
      <c r="AG784" s="221"/>
      <c r="AH784" s="221"/>
      <c r="AI784" s="221"/>
      <c r="AJ784" s="221"/>
      <c r="AK784" s="221"/>
      <c r="AL784" s="221"/>
      <c r="AM784" s="221"/>
      <c r="AN784" s="221"/>
      <c r="AO784" s="221"/>
      <c r="AP784" s="221"/>
      <c r="AQ784" s="221"/>
      <c r="AR784" s="221"/>
    </row>
    <row r="785" spans="1:44" s="384" customFormat="1" ht="12" customHeight="1">
      <c r="A785" s="221"/>
      <c r="P785" s="290"/>
      <c r="X785" s="221"/>
      <c r="Y785" s="221"/>
      <c r="Z785" s="221"/>
      <c r="AA785" s="221"/>
      <c r="AB785" s="221"/>
      <c r="AC785" s="221"/>
      <c r="AD785" s="221"/>
      <c r="AE785" s="221"/>
      <c r="AF785" s="221"/>
      <c r="AG785" s="221"/>
      <c r="AH785" s="221"/>
      <c r="AI785" s="221"/>
      <c r="AJ785" s="221"/>
      <c r="AK785" s="221"/>
      <c r="AL785" s="221"/>
      <c r="AM785" s="221"/>
      <c r="AN785" s="221"/>
      <c r="AO785" s="221"/>
      <c r="AP785" s="221"/>
      <c r="AQ785" s="221"/>
      <c r="AR785" s="221"/>
    </row>
    <row r="786" spans="1:44" s="384" customFormat="1" ht="12" customHeight="1">
      <c r="A786" s="221"/>
      <c r="P786" s="290"/>
      <c r="X786" s="221"/>
      <c r="Y786" s="221"/>
      <c r="Z786" s="221"/>
      <c r="AA786" s="221"/>
      <c r="AB786" s="221"/>
      <c r="AC786" s="221"/>
      <c r="AD786" s="221"/>
      <c r="AE786" s="221"/>
      <c r="AF786" s="221"/>
      <c r="AG786" s="221"/>
      <c r="AH786" s="221"/>
      <c r="AI786" s="221"/>
      <c r="AJ786" s="221"/>
      <c r="AK786" s="221"/>
      <c r="AL786" s="221"/>
      <c r="AM786" s="221"/>
      <c r="AN786" s="221"/>
      <c r="AO786" s="221"/>
      <c r="AP786" s="221"/>
      <c r="AQ786" s="221"/>
      <c r="AR786" s="221"/>
    </row>
    <row r="787" spans="1:44" s="384" customFormat="1" ht="12" customHeight="1">
      <c r="A787" s="221"/>
      <c r="P787" s="290"/>
      <c r="X787" s="221"/>
      <c r="Y787" s="221"/>
      <c r="Z787" s="221"/>
      <c r="AA787" s="221"/>
      <c r="AB787" s="221"/>
      <c r="AC787" s="221"/>
      <c r="AD787" s="221"/>
      <c r="AE787" s="221"/>
      <c r="AF787" s="221"/>
      <c r="AG787" s="221"/>
      <c r="AH787" s="221"/>
      <c r="AI787" s="221"/>
      <c r="AJ787" s="221"/>
      <c r="AK787" s="221"/>
      <c r="AL787" s="221"/>
      <c r="AM787" s="221"/>
      <c r="AN787" s="221"/>
      <c r="AO787" s="221"/>
      <c r="AP787" s="221"/>
      <c r="AQ787" s="221"/>
      <c r="AR787" s="221"/>
    </row>
    <row r="788" spans="1:44" s="384" customFormat="1" ht="12" customHeight="1">
      <c r="A788" s="221"/>
      <c r="P788" s="290"/>
      <c r="X788" s="221"/>
      <c r="Y788" s="221"/>
      <c r="Z788" s="221"/>
      <c r="AA788" s="221"/>
      <c r="AB788" s="221"/>
      <c r="AC788" s="221"/>
      <c r="AD788" s="221"/>
      <c r="AE788" s="221"/>
      <c r="AF788" s="221"/>
      <c r="AG788" s="221"/>
      <c r="AH788" s="221"/>
      <c r="AI788" s="221"/>
      <c r="AJ788" s="221"/>
      <c r="AK788" s="221"/>
      <c r="AL788" s="221"/>
      <c r="AM788" s="221"/>
      <c r="AN788" s="221"/>
      <c r="AO788" s="221"/>
      <c r="AP788" s="221"/>
      <c r="AQ788" s="221"/>
      <c r="AR788" s="221"/>
    </row>
    <row r="789" spans="1:44" s="384" customFormat="1" ht="12" customHeight="1">
      <c r="A789" s="221"/>
      <c r="P789" s="290"/>
      <c r="X789" s="221"/>
      <c r="Y789" s="221"/>
      <c r="Z789" s="221"/>
      <c r="AA789" s="221"/>
      <c r="AB789" s="221"/>
      <c r="AC789" s="221"/>
      <c r="AD789" s="221"/>
      <c r="AE789" s="221"/>
      <c r="AF789" s="221"/>
      <c r="AG789" s="221"/>
      <c r="AH789" s="221"/>
      <c r="AI789" s="221"/>
      <c r="AJ789" s="221"/>
      <c r="AK789" s="221"/>
      <c r="AL789" s="221"/>
      <c r="AM789" s="221"/>
      <c r="AN789" s="221"/>
      <c r="AO789" s="221"/>
      <c r="AP789" s="221"/>
      <c r="AQ789" s="221"/>
      <c r="AR789" s="221"/>
    </row>
    <row r="790" spans="1:44" s="384" customFormat="1" ht="12" customHeight="1">
      <c r="A790" s="221"/>
      <c r="P790" s="290"/>
      <c r="X790" s="221"/>
      <c r="Y790" s="221"/>
      <c r="Z790" s="221"/>
      <c r="AA790" s="221"/>
      <c r="AB790" s="221"/>
      <c r="AC790" s="221"/>
      <c r="AD790" s="221"/>
      <c r="AE790" s="221"/>
      <c r="AF790" s="221"/>
      <c r="AG790" s="221"/>
      <c r="AH790" s="221"/>
      <c r="AI790" s="221"/>
      <c r="AJ790" s="221"/>
      <c r="AK790" s="221"/>
      <c r="AL790" s="221"/>
      <c r="AM790" s="221"/>
      <c r="AN790" s="221"/>
      <c r="AO790" s="221"/>
      <c r="AP790" s="221"/>
      <c r="AQ790" s="221"/>
      <c r="AR790" s="221"/>
    </row>
    <row r="791" spans="1:44" s="384" customFormat="1" ht="12" customHeight="1">
      <c r="A791" s="221"/>
      <c r="P791" s="290"/>
      <c r="X791" s="221"/>
      <c r="Y791" s="221"/>
      <c r="Z791" s="221"/>
      <c r="AA791" s="221"/>
      <c r="AB791" s="221"/>
      <c r="AC791" s="221"/>
      <c r="AD791" s="221"/>
      <c r="AE791" s="221"/>
      <c r="AF791" s="221"/>
      <c r="AG791" s="221"/>
      <c r="AH791" s="221"/>
      <c r="AI791" s="221"/>
      <c r="AJ791" s="221"/>
      <c r="AK791" s="221"/>
      <c r="AL791" s="221"/>
      <c r="AM791" s="221"/>
      <c r="AN791" s="221"/>
      <c r="AO791" s="221"/>
      <c r="AP791" s="221"/>
      <c r="AQ791" s="221"/>
      <c r="AR791" s="221"/>
    </row>
    <row r="792" spans="1:44" s="384" customFormat="1" ht="12" customHeight="1">
      <c r="A792" s="221"/>
      <c r="P792" s="290"/>
      <c r="X792" s="221"/>
      <c r="Y792" s="221"/>
      <c r="Z792" s="221"/>
      <c r="AA792" s="221"/>
      <c r="AB792" s="221"/>
      <c r="AC792" s="221"/>
      <c r="AD792" s="221"/>
      <c r="AE792" s="221"/>
      <c r="AF792" s="221"/>
      <c r="AG792" s="221"/>
      <c r="AH792" s="221"/>
      <c r="AI792" s="221"/>
      <c r="AJ792" s="221"/>
      <c r="AK792" s="221"/>
      <c r="AL792" s="221"/>
      <c r="AM792" s="221"/>
      <c r="AN792" s="221"/>
      <c r="AO792" s="221"/>
      <c r="AP792" s="221"/>
      <c r="AQ792" s="221"/>
      <c r="AR792" s="221"/>
    </row>
    <row r="793" spans="1:44" s="384" customFormat="1" ht="12" customHeight="1">
      <c r="A793" s="221"/>
      <c r="P793" s="290"/>
      <c r="X793" s="221"/>
      <c r="Y793" s="221"/>
      <c r="Z793" s="221"/>
      <c r="AA793" s="221"/>
      <c r="AB793" s="221"/>
      <c r="AC793" s="221"/>
      <c r="AD793" s="221"/>
      <c r="AE793" s="221"/>
      <c r="AF793" s="221"/>
      <c r="AG793" s="221"/>
      <c r="AH793" s="221"/>
      <c r="AI793" s="221"/>
      <c r="AJ793" s="221"/>
      <c r="AK793" s="221"/>
      <c r="AL793" s="221"/>
      <c r="AM793" s="221"/>
      <c r="AN793" s="221"/>
      <c r="AO793" s="221"/>
      <c r="AP793" s="221"/>
      <c r="AQ793" s="221"/>
      <c r="AR793" s="221"/>
    </row>
    <row r="794" spans="1:44" s="384" customFormat="1" ht="12" customHeight="1">
      <c r="A794" s="221"/>
      <c r="P794" s="290"/>
      <c r="X794" s="221"/>
      <c r="Y794" s="221"/>
      <c r="Z794" s="221"/>
      <c r="AA794" s="221"/>
      <c r="AB794" s="221"/>
      <c r="AC794" s="221"/>
      <c r="AD794" s="221"/>
      <c r="AE794" s="221"/>
      <c r="AF794" s="221"/>
      <c r="AG794" s="221"/>
      <c r="AH794" s="221"/>
      <c r="AI794" s="221"/>
      <c r="AJ794" s="221"/>
      <c r="AK794" s="221"/>
      <c r="AL794" s="221"/>
      <c r="AM794" s="221"/>
      <c r="AN794" s="221"/>
      <c r="AO794" s="221"/>
      <c r="AP794" s="221"/>
      <c r="AQ794" s="221"/>
      <c r="AR794" s="221"/>
    </row>
    <row r="795" spans="1:44" s="384" customFormat="1" ht="12" customHeight="1">
      <c r="A795" s="221"/>
      <c r="P795" s="290"/>
      <c r="X795" s="221"/>
      <c r="Y795" s="221"/>
      <c r="Z795" s="221"/>
      <c r="AA795" s="221"/>
      <c r="AB795" s="221"/>
      <c r="AC795" s="221"/>
      <c r="AD795" s="221"/>
      <c r="AE795" s="221"/>
      <c r="AF795" s="221"/>
      <c r="AG795" s="221"/>
      <c r="AH795" s="221"/>
      <c r="AI795" s="221"/>
      <c r="AJ795" s="221"/>
      <c r="AK795" s="221"/>
      <c r="AL795" s="221"/>
      <c r="AM795" s="221"/>
      <c r="AN795" s="221"/>
      <c r="AO795" s="221"/>
      <c r="AP795" s="221"/>
      <c r="AQ795" s="221"/>
      <c r="AR795" s="221"/>
    </row>
    <row r="796" spans="1:44" s="384" customFormat="1" ht="12" customHeight="1">
      <c r="A796" s="221"/>
      <c r="P796" s="290"/>
      <c r="X796" s="221"/>
      <c r="Y796" s="221"/>
      <c r="Z796" s="221"/>
      <c r="AA796" s="221"/>
      <c r="AB796" s="221"/>
      <c r="AC796" s="221"/>
      <c r="AD796" s="221"/>
      <c r="AE796" s="221"/>
      <c r="AF796" s="221"/>
      <c r="AG796" s="221"/>
      <c r="AH796" s="221"/>
      <c r="AI796" s="221"/>
      <c r="AJ796" s="221"/>
      <c r="AK796" s="221"/>
      <c r="AL796" s="221"/>
      <c r="AM796" s="221"/>
      <c r="AN796" s="221"/>
      <c r="AO796" s="221"/>
      <c r="AP796" s="221"/>
      <c r="AQ796" s="221"/>
      <c r="AR796" s="221"/>
    </row>
    <row r="797" spans="1:44" s="384" customFormat="1" ht="12" customHeight="1">
      <c r="A797" s="221"/>
      <c r="P797" s="290"/>
      <c r="X797" s="221"/>
      <c r="Y797" s="221"/>
      <c r="Z797" s="221"/>
      <c r="AA797" s="221"/>
      <c r="AB797" s="221"/>
      <c r="AC797" s="221"/>
      <c r="AD797" s="221"/>
      <c r="AE797" s="221"/>
      <c r="AF797" s="221"/>
      <c r="AG797" s="221"/>
      <c r="AH797" s="221"/>
      <c r="AI797" s="221"/>
      <c r="AJ797" s="221"/>
      <c r="AK797" s="221"/>
      <c r="AL797" s="221"/>
      <c r="AM797" s="221"/>
      <c r="AN797" s="221"/>
      <c r="AO797" s="221"/>
      <c r="AP797" s="221"/>
      <c r="AQ797" s="221"/>
      <c r="AR797" s="221"/>
    </row>
    <row r="798" spans="1:44" s="384" customFormat="1" ht="12" customHeight="1">
      <c r="A798" s="221"/>
      <c r="P798" s="221"/>
      <c r="X798" s="221"/>
      <c r="Y798" s="221"/>
      <c r="Z798" s="221"/>
      <c r="AA798" s="221"/>
      <c r="AB798" s="221"/>
      <c r="AC798" s="221"/>
      <c r="AD798" s="221"/>
      <c r="AE798" s="221"/>
      <c r="AF798" s="221"/>
      <c r="AG798" s="221"/>
      <c r="AH798" s="221"/>
      <c r="AI798" s="221"/>
      <c r="AJ798" s="221"/>
      <c r="AK798" s="221"/>
      <c r="AL798" s="221"/>
      <c r="AM798" s="221"/>
      <c r="AN798" s="221"/>
      <c r="AO798" s="221"/>
      <c r="AP798" s="221"/>
      <c r="AQ798" s="221"/>
      <c r="AR798" s="221"/>
    </row>
    <row r="799" spans="1:44" s="384" customFormat="1" ht="12" customHeight="1">
      <c r="A799" s="221"/>
      <c r="P799" s="221"/>
      <c r="X799" s="221"/>
      <c r="Y799" s="221"/>
      <c r="Z799" s="221"/>
      <c r="AA799" s="221"/>
      <c r="AB799" s="221"/>
      <c r="AC799" s="221"/>
      <c r="AD799" s="221"/>
      <c r="AE799" s="221"/>
      <c r="AF799" s="221"/>
      <c r="AG799" s="221"/>
      <c r="AH799" s="221"/>
      <c r="AI799" s="221"/>
      <c r="AJ799" s="221"/>
      <c r="AK799" s="221"/>
      <c r="AL799" s="221"/>
      <c r="AM799" s="221"/>
      <c r="AN799" s="221"/>
      <c r="AO799" s="221"/>
      <c r="AP799" s="221"/>
      <c r="AQ799" s="221"/>
      <c r="AR799" s="221"/>
    </row>
    <row r="800" spans="1:44" s="384" customFormat="1" ht="12" customHeight="1">
      <c r="A800" s="221"/>
      <c r="P800" s="221"/>
      <c r="X800" s="221"/>
      <c r="Y800" s="221"/>
      <c r="Z800" s="221"/>
      <c r="AA800" s="221"/>
      <c r="AB800" s="221"/>
      <c r="AC800" s="221"/>
      <c r="AD800" s="221"/>
      <c r="AE800" s="221"/>
      <c r="AF800" s="221"/>
      <c r="AG800" s="221"/>
      <c r="AH800" s="221"/>
      <c r="AI800" s="221"/>
      <c r="AJ800" s="221"/>
      <c r="AK800" s="221"/>
      <c r="AL800" s="221"/>
      <c r="AM800" s="221"/>
      <c r="AN800" s="221"/>
      <c r="AO800" s="221"/>
      <c r="AP800" s="221"/>
      <c r="AQ800" s="221"/>
      <c r="AR800" s="221"/>
    </row>
    <row r="801" spans="1:44" s="384" customFormat="1" ht="12" customHeight="1">
      <c r="A801" s="221"/>
      <c r="P801" s="221"/>
      <c r="X801" s="221"/>
      <c r="Y801" s="221"/>
      <c r="Z801" s="221"/>
      <c r="AA801" s="221"/>
      <c r="AB801" s="221"/>
      <c r="AC801" s="221"/>
      <c r="AD801" s="221"/>
      <c r="AE801" s="221"/>
      <c r="AF801" s="221"/>
      <c r="AG801" s="221"/>
      <c r="AH801" s="221"/>
      <c r="AI801" s="221"/>
      <c r="AJ801" s="221"/>
      <c r="AK801" s="221"/>
      <c r="AL801" s="221"/>
      <c r="AM801" s="221"/>
      <c r="AN801" s="221"/>
      <c r="AO801" s="221"/>
      <c r="AP801" s="221"/>
      <c r="AQ801" s="221"/>
      <c r="AR801" s="221"/>
    </row>
    <row r="802" spans="1:44" s="384" customFormat="1" ht="12" customHeight="1">
      <c r="A802" s="221"/>
      <c r="P802" s="221"/>
      <c r="X802" s="221"/>
      <c r="Y802" s="221"/>
      <c r="Z802" s="221"/>
      <c r="AA802" s="221"/>
      <c r="AB802" s="221"/>
      <c r="AC802" s="221"/>
      <c r="AD802" s="221"/>
      <c r="AE802" s="221"/>
      <c r="AF802" s="221"/>
      <c r="AG802" s="221"/>
      <c r="AH802" s="221"/>
      <c r="AI802" s="221"/>
      <c r="AJ802" s="221"/>
      <c r="AK802" s="221"/>
      <c r="AL802" s="221"/>
      <c r="AM802" s="221"/>
      <c r="AN802" s="221"/>
      <c r="AO802" s="221"/>
      <c r="AP802" s="221"/>
      <c r="AQ802" s="221"/>
      <c r="AR802" s="221"/>
    </row>
    <row r="803" spans="1:44" s="384" customFormat="1" ht="12" customHeight="1">
      <c r="A803" s="221"/>
      <c r="P803" s="221"/>
      <c r="X803" s="221"/>
      <c r="Y803" s="221"/>
      <c r="Z803" s="221"/>
      <c r="AA803" s="221"/>
      <c r="AB803" s="221"/>
      <c r="AC803" s="221"/>
      <c r="AD803" s="221"/>
      <c r="AE803" s="221"/>
      <c r="AF803" s="221"/>
      <c r="AG803" s="221"/>
      <c r="AH803" s="221"/>
      <c r="AI803" s="221"/>
      <c r="AJ803" s="221"/>
      <c r="AK803" s="221"/>
      <c r="AL803" s="221"/>
      <c r="AM803" s="221"/>
      <c r="AN803" s="221"/>
      <c r="AO803" s="221"/>
      <c r="AP803" s="221"/>
      <c r="AQ803" s="221"/>
      <c r="AR803" s="221"/>
    </row>
    <row r="804" spans="1:44" s="384" customFormat="1" ht="12" customHeight="1">
      <c r="A804" s="221"/>
      <c r="P804" s="221"/>
      <c r="X804" s="221"/>
      <c r="Y804" s="221"/>
      <c r="Z804" s="221"/>
      <c r="AA804" s="221"/>
      <c r="AB804" s="221"/>
      <c r="AC804" s="221"/>
      <c r="AD804" s="221"/>
      <c r="AE804" s="221"/>
      <c r="AF804" s="221"/>
      <c r="AG804" s="221"/>
      <c r="AH804" s="221"/>
      <c r="AI804" s="221"/>
      <c r="AJ804" s="221"/>
      <c r="AK804" s="221"/>
      <c r="AL804" s="221"/>
      <c r="AM804" s="221"/>
      <c r="AN804" s="221"/>
      <c r="AO804" s="221"/>
      <c r="AP804" s="221"/>
      <c r="AQ804" s="221"/>
      <c r="AR804" s="221"/>
    </row>
    <row r="805" spans="1:44" s="384" customFormat="1" ht="12" customHeight="1">
      <c r="A805" s="221"/>
      <c r="P805" s="221"/>
      <c r="X805" s="221"/>
      <c r="Y805" s="221"/>
      <c r="Z805" s="221"/>
      <c r="AA805" s="221"/>
      <c r="AB805" s="221"/>
      <c r="AC805" s="221"/>
      <c r="AD805" s="221"/>
      <c r="AE805" s="221"/>
      <c r="AF805" s="221"/>
      <c r="AG805" s="221"/>
      <c r="AH805" s="221"/>
      <c r="AI805" s="221"/>
      <c r="AJ805" s="221"/>
      <c r="AK805" s="221"/>
      <c r="AL805" s="221"/>
      <c r="AM805" s="221"/>
      <c r="AN805" s="221"/>
      <c r="AO805" s="221"/>
      <c r="AP805" s="221"/>
      <c r="AQ805" s="221"/>
      <c r="AR805" s="221"/>
    </row>
    <row r="806" spans="1:44" s="384" customFormat="1" ht="12" customHeight="1">
      <c r="A806" s="221"/>
      <c r="P806" s="221"/>
      <c r="X806" s="221"/>
      <c r="Y806" s="221"/>
      <c r="Z806" s="221"/>
      <c r="AA806" s="221"/>
      <c r="AB806" s="221"/>
      <c r="AC806" s="221"/>
      <c r="AD806" s="221"/>
      <c r="AE806" s="221"/>
      <c r="AF806" s="221"/>
      <c r="AG806" s="221"/>
      <c r="AH806" s="221"/>
      <c r="AI806" s="221"/>
      <c r="AJ806" s="221"/>
      <c r="AK806" s="221"/>
      <c r="AL806" s="221"/>
      <c r="AM806" s="221"/>
      <c r="AN806" s="221"/>
      <c r="AO806" s="221"/>
      <c r="AP806" s="221"/>
      <c r="AQ806" s="221"/>
      <c r="AR806" s="221"/>
    </row>
    <row r="807" spans="1:44" s="384" customFormat="1" ht="12" customHeight="1">
      <c r="A807" s="221"/>
      <c r="P807" s="221"/>
      <c r="X807" s="221"/>
      <c r="Y807" s="221"/>
      <c r="Z807" s="221"/>
      <c r="AA807" s="221"/>
      <c r="AB807" s="221"/>
      <c r="AC807" s="221"/>
      <c r="AD807" s="221"/>
      <c r="AE807" s="221"/>
      <c r="AF807" s="221"/>
      <c r="AG807" s="221"/>
      <c r="AH807" s="221"/>
      <c r="AI807" s="221"/>
      <c r="AJ807" s="221"/>
      <c r="AK807" s="221"/>
      <c r="AL807" s="221"/>
      <c r="AM807" s="221"/>
      <c r="AN807" s="221"/>
      <c r="AO807" s="221"/>
      <c r="AP807" s="221"/>
      <c r="AQ807" s="221"/>
      <c r="AR807" s="221"/>
    </row>
    <row r="808" spans="1:44" s="384" customFormat="1" ht="12" customHeight="1">
      <c r="A808" s="221"/>
      <c r="P808" s="221"/>
      <c r="X808" s="221"/>
      <c r="Y808" s="221"/>
      <c r="Z808" s="221"/>
      <c r="AA808" s="221"/>
      <c r="AB808" s="221"/>
      <c r="AC808" s="221"/>
      <c r="AD808" s="221"/>
      <c r="AE808" s="221"/>
      <c r="AF808" s="221"/>
      <c r="AG808" s="221"/>
      <c r="AH808" s="221"/>
      <c r="AI808" s="221"/>
      <c r="AJ808" s="221"/>
      <c r="AK808" s="221"/>
      <c r="AL808" s="221"/>
      <c r="AM808" s="221"/>
      <c r="AN808" s="221"/>
      <c r="AO808" s="221"/>
      <c r="AP808" s="221"/>
      <c r="AQ808" s="221"/>
      <c r="AR808" s="221"/>
    </row>
    <row r="809" spans="1:44" s="384" customFormat="1" ht="12" customHeight="1">
      <c r="A809" s="221"/>
      <c r="P809" s="221"/>
      <c r="X809" s="221"/>
      <c r="Y809" s="221"/>
      <c r="Z809" s="221"/>
      <c r="AA809" s="221"/>
      <c r="AB809" s="221"/>
      <c r="AC809" s="221"/>
      <c r="AD809" s="221"/>
      <c r="AE809" s="221"/>
      <c r="AF809" s="221"/>
      <c r="AG809" s="221"/>
      <c r="AH809" s="221"/>
      <c r="AI809" s="221"/>
      <c r="AJ809" s="221"/>
      <c r="AK809" s="221"/>
      <c r="AL809" s="221"/>
      <c r="AM809" s="221"/>
      <c r="AN809" s="221"/>
      <c r="AO809" s="221"/>
      <c r="AP809" s="221"/>
      <c r="AQ809" s="221"/>
      <c r="AR809" s="221"/>
    </row>
    <row r="810" spans="1:44" s="384" customFormat="1" ht="12" customHeight="1">
      <c r="A810" s="221"/>
      <c r="P810" s="221"/>
      <c r="X810" s="221"/>
      <c r="Y810" s="221"/>
      <c r="Z810" s="221"/>
      <c r="AA810" s="221"/>
      <c r="AB810" s="221"/>
      <c r="AC810" s="221"/>
      <c r="AD810" s="221"/>
      <c r="AE810" s="221"/>
      <c r="AF810" s="221"/>
      <c r="AG810" s="221"/>
      <c r="AH810" s="221"/>
      <c r="AI810" s="221"/>
      <c r="AJ810" s="221"/>
      <c r="AK810" s="221"/>
      <c r="AL810" s="221"/>
      <c r="AM810" s="221"/>
      <c r="AN810" s="221"/>
      <c r="AO810" s="221"/>
      <c r="AP810" s="221"/>
      <c r="AQ810" s="221"/>
      <c r="AR810" s="221"/>
    </row>
    <row r="811" spans="1:44" s="384" customFormat="1" ht="12" customHeight="1">
      <c r="A811" s="221"/>
      <c r="P811" s="221"/>
      <c r="X811" s="221"/>
      <c r="Y811" s="221"/>
      <c r="Z811" s="221"/>
      <c r="AA811" s="221"/>
      <c r="AB811" s="221"/>
      <c r="AC811" s="221"/>
      <c r="AD811" s="221"/>
      <c r="AE811" s="221"/>
      <c r="AF811" s="221"/>
      <c r="AG811" s="221"/>
      <c r="AH811" s="221"/>
      <c r="AI811" s="221"/>
      <c r="AJ811" s="221"/>
      <c r="AK811" s="221"/>
      <c r="AL811" s="221"/>
      <c r="AM811" s="221"/>
      <c r="AN811" s="221"/>
      <c r="AO811" s="221"/>
      <c r="AP811" s="221"/>
      <c r="AQ811" s="221"/>
      <c r="AR811" s="221"/>
    </row>
    <row r="812" spans="1:44" s="384" customFormat="1" ht="12" customHeight="1">
      <c r="A812" s="221"/>
      <c r="P812" s="221"/>
      <c r="X812" s="221"/>
      <c r="Y812" s="221"/>
      <c r="Z812" s="221"/>
      <c r="AA812" s="221"/>
      <c r="AB812" s="221"/>
      <c r="AC812" s="221"/>
      <c r="AD812" s="221"/>
      <c r="AE812" s="221"/>
      <c r="AF812" s="221"/>
      <c r="AG812" s="221"/>
    </row>
    <row r="813" spans="1:44" s="384" customFormat="1" ht="12" customHeight="1">
      <c r="A813" s="221"/>
      <c r="P813" s="221"/>
      <c r="X813" s="221"/>
      <c r="Y813" s="221"/>
      <c r="Z813" s="221"/>
      <c r="AA813" s="221"/>
      <c r="AB813" s="221"/>
      <c r="AC813" s="221"/>
      <c r="AD813" s="221"/>
      <c r="AE813" s="221"/>
      <c r="AF813" s="221"/>
      <c r="AG813" s="221"/>
    </row>
    <row r="814" spans="1:44" s="384" customFormat="1" ht="12" customHeight="1">
      <c r="A814" s="221"/>
      <c r="P814" s="221"/>
      <c r="X814" s="221"/>
      <c r="Y814" s="221"/>
      <c r="Z814" s="221"/>
      <c r="AA814" s="221"/>
      <c r="AB814" s="221"/>
      <c r="AC814" s="221"/>
      <c r="AD814" s="221"/>
      <c r="AE814" s="221"/>
      <c r="AF814" s="221"/>
      <c r="AG814" s="221"/>
    </row>
    <row r="815" spans="1:44" s="384" customFormat="1" ht="12" customHeight="1">
      <c r="A815" s="221"/>
      <c r="P815" s="221"/>
      <c r="X815" s="221"/>
      <c r="Y815" s="221"/>
      <c r="Z815" s="221"/>
      <c r="AA815" s="221"/>
      <c r="AB815" s="221"/>
      <c r="AC815" s="221"/>
      <c r="AD815" s="221"/>
      <c r="AE815" s="221"/>
      <c r="AF815" s="221"/>
      <c r="AG815" s="221"/>
    </row>
    <row r="816" spans="1:44" s="384" customFormat="1" ht="12" customHeight="1">
      <c r="A816" s="221"/>
      <c r="P816" s="221"/>
      <c r="X816" s="221"/>
      <c r="Y816" s="221"/>
      <c r="Z816" s="221"/>
      <c r="AA816" s="221"/>
      <c r="AB816" s="221"/>
      <c r="AC816" s="221"/>
      <c r="AD816" s="221"/>
      <c r="AE816" s="221"/>
      <c r="AF816" s="221"/>
      <c r="AG816" s="221"/>
    </row>
    <row r="817" spans="1:33" s="384" customFormat="1" ht="12" customHeight="1">
      <c r="A817" s="221"/>
      <c r="P817" s="221"/>
      <c r="X817" s="221"/>
      <c r="Y817" s="221"/>
      <c r="Z817" s="221"/>
      <c r="AA817" s="221"/>
      <c r="AB817" s="221"/>
      <c r="AC817" s="221"/>
      <c r="AD817" s="221"/>
      <c r="AE817" s="221"/>
      <c r="AF817" s="221"/>
      <c r="AG817" s="221"/>
    </row>
    <row r="818" spans="1:33" s="384" customFormat="1" ht="12" customHeight="1">
      <c r="A818" s="221"/>
      <c r="P818" s="221"/>
      <c r="X818" s="221"/>
      <c r="Y818" s="221"/>
      <c r="Z818" s="221"/>
      <c r="AA818" s="221"/>
      <c r="AB818" s="221"/>
      <c r="AC818" s="221"/>
      <c r="AD818" s="221"/>
      <c r="AE818" s="221"/>
      <c r="AF818" s="221"/>
      <c r="AG818" s="221"/>
    </row>
    <row r="819" spans="1:33" s="384" customFormat="1" ht="12" customHeight="1">
      <c r="A819" s="221"/>
      <c r="P819" s="221"/>
      <c r="X819" s="221"/>
      <c r="Y819" s="221"/>
      <c r="Z819" s="221"/>
      <c r="AA819" s="221"/>
      <c r="AB819" s="221"/>
      <c r="AC819" s="221"/>
      <c r="AD819" s="221"/>
      <c r="AE819" s="221"/>
      <c r="AF819" s="221"/>
      <c r="AG819" s="221"/>
    </row>
    <row r="820" spans="1:33" s="384" customFormat="1" ht="12" customHeight="1">
      <c r="A820" s="221"/>
      <c r="P820" s="221"/>
      <c r="X820" s="221"/>
      <c r="Y820" s="221"/>
      <c r="Z820" s="221"/>
      <c r="AA820" s="221"/>
      <c r="AB820" s="221"/>
      <c r="AC820" s="221"/>
      <c r="AD820" s="221"/>
      <c r="AE820" s="221"/>
      <c r="AF820" s="221"/>
      <c r="AG820" s="221"/>
    </row>
    <row r="821" spans="1:33" s="384" customFormat="1" ht="12" customHeight="1">
      <c r="A821" s="221"/>
      <c r="P821" s="221"/>
      <c r="X821" s="221"/>
      <c r="Y821" s="221"/>
      <c r="Z821" s="221"/>
      <c r="AA821" s="221"/>
      <c r="AB821" s="221"/>
      <c r="AC821" s="221"/>
      <c r="AD821" s="221"/>
      <c r="AE821" s="221"/>
      <c r="AF821" s="221"/>
      <c r="AG821" s="221"/>
    </row>
    <row r="822" spans="1:33" s="384" customFormat="1" ht="12" customHeight="1">
      <c r="A822" s="221"/>
      <c r="P822" s="221"/>
      <c r="X822" s="221"/>
      <c r="Y822" s="221"/>
      <c r="Z822" s="221"/>
      <c r="AA822" s="221"/>
      <c r="AB822" s="221"/>
      <c r="AC822" s="221"/>
      <c r="AD822" s="221"/>
      <c r="AE822" s="221"/>
      <c r="AF822" s="221"/>
      <c r="AG822" s="221"/>
    </row>
    <row r="823" spans="1:33" s="384" customFormat="1" ht="12" customHeight="1">
      <c r="A823" s="221"/>
      <c r="P823" s="221"/>
      <c r="X823" s="221"/>
      <c r="Y823" s="221"/>
      <c r="Z823" s="221"/>
      <c r="AA823" s="221"/>
      <c r="AB823" s="221"/>
      <c r="AC823" s="221"/>
      <c r="AD823" s="221"/>
      <c r="AE823" s="221"/>
      <c r="AF823" s="221"/>
      <c r="AG823" s="221"/>
    </row>
    <row r="824" spans="1:33" s="384" customFormat="1" ht="12" customHeight="1">
      <c r="A824" s="221"/>
      <c r="P824" s="221"/>
      <c r="X824" s="221"/>
      <c r="Y824" s="221"/>
      <c r="Z824" s="221"/>
      <c r="AA824" s="221"/>
      <c r="AB824" s="221"/>
      <c r="AC824" s="221"/>
      <c r="AD824" s="221"/>
      <c r="AE824" s="221"/>
      <c r="AF824" s="221"/>
      <c r="AG824" s="221"/>
    </row>
    <row r="825" spans="1:33" s="384" customFormat="1" ht="12" customHeight="1">
      <c r="A825" s="221"/>
      <c r="P825" s="221"/>
      <c r="X825" s="221"/>
      <c r="Y825" s="221"/>
      <c r="Z825" s="221"/>
      <c r="AA825" s="221"/>
      <c r="AB825" s="221"/>
      <c r="AC825" s="221"/>
      <c r="AD825" s="221"/>
      <c r="AE825" s="221"/>
      <c r="AF825" s="221"/>
      <c r="AG825" s="221"/>
    </row>
    <row r="826" spans="1:33" s="384" customFormat="1" ht="12" customHeight="1">
      <c r="A826" s="221"/>
      <c r="P826" s="221"/>
      <c r="X826" s="221"/>
      <c r="Y826" s="221"/>
      <c r="Z826" s="221"/>
      <c r="AA826" s="221"/>
      <c r="AB826" s="221"/>
      <c r="AC826" s="221"/>
      <c r="AD826" s="221"/>
      <c r="AE826" s="221"/>
      <c r="AF826" s="221"/>
      <c r="AG826" s="221"/>
    </row>
    <row r="827" spans="1:33" s="384" customFormat="1" ht="12" customHeight="1">
      <c r="B827" s="383"/>
      <c r="X827" s="221"/>
      <c r="Y827" s="221"/>
      <c r="Z827" s="221"/>
      <c r="AA827" s="221"/>
      <c r="AB827" s="221"/>
      <c r="AC827" s="221"/>
      <c r="AD827" s="221"/>
      <c r="AE827" s="221"/>
      <c r="AF827" s="221"/>
      <c r="AG827" s="221"/>
    </row>
    <row r="828" spans="1:33" s="384" customFormat="1" ht="12" customHeight="1">
      <c r="B828" s="383"/>
    </row>
    <row r="829" spans="1:33" s="384" customFormat="1" ht="12" customHeight="1">
      <c r="B829" s="383"/>
    </row>
    <row r="830" spans="1:33" s="384" customFormat="1" ht="12" customHeight="1">
      <c r="B830" s="383"/>
    </row>
    <row r="831" spans="1:33" s="384" customFormat="1" ht="12" customHeight="1">
      <c r="B831" s="383"/>
    </row>
    <row r="832" spans="1:33" s="384" customFormat="1" ht="12" customHeight="1">
      <c r="B832" s="383"/>
    </row>
    <row r="833" spans="2:2" s="384" customFormat="1" ht="12" customHeight="1">
      <c r="B833" s="383"/>
    </row>
    <row r="834" spans="2:2" s="384" customFormat="1" ht="12" customHeight="1">
      <c r="B834" s="383"/>
    </row>
    <row r="835" spans="2:2" s="384" customFormat="1" ht="12" customHeight="1">
      <c r="B835" s="383"/>
    </row>
    <row r="836" spans="2:2" s="384" customFormat="1" ht="12" customHeight="1">
      <c r="B836" s="383"/>
    </row>
    <row r="837" spans="2:2" s="384" customFormat="1" ht="12" customHeight="1">
      <c r="B837" s="383"/>
    </row>
    <row r="838" spans="2:2" s="384" customFormat="1" ht="12" customHeight="1">
      <c r="B838" s="383"/>
    </row>
    <row r="839" spans="2:2" s="384" customFormat="1" ht="12" customHeight="1">
      <c r="B839" s="383"/>
    </row>
    <row r="840" spans="2:2" s="384" customFormat="1" ht="12" customHeight="1">
      <c r="B840" s="383"/>
    </row>
    <row r="841" spans="2:2" s="384" customFormat="1" ht="12" customHeight="1">
      <c r="B841" s="383"/>
    </row>
    <row r="842" spans="2:2" s="384" customFormat="1" ht="12" customHeight="1">
      <c r="B842" s="383"/>
    </row>
    <row r="843" spans="2:2" s="384" customFormat="1" ht="12" customHeight="1">
      <c r="B843" s="383"/>
    </row>
    <row r="844" spans="2:2" s="384" customFormat="1" ht="12" customHeight="1">
      <c r="B844" s="383"/>
    </row>
    <row r="845" spans="2:2" s="384" customFormat="1" ht="12" customHeight="1">
      <c r="B845" s="383"/>
    </row>
    <row r="846" spans="2:2" s="384" customFormat="1" ht="12" customHeight="1">
      <c r="B846" s="383"/>
    </row>
    <row r="847" spans="2:2" s="384" customFormat="1" ht="12" customHeight="1">
      <c r="B847" s="383"/>
    </row>
    <row r="848" spans="2:2" s="384" customFormat="1" ht="12" customHeight="1">
      <c r="B848" s="383"/>
    </row>
    <row r="849" spans="2:27" s="384" customFormat="1" ht="12" customHeight="1">
      <c r="B849" s="383"/>
    </row>
    <row r="850" spans="2:27" s="384" customFormat="1" ht="12" customHeight="1">
      <c r="B850" s="383"/>
    </row>
    <row r="851" spans="2:27" s="384" customFormat="1" ht="12" customHeight="1">
      <c r="B851" s="383"/>
    </row>
    <row r="852" spans="2:27" s="384" customFormat="1" ht="12" customHeight="1">
      <c r="B852" s="383"/>
    </row>
    <row r="853" spans="2:27" s="384" customFormat="1" ht="12" customHeight="1">
      <c r="B853" s="383"/>
    </row>
    <row r="854" spans="2:27" s="384" customFormat="1" ht="12" customHeight="1">
      <c r="B854" s="383"/>
    </row>
    <row r="855" spans="2:27" s="384" customFormat="1" ht="12" customHeight="1">
      <c r="B855" s="383"/>
      <c r="N855" s="221"/>
      <c r="O855" s="221"/>
    </row>
    <row r="856" spans="2:27" ht="12" customHeight="1">
      <c r="I856" s="384"/>
      <c r="Z856" s="296"/>
      <c r="AA856" s="296"/>
    </row>
    <row r="857" spans="2:27" ht="12" customHeight="1">
      <c r="Z857" s="296"/>
      <c r="AA857" s="296"/>
    </row>
    <row r="858" spans="2:27" ht="12" customHeight="1">
      <c r="Z858" s="296"/>
      <c r="AA858" s="296"/>
    </row>
    <row r="859" spans="2:27" ht="12" customHeight="1">
      <c r="Z859" s="296"/>
      <c r="AA859" s="296"/>
    </row>
  </sheetData>
  <sheetProtection algorithmName="SHA-512" hashValue="UG5mIrfQLTeu44ZBlMMRh6hXfWjXvAKmE8eXtHIPZvDsCGGo54pqRQmGl/GgCaHkG87uG3SKaV/k1Myddmp4kw==" saltValue="SLCUSo5d6HqCsacqG5VMWg==" spinCount="100000" sheet="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L108 J23 O23:O24 J29 O29:O3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441" customWidth="1"/>
    <col min="2" max="4" width="10.7109375" style="441" customWidth="1"/>
    <col min="5" max="5" width="15.85546875" style="441" customWidth="1"/>
    <col min="6" max="8" width="10.7109375" style="441" customWidth="1"/>
    <col min="9" max="16384" width="9.140625" style="441"/>
  </cols>
  <sheetData>
    <row r="1" spans="1:8" ht="21.95" customHeight="1">
      <c r="B1" s="2184" t="str">
        <f>Overview!C8</f>
        <v>Mill at Stone Valley</v>
      </c>
      <c r="C1" s="2184"/>
      <c r="D1" s="2184"/>
      <c r="E1" s="2184"/>
      <c r="F1" s="2184"/>
      <c r="G1" s="2184"/>
      <c r="H1" s="1188"/>
    </row>
    <row r="2" spans="1:8" ht="21.95" customHeight="1">
      <c r="A2" s="1462"/>
      <c r="B2" s="1462"/>
      <c r="C2" s="1462"/>
      <c r="D2" s="1462"/>
      <c r="E2" s="1462"/>
      <c r="F2" s="1462"/>
      <c r="G2" s="1462"/>
      <c r="H2" s="1462"/>
    </row>
    <row r="3" spans="1:8" ht="20.25" customHeight="1">
      <c r="C3" s="2183" t="s">
        <v>2534</v>
      </c>
      <c r="D3" s="2183"/>
      <c r="E3" s="2183"/>
      <c r="F3" s="2183"/>
    </row>
    <row r="5" spans="1:8" ht="15.75">
      <c r="D5" s="1152"/>
      <c r="E5" s="1152" t="s">
        <v>2535</v>
      </c>
    </row>
    <row r="6" spans="1:8" ht="15.75">
      <c r="D6" s="1189" t="s">
        <v>627</v>
      </c>
      <c r="E6" s="1189" t="s">
        <v>2536</v>
      </c>
    </row>
    <row r="7" spans="1:8" ht="15">
      <c r="D7" s="1153"/>
      <c r="E7" s="1153"/>
    </row>
    <row r="8" spans="1:8" ht="21" customHeight="1">
      <c r="D8" s="1154">
        <v>1</v>
      </c>
      <c r="E8" s="1155">
        <f>-'Part VII-Pro Forma'!B23/12</f>
        <v>13220.063937915722</v>
      </c>
    </row>
    <row r="9" spans="1:8" ht="21" customHeight="1">
      <c r="D9" s="1154">
        <v>2</v>
      </c>
      <c r="E9" s="1155">
        <f>-'Part VII-Pro Forma'!C23/12</f>
        <v>13220.063937915722</v>
      </c>
    </row>
    <row r="10" spans="1:8" ht="21" customHeight="1">
      <c r="D10" s="1154">
        <v>3</v>
      </c>
      <c r="E10" s="1155">
        <f>-'Part VII-Pro Forma'!D23/12</f>
        <v>13220.063937915722</v>
      </c>
    </row>
    <row r="11" spans="1:8" ht="21" customHeight="1">
      <c r="D11" s="1156">
        <v>4</v>
      </c>
      <c r="E11" s="1155">
        <f>-'Part VII-Pro Forma'!E23/12</f>
        <v>13220.063937915722</v>
      </c>
    </row>
    <row r="12" spans="1:8" ht="21" customHeight="1">
      <c r="D12" s="1156">
        <v>5</v>
      </c>
      <c r="E12" s="1155">
        <f>-'Part VII-Pro Forma'!F23/12</f>
        <v>13220.063937915722</v>
      </c>
    </row>
    <row r="13" spans="1:8" ht="21" customHeight="1">
      <c r="D13" s="1154">
        <v>6</v>
      </c>
      <c r="E13" s="1155">
        <f>-'Part VII-Pro Forma'!G23/12</f>
        <v>13220.063937915722</v>
      </c>
    </row>
    <row r="14" spans="1:8" ht="21" customHeight="1">
      <c r="D14" s="1154">
        <v>7</v>
      </c>
      <c r="E14" s="1155">
        <f>-'Part VII-Pro Forma'!H23/12</f>
        <v>13220.063937915722</v>
      </c>
    </row>
    <row r="15" spans="1:8" ht="21" customHeight="1">
      <c r="D15" s="1156">
        <v>8</v>
      </c>
      <c r="E15" s="1155">
        <f>-'Part VII-Pro Forma'!I23/12</f>
        <v>13220.063937915722</v>
      </c>
    </row>
    <row r="16" spans="1:8" ht="21" customHeight="1">
      <c r="D16" s="1154">
        <v>9</v>
      </c>
      <c r="E16" s="1155">
        <f>-'Part VII-Pro Forma'!J23/12</f>
        <v>13220.063937915722</v>
      </c>
    </row>
    <row r="17" spans="4:8" ht="21" customHeight="1">
      <c r="D17" s="1154">
        <v>10</v>
      </c>
      <c r="E17" s="1155">
        <f>-'Part VII-Pro Forma'!K23/12</f>
        <v>13220.063937915722</v>
      </c>
    </row>
    <row r="18" spans="4:8" ht="21" customHeight="1">
      <c r="D18" s="1156">
        <v>11</v>
      </c>
      <c r="E18" s="1155">
        <f>-'Part VII-Pro Forma'!B53/12</f>
        <v>13220.063937915722</v>
      </c>
    </row>
    <row r="19" spans="4:8" ht="21" customHeight="1">
      <c r="D19" s="1154">
        <v>12</v>
      </c>
      <c r="E19" s="1155">
        <f>-'Part VII-Pro Forma'!C53/12</f>
        <v>13220.063937915722</v>
      </c>
    </row>
    <row r="20" spans="4:8" ht="21" customHeight="1">
      <c r="D20" s="1154">
        <v>13</v>
      </c>
      <c r="E20" s="1155">
        <f>-'Part VII-Pro Forma'!D53/12</f>
        <v>13220.063937915722</v>
      </c>
    </row>
    <row r="21" spans="4:8" ht="21" customHeight="1">
      <c r="D21" s="1154">
        <v>14</v>
      </c>
      <c r="E21" s="1155">
        <f>-'Part VII-Pro Forma'!E53/12</f>
        <v>13220.063937915722</v>
      </c>
    </row>
    <row r="22" spans="4:8" ht="21" customHeight="1">
      <c r="D22" s="1154">
        <v>15</v>
      </c>
      <c r="E22" s="1155">
        <f>-'Part VII-Pro Forma'!F53/12</f>
        <v>13220.063937915722</v>
      </c>
    </row>
    <row r="23" spans="4:8" ht="21" customHeight="1">
      <c r="D23" s="1154">
        <v>16</v>
      </c>
      <c r="E23" s="1155">
        <f>-'Part VII-Pro Forma'!G53/12</f>
        <v>13220.063937915722</v>
      </c>
    </row>
    <row r="24" spans="4:8" ht="21" customHeight="1">
      <c r="D24" s="1154">
        <v>17</v>
      </c>
      <c r="E24" s="1155">
        <f>-'Part VII-Pro Forma'!H53/12</f>
        <v>13220.063937915722</v>
      </c>
      <c r="H24" s="441" t="s">
        <v>2338</v>
      </c>
    </row>
    <row r="25" spans="4:8" ht="21" customHeight="1">
      <c r="D25" s="1154">
        <v>18</v>
      </c>
      <c r="E25" s="1155">
        <f>-'Part VII-Pro Forma'!I53/12</f>
        <v>13220.063937915722</v>
      </c>
    </row>
    <row r="26" spans="4:8" ht="21" customHeight="1">
      <c r="D26" s="1154">
        <v>19</v>
      </c>
      <c r="E26" s="1155">
        <f>-'Part VII-Pro Forma'!J53/12</f>
        <v>13220.063937915722</v>
      </c>
    </row>
    <row r="27" spans="4:8" ht="21" customHeight="1">
      <c r="D27" s="1154">
        <v>20</v>
      </c>
      <c r="E27" s="1155">
        <f>-'Part VII-Pro Forma'!K53/12</f>
        <v>13220.063937915722</v>
      </c>
    </row>
    <row r="28" spans="4:8" ht="21" customHeight="1">
      <c r="D28" s="1154">
        <v>21</v>
      </c>
      <c r="E28" s="1155">
        <f>-'Part VII-Pro Forma'!B83/12</f>
        <v>13220.063937915722</v>
      </c>
    </row>
    <row r="29" spans="4:8" ht="21" customHeight="1">
      <c r="D29" s="1154">
        <v>22</v>
      </c>
      <c r="E29" s="1155">
        <f>-'Part VII-Pro Forma'!C83/12</f>
        <v>13220.063937915722</v>
      </c>
    </row>
    <row r="30" spans="4:8" ht="21" customHeight="1">
      <c r="D30" s="1154">
        <v>23</v>
      </c>
      <c r="E30" s="1155">
        <f>-'Part VII-Pro Forma'!D83/12</f>
        <v>13220.063937915722</v>
      </c>
    </row>
    <row r="31" spans="4:8" ht="21" customHeight="1">
      <c r="D31" s="1154">
        <v>24</v>
      </c>
      <c r="E31" s="1155">
        <f>-'Part VII-Pro Forma'!E83/12</f>
        <v>13220.063937915722</v>
      </c>
    </row>
    <row r="32" spans="4:8" ht="21" customHeight="1">
      <c r="D32" s="1154">
        <v>25</v>
      </c>
      <c r="E32" s="1155">
        <f>-'Part VII-Pro Forma'!F83/12</f>
        <v>13220.063937915722</v>
      </c>
    </row>
    <row r="33" spans="5:5" ht="15">
      <c r="E33" s="115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642" customWidth="1"/>
    <col min="2" max="2" width="10.140625" style="642" customWidth="1"/>
    <col min="3" max="3" width="11.7109375" style="642" customWidth="1"/>
    <col min="4" max="4" width="8.5703125" style="642" customWidth="1"/>
    <col min="5" max="5" width="13.7109375" style="642" customWidth="1"/>
    <col min="6" max="6" width="2.7109375" style="642" customWidth="1"/>
    <col min="7" max="7" width="11.7109375" style="642" customWidth="1"/>
    <col min="8" max="8" width="8.5703125" style="642" customWidth="1"/>
    <col min="9" max="9" width="13.7109375" style="642" customWidth="1"/>
    <col min="10" max="10" width="4.7109375" style="642" customWidth="1"/>
    <col min="11" max="11" width="25.7109375" style="642" customWidth="1"/>
    <col min="12" max="256" width="8.85546875" style="642"/>
    <col min="257" max="257" width="11.5703125" style="642" bestFit="1" customWidth="1"/>
    <col min="258" max="258" width="12.5703125" style="642" customWidth="1"/>
    <col min="259" max="259" width="10.28515625" style="642" customWidth="1"/>
    <col min="260" max="260" width="14.7109375" style="642" customWidth="1"/>
    <col min="261" max="261" width="13.28515625" style="642" bestFit="1" customWidth="1"/>
    <col min="262" max="262" width="4.85546875" style="642" customWidth="1"/>
    <col min="263" max="263" width="11.7109375" style="642" customWidth="1"/>
    <col min="264" max="264" width="12" style="642" customWidth="1"/>
    <col min="265" max="265" width="9.7109375" style="642" customWidth="1"/>
    <col min="266" max="266" width="13.7109375" style="642" bestFit="1" customWidth="1"/>
    <col min="267" max="512" width="8.85546875" style="642"/>
    <col min="513" max="513" width="11.5703125" style="642" bestFit="1" customWidth="1"/>
    <col min="514" max="514" width="12.5703125" style="642" customWidth="1"/>
    <col min="515" max="515" width="10.28515625" style="642" customWidth="1"/>
    <col min="516" max="516" width="14.7109375" style="642" customWidth="1"/>
    <col min="517" max="517" width="13.28515625" style="642" bestFit="1" customWidth="1"/>
    <col min="518" max="518" width="4.85546875" style="642" customWidth="1"/>
    <col min="519" max="519" width="11.7109375" style="642" customWidth="1"/>
    <col min="520" max="520" width="12" style="642" customWidth="1"/>
    <col min="521" max="521" width="9.7109375" style="642" customWidth="1"/>
    <col min="522" max="522" width="13.7109375" style="642" bestFit="1" customWidth="1"/>
    <col min="523" max="768" width="8.85546875" style="642"/>
    <col min="769" max="769" width="11.5703125" style="642" bestFit="1" customWidth="1"/>
    <col min="770" max="770" width="12.5703125" style="642" customWidth="1"/>
    <col min="771" max="771" width="10.28515625" style="642" customWidth="1"/>
    <col min="772" max="772" width="14.7109375" style="642" customWidth="1"/>
    <col min="773" max="773" width="13.28515625" style="642" bestFit="1" customWidth="1"/>
    <col min="774" max="774" width="4.85546875" style="642" customWidth="1"/>
    <col min="775" max="775" width="11.7109375" style="642" customWidth="1"/>
    <col min="776" max="776" width="12" style="642" customWidth="1"/>
    <col min="777" max="777" width="9.7109375" style="642" customWidth="1"/>
    <col min="778" max="778" width="13.7109375" style="642" bestFit="1" customWidth="1"/>
    <col min="779" max="1024" width="8.85546875" style="642"/>
    <col min="1025" max="1025" width="11.5703125" style="642" bestFit="1" customWidth="1"/>
    <col min="1026" max="1026" width="12.5703125" style="642" customWidth="1"/>
    <col min="1027" max="1027" width="10.28515625" style="642" customWidth="1"/>
    <col min="1028" max="1028" width="14.7109375" style="642" customWidth="1"/>
    <col min="1029" max="1029" width="13.28515625" style="642" bestFit="1" customWidth="1"/>
    <col min="1030" max="1030" width="4.85546875" style="642" customWidth="1"/>
    <col min="1031" max="1031" width="11.7109375" style="642" customWidth="1"/>
    <col min="1032" max="1032" width="12" style="642" customWidth="1"/>
    <col min="1033" max="1033" width="9.7109375" style="642" customWidth="1"/>
    <col min="1034" max="1034" width="13.7109375" style="642" bestFit="1" customWidth="1"/>
    <col min="1035" max="1280" width="8.85546875" style="642"/>
    <col min="1281" max="1281" width="11.5703125" style="642" bestFit="1" customWidth="1"/>
    <col min="1282" max="1282" width="12.5703125" style="642" customWidth="1"/>
    <col min="1283" max="1283" width="10.28515625" style="642" customWidth="1"/>
    <col min="1284" max="1284" width="14.7109375" style="642" customWidth="1"/>
    <col min="1285" max="1285" width="13.28515625" style="642" bestFit="1" customWidth="1"/>
    <col min="1286" max="1286" width="4.85546875" style="642" customWidth="1"/>
    <col min="1287" max="1287" width="11.7109375" style="642" customWidth="1"/>
    <col min="1288" max="1288" width="12" style="642" customWidth="1"/>
    <col min="1289" max="1289" width="9.7109375" style="642" customWidth="1"/>
    <col min="1290" max="1290" width="13.7109375" style="642" bestFit="1" customWidth="1"/>
    <col min="1291" max="1536" width="8.85546875" style="642"/>
    <col min="1537" max="1537" width="11.5703125" style="642" bestFit="1" customWidth="1"/>
    <col min="1538" max="1538" width="12.5703125" style="642" customWidth="1"/>
    <col min="1539" max="1539" width="10.28515625" style="642" customWidth="1"/>
    <col min="1540" max="1540" width="14.7109375" style="642" customWidth="1"/>
    <col min="1541" max="1541" width="13.28515625" style="642" bestFit="1" customWidth="1"/>
    <col min="1542" max="1542" width="4.85546875" style="642" customWidth="1"/>
    <col min="1543" max="1543" width="11.7109375" style="642" customWidth="1"/>
    <col min="1544" max="1544" width="12" style="642" customWidth="1"/>
    <col min="1545" max="1545" width="9.7109375" style="642" customWidth="1"/>
    <col min="1546" max="1546" width="13.7109375" style="642" bestFit="1" customWidth="1"/>
    <col min="1547" max="1792" width="8.85546875" style="642"/>
    <col min="1793" max="1793" width="11.5703125" style="642" bestFit="1" customWidth="1"/>
    <col min="1794" max="1794" width="12.5703125" style="642" customWidth="1"/>
    <col min="1795" max="1795" width="10.28515625" style="642" customWidth="1"/>
    <col min="1796" max="1796" width="14.7109375" style="642" customWidth="1"/>
    <col min="1797" max="1797" width="13.28515625" style="642" bestFit="1" customWidth="1"/>
    <col min="1798" max="1798" width="4.85546875" style="642" customWidth="1"/>
    <col min="1799" max="1799" width="11.7109375" style="642" customWidth="1"/>
    <col min="1800" max="1800" width="12" style="642" customWidth="1"/>
    <col min="1801" max="1801" width="9.7109375" style="642" customWidth="1"/>
    <col min="1802" max="1802" width="13.7109375" style="642" bestFit="1" customWidth="1"/>
    <col min="1803" max="2048" width="8.85546875" style="642"/>
    <col min="2049" max="2049" width="11.5703125" style="642" bestFit="1" customWidth="1"/>
    <col min="2050" max="2050" width="12.5703125" style="642" customWidth="1"/>
    <col min="2051" max="2051" width="10.28515625" style="642" customWidth="1"/>
    <col min="2052" max="2052" width="14.7109375" style="642" customWidth="1"/>
    <col min="2053" max="2053" width="13.28515625" style="642" bestFit="1" customWidth="1"/>
    <col min="2054" max="2054" width="4.85546875" style="642" customWidth="1"/>
    <col min="2055" max="2055" width="11.7109375" style="642" customWidth="1"/>
    <col min="2056" max="2056" width="12" style="642" customWidth="1"/>
    <col min="2057" max="2057" width="9.7109375" style="642" customWidth="1"/>
    <col min="2058" max="2058" width="13.7109375" style="642" bestFit="1" customWidth="1"/>
    <col min="2059" max="2304" width="8.85546875" style="642"/>
    <col min="2305" max="2305" width="11.5703125" style="642" bestFit="1" customWidth="1"/>
    <col min="2306" max="2306" width="12.5703125" style="642" customWidth="1"/>
    <col min="2307" max="2307" width="10.28515625" style="642" customWidth="1"/>
    <col min="2308" max="2308" width="14.7109375" style="642" customWidth="1"/>
    <col min="2309" max="2309" width="13.28515625" style="642" bestFit="1" customWidth="1"/>
    <col min="2310" max="2310" width="4.85546875" style="642" customWidth="1"/>
    <col min="2311" max="2311" width="11.7109375" style="642" customWidth="1"/>
    <col min="2312" max="2312" width="12" style="642" customWidth="1"/>
    <col min="2313" max="2313" width="9.7109375" style="642" customWidth="1"/>
    <col min="2314" max="2314" width="13.7109375" style="642" bestFit="1" customWidth="1"/>
    <col min="2315" max="2560" width="8.85546875" style="642"/>
    <col min="2561" max="2561" width="11.5703125" style="642" bestFit="1" customWidth="1"/>
    <col min="2562" max="2562" width="12.5703125" style="642" customWidth="1"/>
    <col min="2563" max="2563" width="10.28515625" style="642" customWidth="1"/>
    <col min="2564" max="2564" width="14.7109375" style="642" customWidth="1"/>
    <col min="2565" max="2565" width="13.28515625" style="642" bestFit="1" customWidth="1"/>
    <col min="2566" max="2566" width="4.85546875" style="642" customWidth="1"/>
    <col min="2567" max="2567" width="11.7109375" style="642" customWidth="1"/>
    <col min="2568" max="2568" width="12" style="642" customWidth="1"/>
    <col min="2569" max="2569" width="9.7109375" style="642" customWidth="1"/>
    <col min="2570" max="2570" width="13.7109375" style="642" bestFit="1" customWidth="1"/>
    <col min="2571" max="2816" width="8.85546875" style="642"/>
    <col min="2817" max="2817" width="11.5703125" style="642" bestFit="1" customWidth="1"/>
    <col min="2818" max="2818" width="12.5703125" style="642" customWidth="1"/>
    <col min="2819" max="2819" width="10.28515625" style="642" customWidth="1"/>
    <col min="2820" max="2820" width="14.7109375" style="642" customWidth="1"/>
    <col min="2821" max="2821" width="13.28515625" style="642" bestFit="1" customWidth="1"/>
    <col min="2822" max="2822" width="4.85546875" style="642" customWidth="1"/>
    <col min="2823" max="2823" width="11.7109375" style="642" customWidth="1"/>
    <col min="2824" max="2824" width="12" style="642" customWidth="1"/>
    <col min="2825" max="2825" width="9.7109375" style="642" customWidth="1"/>
    <col min="2826" max="2826" width="13.7109375" style="642" bestFit="1" customWidth="1"/>
    <col min="2827" max="3072" width="8.85546875" style="642"/>
    <col min="3073" max="3073" width="11.5703125" style="642" bestFit="1" customWidth="1"/>
    <col min="3074" max="3074" width="12.5703125" style="642" customWidth="1"/>
    <col min="3075" max="3075" width="10.28515625" style="642" customWidth="1"/>
    <col min="3076" max="3076" width="14.7109375" style="642" customWidth="1"/>
    <col min="3077" max="3077" width="13.28515625" style="642" bestFit="1" customWidth="1"/>
    <col min="3078" max="3078" width="4.85546875" style="642" customWidth="1"/>
    <col min="3079" max="3079" width="11.7109375" style="642" customWidth="1"/>
    <col min="3080" max="3080" width="12" style="642" customWidth="1"/>
    <col min="3081" max="3081" width="9.7109375" style="642" customWidth="1"/>
    <col min="3082" max="3082" width="13.7109375" style="642" bestFit="1" customWidth="1"/>
    <col min="3083" max="3328" width="8.85546875" style="642"/>
    <col min="3329" max="3329" width="11.5703125" style="642" bestFit="1" customWidth="1"/>
    <col min="3330" max="3330" width="12.5703125" style="642" customWidth="1"/>
    <col min="3331" max="3331" width="10.28515625" style="642" customWidth="1"/>
    <col min="3332" max="3332" width="14.7109375" style="642" customWidth="1"/>
    <col min="3333" max="3333" width="13.28515625" style="642" bestFit="1" customWidth="1"/>
    <col min="3334" max="3334" width="4.85546875" style="642" customWidth="1"/>
    <col min="3335" max="3335" width="11.7109375" style="642" customWidth="1"/>
    <col min="3336" max="3336" width="12" style="642" customWidth="1"/>
    <col min="3337" max="3337" width="9.7109375" style="642" customWidth="1"/>
    <col min="3338" max="3338" width="13.7109375" style="642" bestFit="1" customWidth="1"/>
    <col min="3339" max="3584" width="8.85546875" style="642"/>
    <col min="3585" max="3585" width="11.5703125" style="642" bestFit="1" customWidth="1"/>
    <col min="3586" max="3586" width="12.5703125" style="642" customWidth="1"/>
    <col min="3587" max="3587" width="10.28515625" style="642" customWidth="1"/>
    <col min="3588" max="3588" width="14.7109375" style="642" customWidth="1"/>
    <col min="3589" max="3589" width="13.28515625" style="642" bestFit="1" customWidth="1"/>
    <col min="3590" max="3590" width="4.85546875" style="642" customWidth="1"/>
    <col min="3591" max="3591" width="11.7109375" style="642" customWidth="1"/>
    <col min="3592" max="3592" width="12" style="642" customWidth="1"/>
    <col min="3593" max="3593" width="9.7109375" style="642" customWidth="1"/>
    <col min="3594" max="3594" width="13.7109375" style="642" bestFit="1" customWidth="1"/>
    <col min="3595" max="3840" width="8.85546875" style="642"/>
    <col min="3841" max="3841" width="11.5703125" style="642" bestFit="1" customWidth="1"/>
    <col min="3842" max="3842" width="12.5703125" style="642" customWidth="1"/>
    <col min="3843" max="3843" width="10.28515625" style="642" customWidth="1"/>
    <col min="3844" max="3844" width="14.7109375" style="642" customWidth="1"/>
    <col min="3845" max="3845" width="13.28515625" style="642" bestFit="1" customWidth="1"/>
    <col min="3846" max="3846" width="4.85546875" style="642" customWidth="1"/>
    <col min="3847" max="3847" width="11.7109375" style="642" customWidth="1"/>
    <col min="3848" max="3848" width="12" style="642" customWidth="1"/>
    <col min="3849" max="3849" width="9.7109375" style="642" customWidth="1"/>
    <col min="3850" max="3850" width="13.7109375" style="642" bestFit="1" customWidth="1"/>
    <col min="3851" max="4096" width="8.85546875" style="642"/>
    <col min="4097" max="4097" width="11.5703125" style="642" bestFit="1" customWidth="1"/>
    <col min="4098" max="4098" width="12.5703125" style="642" customWidth="1"/>
    <col min="4099" max="4099" width="10.28515625" style="642" customWidth="1"/>
    <col min="4100" max="4100" width="14.7109375" style="642" customWidth="1"/>
    <col min="4101" max="4101" width="13.28515625" style="642" bestFit="1" customWidth="1"/>
    <col min="4102" max="4102" width="4.85546875" style="642" customWidth="1"/>
    <col min="4103" max="4103" width="11.7109375" style="642" customWidth="1"/>
    <col min="4104" max="4104" width="12" style="642" customWidth="1"/>
    <col min="4105" max="4105" width="9.7109375" style="642" customWidth="1"/>
    <col min="4106" max="4106" width="13.7109375" style="642" bestFit="1" customWidth="1"/>
    <col min="4107" max="4352" width="8.85546875" style="642"/>
    <col min="4353" max="4353" width="11.5703125" style="642" bestFit="1" customWidth="1"/>
    <col min="4354" max="4354" width="12.5703125" style="642" customWidth="1"/>
    <col min="4355" max="4355" width="10.28515625" style="642" customWidth="1"/>
    <col min="4356" max="4356" width="14.7109375" style="642" customWidth="1"/>
    <col min="4357" max="4357" width="13.28515625" style="642" bestFit="1" customWidth="1"/>
    <col min="4358" max="4358" width="4.85546875" style="642" customWidth="1"/>
    <col min="4359" max="4359" width="11.7109375" style="642" customWidth="1"/>
    <col min="4360" max="4360" width="12" style="642" customWidth="1"/>
    <col min="4361" max="4361" width="9.7109375" style="642" customWidth="1"/>
    <col min="4362" max="4362" width="13.7109375" style="642" bestFit="1" customWidth="1"/>
    <col min="4363" max="4608" width="8.85546875" style="642"/>
    <col min="4609" max="4609" width="11.5703125" style="642" bestFit="1" customWidth="1"/>
    <col min="4610" max="4610" width="12.5703125" style="642" customWidth="1"/>
    <col min="4611" max="4611" width="10.28515625" style="642" customWidth="1"/>
    <col min="4612" max="4612" width="14.7109375" style="642" customWidth="1"/>
    <col min="4613" max="4613" width="13.28515625" style="642" bestFit="1" customWidth="1"/>
    <col min="4614" max="4614" width="4.85546875" style="642" customWidth="1"/>
    <col min="4615" max="4615" width="11.7109375" style="642" customWidth="1"/>
    <col min="4616" max="4616" width="12" style="642" customWidth="1"/>
    <col min="4617" max="4617" width="9.7109375" style="642" customWidth="1"/>
    <col min="4618" max="4618" width="13.7109375" style="642" bestFit="1" customWidth="1"/>
    <col min="4619" max="4864" width="8.85546875" style="642"/>
    <col min="4865" max="4865" width="11.5703125" style="642" bestFit="1" customWidth="1"/>
    <col min="4866" max="4866" width="12.5703125" style="642" customWidth="1"/>
    <col min="4867" max="4867" width="10.28515625" style="642" customWidth="1"/>
    <col min="4868" max="4868" width="14.7109375" style="642" customWidth="1"/>
    <col min="4869" max="4869" width="13.28515625" style="642" bestFit="1" customWidth="1"/>
    <col min="4870" max="4870" width="4.85546875" style="642" customWidth="1"/>
    <col min="4871" max="4871" width="11.7109375" style="642" customWidth="1"/>
    <col min="4872" max="4872" width="12" style="642" customWidth="1"/>
    <col min="4873" max="4873" width="9.7109375" style="642" customWidth="1"/>
    <col min="4874" max="4874" width="13.7109375" style="642" bestFit="1" customWidth="1"/>
    <col min="4875" max="5120" width="8.85546875" style="642"/>
    <col min="5121" max="5121" width="11.5703125" style="642" bestFit="1" customWidth="1"/>
    <col min="5122" max="5122" width="12.5703125" style="642" customWidth="1"/>
    <col min="5123" max="5123" width="10.28515625" style="642" customWidth="1"/>
    <col min="5124" max="5124" width="14.7109375" style="642" customWidth="1"/>
    <col min="5125" max="5125" width="13.28515625" style="642" bestFit="1" customWidth="1"/>
    <col min="5126" max="5126" width="4.85546875" style="642" customWidth="1"/>
    <col min="5127" max="5127" width="11.7109375" style="642" customWidth="1"/>
    <col min="5128" max="5128" width="12" style="642" customWidth="1"/>
    <col min="5129" max="5129" width="9.7109375" style="642" customWidth="1"/>
    <col min="5130" max="5130" width="13.7109375" style="642" bestFit="1" customWidth="1"/>
    <col min="5131" max="5376" width="8.85546875" style="642"/>
    <col min="5377" max="5377" width="11.5703125" style="642" bestFit="1" customWidth="1"/>
    <col min="5378" max="5378" width="12.5703125" style="642" customWidth="1"/>
    <col min="5379" max="5379" width="10.28515625" style="642" customWidth="1"/>
    <col min="5380" max="5380" width="14.7109375" style="642" customWidth="1"/>
    <col min="5381" max="5381" width="13.28515625" style="642" bestFit="1" customWidth="1"/>
    <col min="5382" max="5382" width="4.85546875" style="642" customWidth="1"/>
    <col min="5383" max="5383" width="11.7109375" style="642" customWidth="1"/>
    <col min="5384" max="5384" width="12" style="642" customWidth="1"/>
    <col min="5385" max="5385" width="9.7109375" style="642" customWidth="1"/>
    <col min="5386" max="5386" width="13.7109375" style="642" bestFit="1" customWidth="1"/>
    <col min="5387" max="5632" width="8.85546875" style="642"/>
    <col min="5633" max="5633" width="11.5703125" style="642" bestFit="1" customWidth="1"/>
    <col min="5634" max="5634" width="12.5703125" style="642" customWidth="1"/>
    <col min="5635" max="5635" width="10.28515625" style="642" customWidth="1"/>
    <col min="5636" max="5636" width="14.7109375" style="642" customWidth="1"/>
    <col min="5637" max="5637" width="13.28515625" style="642" bestFit="1" customWidth="1"/>
    <col min="5638" max="5638" width="4.85546875" style="642" customWidth="1"/>
    <col min="5639" max="5639" width="11.7109375" style="642" customWidth="1"/>
    <col min="5640" max="5640" width="12" style="642" customWidth="1"/>
    <col min="5641" max="5641" width="9.7109375" style="642" customWidth="1"/>
    <col min="5642" max="5642" width="13.7109375" style="642" bestFit="1" customWidth="1"/>
    <col min="5643" max="5888" width="8.85546875" style="642"/>
    <col min="5889" max="5889" width="11.5703125" style="642" bestFit="1" customWidth="1"/>
    <col min="5890" max="5890" width="12.5703125" style="642" customWidth="1"/>
    <col min="5891" max="5891" width="10.28515625" style="642" customWidth="1"/>
    <col min="5892" max="5892" width="14.7109375" style="642" customWidth="1"/>
    <col min="5893" max="5893" width="13.28515625" style="642" bestFit="1" customWidth="1"/>
    <col min="5894" max="5894" width="4.85546875" style="642" customWidth="1"/>
    <col min="5895" max="5895" width="11.7109375" style="642" customWidth="1"/>
    <col min="5896" max="5896" width="12" style="642" customWidth="1"/>
    <col min="5897" max="5897" width="9.7109375" style="642" customWidth="1"/>
    <col min="5898" max="5898" width="13.7109375" style="642" bestFit="1" customWidth="1"/>
    <col min="5899" max="6144" width="8.85546875" style="642"/>
    <col min="6145" max="6145" width="11.5703125" style="642" bestFit="1" customWidth="1"/>
    <col min="6146" max="6146" width="12.5703125" style="642" customWidth="1"/>
    <col min="6147" max="6147" width="10.28515625" style="642" customWidth="1"/>
    <col min="6148" max="6148" width="14.7109375" style="642" customWidth="1"/>
    <col min="6149" max="6149" width="13.28515625" style="642" bestFit="1" customWidth="1"/>
    <col min="6150" max="6150" width="4.85546875" style="642" customWidth="1"/>
    <col min="6151" max="6151" width="11.7109375" style="642" customWidth="1"/>
    <col min="6152" max="6152" width="12" style="642" customWidth="1"/>
    <col min="6153" max="6153" width="9.7109375" style="642" customWidth="1"/>
    <col min="6154" max="6154" width="13.7109375" style="642" bestFit="1" customWidth="1"/>
    <col min="6155" max="6400" width="8.85546875" style="642"/>
    <col min="6401" max="6401" width="11.5703125" style="642" bestFit="1" customWidth="1"/>
    <col min="6402" max="6402" width="12.5703125" style="642" customWidth="1"/>
    <col min="6403" max="6403" width="10.28515625" style="642" customWidth="1"/>
    <col min="6404" max="6404" width="14.7109375" style="642" customWidth="1"/>
    <col min="6405" max="6405" width="13.28515625" style="642" bestFit="1" customWidth="1"/>
    <col min="6406" max="6406" width="4.85546875" style="642" customWidth="1"/>
    <col min="6407" max="6407" width="11.7109375" style="642" customWidth="1"/>
    <col min="6408" max="6408" width="12" style="642" customWidth="1"/>
    <col min="6409" max="6409" width="9.7109375" style="642" customWidth="1"/>
    <col min="6410" max="6410" width="13.7109375" style="642" bestFit="1" customWidth="1"/>
    <col min="6411" max="6656" width="8.85546875" style="642"/>
    <col min="6657" max="6657" width="11.5703125" style="642" bestFit="1" customWidth="1"/>
    <col min="6658" max="6658" width="12.5703125" style="642" customWidth="1"/>
    <col min="6659" max="6659" width="10.28515625" style="642" customWidth="1"/>
    <col min="6660" max="6660" width="14.7109375" style="642" customWidth="1"/>
    <col min="6661" max="6661" width="13.28515625" style="642" bestFit="1" customWidth="1"/>
    <col min="6662" max="6662" width="4.85546875" style="642" customWidth="1"/>
    <col min="6663" max="6663" width="11.7109375" style="642" customWidth="1"/>
    <col min="6664" max="6664" width="12" style="642" customWidth="1"/>
    <col min="6665" max="6665" width="9.7109375" style="642" customWidth="1"/>
    <col min="6666" max="6666" width="13.7109375" style="642" bestFit="1" customWidth="1"/>
    <col min="6667" max="6912" width="8.85546875" style="642"/>
    <col min="6913" max="6913" width="11.5703125" style="642" bestFit="1" customWidth="1"/>
    <col min="6914" max="6914" width="12.5703125" style="642" customWidth="1"/>
    <col min="6915" max="6915" width="10.28515625" style="642" customWidth="1"/>
    <col min="6916" max="6916" width="14.7109375" style="642" customWidth="1"/>
    <col min="6917" max="6917" width="13.28515625" style="642" bestFit="1" customWidth="1"/>
    <col min="6918" max="6918" width="4.85546875" style="642" customWidth="1"/>
    <col min="6919" max="6919" width="11.7109375" style="642" customWidth="1"/>
    <col min="6920" max="6920" width="12" style="642" customWidth="1"/>
    <col min="6921" max="6921" width="9.7109375" style="642" customWidth="1"/>
    <col min="6922" max="6922" width="13.7109375" style="642" bestFit="1" customWidth="1"/>
    <col min="6923" max="7168" width="8.85546875" style="642"/>
    <col min="7169" max="7169" width="11.5703125" style="642" bestFit="1" customWidth="1"/>
    <col min="7170" max="7170" width="12.5703125" style="642" customWidth="1"/>
    <col min="7171" max="7171" width="10.28515625" style="642" customWidth="1"/>
    <col min="7172" max="7172" width="14.7109375" style="642" customWidth="1"/>
    <col min="7173" max="7173" width="13.28515625" style="642" bestFit="1" customWidth="1"/>
    <col min="7174" max="7174" width="4.85546875" style="642" customWidth="1"/>
    <col min="7175" max="7175" width="11.7109375" style="642" customWidth="1"/>
    <col min="7176" max="7176" width="12" style="642" customWidth="1"/>
    <col min="7177" max="7177" width="9.7109375" style="642" customWidth="1"/>
    <col min="7178" max="7178" width="13.7109375" style="642" bestFit="1" customWidth="1"/>
    <col min="7179" max="7424" width="8.85546875" style="642"/>
    <col min="7425" max="7425" width="11.5703125" style="642" bestFit="1" customWidth="1"/>
    <col min="7426" max="7426" width="12.5703125" style="642" customWidth="1"/>
    <col min="7427" max="7427" width="10.28515625" style="642" customWidth="1"/>
    <col min="7428" max="7428" width="14.7109375" style="642" customWidth="1"/>
    <col min="7429" max="7429" width="13.28515625" style="642" bestFit="1" customWidth="1"/>
    <col min="7430" max="7430" width="4.85546875" style="642" customWidth="1"/>
    <col min="7431" max="7431" width="11.7109375" style="642" customWidth="1"/>
    <col min="7432" max="7432" width="12" style="642" customWidth="1"/>
    <col min="7433" max="7433" width="9.7109375" style="642" customWidth="1"/>
    <col min="7434" max="7434" width="13.7109375" style="642" bestFit="1" customWidth="1"/>
    <col min="7435" max="7680" width="8.85546875" style="642"/>
    <col min="7681" max="7681" width="11.5703125" style="642" bestFit="1" customWidth="1"/>
    <col min="7682" max="7682" width="12.5703125" style="642" customWidth="1"/>
    <col min="7683" max="7683" width="10.28515625" style="642" customWidth="1"/>
    <col min="7684" max="7684" width="14.7109375" style="642" customWidth="1"/>
    <col min="7685" max="7685" width="13.28515625" style="642" bestFit="1" customWidth="1"/>
    <col min="7686" max="7686" width="4.85546875" style="642" customWidth="1"/>
    <col min="7687" max="7687" width="11.7109375" style="642" customWidth="1"/>
    <col min="7688" max="7688" width="12" style="642" customWidth="1"/>
    <col min="7689" max="7689" width="9.7109375" style="642" customWidth="1"/>
    <col min="7690" max="7690" width="13.7109375" style="642" bestFit="1" customWidth="1"/>
    <col min="7691" max="7936" width="8.85546875" style="642"/>
    <col min="7937" max="7937" width="11.5703125" style="642" bestFit="1" customWidth="1"/>
    <col min="7938" max="7938" width="12.5703125" style="642" customWidth="1"/>
    <col min="7939" max="7939" width="10.28515625" style="642" customWidth="1"/>
    <col min="7940" max="7940" width="14.7109375" style="642" customWidth="1"/>
    <col min="7941" max="7941" width="13.28515625" style="642" bestFit="1" customWidth="1"/>
    <col min="7942" max="7942" width="4.85546875" style="642" customWidth="1"/>
    <col min="7943" max="7943" width="11.7109375" style="642" customWidth="1"/>
    <col min="7944" max="7944" width="12" style="642" customWidth="1"/>
    <col min="7945" max="7945" width="9.7109375" style="642" customWidth="1"/>
    <col min="7946" max="7946" width="13.7109375" style="642" bestFit="1" customWidth="1"/>
    <col min="7947" max="8192" width="8.85546875" style="642"/>
    <col min="8193" max="8193" width="11.5703125" style="642" bestFit="1" customWidth="1"/>
    <col min="8194" max="8194" width="12.5703125" style="642" customWidth="1"/>
    <col min="8195" max="8195" width="10.28515625" style="642" customWidth="1"/>
    <col min="8196" max="8196" width="14.7109375" style="642" customWidth="1"/>
    <col min="8197" max="8197" width="13.28515625" style="642" bestFit="1" customWidth="1"/>
    <col min="8198" max="8198" width="4.85546875" style="642" customWidth="1"/>
    <col min="8199" max="8199" width="11.7109375" style="642" customWidth="1"/>
    <col min="8200" max="8200" width="12" style="642" customWidth="1"/>
    <col min="8201" max="8201" width="9.7109375" style="642" customWidth="1"/>
    <col min="8202" max="8202" width="13.7109375" style="642" bestFit="1" customWidth="1"/>
    <col min="8203" max="8448" width="8.85546875" style="642"/>
    <col min="8449" max="8449" width="11.5703125" style="642" bestFit="1" customWidth="1"/>
    <col min="8450" max="8450" width="12.5703125" style="642" customWidth="1"/>
    <col min="8451" max="8451" width="10.28515625" style="642" customWidth="1"/>
    <col min="8452" max="8452" width="14.7109375" style="642" customWidth="1"/>
    <col min="8453" max="8453" width="13.28515625" style="642" bestFit="1" customWidth="1"/>
    <col min="8454" max="8454" width="4.85546875" style="642" customWidth="1"/>
    <col min="8455" max="8455" width="11.7109375" style="642" customWidth="1"/>
    <col min="8456" max="8456" width="12" style="642" customWidth="1"/>
    <col min="8457" max="8457" width="9.7109375" style="642" customWidth="1"/>
    <col min="8458" max="8458" width="13.7109375" style="642" bestFit="1" customWidth="1"/>
    <col min="8459" max="8704" width="8.85546875" style="642"/>
    <col min="8705" max="8705" width="11.5703125" style="642" bestFit="1" customWidth="1"/>
    <col min="8706" max="8706" width="12.5703125" style="642" customWidth="1"/>
    <col min="8707" max="8707" width="10.28515625" style="642" customWidth="1"/>
    <col min="8708" max="8708" width="14.7109375" style="642" customWidth="1"/>
    <col min="8709" max="8709" width="13.28515625" style="642" bestFit="1" customWidth="1"/>
    <col min="8710" max="8710" width="4.85546875" style="642" customWidth="1"/>
    <col min="8711" max="8711" width="11.7109375" style="642" customWidth="1"/>
    <col min="8712" max="8712" width="12" style="642" customWidth="1"/>
    <col min="8713" max="8713" width="9.7109375" style="642" customWidth="1"/>
    <col min="8714" max="8714" width="13.7109375" style="642" bestFit="1" customWidth="1"/>
    <col min="8715" max="8960" width="8.85546875" style="642"/>
    <col min="8961" max="8961" width="11.5703125" style="642" bestFit="1" customWidth="1"/>
    <col min="8962" max="8962" width="12.5703125" style="642" customWidth="1"/>
    <col min="8963" max="8963" width="10.28515625" style="642" customWidth="1"/>
    <col min="8964" max="8964" width="14.7109375" style="642" customWidth="1"/>
    <col min="8965" max="8965" width="13.28515625" style="642" bestFit="1" customWidth="1"/>
    <col min="8966" max="8966" width="4.85546875" style="642" customWidth="1"/>
    <col min="8967" max="8967" width="11.7109375" style="642" customWidth="1"/>
    <col min="8968" max="8968" width="12" style="642" customWidth="1"/>
    <col min="8969" max="8969" width="9.7109375" style="642" customWidth="1"/>
    <col min="8970" max="8970" width="13.7109375" style="642" bestFit="1" customWidth="1"/>
    <col min="8971" max="9216" width="8.85546875" style="642"/>
    <col min="9217" max="9217" width="11.5703125" style="642" bestFit="1" customWidth="1"/>
    <col min="9218" max="9218" width="12.5703125" style="642" customWidth="1"/>
    <col min="9219" max="9219" width="10.28515625" style="642" customWidth="1"/>
    <col min="9220" max="9220" width="14.7109375" style="642" customWidth="1"/>
    <col min="9221" max="9221" width="13.28515625" style="642" bestFit="1" customWidth="1"/>
    <col min="9222" max="9222" width="4.85546875" style="642" customWidth="1"/>
    <col min="9223" max="9223" width="11.7109375" style="642" customWidth="1"/>
    <col min="9224" max="9224" width="12" style="642" customWidth="1"/>
    <col min="9225" max="9225" width="9.7109375" style="642" customWidth="1"/>
    <col min="9226" max="9226" width="13.7109375" style="642" bestFit="1" customWidth="1"/>
    <col min="9227" max="9472" width="8.85546875" style="642"/>
    <col min="9473" max="9473" width="11.5703125" style="642" bestFit="1" customWidth="1"/>
    <col min="9474" max="9474" width="12.5703125" style="642" customWidth="1"/>
    <col min="9475" max="9475" width="10.28515625" style="642" customWidth="1"/>
    <col min="9476" max="9476" width="14.7109375" style="642" customWidth="1"/>
    <col min="9477" max="9477" width="13.28515625" style="642" bestFit="1" customWidth="1"/>
    <col min="9478" max="9478" width="4.85546875" style="642" customWidth="1"/>
    <col min="9479" max="9479" width="11.7109375" style="642" customWidth="1"/>
    <col min="9480" max="9480" width="12" style="642" customWidth="1"/>
    <col min="9481" max="9481" width="9.7109375" style="642" customWidth="1"/>
    <col min="9482" max="9482" width="13.7109375" style="642" bestFit="1" customWidth="1"/>
    <col min="9483" max="9728" width="8.85546875" style="642"/>
    <col min="9729" max="9729" width="11.5703125" style="642" bestFit="1" customWidth="1"/>
    <col min="9730" max="9730" width="12.5703125" style="642" customWidth="1"/>
    <col min="9731" max="9731" width="10.28515625" style="642" customWidth="1"/>
    <col min="9732" max="9732" width="14.7109375" style="642" customWidth="1"/>
    <col min="9733" max="9733" width="13.28515625" style="642" bestFit="1" customWidth="1"/>
    <col min="9734" max="9734" width="4.85546875" style="642" customWidth="1"/>
    <col min="9735" max="9735" width="11.7109375" style="642" customWidth="1"/>
    <col min="9736" max="9736" width="12" style="642" customWidth="1"/>
    <col min="9737" max="9737" width="9.7109375" style="642" customWidth="1"/>
    <col min="9738" max="9738" width="13.7109375" style="642" bestFit="1" customWidth="1"/>
    <col min="9739" max="9984" width="8.85546875" style="642"/>
    <col min="9985" max="9985" width="11.5703125" style="642" bestFit="1" customWidth="1"/>
    <col min="9986" max="9986" width="12.5703125" style="642" customWidth="1"/>
    <col min="9987" max="9987" width="10.28515625" style="642" customWidth="1"/>
    <col min="9988" max="9988" width="14.7109375" style="642" customWidth="1"/>
    <col min="9989" max="9989" width="13.28515625" style="642" bestFit="1" customWidth="1"/>
    <col min="9990" max="9990" width="4.85546875" style="642" customWidth="1"/>
    <col min="9991" max="9991" width="11.7109375" style="642" customWidth="1"/>
    <col min="9992" max="9992" width="12" style="642" customWidth="1"/>
    <col min="9993" max="9993" width="9.7109375" style="642" customWidth="1"/>
    <col min="9994" max="9994" width="13.7109375" style="642" bestFit="1" customWidth="1"/>
    <col min="9995" max="10240" width="8.85546875" style="642"/>
    <col min="10241" max="10241" width="11.5703125" style="642" bestFit="1" customWidth="1"/>
    <col min="10242" max="10242" width="12.5703125" style="642" customWidth="1"/>
    <col min="10243" max="10243" width="10.28515625" style="642" customWidth="1"/>
    <col min="10244" max="10244" width="14.7109375" style="642" customWidth="1"/>
    <col min="10245" max="10245" width="13.28515625" style="642" bestFit="1" customWidth="1"/>
    <col min="10246" max="10246" width="4.85546875" style="642" customWidth="1"/>
    <col min="10247" max="10247" width="11.7109375" style="642" customWidth="1"/>
    <col min="10248" max="10248" width="12" style="642" customWidth="1"/>
    <col min="10249" max="10249" width="9.7109375" style="642" customWidth="1"/>
    <col min="10250" max="10250" width="13.7109375" style="642" bestFit="1" customWidth="1"/>
    <col min="10251" max="10496" width="8.85546875" style="642"/>
    <col min="10497" max="10497" width="11.5703125" style="642" bestFit="1" customWidth="1"/>
    <col min="10498" max="10498" width="12.5703125" style="642" customWidth="1"/>
    <col min="10499" max="10499" width="10.28515625" style="642" customWidth="1"/>
    <col min="10500" max="10500" width="14.7109375" style="642" customWidth="1"/>
    <col min="10501" max="10501" width="13.28515625" style="642" bestFit="1" customWidth="1"/>
    <col min="10502" max="10502" width="4.85546875" style="642" customWidth="1"/>
    <col min="10503" max="10503" width="11.7109375" style="642" customWidth="1"/>
    <col min="10504" max="10504" width="12" style="642" customWidth="1"/>
    <col min="10505" max="10505" width="9.7109375" style="642" customWidth="1"/>
    <col min="10506" max="10506" width="13.7109375" style="642" bestFit="1" customWidth="1"/>
    <col min="10507" max="10752" width="8.85546875" style="642"/>
    <col min="10753" max="10753" width="11.5703125" style="642" bestFit="1" customWidth="1"/>
    <col min="10754" max="10754" width="12.5703125" style="642" customWidth="1"/>
    <col min="10755" max="10755" width="10.28515625" style="642" customWidth="1"/>
    <col min="10756" max="10756" width="14.7109375" style="642" customWidth="1"/>
    <col min="10757" max="10757" width="13.28515625" style="642" bestFit="1" customWidth="1"/>
    <col min="10758" max="10758" width="4.85546875" style="642" customWidth="1"/>
    <col min="10759" max="10759" width="11.7109375" style="642" customWidth="1"/>
    <col min="10760" max="10760" width="12" style="642" customWidth="1"/>
    <col min="10761" max="10761" width="9.7109375" style="642" customWidth="1"/>
    <col min="10762" max="10762" width="13.7109375" style="642" bestFit="1" customWidth="1"/>
    <col min="10763" max="11008" width="8.85546875" style="642"/>
    <col min="11009" max="11009" width="11.5703125" style="642" bestFit="1" customWidth="1"/>
    <col min="11010" max="11010" width="12.5703125" style="642" customWidth="1"/>
    <col min="11011" max="11011" width="10.28515625" style="642" customWidth="1"/>
    <col min="11012" max="11012" width="14.7109375" style="642" customWidth="1"/>
    <col min="11013" max="11013" width="13.28515625" style="642" bestFit="1" customWidth="1"/>
    <col min="11014" max="11014" width="4.85546875" style="642" customWidth="1"/>
    <col min="11015" max="11015" width="11.7109375" style="642" customWidth="1"/>
    <col min="11016" max="11016" width="12" style="642" customWidth="1"/>
    <col min="11017" max="11017" width="9.7109375" style="642" customWidth="1"/>
    <col min="11018" max="11018" width="13.7109375" style="642" bestFit="1" customWidth="1"/>
    <col min="11019" max="11264" width="8.85546875" style="642"/>
    <col min="11265" max="11265" width="11.5703125" style="642" bestFit="1" customWidth="1"/>
    <col min="11266" max="11266" width="12.5703125" style="642" customWidth="1"/>
    <col min="11267" max="11267" width="10.28515625" style="642" customWidth="1"/>
    <col min="11268" max="11268" width="14.7109375" style="642" customWidth="1"/>
    <col min="11269" max="11269" width="13.28515625" style="642" bestFit="1" customWidth="1"/>
    <col min="11270" max="11270" width="4.85546875" style="642" customWidth="1"/>
    <col min="11271" max="11271" width="11.7109375" style="642" customWidth="1"/>
    <col min="11272" max="11272" width="12" style="642" customWidth="1"/>
    <col min="11273" max="11273" width="9.7109375" style="642" customWidth="1"/>
    <col min="11274" max="11274" width="13.7109375" style="642" bestFit="1" customWidth="1"/>
    <col min="11275" max="11520" width="8.85546875" style="642"/>
    <col min="11521" max="11521" width="11.5703125" style="642" bestFit="1" customWidth="1"/>
    <col min="11522" max="11522" width="12.5703125" style="642" customWidth="1"/>
    <col min="11523" max="11523" width="10.28515625" style="642" customWidth="1"/>
    <col min="11524" max="11524" width="14.7109375" style="642" customWidth="1"/>
    <col min="11525" max="11525" width="13.28515625" style="642" bestFit="1" customWidth="1"/>
    <col min="11526" max="11526" width="4.85546875" style="642" customWidth="1"/>
    <col min="11527" max="11527" width="11.7109375" style="642" customWidth="1"/>
    <col min="11528" max="11528" width="12" style="642" customWidth="1"/>
    <col min="11529" max="11529" width="9.7109375" style="642" customWidth="1"/>
    <col min="11530" max="11530" width="13.7109375" style="642" bestFit="1" customWidth="1"/>
    <col min="11531" max="11776" width="8.85546875" style="642"/>
    <col min="11777" max="11777" width="11.5703125" style="642" bestFit="1" customWidth="1"/>
    <col min="11778" max="11778" width="12.5703125" style="642" customWidth="1"/>
    <col min="11779" max="11779" width="10.28515625" style="642" customWidth="1"/>
    <col min="11780" max="11780" width="14.7109375" style="642" customWidth="1"/>
    <col min="11781" max="11781" width="13.28515625" style="642" bestFit="1" customWidth="1"/>
    <col min="11782" max="11782" width="4.85546875" style="642" customWidth="1"/>
    <col min="11783" max="11783" width="11.7109375" style="642" customWidth="1"/>
    <col min="11784" max="11784" width="12" style="642" customWidth="1"/>
    <col min="11785" max="11785" width="9.7109375" style="642" customWidth="1"/>
    <col min="11786" max="11786" width="13.7109375" style="642" bestFit="1" customWidth="1"/>
    <col min="11787" max="12032" width="8.85546875" style="642"/>
    <col min="12033" max="12033" width="11.5703125" style="642" bestFit="1" customWidth="1"/>
    <col min="12034" max="12034" width="12.5703125" style="642" customWidth="1"/>
    <col min="12035" max="12035" width="10.28515625" style="642" customWidth="1"/>
    <col min="12036" max="12036" width="14.7109375" style="642" customWidth="1"/>
    <col min="12037" max="12037" width="13.28515625" style="642" bestFit="1" customWidth="1"/>
    <col min="12038" max="12038" width="4.85546875" style="642" customWidth="1"/>
    <col min="12039" max="12039" width="11.7109375" style="642" customWidth="1"/>
    <col min="12040" max="12040" width="12" style="642" customWidth="1"/>
    <col min="12041" max="12041" width="9.7109375" style="642" customWidth="1"/>
    <col min="12042" max="12042" width="13.7109375" style="642" bestFit="1" customWidth="1"/>
    <col min="12043" max="12288" width="8.85546875" style="642"/>
    <col min="12289" max="12289" width="11.5703125" style="642" bestFit="1" customWidth="1"/>
    <col min="12290" max="12290" width="12.5703125" style="642" customWidth="1"/>
    <col min="12291" max="12291" width="10.28515625" style="642" customWidth="1"/>
    <col min="12292" max="12292" width="14.7109375" style="642" customWidth="1"/>
    <col min="12293" max="12293" width="13.28515625" style="642" bestFit="1" customWidth="1"/>
    <col min="12294" max="12294" width="4.85546875" style="642" customWidth="1"/>
    <col min="12295" max="12295" width="11.7109375" style="642" customWidth="1"/>
    <col min="12296" max="12296" width="12" style="642" customWidth="1"/>
    <col min="12297" max="12297" width="9.7109375" style="642" customWidth="1"/>
    <col min="12298" max="12298" width="13.7109375" style="642" bestFit="1" customWidth="1"/>
    <col min="12299" max="12544" width="8.85546875" style="642"/>
    <col min="12545" max="12545" width="11.5703125" style="642" bestFit="1" customWidth="1"/>
    <col min="12546" max="12546" width="12.5703125" style="642" customWidth="1"/>
    <col min="12547" max="12547" width="10.28515625" style="642" customWidth="1"/>
    <col min="12548" max="12548" width="14.7109375" style="642" customWidth="1"/>
    <col min="12549" max="12549" width="13.28515625" style="642" bestFit="1" customWidth="1"/>
    <col min="12550" max="12550" width="4.85546875" style="642" customWidth="1"/>
    <col min="12551" max="12551" width="11.7109375" style="642" customWidth="1"/>
    <col min="12552" max="12552" width="12" style="642" customWidth="1"/>
    <col min="12553" max="12553" width="9.7109375" style="642" customWidth="1"/>
    <col min="12554" max="12554" width="13.7109375" style="642" bestFit="1" customWidth="1"/>
    <col min="12555" max="12800" width="8.85546875" style="642"/>
    <col min="12801" max="12801" width="11.5703125" style="642" bestFit="1" customWidth="1"/>
    <col min="12802" max="12802" width="12.5703125" style="642" customWidth="1"/>
    <col min="12803" max="12803" width="10.28515625" style="642" customWidth="1"/>
    <col min="12804" max="12804" width="14.7109375" style="642" customWidth="1"/>
    <col min="12805" max="12805" width="13.28515625" style="642" bestFit="1" customWidth="1"/>
    <col min="12806" max="12806" width="4.85546875" style="642" customWidth="1"/>
    <col min="12807" max="12807" width="11.7109375" style="642" customWidth="1"/>
    <col min="12808" max="12808" width="12" style="642" customWidth="1"/>
    <col min="12809" max="12809" width="9.7109375" style="642" customWidth="1"/>
    <col min="12810" max="12810" width="13.7109375" style="642" bestFit="1" customWidth="1"/>
    <col min="12811" max="13056" width="8.85546875" style="642"/>
    <col min="13057" max="13057" width="11.5703125" style="642" bestFit="1" customWidth="1"/>
    <col min="13058" max="13058" width="12.5703125" style="642" customWidth="1"/>
    <col min="13059" max="13059" width="10.28515625" style="642" customWidth="1"/>
    <col min="13060" max="13060" width="14.7109375" style="642" customWidth="1"/>
    <col min="13061" max="13061" width="13.28515625" style="642" bestFit="1" customWidth="1"/>
    <col min="13062" max="13062" width="4.85546875" style="642" customWidth="1"/>
    <col min="13063" max="13063" width="11.7109375" style="642" customWidth="1"/>
    <col min="13064" max="13064" width="12" style="642" customWidth="1"/>
    <col min="13065" max="13065" width="9.7109375" style="642" customWidth="1"/>
    <col min="13066" max="13066" width="13.7109375" style="642" bestFit="1" customWidth="1"/>
    <col min="13067" max="13312" width="8.85546875" style="642"/>
    <col min="13313" max="13313" width="11.5703125" style="642" bestFit="1" customWidth="1"/>
    <col min="13314" max="13314" width="12.5703125" style="642" customWidth="1"/>
    <col min="13315" max="13315" width="10.28515625" style="642" customWidth="1"/>
    <col min="13316" max="13316" width="14.7109375" style="642" customWidth="1"/>
    <col min="13317" max="13317" width="13.28515625" style="642" bestFit="1" customWidth="1"/>
    <col min="13318" max="13318" width="4.85546875" style="642" customWidth="1"/>
    <col min="13319" max="13319" width="11.7109375" style="642" customWidth="1"/>
    <col min="13320" max="13320" width="12" style="642" customWidth="1"/>
    <col min="13321" max="13321" width="9.7109375" style="642" customWidth="1"/>
    <col min="13322" max="13322" width="13.7109375" style="642" bestFit="1" customWidth="1"/>
    <col min="13323" max="13568" width="8.85546875" style="642"/>
    <col min="13569" max="13569" width="11.5703125" style="642" bestFit="1" customWidth="1"/>
    <col min="13570" max="13570" width="12.5703125" style="642" customWidth="1"/>
    <col min="13571" max="13571" width="10.28515625" style="642" customWidth="1"/>
    <col min="13572" max="13572" width="14.7109375" style="642" customWidth="1"/>
    <col min="13573" max="13573" width="13.28515625" style="642" bestFit="1" customWidth="1"/>
    <col min="13574" max="13574" width="4.85546875" style="642" customWidth="1"/>
    <col min="13575" max="13575" width="11.7109375" style="642" customWidth="1"/>
    <col min="13576" max="13576" width="12" style="642" customWidth="1"/>
    <col min="13577" max="13577" width="9.7109375" style="642" customWidth="1"/>
    <col min="13578" max="13578" width="13.7109375" style="642" bestFit="1" customWidth="1"/>
    <col min="13579" max="13824" width="8.85546875" style="642"/>
    <col min="13825" max="13825" width="11.5703125" style="642" bestFit="1" customWidth="1"/>
    <col min="13826" max="13826" width="12.5703125" style="642" customWidth="1"/>
    <col min="13827" max="13827" width="10.28515625" style="642" customWidth="1"/>
    <col min="13828" max="13828" width="14.7109375" style="642" customWidth="1"/>
    <col min="13829" max="13829" width="13.28515625" style="642" bestFit="1" customWidth="1"/>
    <col min="13830" max="13830" width="4.85546875" style="642" customWidth="1"/>
    <col min="13831" max="13831" width="11.7109375" style="642" customWidth="1"/>
    <col min="13832" max="13832" width="12" style="642" customWidth="1"/>
    <col min="13833" max="13833" width="9.7109375" style="642" customWidth="1"/>
    <col min="13834" max="13834" width="13.7109375" style="642" bestFit="1" customWidth="1"/>
    <col min="13835" max="14080" width="8.85546875" style="642"/>
    <col min="14081" max="14081" width="11.5703125" style="642" bestFit="1" customWidth="1"/>
    <col min="14082" max="14082" width="12.5703125" style="642" customWidth="1"/>
    <col min="14083" max="14083" width="10.28515625" style="642" customWidth="1"/>
    <col min="14084" max="14084" width="14.7109375" style="642" customWidth="1"/>
    <col min="14085" max="14085" width="13.28515625" style="642" bestFit="1" customWidth="1"/>
    <col min="14086" max="14086" width="4.85546875" style="642" customWidth="1"/>
    <col min="14087" max="14087" width="11.7109375" style="642" customWidth="1"/>
    <col min="14088" max="14088" width="12" style="642" customWidth="1"/>
    <col min="14089" max="14089" width="9.7109375" style="642" customWidth="1"/>
    <col min="14090" max="14090" width="13.7109375" style="642" bestFit="1" customWidth="1"/>
    <col min="14091" max="14336" width="8.85546875" style="642"/>
    <col min="14337" max="14337" width="11.5703125" style="642" bestFit="1" customWidth="1"/>
    <col min="14338" max="14338" width="12.5703125" style="642" customWidth="1"/>
    <col min="14339" max="14339" width="10.28515625" style="642" customWidth="1"/>
    <col min="14340" max="14340" width="14.7109375" style="642" customWidth="1"/>
    <col min="14341" max="14341" width="13.28515625" style="642" bestFit="1" customWidth="1"/>
    <col min="14342" max="14342" width="4.85546875" style="642" customWidth="1"/>
    <col min="14343" max="14343" width="11.7109375" style="642" customWidth="1"/>
    <col min="14344" max="14344" width="12" style="642" customWidth="1"/>
    <col min="14345" max="14345" width="9.7109375" style="642" customWidth="1"/>
    <col min="14346" max="14346" width="13.7109375" style="642" bestFit="1" customWidth="1"/>
    <col min="14347" max="14592" width="8.85546875" style="642"/>
    <col min="14593" max="14593" width="11.5703125" style="642" bestFit="1" customWidth="1"/>
    <col min="14594" max="14594" width="12.5703125" style="642" customWidth="1"/>
    <col min="14595" max="14595" width="10.28515625" style="642" customWidth="1"/>
    <col min="14596" max="14596" width="14.7109375" style="642" customWidth="1"/>
    <col min="14597" max="14597" width="13.28515625" style="642" bestFit="1" customWidth="1"/>
    <col min="14598" max="14598" width="4.85546875" style="642" customWidth="1"/>
    <col min="14599" max="14599" width="11.7109375" style="642" customWidth="1"/>
    <col min="14600" max="14600" width="12" style="642" customWidth="1"/>
    <col min="14601" max="14601" width="9.7109375" style="642" customWidth="1"/>
    <col min="14602" max="14602" width="13.7109375" style="642" bestFit="1" customWidth="1"/>
    <col min="14603" max="14848" width="8.85546875" style="642"/>
    <col min="14849" max="14849" width="11.5703125" style="642" bestFit="1" customWidth="1"/>
    <col min="14850" max="14850" width="12.5703125" style="642" customWidth="1"/>
    <col min="14851" max="14851" width="10.28515625" style="642" customWidth="1"/>
    <col min="14852" max="14852" width="14.7109375" style="642" customWidth="1"/>
    <col min="14853" max="14853" width="13.28515625" style="642" bestFit="1" customWidth="1"/>
    <col min="14854" max="14854" width="4.85546875" style="642" customWidth="1"/>
    <col min="14855" max="14855" width="11.7109375" style="642" customWidth="1"/>
    <col min="14856" max="14856" width="12" style="642" customWidth="1"/>
    <col min="14857" max="14857" width="9.7109375" style="642" customWidth="1"/>
    <col min="14858" max="14858" width="13.7109375" style="642" bestFit="1" customWidth="1"/>
    <col min="14859" max="15104" width="8.85546875" style="642"/>
    <col min="15105" max="15105" width="11.5703125" style="642" bestFit="1" customWidth="1"/>
    <col min="15106" max="15106" width="12.5703125" style="642" customWidth="1"/>
    <col min="15107" max="15107" width="10.28515625" style="642" customWidth="1"/>
    <col min="15108" max="15108" width="14.7109375" style="642" customWidth="1"/>
    <col min="15109" max="15109" width="13.28515625" style="642" bestFit="1" customWidth="1"/>
    <col min="15110" max="15110" width="4.85546875" style="642" customWidth="1"/>
    <col min="15111" max="15111" width="11.7109375" style="642" customWidth="1"/>
    <col min="15112" max="15112" width="12" style="642" customWidth="1"/>
    <col min="15113" max="15113" width="9.7109375" style="642" customWidth="1"/>
    <col min="15114" max="15114" width="13.7109375" style="642" bestFit="1" customWidth="1"/>
    <col min="15115" max="15360" width="8.85546875" style="642"/>
    <col min="15361" max="15361" width="11.5703125" style="642" bestFit="1" customWidth="1"/>
    <col min="15362" max="15362" width="12.5703125" style="642" customWidth="1"/>
    <col min="15363" max="15363" width="10.28515625" style="642" customWidth="1"/>
    <col min="15364" max="15364" width="14.7109375" style="642" customWidth="1"/>
    <col min="15365" max="15365" width="13.28515625" style="642" bestFit="1" customWidth="1"/>
    <col min="15366" max="15366" width="4.85546875" style="642" customWidth="1"/>
    <col min="15367" max="15367" width="11.7109375" style="642" customWidth="1"/>
    <col min="15368" max="15368" width="12" style="642" customWidth="1"/>
    <col min="15369" max="15369" width="9.7109375" style="642" customWidth="1"/>
    <col min="15370" max="15370" width="13.7109375" style="642" bestFit="1" customWidth="1"/>
    <col min="15371" max="15616" width="8.85546875" style="642"/>
    <col min="15617" max="15617" width="11.5703125" style="642" bestFit="1" customWidth="1"/>
    <col min="15618" max="15618" width="12.5703125" style="642" customWidth="1"/>
    <col min="15619" max="15619" width="10.28515625" style="642" customWidth="1"/>
    <col min="15620" max="15620" width="14.7109375" style="642" customWidth="1"/>
    <col min="15621" max="15621" width="13.28515625" style="642" bestFit="1" customWidth="1"/>
    <col min="15622" max="15622" width="4.85546875" style="642" customWidth="1"/>
    <col min="15623" max="15623" width="11.7109375" style="642" customWidth="1"/>
    <col min="15624" max="15624" width="12" style="642" customWidth="1"/>
    <col min="15625" max="15625" width="9.7109375" style="642" customWidth="1"/>
    <col min="15626" max="15626" width="13.7109375" style="642" bestFit="1" customWidth="1"/>
    <col min="15627" max="15872" width="8.85546875" style="642"/>
    <col min="15873" max="15873" width="11.5703125" style="642" bestFit="1" customWidth="1"/>
    <col min="15874" max="15874" width="12.5703125" style="642" customWidth="1"/>
    <col min="15875" max="15875" width="10.28515625" style="642" customWidth="1"/>
    <col min="15876" max="15876" width="14.7109375" style="642" customWidth="1"/>
    <col min="15877" max="15877" width="13.28515625" style="642" bestFit="1" customWidth="1"/>
    <col min="15878" max="15878" width="4.85546875" style="642" customWidth="1"/>
    <col min="15879" max="15879" width="11.7109375" style="642" customWidth="1"/>
    <col min="15880" max="15880" width="12" style="642" customWidth="1"/>
    <col min="15881" max="15881" width="9.7109375" style="642" customWidth="1"/>
    <col min="15882" max="15882" width="13.7109375" style="642" bestFit="1" customWidth="1"/>
    <col min="15883" max="16128" width="8.85546875" style="642"/>
    <col min="16129" max="16129" width="11.5703125" style="642" bestFit="1" customWidth="1"/>
    <col min="16130" max="16130" width="12.5703125" style="642" customWidth="1"/>
    <col min="16131" max="16131" width="10.28515625" style="642" customWidth="1"/>
    <col min="16132" max="16132" width="14.7109375" style="642" customWidth="1"/>
    <col min="16133" max="16133" width="13.28515625" style="642" bestFit="1" customWidth="1"/>
    <col min="16134" max="16134" width="4.85546875" style="642" customWidth="1"/>
    <col min="16135" max="16135" width="11.7109375" style="642" customWidth="1"/>
    <col min="16136" max="16136" width="12" style="642" customWidth="1"/>
    <col min="16137" max="16137" width="9.7109375" style="642" customWidth="1"/>
    <col min="16138" max="16138" width="13.7109375" style="642" bestFit="1" customWidth="1"/>
    <col min="16139" max="16384" width="8.85546875" style="642"/>
  </cols>
  <sheetData>
    <row r="1" spans="1:11" ht="23.25">
      <c r="A1" s="2185" t="s">
        <v>2537</v>
      </c>
      <c r="B1" s="2185"/>
      <c r="C1" s="2185"/>
      <c r="D1" s="2185"/>
      <c r="E1" s="2185"/>
      <c r="F1" s="2185"/>
      <c r="G1" s="2185"/>
      <c r="H1" s="2185"/>
      <c r="I1" s="2185"/>
      <c r="J1" s="2185"/>
      <c r="K1" s="2185"/>
    </row>
    <row r="2" spans="1:11" ht="15">
      <c r="A2" s="2199" t="str">
        <f>Overview!C8</f>
        <v>Mill at Stone Valley</v>
      </c>
      <c r="B2" s="2199"/>
      <c r="C2" s="2199"/>
      <c r="D2" s="2199"/>
      <c r="E2" s="2199"/>
      <c r="F2" s="2199"/>
      <c r="G2" s="2199"/>
      <c r="H2" s="2199"/>
      <c r="I2" s="2199"/>
      <c r="J2" s="2199"/>
      <c r="K2" s="2199"/>
    </row>
    <row r="3" spans="1:11" ht="9" customHeight="1">
      <c r="A3" s="643"/>
      <c r="B3" s="643"/>
      <c r="C3" s="643"/>
    </row>
    <row r="4" spans="1:11" ht="18">
      <c r="A4" s="644" t="s">
        <v>2538</v>
      </c>
      <c r="B4" s="643"/>
      <c r="C4" s="643"/>
      <c r="K4" s="645"/>
    </row>
    <row r="5" spans="1:11" s="605" customFormat="1" ht="42" customHeight="1">
      <c r="C5" s="2186" t="s">
        <v>2539</v>
      </c>
      <c r="D5" s="2187"/>
      <c r="E5" s="2188"/>
      <c r="F5" s="454"/>
      <c r="G5" s="2186" t="s">
        <v>2540</v>
      </c>
      <c r="H5" s="2187"/>
      <c r="I5" s="2188"/>
      <c r="J5" s="642"/>
      <c r="K5" s="2197" t="s">
        <v>2541</v>
      </c>
    </row>
    <row r="6" spans="1:11" s="647" customFormat="1" ht="15" customHeight="1">
      <c r="A6" s="646" t="s">
        <v>1187</v>
      </c>
      <c r="C6" s="648" t="s">
        <v>2542</v>
      </c>
      <c r="D6" s="648" t="s">
        <v>2543</v>
      </c>
      <c r="E6" s="648" t="s">
        <v>564</v>
      </c>
      <c r="G6" s="648" t="s">
        <v>2544</v>
      </c>
      <c r="H6" s="648" t="s">
        <v>2545</v>
      </c>
      <c r="I6" s="648" t="s">
        <v>564</v>
      </c>
      <c r="K6" s="2198"/>
    </row>
    <row r="7" spans="1:11" s="454" customFormat="1" ht="13.5" customHeight="1">
      <c r="A7" s="454" t="s">
        <v>2546</v>
      </c>
      <c r="C7" s="650"/>
      <c r="D7" s="1157">
        <f>'Part VI-Revenues &amp; Expenses'!$J$58</f>
        <v>0</v>
      </c>
      <c r="E7" s="652">
        <f>C7*D7</f>
        <v>0</v>
      </c>
      <c r="G7" s="650"/>
      <c r="H7" s="651">
        <f>'Part VI-Revenues &amp; Expenses'!$J$62</f>
        <v>0</v>
      </c>
      <c r="I7" s="652">
        <f>G7*H7</f>
        <v>0</v>
      </c>
      <c r="K7" s="1163">
        <f>'Part VIII-Threshold Criteria'!$P$49</f>
        <v>0</v>
      </c>
    </row>
    <row r="8" spans="1:11" s="454" customFormat="1" ht="13.5" customHeight="1">
      <c r="A8" s="454" t="s">
        <v>2547</v>
      </c>
      <c r="C8" s="650"/>
      <c r="D8" s="1157">
        <f>'Part VI-Revenues &amp; Expenses'!$K$58</f>
        <v>12</v>
      </c>
      <c r="E8" s="652">
        <f>C8*D8</f>
        <v>0</v>
      </c>
      <c r="G8" s="650"/>
      <c r="H8" s="651">
        <f>'Part VI-Revenues &amp; Expenses'!$K$62</f>
        <v>12</v>
      </c>
      <c r="I8" s="652">
        <f>G8*H8</f>
        <v>0</v>
      </c>
      <c r="K8" s="649" t="s">
        <v>2548</v>
      </c>
    </row>
    <row r="9" spans="1:11" s="454" customFormat="1" ht="13.5" customHeight="1">
      <c r="A9" s="454" t="s">
        <v>2549</v>
      </c>
      <c r="C9" s="650"/>
      <c r="D9" s="1157">
        <f>'Part VI-Revenues &amp; Expenses'!$L$58</f>
        <v>28</v>
      </c>
      <c r="E9" s="652">
        <f>C9*D9</f>
        <v>0</v>
      </c>
      <c r="G9" s="650"/>
      <c r="H9" s="651">
        <f>'Part VI-Revenues &amp; Expenses'!$L$62</f>
        <v>32</v>
      </c>
      <c r="I9" s="652">
        <f>G9*H9</f>
        <v>0</v>
      </c>
      <c r="K9" s="1163">
        <f>'Part IV-A-Uses of Funds'!$G$132</f>
        <v>13885091</v>
      </c>
    </row>
    <row r="10" spans="1:11" s="454" customFormat="1" ht="13.5" customHeight="1">
      <c r="A10" s="454" t="s">
        <v>2550</v>
      </c>
      <c r="C10" s="650"/>
      <c r="D10" s="1157">
        <f>'Part VI-Revenues &amp; Expenses'!$M$58</f>
        <v>23</v>
      </c>
      <c r="E10" s="652">
        <f>C10*D10</f>
        <v>0</v>
      </c>
      <c r="G10" s="650"/>
      <c r="H10" s="651">
        <f>'Part VI-Revenues &amp; Expenses'!$M$62</f>
        <v>30</v>
      </c>
      <c r="I10" s="652">
        <f>G10*H10</f>
        <v>0</v>
      </c>
      <c r="K10" s="649" t="s">
        <v>2551</v>
      </c>
    </row>
    <row r="11" spans="1:11" s="454" customFormat="1" ht="13.5" customHeight="1">
      <c r="A11" s="654" t="s">
        <v>2552</v>
      </c>
      <c r="C11" s="655"/>
      <c r="D11" s="1158">
        <f>'Part VI-Revenues &amp; Expenses'!$N$58</f>
        <v>0</v>
      </c>
      <c r="E11" s="657">
        <f>C11*D11</f>
        <v>0</v>
      </c>
      <c r="G11" s="655"/>
      <c r="H11" s="656">
        <f>'Part VI-Revenues &amp; Expenses'!$N$62</f>
        <v>0</v>
      </c>
      <c r="I11" s="657">
        <f>G11*H11</f>
        <v>0</v>
      </c>
      <c r="K11" s="2189" t="s">
        <v>2553</v>
      </c>
    </row>
    <row r="12" spans="1:11" ht="13.5" customHeight="1" thickBot="1">
      <c r="A12" s="658" t="s">
        <v>2554</v>
      </c>
      <c r="D12" s="1367">
        <f>SUM(D7:D11)</f>
        <v>63</v>
      </c>
      <c r="E12" s="1464"/>
      <c r="G12" s="658" t="s">
        <v>139</v>
      </c>
      <c r="H12" s="1368">
        <f>SUM(H7:H11)</f>
        <v>74</v>
      </c>
      <c r="I12" s="1464"/>
      <c r="K12" s="2190"/>
    </row>
    <row r="13" spans="1:11" s="454" customFormat="1" ht="13.5" customHeight="1" thickBot="1">
      <c r="A13" s="658" t="s">
        <v>2555</v>
      </c>
      <c r="B13" s="659"/>
      <c r="E13" s="660">
        <f>SUM(E7:E11)</f>
        <v>0</v>
      </c>
      <c r="G13" s="658" t="s">
        <v>2556</v>
      </c>
      <c r="H13" s="659"/>
      <c r="I13" s="661">
        <f>SUM(I7:I11)</f>
        <v>0</v>
      </c>
      <c r="K13" s="1163">
        <f>'Part VIII-Threshold Criteria'!$P$63</f>
        <v>15865932</v>
      </c>
    </row>
    <row r="14" spans="1:11" ht="11.25" customHeight="1">
      <c r="G14" s="662" t="s">
        <v>2557</v>
      </c>
    </row>
    <row r="15" spans="1:11" s="454" customFormat="1" ht="9" customHeight="1"/>
    <row r="16" spans="1:11" ht="16.5" customHeight="1">
      <c r="A16" s="644" t="s">
        <v>2558</v>
      </c>
    </row>
    <row r="17" spans="1:11" ht="6" customHeight="1"/>
    <row r="18" spans="1:11" s="454" customFormat="1" ht="13.5" customHeight="1">
      <c r="A18" s="454" t="s">
        <v>2559</v>
      </c>
      <c r="E18" s="1164" t="s">
        <v>2560</v>
      </c>
      <c r="F18" s="1165"/>
      <c r="G18" s="1165"/>
      <c r="H18" s="1165"/>
      <c r="I18" s="1165"/>
      <c r="K18" s="1142">
        <f>Overview!$E$13</f>
        <v>63</v>
      </c>
    </row>
    <row r="19" spans="1:11" s="454" customFormat="1" ht="13.5" customHeight="1">
      <c r="A19" s="454" t="s">
        <v>2561</v>
      </c>
      <c r="E19" s="1160"/>
      <c r="K19" s="522">
        <f>Overview!$C$13</f>
        <v>74</v>
      </c>
    </row>
    <row r="20" spans="1:11" ht="3" customHeight="1">
      <c r="A20" s="663"/>
      <c r="E20" s="1161"/>
    </row>
    <row r="21" spans="1:11" s="454" customFormat="1" ht="13.5" customHeight="1">
      <c r="A21" s="454" t="s">
        <v>2562</v>
      </c>
      <c r="E21" s="1159" t="s">
        <v>2563</v>
      </c>
      <c r="K21" s="1427">
        <f>K18/K19</f>
        <v>0.85135135135135132</v>
      </c>
    </row>
    <row r="22" spans="1:11" ht="6.75" customHeight="1">
      <c r="E22" s="1161"/>
    </row>
    <row r="23" spans="1:11" s="454" customFormat="1" ht="13.5" customHeight="1">
      <c r="A23" s="454" t="s">
        <v>2564</v>
      </c>
      <c r="C23" s="664"/>
      <c r="E23" s="1159" t="s">
        <v>2565</v>
      </c>
      <c r="K23" s="522">
        <f>K9</f>
        <v>13885091</v>
      </c>
    </row>
    <row r="24" spans="1:11" s="454" customFormat="1" ht="13.5" customHeight="1">
      <c r="A24" s="665" t="s">
        <v>2566</v>
      </c>
      <c r="E24" s="1160"/>
      <c r="K24" s="653">
        <f>'Part IV-A-Uses of Funds'!$G$122</f>
        <v>269518</v>
      </c>
    </row>
    <row r="25" spans="1:11" s="454" customFormat="1" ht="13.5" customHeight="1">
      <c r="A25" s="665" t="s">
        <v>2567</v>
      </c>
      <c r="E25" s="1160"/>
      <c r="K25" s="666">
        <v>0</v>
      </c>
    </row>
    <row r="26" spans="1:11" s="454" customFormat="1" ht="13.5" customHeight="1">
      <c r="A26" s="665" t="s">
        <v>2567</v>
      </c>
      <c r="E26" s="1160"/>
      <c r="K26" s="666">
        <v>0</v>
      </c>
    </row>
    <row r="27" spans="1:11" ht="3" customHeight="1">
      <c r="A27" s="667"/>
      <c r="E27" s="1161"/>
      <c r="K27" s="668">
        <v>0</v>
      </c>
    </row>
    <row r="28" spans="1:11" s="659" customFormat="1" ht="13.5" customHeight="1">
      <c r="A28" s="659" t="s">
        <v>2568</v>
      </c>
      <c r="E28" s="1162"/>
      <c r="K28" s="1428">
        <f>K23-SUM(K24:K27)</f>
        <v>13615573</v>
      </c>
    </row>
    <row r="29" spans="1:11" ht="6.75" customHeight="1">
      <c r="A29" s="663"/>
      <c r="E29" s="1161"/>
      <c r="K29" s="669"/>
    </row>
    <row r="30" spans="1:11" s="454" customFormat="1" ht="15" customHeight="1">
      <c r="A30" s="659" t="s">
        <v>2569</v>
      </c>
      <c r="E30" s="1159" t="s">
        <v>2570</v>
      </c>
      <c r="F30" s="670"/>
      <c r="G30" s="670"/>
      <c r="H30" s="670"/>
      <c r="I30" s="670"/>
      <c r="K30" s="1429">
        <f>K21*K28</f>
        <v>11591636.472972972</v>
      </c>
    </row>
    <row r="31" spans="1:11" ht="13.5" customHeight="1">
      <c r="E31" s="1161"/>
      <c r="K31" s="669"/>
    </row>
    <row r="32" spans="1:11" s="454" customFormat="1" ht="16.5" customHeight="1">
      <c r="A32" s="671" t="s">
        <v>2571</v>
      </c>
      <c r="B32" s="659"/>
      <c r="C32" s="659"/>
      <c r="D32" s="659"/>
      <c r="E32" s="1159"/>
    </row>
    <row r="33" spans="1:11" ht="6" customHeight="1" thickBot="1">
      <c r="E33" s="1161"/>
    </row>
    <row r="34" spans="1:11" s="454" customFormat="1" ht="18" customHeight="1" thickBot="1">
      <c r="A34" s="672" t="s">
        <v>2572</v>
      </c>
      <c r="B34" s="659"/>
      <c r="C34" s="659"/>
      <c r="D34" s="659"/>
      <c r="E34" s="1159" t="s">
        <v>2573</v>
      </c>
      <c r="K34" s="673">
        <f>MIN(E13,K30)</f>
        <v>0</v>
      </c>
    </row>
    <row r="35" spans="1:11" ht="6" customHeight="1">
      <c r="E35" s="1161"/>
    </row>
    <row r="36" spans="1:11" s="454" customFormat="1" ht="15" customHeight="1">
      <c r="A36" s="659" t="s">
        <v>2574</v>
      </c>
      <c r="E36" s="1159" t="s">
        <v>2575</v>
      </c>
      <c r="K36" s="1430">
        <f>Overview!C25</f>
        <v>2650000</v>
      </c>
    </row>
    <row r="37" spans="1:11" s="454" customFormat="1" ht="9" customHeight="1" thickBot="1">
      <c r="E37" s="674"/>
      <c r="F37" s="674"/>
      <c r="G37" s="674"/>
      <c r="H37" s="674"/>
      <c r="K37" s="675"/>
    </row>
    <row r="38" spans="1:11" s="454" customFormat="1" ht="15.75" customHeight="1">
      <c r="A38" s="2191" t="s">
        <v>2576</v>
      </c>
      <c r="B38" s="2191"/>
      <c r="C38" s="2191"/>
      <c r="D38" s="2192" t="s">
        <v>2577</v>
      </c>
      <c r="E38" s="2192"/>
      <c r="F38" s="2192" t="s">
        <v>2578</v>
      </c>
      <c r="G38" s="2192"/>
      <c r="H38" s="2192"/>
      <c r="I38" s="1463" t="s">
        <v>2152</v>
      </c>
      <c r="K38" s="2193">
        <f>ROUND((D39/F39)*I39,0)</f>
        <v>14</v>
      </c>
    </row>
    <row r="39" spans="1:11" s="454" customFormat="1" ht="15.75" customHeight="1" thickBot="1">
      <c r="A39" s="2191"/>
      <c r="B39" s="2191"/>
      <c r="C39" s="2191"/>
      <c r="D39" s="2195">
        <f>K36</f>
        <v>2650000</v>
      </c>
      <c r="E39" s="2195"/>
      <c r="F39" s="2196">
        <f>K28</f>
        <v>13615573</v>
      </c>
      <c r="G39" s="2196"/>
      <c r="H39" s="2196"/>
      <c r="I39" s="676">
        <f>K19</f>
        <v>74</v>
      </c>
      <c r="K39" s="2194"/>
    </row>
    <row r="40" spans="1:11" ht="12.75" customHeight="1">
      <c r="D40" s="677" t="s">
        <v>2579</v>
      </c>
      <c r="H40" s="677"/>
      <c r="I40" s="677"/>
      <c r="K40" s="677"/>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642" customWidth="1"/>
    <col min="2" max="2" width="0.85546875" style="642" customWidth="1"/>
    <col min="3" max="3" width="16.42578125" style="642" customWidth="1"/>
    <col min="4" max="4" width="18.140625" style="642" customWidth="1"/>
    <col min="5" max="5" width="16.42578125" style="642" customWidth="1"/>
    <col min="6" max="6" width="13.140625" style="642" customWidth="1"/>
    <col min="7" max="7" width="14.42578125" style="642" customWidth="1"/>
    <col min="8" max="8" width="5.85546875" style="642" customWidth="1"/>
    <col min="9" max="16384" width="9.140625" style="642"/>
  </cols>
  <sheetData>
    <row r="1" spans="1:13" ht="12" customHeight="1">
      <c r="A1" s="2200" t="str">
        <f>CONCATENATE(Overview!E8,"  ",Overview!C8)</f>
        <v>2018-008  Mill at Stone Valley</v>
      </c>
      <c r="B1" s="2200"/>
      <c r="C1" s="2200"/>
      <c r="D1" s="2200"/>
      <c r="E1" s="2200"/>
      <c r="F1" s="2200"/>
      <c r="G1" s="2200"/>
      <c r="H1" s="2200"/>
    </row>
    <row r="3" spans="1:13" ht="12" customHeight="1">
      <c r="A3" s="2201" t="s">
        <v>2580</v>
      </c>
      <c r="B3" s="2201"/>
      <c r="C3" s="2201"/>
      <c r="D3" s="2201"/>
      <c r="E3" s="2201"/>
      <c r="F3" s="2201"/>
      <c r="G3" s="2201"/>
      <c r="H3" s="2201"/>
      <c r="I3" s="1204"/>
      <c r="J3" s="2203" t="s">
        <v>2581</v>
      </c>
      <c r="K3" s="2203"/>
      <c r="L3" s="706"/>
      <c r="M3" s="706"/>
    </row>
    <row r="4" spans="1:13">
      <c r="J4" s="2203"/>
      <c r="K4" s="2203"/>
    </row>
    <row r="5" spans="1:13" ht="12" customHeight="1">
      <c r="A5" s="642">
        <v>1</v>
      </c>
      <c r="C5" s="642" t="s">
        <v>2582</v>
      </c>
      <c r="E5" s="689" t="str">
        <f>Overview!H9</f>
        <v>TISHCO Ball Ground L.P.</v>
      </c>
      <c r="J5" s="2203"/>
      <c r="K5" s="2203"/>
    </row>
    <row r="6" spans="1:13" ht="3" customHeight="1">
      <c r="H6" s="1464"/>
      <c r="J6" s="2203"/>
      <c r="K6" s="2203"/>
    </row>
    <row r="7" spans="1:13" ht="12" customHeight="1">
      <c r="A7" s="642">
        <v>2</v>
      </c>
      <c r="C7" s="642" t="s">
        <v>2583</v>
      </c>
      <c r="E7" s="689" t="str">
        <f>'Part II-Development Team'!H6</f>
        <v>314 North Patterson Street</v>
      </c>
      <c r="J7" s="2203"/>
      <c r="K7" s="2203"/>
    </row>
    <row r="8" spans="1:13" ht="12" customHeight="1">
      <c r="E8" s="689" t="str">
        <f>+'Part II-Development Team'!H7&amp;","&amp;" "&amp;'Part II-Development Team'!H8&amp;" "&amp;LEFT('Part II-Development Team'!J8,5)</f>
        <v>Valdosta, GA 31601</v>
      </c>
      <c r="J8" s="2203"/>
      <c r="K8" s="2203"/>
    </row>
    <row r="9" spans="1:13" ht="12" customHeight="1">
      <c r="C9" s="642" t="s">
        <v>2584</v>
      </c>
      <c r="E9" s="2202">
        <f>'Part II-Development Team'!L7</f>
        <v>0</v>
      </c>
      <c r="F9" s="2202"/>
      <c r="J9" s="2203"/>
      <c r="K9" s="2203"/>
    </row>
    <row r="10" spans="1:13" ht="12" customHeight="1">
      <c r="C10" s="642" t="s">
        <v>2585</v>
      </c>
      <c r="E10" s="689" t="str">
        <f>'Part II-Development Team'!Q5</f>
        <v>Mary T. Johnson</v>
      </c>
    </row>
    <row r="11" spans="1:13" ht="12" customHeight="1">
      <c r="C11" s="642" t="s">
        <v>2586</v>
      </c>
      <c r="E11" s="689" t="str">
        <f>'Part II-Development Team'!L9</f>
        <v>tish.johnson@tishcollc.com</v>
      </c>
    </row>
    <row r="12" spans="1:13" ht="12" customHeight="1">
      <c r="C12" s="642" t="s">
        <v>2587</v>
      </c>
      <c r="E12" s="1205">
        <f>'Part II-Development Team'!H9</f>
        <v>2292427759</v>
      </c>
    </row>
    <row r="13" spans="1:13" ht="12" customHeight="1">
      <c r="C13" s="642" t="s">
        <v>2588</v>
      </c>
      <c r="E13" s="1205">
        <f>'Part II-Development Team'!Q7</f>
        <v>2293162232</v>
      </c>
    </row>
    <row r="14" spans="1:13" ht="3" customHeight="1"/>
    <row r="15" spans="1:13" ht="12" customHeight="1">
      <c r="A15" s="642">
        <v>3</v>
      </c>
      <c r="C15" s="642" t="s">
        <v>2589</v>
      </c>
      <c r="E15" s="689" t="str">
        <f>Overview!C8</f>
        <v>Mill at Stone Valley</v>
      </c>
    </row>
    <row r="16" spans="1:13" ht="12" customHeight="1">
      <c r="C16" s="642" t="s">
        <v>2590</v>
      </c>
      <c r="E16" s="689" t="str">
        <f>'Part I-Project Information'!$F$35</f>
        <v>Ball Ground Highway &amp; Coy M. Holcomb Drive</v>
      </c>
    </row>
    <row r="17" spans="1:8" ht="12" customHeight="1">
      <c r="E17" s="689" t="str">
        <f>+'Part I-Project Information'!$F$38&amp;","&amp;" GA "&amp;LEFT('Part I-Project Information'!$J$38,5)</f>
        <v>Ball Ground, GA 30107</v>
      </c>
    </row>
    <row r="18" spans="1:8" ht="3" customHeight="1"/>
    <row r="19" spans="1:8" ht="12" customHeight="1">
      <c r="A19" s="642">
        <v>4</v>
      </c>
      <c r="C19" s="642" t="s">
        <v>2591</v>
      </c>
      <c r="E19" s="689" t="str">
        <f>'Part II-Development Team'!H92</f>
        <v>TISHCO Properties, LLC</v>
      </c>
    </row>
    <row r="20" spans="1:8" ht="12" customHeight="1">
      <c r="C20" s="642" t="s">
        <v>2592</v>
      </c>
      <c r="E20" s="689" t="str">
        <f>'Part II-Development Team'!H93</f>
        <v>314 North Patterson Street</v>
      </c>
    </row>
    <row r="21" spans="1:8" ht="12" customHeight="1">
      <c r="E21" s="689" t="str">
        <f>+'Part II-Development Team'!H94&amp;","&amp;" "&amp;'Part II-Development Team'!H95&amp;" "&amp;LEFT('Part II-Development Team'!L95,5)</f>
        <v>Valdosta, GA 31601</v>
      </c>
    </row>
    <row r="22" spans="1:8" ht="12" customHeight="1">
      <c r="C22" s="642" t="s">
        <v>2587</v>
      </c>
      <c r="E22" s="1205">
        <f>'Part II-Development Team'!H96</f>
        <v>2292427759</v>
      </c>
    </row>
    <row r="23" spans="1:8" ht="12" customHeight="1">
      <c r="C23" s="642" t="s">
        <v>2588</v>
      </c>
      <c r="E23" s="1205">
        <f>'Part II-Development Team'!Q94</f>
        <v>2293162232</v>
      </c>
    </row>
    <row r="24" spans="1:8" ht="12" customHeight="1">
      <c r="C24" s="642" t="s">
        <v>2586</v>
      </c>
      <c r="E24" s="1205" t="str">
        <f>'Part II-Development Team'!L96</f>
        <v>tish.johnson@tishcollc.com</v>
      </c>
    </row>
    <row r="25" spans="1:8" ht="3" customHeight="1">
      <c r="E25" s="689"/>
    </row>
    <row r="26" spans="1:8" ht="12" customHeight="1">
      <c r="A26" s="642">
        <v>5</v>
      </c>
      <c r="C26" s="642" t="s">
        <v>2593</v>
      </c>
      <c r="E26" s="689" t="str">
        <f>Overview!$H$7</f>
        <v>New Construction</v>
      </c>
    </row>
    <row r="27" spans="1:8" ht="12" customHeight="1">
      <c r="E27" s="1466" t="s">
        <v>781</v>
      </c>
    </row>
    <row r="28" spans="1:8" ht="12" customHeight="1">
      <c r="C28" s="642" t="s">
        <v>2594</v>
      </c>
      <c r="E28" s="642" t="str">
        <f>Overview!$C$9</f>
        <v>&lt;&lt;Select&gt;&gt;</v>
      </c>
    </row>
    <row r="29" spans="1:8" ht="3" customHeight="1">
      <c r="H29" s="710"/>
    </row>
    <row r="30" spans="1:8" ht="12" customHeight="1">
      <c r="A30" s="642">
        <v>6</v>
      </c>
      <c r="C30" s="642" t="s">
        <v>2595</v>
      </c>
      <c r="E30" s="642" t="s">
        <v>2596</v>
      </c>
      <c r="F30" s="1206">
        <f>'Part III-Sources of Funds'!L19</f>
        <v>2267374</v>
      </c>
      <c r="G30" s="642" t="s">
        <v>2597</v>
      </c>
    </row>
    <row r="31" spans="1:8" ht="12" customHeight="1">
      <c r="F31" s="1206" t="s">
        <v>2598</v>
      </c>
      <c r="G31" s="642" t="s">
        <v>2599</v>
      </c>
    </row>
    <row r="32" spans="1:8" ht="3" customHeight="1">
      <c r="F32" s="682"/>
    </row>
    <row r="33" spans="1:7" ht="12" customHeight="1">
      <c r="A33" s="642">
        <v>7</v>
      </c>
      <c r="C33" s="642" t="s">
        <v>2600</v>
      </c>
      <c r="F33" s="1207">
        <v>0</v>
      </c>
    </row>
    <row r="34" spans="1:7" ht="3" customHeight="1">
      <c r="F34" s="682"/>
    </row>
    <row r="35" spans="1:7" ht="12" customHeight="1">
      <c r="A35" s="642">
        <v>8</v>
      </c>
      <c r="C35" s="642" t="s">
        <v>2601</v>
      </c>
      <c r="E35" s="642" t="s">
        <v>2596</v>
      </c>
      <c r="F35" s="1208">
        <v>0.01</v>
      </c>
    </row>
    <row r="36" spans="1:7" ht="3" customHeight="1">
      <c r="F36" s="1207"/>
    </row>
    <row r="37" spans="1:7" ht="12" customHeight="1">
      <c r="A37" s="642">
        <v>9</v>
      </c>
      <c r="C37" s="642" t="s">
        <v>2602</v>
      </c>
      <c r="F37" s="1209">
        <v>24</v>
      </c>
      <c r="G37" s="642" t="s">
        <v>2603</v>
      </c>
    </row>
    <row r="38" spans="1:7" ht="3" customHeight="1">
      <c r="F38" s="1207"/>
    </row>
    <row r="39" spans="1:7" ht="12" customHeight="1">
      <c r="A39" s="642">
        <v>10</v>
      </c>
      <c r="C39" s="642" t="s">
        <v>2604</v>
      </c>
      <c r="E39" s="642" t="s">
        <v>2596</v>
      </c>
      <c r="F39" s="682">
        <f>'Part III-Sources of Funds'!L37*12</f>
        <v>240</v>
      </c>
      <c r="G39" s="642" t="s">
        <v>2603</v>
      </c>
    </row>
    <row r="40" spans="1:7" ht="3" customHeight="1">
      <c r="F40" s="682"/>
    </row>
    <row r="41" spans="1:7" ht="12" customHeight="1">
      <c r="A41" s="642">
        <v>11</v>
      </c>
      <c r="C41" s="642" t="s">
        <v>2605</v>
      </c>
      <c r="F41" s="1210">
        <v>24</v>
      </c>
      <c r="G41" s="642" t="s">
        <v>2603</v>
      </c>
    </row>
    <row r="42" spans="1:7" ht="3" customHeight="1"/>
    <row r="43" spans="1:7" ht="12" customHeight="1">
      <c r="A43" s="642">
        <v>12</v>
      </c>
      <c r="C43" s="642" t="s">
        <v>2606</v>
      </c>
      <c r="F43" s="1211" t="s">
        <v>2607</v>
      </c>
    </row>
    <row r="44" spans="1:7" ht="3" customHeight="1"/>
    <row r="45" spans="1:7" ht="12" customHeight="1">
      <c r="A45" s="642">
        <v>13</v>
      </c>
      <c r="C45" s="642" t="s">
        <v>2608</v>
      </c>
      <c r="E45" s="642" t="s">
        <v>2596</v>
      </c>
      <c r="F45" s="689" t="s">
        <v>2609</v>
      </c>
    </row>
    <row r="46" spans="1:7" ht="3" customHeight="1">
      <c r="F46" s="1464"/>
    </row>
    <row r="47" spans="1:7" ht="12" customHeight="1">
      <c r="A47" s="642">
        <v>14</v>
      </c>
      <c r="C47" s="642" t="s">
        <v>2610</v>
      </c>
      <c r="E47" s="689" t="str">
        <f>'Part II-Development Team'!H14</f>
        <v>TISHCO Cherokee LLC</v>
      </c>
    </row>
    <row r="48" spans="1:7" ht="3" customHeight="1">
      <c r="E48" s="689"/>
    </row>
    <row r="49" spans="1:7" ht="12" customHeight="1">
      <c r="A49" s="642">
        <v>15</v>
      </c>
      <c r="C49" s="642" t="s">
        <v>2611</v>
      </c>
      <c r="E49" s="689" t="str">
        <f>'Part II-Development Team'!Q98</f>
        <v>Althea J.K. Broughton</v>
      </c>
      <c r="G49" s="689" t="str">
        <f>'Part II-Development Team'!H98</f>
        <v>Arnall Golden Gregory LLP</v>
      </c>
    </row>
    <row r="50" spans="1:7" ht="12" customHeight="1">
      <c r="C50" s="642" t="s">
        <v>2612</v>
      </c>
      <c r="E50" s="689">
        <f>'Part II-Development Team'!O102</f>
        <v>0</v>
      </c>
      <c r="F50" s="682"/>
    </row>
    <row r="51" spans="1:7" ht="3" customHeight="1">
      <c r="F51" s="682"/>
    </row>
    <row r="52" spans="1:7" ht="12" customHeight="1">
      <c r="A52" s="642">
        <v>16</v>
      </c>
      <c r="C52" s="642" t="s">
        <v>2613</v>
      </c>
      <c r="F52" s="1210">
        <f>Overview!C13</f>
        <v>74</v>
      </c>
    </row>
    <row r="53" spans="1:7" ht="3" customHeight="1">
      <c r="F53" s="682"/>
    </row>
    <row r="54" spans="1:7" ht="12" customHeight="1">
      <c r="A54" s="706">
        <v>17</v>
      </c>
      <c r="B54" s="706"/>
      <c r="C54" s="706" t="s">
        <v>2614</v>
      </c>
      <c r="D54" s="706"/>
      <c r="E54" s="706"/>
      <c r="F54" s="1212">
        <f>'Subsidy Layering WS'!K18</f>
        <v>63</v>
      </c>
      <c r="G54" s="706"/>
    </row>
    <row r="55" spans="1:7" ht="3" customHeight="1">
      <c r="F55" s="682"/>
    </row>
    <row r="56" spans="1:7" ht="12" customHeight="1">
      <c r="A56" s="642">
        <v>18</v>
      </c>
      <c r="C56" s="642" t="s">
        <v>2615</v>
      </c>
      <c r="F56" s="1212">
        <f>'Part VI-Revenues &amp; Expenses'!O61</f>
        <v>2</v>
      </c>
      <c r="G56" s="642" t="s">
        <v>2616</v>
      </c>
    </row>
    <row r="57" spans="1:7" ht="3" customHeight="1">
      <c r="F57" s="682"/>
    </row>
    <row r="58" spans="1:7" ht="12" customHeight="1">
      <c r="A58" s="642">
        <v>19</v>
      </c>
      <c r="C58" s="642" t="s">
        <v>2617</v>
      </c>
      <c r="F58" s="1213"/>
      <c r="G58" s="642" t="s">
        <v>2618</v>
      </c>
    </row>
    <row r="59" spans="1:7" ht="3" customHeight="1">
      <c r="F59" s="682"/>
    </row>
    <row r="60" spans="1:7" ht="12" customHeight="1">
      <c r="A60" s="642">
        <v>20</v>
      </c>
      <c r="C60" s="642" t="s">
        <v>2619</v>
      </c>
      <c r="F60" s="1214" t="s">
        <v>64</v>
      </c>
      <c r="G60" s="706"/>
    </row>
    <row r="61" spans="1:7" ht="3" customHeight="1"/>
    <row r="62" spans="1:7" ht="12" customHeight="1">
      <c r="A62" s="642">
        <v>21</v>
      </c>
      <c r="C62" s="642" t="s">
        <v>2620</v>
      </c>
      <c r="E62" s="1215" t="s">
        <v>2621</v>
      </c>
      <c r="F62" s="1216" t="s">
        <v>2622</v>
      </c>
      <c r="G62" s="1215" t="s">
        <v>2623</v>
      </c>
    </row>
    <row r="63" spans="1:7" ht="12" customHeight="1">
      <c r="E63" s="1215" t="s">
        <v>2621</v>
      </c>
      <c r="F63" s="1216" t="s">
        <v>2622</v>
      </c>
      <c r="G63" s="1215"/>
    </row>
    <row r="64" spans="1:7" ht="3" customHeight="1"/>
    <row r="65" spans="1:7" ht="12" customHeight="1">
      <c r="A65" s="642">
        <v>22</v>
      </c>
      <c r="C65" s="642" t="s">
        <v>2624</v>
      </c>
      <c r="E65" s="689" t="str">
        <f>Overview!H9</f>
        <v>TISHCO Ball Ground L.P.</v>
      </c>
    </row>
    <row r="66" spans="1:7" ht="3" customHeight="1"/>
    <row r="67" spans="1:7" ht="12" customHeight="1">
      <c r="A67" s="642">
        <v>23</v>
      </c>
      <c r="C67" s="642" t="s">
        <v>2625</v>
      </c>
      <c r="F67" s="682" t="s">
        <v>2626</v>
      </c>
    </row>
    <row r="68" spans="1:7" ht="3" customHeight="1"/>
    <row r="69" spans="1:7" ht="12" customHeight="1">
      <c r="A69" s="642">
        <v>24</v>
      </c>
      <c r="C69" s="642" t="s">
        <v>2627</v>
      </c>
      <c r="E69" s="642" t="s">
        <v>2596</v>
      </c>
      <c r="F69" s="682">
        <v>20</v>
      </c>
      <c r="G69" s="642" t="s">
        <v>643</v>
      </c>
    </row>
    <row r="70" spans="1:7" ht="3" customHeight="1"/>
    <row r="71" spans="1:7" ht="12" customHeight="1">
      <c r="A71" s="642">
        <v>25</v>
      </c>
      <c r="C71" s="642" t="s">
        <v>2628</v>
      </c>
      <c r="F71" s="1217">
        <f>'Part IV-A-Uses of Funds'!$G$122</f>
        <v>269518</v>
      </c>
    </row>
    <row r="72" spans="1:7" ht="3" customHeight="1">
      <c r="F72" s="1217"/>
    </row>
    <row r="73" spans="1:7" ht="12" customHeight="1">
      <c r="A73" s="642">
        <v>26</v>
      </c>
      <c r="C73" s="642" t="s">
        <v>2629</v>
      </c>
      <c r="F73" s="1217">
        <f>'Part IV-A-Uses of Funds'!$G$123</f>
        <v>0</v>
      </c>
    </row>
    <row r="74" spans="1:7" ht="3" customHeight="1">
      <c r="F74" s="1217"/>
    </row>
    <row r="75" spans="1:7" ht="12" customHeight="1">
      <c r="A75" s="642">
        <v>27</v>
      </c>
      <c r="C75" s="642" t="s">
        <v>2630</v>
      </c>
      <c r="F75" s="1218">
        <f>'Part IV-A-Uses of Funds'!$G$121</f>
        <v>95099</v>
      </c>
    </row>
    <row r="76" spans="1:7" ht="3" customHeight="1">
      <c r="F76" s="1217"/>
    </row>
    <row r="77" spans="1:7" ht="12" customHeight="1">
      <c r="A77" s="642">
        <v>28</v>
      </c>
      <c r="C77" s="642" t="s">
        <v>2631</v>
      </c>
      <c r="F77" s="121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642" customWidth="1"/>
    <col min="2" max="2" width="11" style="642" customWidth="1"/>
    <col min="3" max="3" width="31" style="642" customWidth="1"/>
    <col min="4" max="4" width="14" style="642" customWidth="1"/>
    <col min="5" max="10" width="11.28515625" style="642" customWidth="1"/>
    <col min="11" max="16384" width="9.140625" style="642"/>
  </cols>
  <sheetData>
    <row r="1" spans="1:13" ht="15">
      <c r="A1" s="2218" t="s">
        <v>2632</v>
      </c>
      <c r="B1" s="2218"/>
      <c r="C1" s="2218"/>
      <c r="D1" s="2218"/>
      <c r="E1" s="2218"/>
      <c r="F1" s="2218"/>
      <c r="G1" s="2218"/>
      <c r="H1" s="2218"/>
      <c r="I1" s="2218"/>
      <c r="J1" s="2218"/>
    </row>
    <row r="2" spans="1:13" ht="15">
      <c r="A2" s="2218" t="str">
        <f>Overview!E8&amp;"  "&amp;Overview!C8</f>
        <v>2018-008  Mill at Stone Valley</v>
      </c>
      <c r="B2" s="2218"/>
      <c r="C2" s="2218"/>
      <c r="D2" s="2218"/>
      <c r="E2" s="2218"/>
      <c r="F2" s="2218"/>
      <c r="G2" s="2218"/>
      <c r="H2" s="2218"/>
      <c r="I2" s="2218"/>
      <c r="J2" s="2218"/>
    </row>
    <row r="3" spans="1:13" ht="6" customHeight="1">
      <c r="K3" s="2203" t="s">
        <v>2581</v>
      </c>
      <c r="L3" s="2203"/>
      <c r="M3" s="2203"/>
    </row>
    <row r="4" spans="1:13" ht="12" customHeight="1">
      <c r="A4" s="678" t="s">
        <v>2633</v>
      </c>
      <c r="K4" s="2203"/>
      <c r="L4" s="2203"/>
      <c r="M4" s="2203"/>
    </row>
    <row r="5" spans="1:13" ht="12" customHeight="1">
      <c r="A5" s="642" t="s">
        <v>2634</v>
      </c>
      <c r="C5" s="679" t="str">
        <f>'Subsidy Layering Memo'!D6</f>
        <v>(Underwriter)</v>
      </c>
      <c r="I5" s="679"/>
      <c r="K5" s="2203"/>
      <c r="L5" s="2203"/>
      <c r="M5" s="2203"/>
    </row>
    <row r="6" spans="1:13" ht="6" customHeight="1">
      <c r="C6" s="586"/>
      <c r="D6" s="679"/>
      <c r="I6" s="679"/>
      <c r="K6" s="2203"/>
      <c r="L6" s="2203"/>
      <c r="M6" s="2203"/>
    </row>
    <row r="7" spans="1:13" ht="12" customHeight="1">
      <c r="A7" s="678" t="s">
        <v>2635</v>
      </c>
      <c r="C7" s="586"/>
      <c r="D7" s="679"/>
      <c r="I7" s="679"/>
      <c r="K7" s="2203"/>
      <c r="L7" s="2203"/>
      <c r="M7" s="2203"/>
    </row>
    <row r="8" spans="1:13" ht="12" customHeight="1">
      <c r="A8" s="642" t="s">
        <v>2636</v>
      </c>
      <c r="C8" s="679" t="str">
        <f>Overview!$H$9</f>
        <v>TISHCO Ball Ground L.P.</v>
      </c>
      <c r="I8" s="679"/>
      <c r="K8" s="2203"/>
      <c r="L8" s="2203"/>
      <c r="M8" s="2203"/>
    </row>
    <row r="9" spans="1:13" ht="3" customHeight="1">
      <c r="C9" s="586"/>
      <c r="D9" s="679"/>
      <c r="I9" s="679"/>
    </row>
    <row r="10" spans="1:13" ht="12" customHeight="1">
      <c r="A10" s="642" t="s">
        <v>2637</v>
      </c>
      <c r="C10" s="1168" t="s">
        <v>781</v>
      </c>
      <c r="I10" s="679"/>
    </row>
    <row r="11" spans="1:13" ht="12" customHeight="1">
      <c r="C11" s="1168" t="s">
        <v>781</v>
      </c>
      <c r="I11" s="679"/>
    </row>
    <row r="12" spans="1:13" ht="12" customHeight="1">
      <c r="C12" s="679" t="s">
        <v>180</v>
      </c>
      <c r="D12" s="697" t="s">
        <v>781</v>
      </c>
      <c r="I12" s="679"/>
    </row>
    <row r="13" spans="1:13" ht="12" customHeight="1">
      <c r="C13" s="679" t="s">
        <v>2638</v>
      </c>
      <c r="D13" s="2211"/>
      <c r="E13" s="2211"/>
      <c r="F13" s="2211"/>
      <c r="G13" s="2211"/>
      <c r="H13" s="2211"/>
      <c r="I13" s="2211"/>
      <c r="J13" s="2211"/>
    </row>
    <row r="14" spans="1:13" ht="3" customHeight="1">
      <c r="G14" s="586"/>
      <c r="H14" s="679"/>
      <c r="I14" s="679"/>
    </row>
    <row r="15" spans="1:13" ht="12" customHeight="1">
      <c r="A15" s="642" t="s">
        <v>2639</v>
      </c>
      <c r="C15" s="681" t="str">
        <f>'Preview term'!E10</f>
        <v>Mary T. Johnson</v>
      </c>
      <c r="G15" s="586"/>
      <c r="I15" s="679"/>
    </row>
    <row r="16" spans="1:13" ht="12" customHeight="1">
      <c r="A16" s="689" t="s">
        <v>2640</v>
      </c>
      <c r="C16" s="681" t="str">
        <f>'Part II-Development Team'!Q6</f>
        <v>Manager of GP</v>
      </c>
      <c r="G16" s="586"/>
      <c r="I16" s="679"/>
    </row>
    <row r="17" spans="1:9" ht="3" customHeight="1">
      <c r="G17" s="586"/>
      <c r="H17" s="679"/>
      <c r="I17" s="679"/>
    </row>
    <row r="18" spans="1:9" ht="12" customHeight="1">
      <c r="A18" s="642" t="s">
        <v>2641</v>
      </c>
      <c r="C18" s="681" t="str">
        <f>'Preview term'!$E$7</f>
        <v>314 North Patterson Street</v>
      </c>
      <c r="G18" s="586"/>
      <c r="I18" s="679"/>
    </row>
    <row r="19" spans="1:9" ht="12" customHeight="1">
      <c r="C19" s="681" t="str">
        <f>'Preview term'!$E$8</f>
        <v>Valdosta, GA 31601</v>
      </c>
      <c r="G19" s="586"/>
      <c r="I19" s="679"/>
    </row>
    <row r="20" spans="1:9" ht="3" customHeight="1">
      <c r="G20" s="586"/>
      <c r="H20" s="679"/>
      <c r="I20" s="679"/>
    </row>
    <row r="21" spans="1:9" ht="12" customHeight="1">
      <c r="A21" s="642" t="s">
        <v>2642</v>
      </c>
      <c r="C21" s="681" t="str">
        <f>CONCATENATE('Preview term'!E49," of  ",'Preview term'!G49)</f>
        <v>Althea J.K. Broughton of  Arnall Golden Gregory LLP</v>
      </c>
      <c r="G21" s="586"/>
      <c r="I21" s="679"/>
    </row>
    <row r="22" spans="1:9" ht="3" customHeight="1">
      <c r="C22" s="681"/>
      <c r="G22" s="586"/>
      <c r="I22" s="679"/>
    </row>
    <row r="23" spans="1:9" ht="12" customHeight="1">
      <c r="A23" s="642" t="s">
        <v>2643</v>
      </c>
      <c r="C23" s="681">
        <f>'Preview term'!E12</f>
        <v>2292427759</v>
      </c>
      <c r="G23" s="586"/>
      <c r="I23" s="679"/>
    </row>
    <row r="24" spans="1:9" ht="3" customHeight="1">
      <c r="C24" s="681"/>
      <c r="G24" s="586"/>
      <c r="I24" s="679"/>
    </row>
    <row r="25" spans="1:9" ht="12" customHeight="1">
      <c r="A25" s="642" t="s">
        <v>2644</v>
      </c>
      <c r="C25" s="1170" t="str">
        <f>'Preview term'!E11</f>
        <v>tish.johnson@tishcollc.com</v>
      </c>
      <c r="G25" s="586"/>
    </row>
    <row r="26" spans="1:9" ht="6" customHeight="1">
      <c r="G26" s="586"/>
      <c r="H26" s="679"/>
      <c r="I26" s="679"/>
    </row>
    <row r="27" spans="1:9" ht="12" customHeight="1">
      <c r="A27" s="678" t="s">
        <v>2645</v>
      </c>
      <c r="G27" s="586"/>
      <c r="H27" s="679"/>
      <c r="I27" s="679"/>
    </row>
    <row r="28" spans="1:9" ht="12" customHeight="1">
      <c r="A28" s="642" t="s">
        <v>2646</v>
      </c>
      <c r="C28" s="681" t="str">
        <f>Overview!$C$8</f>
        <v>Mill at Stone Valley</v>
      </c>
      <c r="I28" s="679"/>
    </row>
    <row r="29" spans="1:9" ht="3" customHeight="1">
      <c r="C29" s="681"/>
      <c r="I29" s="679"/>
    </row>
    <row r="30" spans="1:9" ht="12" customHeight="1">
      <c r="A30" s="642" t="s">
        <v>2647</v>
      </c>
      <c r="C30" s="681" t="str">
        <f>'Preview term'!E16</f>
        <v>Ball Ground Highway &amp; Coy M. Holcomb Drive</v>
      </c>
      <c r="I30" s="679"/>
    </row>
    <row r="31" spans="1:9">
      <c r="C31" s="679" t="str">
        <f>'Preview term'!E17</f>
        <v>Ball Ground, GA 30107</v>
      </c>
      <c r="I31" s="679"/>
    </row>
    <row r="32" spans="1:9" ht="3" customHeight="1">
      <c r="C32" s="586"/>
      <c r="D32" s="586"/>
      <c r="I32" s="586"/>
    </row>
    <row r="33" spans="1:10" ht="12" customHeight="1">
      <c r="A33" s="642" t="s">
        <v>2648</v>
      </c>
      <c r="C33" s="586" t="s">
        <v>2649</v>
      </c>
      <c r="D33" s="1169">
        <f>'Preview term'!F54</f>
        <v>63</v>
      </c>
      <c r="I33" s="586"/>
    </row>
    <row r="34" spans="1:10" ht="12" customHeight="1">
      <c r="C34" s="586" t="s">
        <v>2650</v>
      </c>
      <c r="D34" s="683">
        <f>'Subsidy Layering WS'!H12-'Subsidy Layering WS'!D12</f>
        <v>11</v>
      </c>
      <c r="I34" s="586"/>
    </row>
    <row r="35" spans="1:10" ht="12" customHeight="1">
      <c r="C35" s="586" t="s">
        <v>2651</v>
      </c>
      <c r="D35" s="1367">
        <f>SUM(D33:D34)</f>
        <v>74</v>
      </c>
      <c r="I35" s="586"/>
    </row>
    <row r="36" spans="1:10" ht="3" customHeight="1">
      <c r="C36" s="586"/>
      <c r="D36" s="586"/>
      <c r="I36" s="586"/>
    </row>
    <row r="37" spans="1:10" ht="12" customHeight="1">
      <c r="A37" s="642" t="s">
        <v>2652</v>
      </c>
      <c r="C37" s="1215" t="s">
        <v>781</v>
      </c>
      <c r="D37" s="1167">
        <f>'Preview term'!F56</f>
        <v>2</v>
      </c>
      <c r="E37" s="586" t="s">
        <v>2653</v>
      </c>
      <c r="I37" s="586"/>
    </row>
    <row r="38" spans="1:10" ht="3" customHeight="1">
      <c r="G38" s="1471"/>
      <c r="H38" s="586"/>
      <c r="I38" s="586"/>
    </row>
    <row r="39" spans="1:10" ht="25.5" customHeight="1">
      <c r="A39" s="684" t="s">
        <v>2654</v>
      </c>
      <c r="C39" s="2219"/>
      <c r="D39" s="2219"/>
      <c r="E39" s="2219"/>
      <c r="F39" s="2219"/>
      <c r="G39" s="2219"/>
      <c r="H39" s="2219"/>
      <c r="I39" s="2219"/>
      <c r="J39" s="2219"/>
    </row>
    <row r="40" spans="1:10" ht="3" customHeight="1">
      <c r="G40" s="586"/>
      <c r="H40" s="586"/>
      <c r="I40" s="586"/>
    </row>
    <row r="41" spans="1:10" ht="25.5" customHeight="1">
      <c r="A41" s="684" t="s">
        <v>2655</v>
      </c>
      <c r="C41" s="2220" t="s">
        <v>2656</v>
      </c>
      <c r="D41" s="2220"/>
      <c r="E41" s="2220"/>
      <c r="F41" s="2220"/>
      <c r="G41" s="2220"/>
      <c r="H41" s="2220"/>
      <c r="I41" s="2220"/>
      <c r="J41" s="2220"/>
    </row>
    <row r="42" spans="1:10" ht="3" customHeight="1">
      <c r="C42" s="452"/>
      <c r="D42" s="452"/>
      <c r="E42" s="452"/>
      <c r="F42" s="452"/>
      <c r="G42" s="452"/>
      <c r="H42" s="453"/>
      <c r="I42" s="454"/>
      <c r="J42" s="453"/>
    </row>
    <row r="43" spans="1:10" ht="12" customHeight="1">
      <c r="A43" s="642" t="s">
        <v>2657</v>
      </c>
      <c r="C43" s="521" t="str">
        <f>'Part I-Project Information'!J39</f>
        <v>Cherokee</v>
      </c>
      <c r="D43" s="452"/>
      <c r="F43" s="453"/>
      <c r="I43" s="454"/>
      <c r="J43" s="453"/>
    </row>
    <row r="44" spans="1:10" ht="3" customHeight="1">
      <c r="C44" s="452"/>
      <c r="D44" s="452"/>
      <c r="E44" s="452"/>
      <c r="F44" s="453"/>
      <c r="I44" s="454"/>
      <c r="J44" s="453"/>
    </row>
    <row r="45" spans="1:10" ht="12" customHeight="1">
      <c r="A45" s="642" t="s">
        <v>2658</v>
      </c>
      <c r="C45" s="697" t="s">
        <v>781</v>
      </c>
      <c r="I45" s="454"/>
      <c r="J45" s="453"/>
    </row>
    <row r="46" spans="1:10" ht="3" customHeight="1">
      <c r="C46" s="586"/>
      <c r="D46" s="1465"/>
      <c r="I46" s="586"/>
    </row>
    <row r="47" spans="1:10" ht="12" customHeight="1">
      <c r="A47" s="642" t="s">
        <v>2659</v>
      </c>
      <c r="C47" s="685"/>
      <c r="I47" s="686"/>
      <c r="J47" s="686"/>
    </row>
    <row r="48" spans="1:10" ht="3" customHeight="1">
      <c r="D48" s="686"/>
      <c r="E48" s="686"/>
      <c r="F48" s="686"/>
      <c r="G48" s="687"/>
      <c r="H48" s="586"/>
      <c r="I48" s="686"/>
      <c r="J48" s="686"/>
    </row>
    <row r="49" spans="1:10" ht="12" customHeight="1">
      <c r="A49" s="586"/>
      <c r="B49" s="642" t="s">
        <v>2660</v>
      </c>
      <c r="C49" s="2220" t="s">
        <v>2661</v>
      </c>
      <c r="D49" s="2220"/>
      <c r="E49" s="2220"/>
      <c r="F49" s="2220"/>
      <c r="G49" s="2220"/>
      <c r="H49" s="2220"/>
      <c r="I49" s="2220"/>
      <c r="J49" s="2220"/>
    </row>
    <row r="50" spans="1:10" ht="12" customHeight="1">
      <c r="C50" s="2215" t="s">
        <v>2662</v>
      </c>
      <c r="D50" s="2215"/>
      <c r="E50" s="2215"/>
      <c r="F50" s="2215"/>
      <c r="G50" s="2215"/>
      <c r="H50" s="2215"/>
      <c r="I50" s="2215"/>
      <c r="J50" s="2215"/>
    </row>
    <row r="51" spans="1:10" ht="3" customHeight="1">
      <c r="D51" s="686"/>
      <c r="E51" s="686"/>
      <c r="F51" s="686"/>
      <c r="G51" s="687"/>
      <c r="H51" s="586"/>
      <c r="I51" s="686"/>
      <c r="J51" s="686"/>
    </row>
    <row r="52" spans="1:10" ht="12" customHeight="1">
      <c r="A52" s="684" t="s">
        <v>2663</v>
      </c>
      <c r="B52" s="684"/>
      <c r="C52" s="688" t="s">
        <v>2664</v>
      </c>
      <c r="D52" s="688" t="s">
        <v>2665</v>
      </c>
      <c r="E52" s="2216"/>
      <c r="F52" s="2216"/>
      <c r="G52" s="2216"/>
      <c r="H52" s="2216"/>
      <c r="I52" s="2216"/>
      <c r="J52" s="2216"/>
    </row>
    <row r="53" spans="1:10" ht="12" customHeight="1">
      <c r="A53" s="684"/>
      <c r="B53" s="684"/>
      <c r="C53" s="684"/>
      <c r="D53" s="688" t="s">
        <v>2666</v>
      </c>
      <c r="E53" s="2217"/>
      <c r="F53" s="2217"/>
      <c r="G53" s="2217"/>
      <c r="H53" s="2217"/>
      <c r="I53" s="2217"/>
      <c r="J53" s="2217"/>
    </row>
    <row r="54" spans="1:10" ht="12" customHeight="1">
      <c r="A54" s="678" t="s">
        <v>2667</v>
      </c>
      <c r="G54" s="586"/>
      <c r="H54" s="586"/>
      <c r="I54" s="586"/>
    </row>
    <row r="55" spans="1:10" ht="18" customHeight="1">
      <c r="A55" s="642" t="s">
        <v>2668</v>
      </c>
      <c r="C55" s="680" t="str">
        <f>Overview!C10</f>
        <v>TISHCO Cherokee LLC</v>
      </c>
      <c r="G55" s="586"/>
      <c r="I55" s="586"/>
    </row>
    <row r="56" spans="1:10" ht="3" customHeight="1">
      <c r="C56" s="680"/>
      <c r="G56" s="586"/>
      <c r="I56" s="586"/>
    </row>
    <row r="57" spans="1:10" ht="12" customHeight="1">
      <c r="A57" s="642" t="s">
        <v>2669</v>
      </c>
      <c r="C57" s="680" t="str">
        <f>Overview!C11</f>
        <v/>
      </c>
      <c r="E57" s="680" t="str">
        <f>Overview!E11</f>
        <v/>
      </c>
      <c r="G57" s="586"/>
      <c r="I57" s="586"/>
    </row>
    <row r="58" spans="1:10" ht="3" customHeight="1">
      <c r="C58" s="680"/>
      <c r="G58" s="586"/>
      <c r="I58" s="586"/>
    </row>
    <row r="59" spans="1:10" ht="12" customHeight="1">
      <c r="A59" s="642" t="s">
        <v>2670</v>
      </c>
      <c r="C59" s="680" t="s">
        <v>2217</v>
      </c>
      <c r="G59" s="586"/>
      <c r="I59" s="586"/>
    </row>
    <row r="60" spans="1:10" ht="6" customHeight="1">
      <c r="G60" s="586"/>
      <c r="H60" s="586"/>
      <c r="I60" s="586"/>
    </row>
    <row r="61" spans="1:10" ht="12" customHeight="1">
      <c r="A61" s="678" t="s">
        <v>2671</v>
      </c>
      <c r="G61" s="586"/>
      <c r="H61" s="586"/>
      <c r="I61" s="586"/>
    </row>
    <row r="62" spans="1:10" ht="12" customHeight="1">
      <c r="A62" s="642" t="s">
        <v>2672</v>
      </c>
      <c r="C62" s="642" t="s">
        <v>2673</v>
      </c>
      <c r="D62" s="1171">
        <f>'Preview term'!F30</f>
        <v>2267374</v>
      </c>
      <c r="G62" s="586"/>
      <c r="I62" s="586"/>
    </row>
    <row r="63" spans="1:10" ht="3" customHeight="1">
      <c r="D63" s="689"/>
      <c r="G63" s="586"/>
      <c r="H63" s="690"/>
      <c r="I63" s="586"/>
    </row>
    <row r="64" spans="1:10" ht="12" customHeight="1">
      <c r="A64" s="642" t="s">
        <v>2674</v>
      </c>
      <c r="C64" s="642" t="s">
        <v>2675</v>
      </c>
      <c r="D64" s="680" t="s">
        <v>64</v>
      </c>
      <c r="G64" s="586"/>
      <c r="I64" s="586"/>
    </row>
    <row r="65" spans="1:10" ht="3" customHeight="1">
      <c r="D65" s="689"/>
      <c r="G65" s="586"/>
      <c r="H65" s="586"/>
      <c r="I65" s="586"/>
    </row>
    <row r="66" spans="1:10" ht="12" customHeight="1">
      <c r="A66" s="642" t="s">
        <v>2676</v>
      </c>
      <c r="C66" s="1172" t="s">
        <v>781</v>
      </c>
      <c r="D66" s="1470"/>
      <c r="I66" s="586"/>
    </row>
    <row r="67" spans="1:10" ht="12" customHeight="1">
      <c r="C67" s="642" t="s">
        <v>2677</v>
      </c>
      <c r="D67" s="1467" t="s">
        <v>781</v>
      </c>
      <c r="I67" s="586"/>
    </row>
    <row r="68" spans="1:10" ht="12" customHeight="1">
      <c r="C68" s="642" t="s">
        <v>2638</v>
      </c>
      <c r="D68" s="2211"/>
      <c r="E68" s="2211"/>
      <c r="F68" s="2211"/>
      <c r="G68" s="2211"/>
      <c r="H68" s="2211"/>
      <c r="I68" s="2211"/>
      <c r="J68" s="2211"/>
    </row>
    <row r="69" spans="1:10" ht="3" customHeight="1">
      <c r="D69" s="689"/>
      <c r="E69" s="586"/>
      <c r="F69" s="586"/>
      <c r="I69" s="586"/>
    </row>
    <row r="70" spans="1:10" ht="12" customHeight="1">
      <c r="A70" s="642" t="s">
        <v>2678</v>
      </c>
      <c r="C70" s="642" t="s">
        <v>2596</v>
      </c>
      <c r="D70" s="697" t="s">
        <v>781</v>
      </c>
      <c r="I70" s="586"/>
    </row>
    <row r="71" spans="1:10" ht="3" customHeight="1">
      <c r="D71" s="586"/>
      <c r="E71" s="586"/>
      <c r="I71" s="586"/>
    </row>
    <row r="72" spans="1:10" ht="12" customHeight="1">
      <c r="A72" s="642" t="s">
        <v>2679</v>
      </c>
      <c r="C72" s="1172" t="s">
        <v>781</v>
      </c>
      <c r="I72" s="586"/>
    </row>
    <row r="73" spans="1:10" ht="3" customHeight="1">
      <c r="C73" s="689"/>
      <c r="G73" s="691"/>
      <c r="H73" s="586"/>
      <c r="I73" s="586"/>
    </row>
    <row r="74" spans="1:10" ht="12" customHeight="1">
      <c r="A74" s="642" t="s">
        <v>2680</v>
      </c>
      <c r="C74" s="689" t="s">
        <v>2681</v>
      </c>
      <c r="D74" s="1174">
        <v>0</v>
      </c>
      <c r="J74" s="586"/>
    </row>
    <row r="75" spans="1:10" ht="12" customHeight="1">
      <c r="C75" s="692" t="s">
        <v>2682</v>
      </c>
      <c r="D75" s="1175">
        <v>0.01</v>
      </c>
      <c r="J75" s="586"/>
    </row>
    <row r="76" spans="1:10" ht="3" customHeight="1">
      <c r="C76" s="689"/>
      <c r="D76" s="689"/>
      <c r="G76" s="586"/>
      <c r="H76" s="586"/>
      <c r="I76" s="586"/>
    </row>
    <row r="77" spans="1:10" ht="12" customHeight="1">
      <c r="A77" s="642" t="s">
        <v>2683</v>
      </c>
      <c r="C77" s="689" t="s">
        <v>2684</v>
      </c>
      <c r="D77" s="694">
        <v>24</v>
      </c>
      <c r="I77" s="586"/>
    </row>
    <row r="78" spans="1:10" ht="3" customHeight="1">
      <c r="D78" s="689"/>
      <c r="E78" s="586"/>
      <c r="F78" s="586"/>
      <c r="I78" s="586"/>
    </row>
    <row r="79" spans="1:10" ht="12" customHeight="1">
      <c r="A79" s="642" t="s">
        <v>2685</v>
      </c>
      <c r="C79" s="642" t="s">
        <v>2596</v>
      </c>
      <c r="D79" s="695">
        <f>'Preview term'!F39</f>
        <v>240</v>
      </c>
      <c r="E79" s="586" t="s">
        <v>2686</v>
      </c>
      <c r="I79" s="586"/>
    </row>
    <row r="80" spans="1:10" ht="3" customHeight="1">
      <c r="D80" s="689"/>
      <c r="G80" s="586"/>
      <c r="H80" s="586"/>
      <c r="I80" s="586"/>
    </row>
    <row r="81" spans="1:9" ht="12" customHeight="1">
      <c r="A81" s="642" t="s">
        <v>2687</v>
      </c>
      <c r="D81" s="1173">
        <v>0</v>
      </c>
      <c r="E81" s="696">
        <f>D81*12</f>
        <v>0</v>
      </c>
      <c r="F81" s="586" t="s">
        <v>2688</v>
      </c>
    </row>
    <row r="82" spans="1:9" ht="3" customHeight="1">
      <c r="D82" s="680"/>
      <c r="E82" s="586"/>
      <c r="G82" s="586"/>
    </row>
    <row r="83" spans="1:9" ht="12" customHeight="1">
      <c r="A83" s="642" t="s">
        <v>2689</v>
      </c>
      <c r="D83" s="1467" t="s">
        <v>64</v>
      </c>
      <c r="E83" s="586" t="s">
        <v>2690</v>
      </c>
      <c r="G83" s="586"/>
    </row>
    <row r="84" spans="1:9" ht="3" customHeight="1">
      <c r="G84" s="586"/>
      <c r="H84" s="586"/>
      <c r="I84" s="586"/>
    </row>
    <row r="85" spans="1:9" ht="12" customHeight="1">
      <c r="A85" s="642" t="s">
        <v>2691</v>
      </c>
      <c r="C85" s="1171">
        <f>'Part VII-Pro Forma'!K67</f>
        <v>1961887.4211852259</v>
      </c>
      <c r="D85" s="698" t="s">
        <v>2692</v>
      </c>
      <c r="I85" s="586"/>
    </row>
    <row r="86" spans="1:9" ht="3" customHeight="1">
      <c r="C86" s="586" t="s">
        <v>781</v>
      </c>
      <c r="D86" s="586"/>
      <c r="E86" s="586"/>
      <c r="I86" s="586"/>
    </row>
    <row r="87" spans="1:9" ht="12" customHeight="1">
      <c r="A87" s="642" t="s">
        <v>2693</v>
      </c>
      <c r="B87" s="699"/>
      <c r="C87" s="1172" t="s">
        <v>781</v>
      </c>
      <c r="D87" s="1177"/>
      <c r="I87" s="586"/>
    </row>
    <row r="88" spans="1:9" ht="3" customHeight="1">
      <c r="G88" s="586"/>
      <c r="H88" s="586"/>
      <c r="I88" s="586"/>
    </row>
    <row r="89" spans="1:9" ht="12" customHeight="1">
      <c r="A89" s="642" t="s">
        <v>2694</v>
      </c>
      <c r="C89" s="689" t="s">
        <v>2695</v>
      </c>
      <c r="D89" s="680" t="s">
        <v>2607</v>
      </c>
      <c r="I89" s="586"/>
    </row>
    <row r="90" spans="1:9" ht="12" customHeight="1">
      <c r="C90" s="689" t="s">
        <v>2696</v>
      </c>
      <c r="D90" s="680" t="s">
        <v>64</v>
      </c>
      <c r="I90" s="586"/>
    </row>
    <row r="91" spans="1:9" ht="3" customHeight="1">
      <c r="G91" s="586"/>
      <c r="H91" s="586"/>
      <c r="I91" s="586"/>
    </row>
    <row r="92" spans="1:9" ht="12" customHeight="1">
      <c r="A92" s="642" t="s">
        <v>2697</v>
      </c>
      <c r="C92" s="689" t="s">
        <v>2681</v>
      </c>
      <c r="D92" s="586" t="s">
        <v>2698</v>
      </c>
      <c r="E92" s="689" t="str">
        <f>'Part III-Sources of Funds'!H19</f>
        <v>Guardian Bank</v>
      </c>
      <c r="I92" s="586"/>
    </row>
    <row r="93" spans="1:9" ht="12" customHeight="1">
      <c r="C93" s="1470"/>
      <c r="D93" s="586"/>
      <c r="E93" s="689" t="s">
        <v>35</v>
      </c>
      <c r="F93" s="2206"/>
      <c r="G93" s="2206"/>
      <c r="H93" s="2206"/>
      <c r="I93" s="586"/>
    </row>
    <row r="94" spans="1:9" ht="12" customHeight="1">
      <c r="C94" s="689"/>
      <c r="D94" s="586"/>
      <c r="E94" s="689" t="s">
        <v>105</v>
      </c>
      <c r="F94" s="2207"/>
      <c r="G94" s="2207"/>
      <c r="H94" s="2207"/>
      <c r="I94" s="586"/>
    </row>
    <row r="95" spans="1:9" ht="12" customHeight="1">
      <c r="C95" s="689"/>
      <c r="D95" s="586"/>
      <c r="E95" s="689" t="s">
        <v>106</v>
      </c>
      <c r="F95" s="2208"/>
      <c r="G95" s="2208"/>
      <c r="H95" s="2208"/>
      <c r="I95" s="586"/>
    </row>
    <row r="96" spans="1:9" ht="12" customHeight="1">
      <c r="B96" s="682"/>
      <c r="C96" s="692" t="s">
        <v>2682</v>
      </c>
      <c r="D96" s="586" t="s">
        <v>2698</v>
      </c>
      <c r="E96" s="689" t="str">
        <f>'Part III-Sources of Funds'!E37</f>
        <v>Guardian Bank</v>
      </c>
      <c r="I96" s="586"/>
    </row>
    <row r="97" spans="1:10" ht="12" customHeight="1">
      <c r="C97" s="689"/>
      <c r="D97" s="586"/>
      <c r="E97" s="689" t="s">
        <v>35</v>
      </c>
      <c r="F97" s="2206"/>
      <c r="G97" s="2206"/>
      <c r="H97" s="2206"/>
      <c r="I97" s="586"/>
    </row>
    <row r="98" spans="1:10" ht="12" customHeight="1">
      <c r="C98" s="689"/>
      <c r="D98" s="586"/>
      <c r="E98" s="689" t="s">
        <v>105</v>
      </c>
      <c r="F98" s="2207"/>
      <c r="G98" s="2207"/>
      <c r="H98" s="2207"/>
      <c r="I98" s="586"/>
    </row>
    <row r="99" spans="1:10" ht="12" customHeight="1">
      <c r="C99" s="689"/>
      <c r="D99" s="586"/>
      <c r="E99" s="689" t="s">
        <v>106</v>
      </c>
      <c r="F99" s="2208"/>
      <c r="G99" s="2208"/>
      <c r="H99" s="2208"/>
      <c r="I99" s="586"/>
    </row>
    <row r="100" spans="1:10" ht="3" customHeight="1">
      <c r="D100" s="700"/>
      <c r="G100" s="586"/>
      <c r="H100" s="586"/>
      <c r="I100" s="586"/>
    </row>
    <row r="101" spans="1:10" ht="12" customHeight="1">
      <c r="A101" s="642" t="s">
        <v>2699</v>
      </c>
      <c r="D101" s="1467" t="str">
        <f>'Part IX A-Scoring Criteria'!O318</f>
        <v>Yes</v>
      </c>
      <c r="E101" s="586" t="s">
        <v>2700</v>
      </c>
      <c r="G101" s="642">
        <f>'Part IX A-Scoring Criteria'!O316</f>
        <v>1</v>
      </c>
      <c r="H101" s="642" t="s">
        <v>2701</v>
      </c>
      <c r="I101" s="586"/>
    </row>
    <row r="102" spans="1:10" ht="3" customHeight="1">
      <c r="E102" s="586"/>
      <c r="F102" s="586"/>
      <c r="I102" s="586"/>
    </row>
    <row r="103" spans="1:10" ht="12" customHeight="1">
      <c r="A103" s="586" t="s">
        <v>2702</v>
      </c>
      <c r="D103" s="642" t="s">
        <v>64</v>
      </c>
      <c r="E103" s="586"/>
      <c r="I103" s="586"/>
    </row>
    <row r="104" spans="1:10" ht="6" customHeight="1">
      <c r="G104" s="586"/>
      <c r="H104" s="586"/>
      <c r="I104" s="586"/>
    </row>
    <row r="105" spans="1:10" ht="12" customHeight="1">
      <c r="A105" s="678" t="s">
        <v>2703</v>
      </c>
      <c r="I105" s="586"/>
    </row>
    <row r="106" spans="1:10" ht="12" customHeight="1">
      <c r="A106" s="642" t="s">
        <v>2704</v>
      </c>
      <c r="C106" s="1176" t="s">
        <v>781</v>
      </c>
      <c r="D106" s="2209"/>
      <c r="E106" s="2209"/>
      <c r="F106" s="2209"/>
      <c r="G106" s="2209"/>
      <c r="H106" s="2209"/>
      <c r="I106" s="2209"/>
      <c r="J106" s="2210"/>
    </row>
    <row r="107" spans="1:10" ht="3" customHeight="1">
      <c r="C107" s="689"/>
      <c r="D107" s="586"/>
      <c r="I107" s="586"/>
    </row>
    <row r="108" spans="1:10" ht="12" customHeight="1">
      <c r="A108" s="642" t="s">
        <v>2705</v>
      </c>
      <c r="C108" s="1467" t="s">
        <v>781</v>
      </c>
    </row>
    <row r="109" spans="1:10" ht="3" customHeight="1">
      <c r="C109" s="689"/>
      <c r="E109" s="586"/>
      <c r="F109" s="586"/>
      <c r="I109" s="586"/>
    </row>
    <row r="110" spans="1:10" ht="12" customHeight="1">
      <c r="A110" s="642" t="s">
        <v>2706</v>
      </c>
      <c r="C110" s="1467" t="s">
        <v>781</v>
      </c>
      <c r="I110" s="586"/>
    </row>
    <row r="111" spans="1:10" ht="3" customHeight="1">
      <c r="D111" s="1471"/>
      <c r="I111" s="586"/>
    </row>
    <row r="112" spans="1:10" ht="12" customHeight="1">
      <c r="A112" s="642" t="s">
        <v>2707</v>
      </c>
      <c r="D112" s="695">
        <v>24</v>
      </c>
      <c r="E112" s="586" t="s">
        <v>2708</v>
      </c>
      <c r="I112" s="586"/>
    </row>
    <row r="113" spans="1:10" ht="12" customHeight="1">
      <c r="C113" s="680" t="s">
        <v>2709</v>
      </c>
      <c r="I113" s="586"/>
    </row>
    <row r="114" spans="1:10" ht="12" customHeight="1">
      <c r="C114" s="680" t="s">
        <v>2710</v>
      </c>
      <c r="G114" s="586"/>
      <c r="I114" s="586"/>
    </row>
    <row r="115" spans="1:10" ht="3" customHeight="1">
      <c r="G115" s="586"/>
      <c r="H115" s="586"/>
      <c r="I115" s="586"/>
    </row>
    <row r="116" spans="1:10" ht="12" customHeight="1">
      <c r="A116" s="642" t="s">
        <v>2711</v>
      </c>
      <c r="D116" s="701">
        <v>0</v>
      </c>
      <c r="E116" s="702" t="s">
        <v>2712</v>
      </c>
      <c r="I116" s="586"/>
    </row>
    <row r="117" spans="1:10" ht="3" customHeight="1">
      <c r="D117" s="689"/>
      <c r="E117" s="586"/>
      <c r="F117" s="586"/>
      <c r="I117" s="586"/>
    </row>
    <row r="118" spans="1:10" ht="12" customHeight="1">
      <c r="A118" s="642" t="s">
        <v>2713</v>
      </c>
      <c r="C118" s="1172" t="s">
        <v>781</v>
      </c>
      <c r="D118" s="1470"/>
      <c r="I118" s="586"/>
    </row>
    <row r="119" spans="1:10" ht="12" customHeight="1">
      <c r="C119" s="586" t="s">
        <v>2714</v>
      </c>
      <c r="D119" s="693"/>
      <c r="E119" s="2213" t="s">
        <v>2715</v>
      </c>
      <c r="F119" s="2213"/>
      <c r="G119" s="2213"/>
      <c r="H119" s="2213"/>
      <c r="I119" s="2213"/>
      <c r="J119" s="2213"/>
    </row>
    <row r="120" spans="1:10" ht="12" customHeight="1">
      <c r="C120" s="586" t="s">
        <v>2716</v>
      </c>
      <c r="D120" s="1491"/>
      <c r="E120" s="2213"/>
      <c r="F120" s="2213"/>
      <c r="G120" s="2213"/>
      <c r="H120" s="2213"/>
      <c r="I120" s="2213"/>
      <c r="J120" s="2213"/>
    </row>
    <row r="121" spans="1:10" ht="12" customHeight="1">
      <c r="C121" s="586" t="s">
        <v>2717</v>
      </c>
      <c r="D121" s="1491"/>
      <c r="E121" s="2213"/>
      <c r="F121" s="2213"/>
      <c r="G121" s="2213"/>
      <c r="H121" s="2213"/>
      <c r="I121" s="2213"/>
      <c r="J121" s="2213"/>
    </row>
    <row r="122" spans="1:10" ht="3" customHeight="1">
      <c r="E122" s="586"/>
      <c r="F122" s="586"/>
      <c r="I122" s="586"/>
    </row>
    <row r="123" spans="1:10" ht="12" customHeight="1">
      <c r="A123" s="642" t="s">
        <v>2718</v>
      </c>
      <c r="D123" s="703" t="s">
        <v>2700</v>
      </c>
      <c r="I123" s="586"/>
    </row>
    <row r="124" spans="1:10" ht="3" customHeight="1">
      <c r="D124" s="586"/>
      <c r="I124" s="586"/>
    </row>
    <row r="125" spans="1:10" ht="12" customHeight="1">
      <c r="A125" s="642" t="s">
        <v>2719</v>
      </c>
      <c r="D125" s="586" t="s">
        <v>2700</v>
      </c>
      <c r="I125" s="586"/>
    </row>
    <row r="126" spans="1:10" ht="3" customHeight="1">
      <c r="G126" s="586"/>
      <c r="H126" s="586"/>
      <c r="I126" s="586"/>
    </row>
    <row r="127" spans="1:10" ht="12" customHeight="1">
      <c r="A127" s="642" t="s">
        <v>2720</v>
      </c>
      <c r="D127" s="586" t="s">
        <v>2721</v>
      </c>
      <c r="G127" s="586"/>
      <c r="I127" s="586"/>
    </row>
    <row r="128" spans="1:10" ht="7.5" customHeight="1">
      <c r="G128" s="586"/>
      <c r="H128" s="586"/>
      <c r="I128" s="586"/>
    </row>
    <row r="129" spans="1:10" ht="12" customHeight="1">
      <c r="A129" s="678" t="s">
        <v>2722</v>
      </c>
      <c r="G129" s="586"/>
      <c r="H129" s="586"/>
      <c r="I129" s="586"/>
    </row>
    <row r="130" spans="1:10" ht="12" customHeight="1">
      <c r="A130" s="642" t="s">
        <v>2723</v>
      </c>
      <c r="C130" s="680" t="str">
        <f>Overview!H11</f>
        <v>TISHCO Development, Inc.</v>
      </c>
      <c r="D130" s="680">
        <f>Overview!K11</f>
        <v>0</v>
      </c>
      <c r="G130" s="680">
        <f>Overview!M11</f>
        <v>0</v>
      </c>
      <c r="I130" s="586"/>
    </row>
    <row r="131" spans="1:10" ht="12" customHeight="1">
      <c r="G131" s="586"/>
      <c r="I131" s="586"/>
    </row>
    <row r="132" spans="1:10" ht="3" customHeight="1">
      <c r="C132" s="586"/>
      <c r="G132" s="586"/>
      <c r="I132" s="586"/>
    </row>
    <row r="133" spans="1:10" ht="12" customHeight="1">
      <c r="A133" s="642" t="s">
        <v>2724</v>
      </c>
      <c r="C133" s="704">
        <f>('Part IV-A-Uses of Funds'!G118-'Part III-Sources of Funds'!I42)/2</f>
        <v>732454.5</v>
      </c>
      <c r="G133" s="586"/>
      <c r="I133" s="586"/>
    </row>
    <row r="134" spans="1:10" ht="3" customHeight="1">
      <c r="C134" s="586"/>
      <c r="G134" s="586"/>
      <c r="I134" s="586"/>
    </row>
    <row r="135" spans="1:10" ht="12" customHeight="1">
      <c r="A135" s="642" t="s">
        <v>2725</v>
      </c>
      <c r="C135" s="1467" t="s">
        <v>2726</v>
      </c>
      <c r="G135" s="586"/>
      <c r="I135" s="586"/>
    </row>
    <row r="136" spans="1:10" ht="3" customHeight="1">
      <c r="C136" s="680"/>
      <c r="G136" s="586"/>
      <c r="I136" s="586"/>
    </row>
    <row r="137" spans="1:10" ht="12" customHeight="1">
      <c r="A137" s="642" t="s">
        <v>2727</v>
      </c>
      <c r="C137" s="680" t="str">
        <f>'Preview term'!E19</f>
        <v>TISHCO Properties, LLC</v>
      </c>
      <c r="G137" s="586"/>
      <c r="I137" s="586"/>
      <c r="J137" s="705"/>
    </row>
    <row r="138" spans="1:10" ht="3" customHeight="1">
      <c r="C138" s="680"/>
      <c r="G138" s="586"/>
      <c r="I138" s="586"/>
    </row>
    <row r="139" spans="1:10" ht="12" customHeight="1">
      <c r="A139" s="642" t="s">
        <v>2728</v>
      </c>
      <c r="C139" s="681" t="str">
        <f>C8</f>
        <v>TISHCO Ball Ground L.P.</v>
      </c>
      <c r="G139" s="586"/>
      <c r="I139" s="679"/>
      <c r="J139" s="706"/>
    </row>
    <row r="140" spans="1:10" ht="3" customHeight="1">
      <c r="C140" s="681"/>
      <c r="G140" s="586"/>
      <c r="I140" s="679"/>
      <c r="J140" s="706"/>
    </row>
    <row r="141" spans="1:10" ht="12" customHeight="1">
      <c r="A141" s="642" t="s">
        <v>2729</v>
      </c>
      <c r="C141" s="681" t="str">
        <f>C18</f>
        <v>314 North Patterson Street</v>
      </c>
      <c r="G141" s="586"/>
      <c r="I141" s="679"/>
      <c r="J141" s="706"/>
    </row>
    <row r="142" spans="1:10">
      <c r="C142" s="681" t="str">
        <f>C19</f>
        <v>Valdosta, GA 31601</v>
      </c>
      <c r="G142" s="586"/>
      <c r="I142" s="679"/>
      <c r="J142" s="706"/>
    </row>
    <row r="143" spans="1:10" ht="3" customHeight="1">
      <c r="C143" s="707"/>
      <c r="G143" s="586"/>
      <c r="I143" s="679"/>
      <c r="J143" s="706"/>
    </row>
    <row r="144" spans="1:10" ht="12" customHeight="1">
      <c r="A144" s="642" t="s">
        <v>2730</v>
      </c>
      <c r="C144" s="681" t="str">
        <f>Overview!H10</f>
        <v>Stratford Capital Group</v>
      </c>
      <c r="G144" s="586"/>
      <c r="I144" s="679"/>
      <c r="J144" s="705"/>
    </row>
    <row r="145" spans="1:10" ht="3" customHeight="1">
      <c r="C145" s="681"/>
      <c r="G145" s="586"/>
      <c r="I145" s="679"/>
      <c r="J145" s="706"/>
    </row>
    <row r="146" spans="1:10" ht="12" customHeight="1">
      <c r="A146" s="642" t="s">
        <v>2731</v>
      </c>
      <c r="C146" s="681" t="str">
        <f>Overview!K10</f>
        <v>TSR SI LLC</v>
      </c>
      <c r="G146" s="586"/>
      <c r="I146" s="679"/>
      <c r="J146" s="705"/>
    </row>
    <row r="147" spans="1:10" ht="3" customHeight="1">
      <c r="C147" s="707"/>
      <c r="G147" s="586"/>
      <c r="I147" s="679"/>
      <c r="J147" s="706"/>
    </row>
    <row r="148" spans="1:10" ht="12" customHeight="1">
      <c r="A148" s="642" t="s">
        <v>2732</v>
      </c>
      <c r="C148" s="708" t="s">
        <v>2700</v>
      </c>
      <c r="G148" s="586"/>
      <c r="I148" s="586"/>
    </row>
    <row r="149" spans="1:10" ht="3" customHeight="1">
      <c r="C149" s="708"/>
      <c r="G149" s="586"/>
      <c r="I149" s="586"/>
    </row>
    <row r="150" spans="1:10" ht="12" customHeight="1">
      <c r="A150" s="642" t="s">
        <v>2733</v>
      </c>
      <c r="C150" s="708" t="s">
        <v>2700</v>
      </c>
      <c r="G150" s="586"/>
      <c r="I150" s="586"/>
    </row>
    <row r="151" spans="1:10" ht="7.5" customHeight="1">
      <c r="G151" s="586"/>
      <c r="H151" s="586"/>
      <c r="I151" s="586"/>
    </row>
    <row r="152" spans="1:10" ht="12" customHeight="1">
      <c r="A152" s="678" t="s">
        <v>2734</v>
      </c>
      <c r="G152" s="586"/>
      <c r="H152" s="586"/>
      <c r="I152" s="586"/>
    </row>
    <row r="153" spans="1:10" ht="3" customHeight="1">
      <c r="D153" s="586"/>
      <c r="E153" s="586"/>
      <c r="G153" s="586"/>
    </row>
    <row r="154" spans="1:10" ht="12" customHeight="1">
      <c r="A154" s="642" t="s">
        <v>2735</v>
      </c>
      <c r="C154" s="586" t="s">
        <v>2736</v>
      </c>
      <c r="D154" s="586"/>
      <c r="G154" s="586"/>
      <c r="H154" s="586"/>
      <c r="I154" s="586"/>
    </row>
    <row r="155" spans="1:10" ht="3" customHeight="1">
      <c r="D155" s="586"/>
      <c r="E155" s="586"/>
      <c r="G155" s="586"/>
    </row>
    <row r="156" spans="1:10" ht="12" customHeight="1">
      <c r="A156" s="642" t="s">
        <v>2737</v>
      </c>
      <c r="D156" s="1467">
        <v>20</v>
      </c>
      <c r="E156" s="586" t="s">
        <v>2596</v>
      </c>
    </row>
    <row r="157" spans="1:10" ht="3" customHeight="1">
      <c r="D157" s="586"/>
      <c r="E157" s="586"/>
      <c r="G157" s="586"/>
    </row>
    <row r="158" spans="1:10" ht="12" customHeight="1">
      <c r="A158" s="642" t="s">
        <v>2738</v>
      </c>
      <c r="C158" s="1172" t="s">
        <v>781</v>
      </c>
      <c r="D158" s="586" t="s">
        <v>2739</v>
      </c>
      <c r="G158" s="586"/>
    </row>
    <row r="159" spans="1:10" ht="3" customHeight="1">
      <c r="G159" s="586"/>
      <c r="H159" s="586"/>
      <c r="I159" s="586"/>
    </row>
    <row r="160" spans="1:10" ht="12" customHeight="1">
      <c r="A160" s="642" t="s">
        <v>2740</v>
      </c>
      <c r="G160" s="586"/>
      <c r="H160" s="586"/>
      <c r="I160" s="586"/>
    </row>
    <row r="161" spans="1:13" ht="7.5" customHeight="1">
      <c r="G161" s="586"/>
      <c r="H161" s="586"/>
      <c r="I161" s="586"/>
    </row>
    <row r="162" spans="1:13" ht="12" customHeight="1">
      <c r="A162" s="678" t="s">
        <v>2741</v>
      </c>
      <c r="G162" s="586"/>
      <c r="H162" s="586"/>
      <c r="I162" s="586"/>
    </row>
    <row r="163" spans="1:13" ht="12" customHeight="1">
      <c r="A163" s="642" t="s">
        <v>2742</v>
      </c>
      <c r="C163" s="642" t="s">
        <v>2743</v>
      </c>
      <c r="E163" s="697">
        <f>'Preview term'!F77</f>
        <v>0</v>
      </c>
      <c r="G163" s="586"/>
      <c r="I163" s="586"/>
    </row>
    <row r="164" spans="1:13" ht="12" customHeight="1">
      <c r="C164" s="642" t="s">
        <v>2744</v>
      </c>
      <c r="E164" s="2211"/>
      <c r="F164" s="2211"/>
      <c r="G164" s="2211"/>
      <c r="I164" s="586"/>
    </row>
    <row r="165" spans="1:13" ht="3" customHeight="1">
      <c r="E165" s="586"/>
      <c r="G165" s="586"/>
      <c r="I165" s="586"/>
    </row>
    <row r="166" spans="1:13" ht="12" customHeight="1">
      <c r="A166" s="642" t="s">
        <v>2745</v>
      </c>
      <c r="C166" s="642" t="s">
        <v>2746</v>
      </c>
      <c r="E166" s="709">
        <f>'Preview term'!F71</f>
        <v>269518</v>
      </c>
      <c r="G166" s="586"/>
      <c r="I166" s="586"/>
    </row>
    <row r="167" spans="1:13" ht="12" customHeight="1">
      <c r="C167" s="642" t="s">
        <v>2744</v>
      </c>
      <c r="E167" s="2211"/>
      <c r="F167" s="2211"/>
      <c r="G167" s="2211"/>
      <c r="I167" s="586"/>
    </row>
    <row r="168" spans="1:13" ht="12" customHeight="1">
      <c r="C168" s="642" t="s">
        <v>2747</v>
      </c>
      <c r="E168" s="680" t="s">
        <v>2217</v>
      </c>
      <c r="G168" s="586"/>
      <c r="I168" s="586"/>
    </row>
    <row r="169" spans="1:13" ht="3" customHeight="1">
      <c r="E169" s="680"/>
      <c r="G169" s="586"/>
      <c r="I169" s="586"/>
    </row>
    <row r="170" spans="1:13" ht="12" customHeight="1">
      <c r="A170" s="642" t="s">
        <v>2748</v>
      </c>
      <c r="C170" s="642" t="s">
        <v>2749</v>
      </c>
      <c r="E170" s="709">
        <f>'Preview term'!F73</f>
        <v>0</v>
      </c>
      <c r="G170" s="586"/>
      <c r="I170" s="586"/>
    </row>
    <row r="171" spans="1:13" ht="12" customHeight="1">
      <c r="C171" s="642" t="s">
        <v>2750</v>
      </c>
      <c r="E171" s="709">
        <f>'Preview term'!F73</f>
        <v>0</v>
      </c>
      <c r="G171" s="586"/>
      <c r="I171" s="679"/>
      <c r="J171" s="706"/>
      <c r="K171" s="706"/>
      <c r="L171" s="706"/>
      <c r="M171" s="706"/>
    </row>
    <row r="172" spans="1:13" ht="12" customHeight="1">
      <c r="C172" s="642" t="s">
        <v>2751</v>
      </c>
      <c r="E172" s="704">
        <f>'Part VI-Revenues &amp; Expenses'!P179</f>
        <v>18500</v>
      </c>
      <c r="F172" s="679" t="s">
        <v>2752</v>
      </c>
      <c r="J172" s="706"/>
      <c r="K172" s="706"/>
      <c r="L172" s="706"/>
      <c r="M172" s="706"/>
    </row>
    <row r="173" spans="1:13">
      <c r="E173" s="709">
        <f>E172/12</f>
        <v>1541.6666666666667</v>
      </c>
      <c r="F173" s="586" t="s">
        <v>2535</v>
      </c>
    </row>
    <row r="174" spans="1:13" ht="12" customHeight="1">
      <c r="C174" s="642" t="s">
        <v>2753</v>
      </c>
      <c r="E174" s="2211"/>
      <c r="F174" s="2211"/>
      <c r="G174" s="2211"/>
      <c r="I174" s="586"/>
    </row>
    <row r="175" spans="1:13" ht="12" customHeight="1">
      <c r="C175" s="642" t="s">
        <v>2754</v>
      </c>
      <c r="E175" s="586" t="s">
        <v>22</v>
      </c>
      <c r="I175" s="586"/>
    </row>
    <row r="176" spans="1:13" ht="12" customHeight="1">
      <c r="C176" s="642" t="s">
        <v>2755</v>
      </c>
      <c r="E176" s="586" t="s">
        <v>2217</v>
      </c>
      <c r="I176" s="586"/>
    </row>
    <row r="177" spans="1:10" ht="3" customHeight="1">
      <c r="E177" s="586"/>
      <c r="F177" s="586"/>
      <c r="I177" s="586"/>
    </row>
    <row r="178" spans="1:10" ht="12" customHeight="1">
      <c r="A178" s="642" t="s">
        <v>2756</v>
      </c>
      <c r="C178" s="642" t="s">
        <v>2757</v>
      </c>
      <c r="E178" s="697" t="s">
        <v>781</v>
      </c>
      <c r="F178" s="710"/>
      <c r="I178" s="586"/>
    </row>
    <row r="179" spans="1:10" ht="12" customHeight="1">
      <c r="C179" s="642" t="s">
        <v>2758</v>
      </c>
      <c r="E179" s="697" t="s">
        <v>781</v>
      </c>
      <c r="F179" s="2211"/>
      <c r="G179" s="2211"/>
      <c r="H179" s="2211"/>
      <c r="I179" s="2211"/>
      <c r="J179" s="2211"/>
    </row>
    <row r="180" spans="1:10" ht="12" customHeight="1">
      <c r="C180" s="642" t="s">
        <v>2759</v>
      </c>
      <c r="E180" s="586" t="s">
        <v>2700</v>
      </c>
      <c r="I180" s="586"/>
    </row>
    <row r="181" spans="1:10" ht="12" customHeight="1">
      <c r="C181" s="642" t="s">
        <v>2760</v>
      </c>
      <c r="E181" s="586" t="s">
        <v>2217</v>
      </c>
      <c r="I181" s="586"/>
    </row>
    <row r="182" spans="1:10" ht="3" customHeight="1">
      <c r="G182" s="586"/>
      <c r="H182" s="586"/>
      <c r="I182" s="586"/>
    </row>
    <row r="183" spans="1:10" ht="12" customHeight="1">
      <c r="A183" s="642" t="s">
        <v>2761</v>
      </c>
      <c r="C183" s="642" t="s">
        <v>2762</v>
      </c>
      <c r="E183" s="709">
        <f>'Preview term'!F75</f>
        <v>95099</v>
      </c>
      <c r="G183" s="586"/>
      <c r="I183" s="586"/>
    </row>
    <row r="184" spans="1:10" ht="12" customHeight="1">
      <c r="C184" s="642" t="s">
        <v>2744</v>
      </c>
      <c r="E184" s="680">
        <f>E167</f>
        <v>0</v>
      </c>
      <c r="G184" s="586"/>
      <c r="I184" s="586"/>
    </row>
    <row r="185" spans="1:10" ht="12" customHeight="1">
      <c r="C185" s="642" t="s">
        <v>2763</v>
      </c>
      <c r="E185" s="680" t="s">
        <v>2700</v>
      </c>
      <c r="G185" s="586"/>
      <c r="I185" s="586"/>
    </row>
    <row r="186" spans="1:10" ht="3" customHeight="1">
      <c r="E186" s="680"/>
      <c r="G186" s="586"/>
      <c r="I186" s="586"/>
    </row>
    <row r="187" spans="1:10" ht="12" customHeight="1">
      <c r="A187" s="642" t="s">
        <v>2764</v>
      </c>
      <c r="C187" s="642" t="s">
        <v>2765</v>
      </c>
      <c r="E187" s="680" t="s">
        <v>2700</v>
      </c>
      <c r="G187" s="586"/>
      <c r="I187" s="586"/>
    </row>
    <row r="188" spans="1:10" ht="12" customHeight="1">
      <c r="C188" s="642" t="s">
        <v>2746</v>
      </c>
      <c r="E188" s="689"/>
      <c r="G188" s="586"/>
      <c r="H188" s="696"/>
      <c r="I188" s="586"/>
    </row>
    <row r="189" spans="1:10" ht="12" customHeight="1">
      <c r="C189" s="642" t="s">
        <v>2744</v>
      </c>
      <c r="E189" s="689"/>
      <c r="I189" s="680"/>
    </row>
    <row r="190" spans="1:10" ht="12" customHeight="1">
      <c r="C190" s="642" t="s">
        <v>2747</v>
      </c>
      <c r="E190" s="689"/>
      <c r="G190" s="586"/>
      <c r="H190" s="586"/>
      <c r="I190" s="586"/>
    </row>
    <row r="191" spans="1:10" ht="9" customHeight="1">
      <c r="G191" s="586"/>
      <c r="H191" s="586"/>
      <c r="I191" s="586"/>
    </row>
    <row r="192" spans="1:10" ht="12" customHeight="1">
      <c r="A192" s="678" t="s">
        <v>2766</v>
      </c>
      <c r="C192" s="586" t="s">
        <v>2767</v>
      </c>
      <c r="E192" s="586"/>
      <c r="I192" s="586"/>
    </row>
    <row r="193" spans="1:10" ht="9" customHeight="1">
      <c r="E193" s="586"/>
      <c r="F193" s="586"/>
      <c r="I193" s="586"/>
    </row>
    <row r="194" spans="1:10" ht="12" customHeight="1">
      <c r="A194" s="678" t="s">
        <v>2768</v>
      </c>
      <c r="E194" s="586"/>
      <c r="F194" s="586"/>
      <c r="I194" s="586"/>
    </row>
    <row r="195" spans="1:10" ht="12" customHeight="1">
      <c r="A195" s="642" t="s">
        <v>2769</v>
      </c>
      <c r="C195" s="1168" t="s">
        <v>781</v>
      </c>
      <c r="E195" s="586"/>
      <c r="F195" s="586"/>
      <c r="I195" s="586"/>
    </row>
    <row r="196" spans="1:10" ht="3" customHeight="1">
      <c r="G196" s="586"/>
      <c r="H196" s="586"/>
      <c r="I196" s="586"/>
    </row>
    <row r="197" spans="1:10">
      <c r="A197" s="684" t="s">
        <v>2770</v>
      </c>
      <c r="B197" s="684"/>
      <c r="C197" s="684"/>
      <c r="D197" s="684"/>
      <c r="E197" s="688" t="s">
        <v>2771</v>
      </c>
      <c r="F197" s="2212">
        <f>'Part VIII-Threshold Criteria'!E393</f>
        <v>0</v>
      </c>
      <c r="G197" s="2212"/>
      <c r="H197" s="2212"/>
      <c r="I197" s="2212"/>
      <c r="J197" s="2212"/>
    </row>
    <row r="198" spans="1:10" ht="9" customHeight="1">
      <c r="G198" s="586"/>
      <c r="H198" s="586"/>
      <c r="I198" s="586"/>
    </row>
    <row r="199" spans="1:10" ht="12" customHeight="1">
      <c r="A199" s="711" t="s">
        <v>2772</v>
      </c>
      <c r="G199" s="586"/>
      <c r="H199" s="586"/>
      <c r="I199" s="696"/>
    </row>
    <row r="200" spans="1:10" ht="25.5" hidden="1" customHeight="1">
      <c r="A200" s="2214" t="str">
        <f>'Subsidy Layering Memo'!A98</f>
        <v>Include any reserve requirements; explain any reserves far in excess of 6 month ODR, 3 mo lease up, 1 year RR, 6 mo T&amp;I standards.</v>
      </c>
      <c r="B200" s="2214"/>
      <c r="C200" s="2214"/>
      <c r="D200" s="2214"/>
      <c r="E200" s="2214"/>
      <c r="F200" s="2214"/>
      <c r="G200" s="2214"/>
      <c r="H200" s="2214"/>
      <c r="I200" s="2214"/>
      <c r="J200" s="2214"/>
    </row>
    <row r="201" spans="1:10">
      <c r="A201" s="586"/>
      <c r="G201" s="586"/>
      <c r="H201" s="586"/>
      <c r="I201" s="586"/>
    </row>
    <row r="202" spans="1:10">
      <c r="A202" s="678" t="s">
        <v>2773</v>
      </c>
      <c r="G202" s="586"/>
      <c r="H202" s="586"/>
      <c r="I202" s="586"/>
    </row>
    <row r="203" spans="1:10" ht="3" customHeight="1">
      <c r="G203" s="586"/>
      <c r="H203" s="586"/>
      <c r="I203" s="586"/>
    </row>
    <row r="204" spans="1:10" ht="76.5" customHeight="1">
      <c r="A204" s="2204" t="s">
        <v>2337</v>
      </c>
      <c r="B204" s="2204"/>
      <c r="C204" s="2204"/>
      <c r="D204" s="2204"/>
      <c r="E204" s="2204"/>
      <c r="F204" s="2204"/>
      <c r="G204" s="2204"/>
      <c r="H204" s="2204"/>
      <c r="I204" s="2204"/>
      <c r="J204" s="2204"/>
    </row>
    <row r="205" spans="1:10">
      <c r="A205" s="586" t="s">
        <v>2437</v>
      </c>
      <c r="G205" s="586"/>
      <c r="H205" s="586"/>
      <c r="I205" s="586"/>
    </row>
    <row r="206" spans="1:10" ht="38.25" customHeight="1">
      <c r="A206" s="2204" t="str">
        <f>'Subsidy Layering Memo'!A37&amp;".  "&amp;'Subsidy Layering Memo'!A38</f>
        <v xml:space="preserve">.  </v>
      </c>
      <c r="B206" s="2205"/>
      <c r="C206" s="2205"/>
      <c r="D206" s="2205"/>
      <c r="E206" s="2205"/>
      <c r="F206" s="2205"/>
      <c r="G206" s="2205"/>
      <c r="H206" s="2205"/>
      <c r="I206" s="2205"/>
      <c r="J206" s="2205"/>
    </row>
    <row r="207" spans="1:10">
      <c r="A207" s="680"/>
    </row>
    <row r="208" spans="1:10">
      <c r="A208" s="680"/>
    </row>
    <row r="209" spans="1:4">
      <c r="A209" s="586"/>
    </row>
    <row r="213" spans="1:4">
      <c r="D213" s="642" t="s">
        <v>2338</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642" customWidth="1"/>
    <col min="2" max="2" width="4.28515625" style="642" customWidth="1"/>
    <col min="3" max="3" width="18.5703125" style="642" customWidth="1"/>
    <col min="4" max="4" width="2.7109375" style="642" customWidth="1"/>
    <col min="5" max="5" width="6.5703125" style="642" customWidth="1"/>
    <col min="6" max="6" width="39.28515625" style="642" customWidth="1"/>
    <col min="7" max="8" width="8.42578125" style="642" customWidth="1"/>
    <col min="9" max="9" width="9.140625" style="642"/>
    <col min="10" max="10" width="14.140625" style="642" customWidth="1"/>
    <col min="11" max="16384" width="9.140625" style="642"/>
  </cols>
  <sheetData>
    <row r="1" spans="1:11">
      <c r="A1" s="586" t="s">
        <v>2774</v>
      </c>
      <c r="H1" s="682" t="str">
        <f>Overview!C8</f>
        <v>Mill at Stone Valley</v>
      </c>
    </row>
    <row r="2" spans="1:11">
      <c r="A2" s="586" t="s">
        <v>2775</v>
      </c>
      <c r="H2" s="642" t="str">
        <f>Overview!E8</f>
        <v>2018-008</v>
      </c>
    </row>
    <row r="3" spans="1:11" ht="3" customHeight="1"/>
    <row r="4" spans="1:11" ht="51.75" customHeight="1">
      <c r="A4" s="2205" t="s">
        <v>2776</v>
      </c>
      <c r="B4" s="2205"/>
      <c r="C4" s="2205"/>
      <c r="D4" s="2205"/>
      <c r="E4" s="2205"/>
      <c r="F4" s="2205"/>
      <c r="G4" s="2205"/>
      <c r="H4" s="2205"/>
      <c r="J4" s="1191">
        <f>SUM('Part VII-Pro Forma'!B14:B16)/12</f>
        <v>50661.880200000007</v>
      </c>
      <c r="K4" s="1190" t="s">
        <v>2777</v>
      </c>
    </row>
    <row r="5" spans="1:11" ht="1.5" customHeight="1">
      <c r="C5" s="712"/>
      <c r="D5" s="712"/>
      <c r="E5" s="712"/>
      <c r="F5" s="712"/>
      <c r="G5" s="712"/>
      <c r="H5" s="712"/>
    </row>
    <row r="6" spans="1:11" ht="12.75" customHeight="1">
      <c r="B6" s="713" t="s">
        <v>1359</v>
      </c>
      <c r="C6" s="2205" t="s">
        <v>2778</v>
      </c>
      <c r="D6" s="2205"/>
      <c r="E6" s="2205"/>
      <c r="F6" s="2205"/>
      <c r="G6" s="2205"/>
      <c r="H6" s="2205"/>
    </row>
    <row r="7" spans="1:11" ht="12.75" customHeight="1">
      <c r="B7" s="713" t="s">
        <v>1361</v>
      </c>
      <c r="C7" s="2205" t="s">
        <v>2779</v>
      </c>
      <c r="D7" s="2205"/>
      <c r="E7" s="2205"/>
      <c r="F7" s="2205"/>
      <c r="G7" s="2205"/>
      <c r="H7" s="2205"/>
    </row>
    <row r="8" spans="1:11" ht="3" customHeight="1"/>
    <row r="9" spans="1:11">
      <c r="A9" s="642" t="s">
        <v>2780</v>
      </c>
    </row>
    <row r="10" spans="1:11" ht="1.5" customHeight="1"/>
    <row r="11" spans="1:11" ht="26.25" customHeight="1">
      <c r="A11" s="714" t="s">
        <v>110</v>
      </c>
      <c r="B11" s="2224" t="s">
        <v>2781</v>
      </c>
      <c r="C11" s="2224"/>
      <c r="D11" s="2224"/>
      <c r="E11" s="2224"/>
      <c r="F11" s="2224"/>
      <c r="G11" s="2225">
        <f>'Part III-Sources of Funds'!I49+'Part III-Sources of Funds'!I50</f>
        <v>11135000</v>
      </c>
      <c r="H11" s="2225"/>
    </row>
    <row r="12" spans="1:11" ht="1.5" customHeight="1">
      <c r="G12" s="684"/>
      <c r="H12" s="684"/>
    </row>
    <row r="13" spans="1:11" ht="26.25" customHeight="1">
      <c r="A13" s="714" t="s">
        <v>121</v>
      </c>
      <c r="B13" s="2224" t="s">
        <v>2782</v>
      </c>
      <c r="C13" s="2224"/>
      <c r="D13" s="2224"/>
      <c r="E13" s="2224"/>
      <c r="F13" s="2224"/>
      <c r="G13" s="2226" t="s">
        <v>2700</v>
      </c>
      <c r="H13" s="2226"/>
    </row>
    <row r="14" spans="1:11" ht="12" hidden="1" customHeight="1">
      <c r="A14" s="714"/>
      <c r="B14" s="2219"/>
      <c r="C14" s="2219"/>
      <c r="D14" s="2219"/>
      <c r="E14" s="2219"/>
      <c r="F14" s="2219"/>
      <c r="G14" s="2219"/>
      <c r="H14" s="2219"/>
    </row>
    <row r="15" spans="1:11" ht="1.5" customHeight="1"/>
    <row r="16" spans="1:11" ht="12" customHeight="1">
      <c r="A16" s="714" t="s">
        <v>123</v>
      </c>
      <c r="B16" s="642" t="s">
        <v>2783</v>
      </c>
      <c r="F16" s="706"/>
      <c r="G16" s="2202" t="s">
        <v>21</v>
      </c>
      <c r="H16" s="2202"/>
    </row>
    <row r="17" spans="1:8" ht="1.5" customHeight="1">
      <c r="G17" s="689"/>
    </row>
    <row r="18" spans="1:8" ht="12" customHeight="1">
      <c r="A18" s="714" t="s">
        <v>126</v>
      </c>
      <c r="B18" s="684" t="s">
        <v>2784</v>
      </c>
      <c r="C18" s="714"/>
      <c r="D18" s="714"/>
      <c r="E18" s="714"/>
      <c r="G18" s="2219" t="s">
        <v>2217</v>
      </c>
      <c r="H18" s="2219"/>
    </row>
    <row r="19" spans="1:8" ht="12" hidden="1" customHeight="1">
      <c r="B19" s="2219"/>
      <c r="C19" s="2219"/>
      <c r="D19" s="2219"/>
      <c r="E19" s="2219"/>
      <c r="F19" s="2219"/>
      <c r="G19" s="2219"/>
      <c r="H19" s="2219"/>
    </row>
    <row r="20" spans="1:8" ht="13.5" customHeight="1"/>
    <row r="21" spans="1:8" ht="12" customHeight="1">
      <c r="A21" s="586" t="s">
        <v>2785</v>
      </c>
    </row>
    <row r="22" spans="1:8" ht="3" customHeight="1"/>
    <row r="23" spans="1:8" ht="26.25" customHeight="1">
      <c r="A23" s="2222" t="s">
        <v>2786</v>
      </c>
      <c r="B23" s="2222"/>
      <c r="C23" s="2222"/>
      <c r="D23" s="2222"/>
      <c r="E23" s="2222"/>
      <c r="F23" s="2222"/>
      <c r="G23" s="2222"/>
      <c r="H23" s="2222"/>
    </row>
    <row r="24" spans="1:8" ht="26.25" customHeight="1">
      <c r="A24" s="2223" t="s">
        <v>2787</v>
      </c>
      <c r="B24" s="2223"/>
      <c r="C24" s="2223"/>
      <c r="D24" s="2223"/>
      <c r="E24" s="2223"/>
      <c r="F24" s="2223"/>
      <c r="G24" s="2223"/>
      <c r="H24" s="2223"/>
    </row>
    <row r="25" spans="1:8" ht="9" customHeight="1">
      <c r="A25" s="663"/>
    </row>
    <row r="26" spans="1:8">
      <c r="A26" s="689" t="s">
        <v>2788</v>
      </c>
      <c r="B26" s="715"/>
      <c r="C26" s="689" t="s">
        <v>2789</v>
      </c>
      <c r="D26" s="716" t="s">
        <v>2790</v>
      </c>
    </row>
    <row r="27" spans="1:8" ht="6" customHeight="1"/>
    <row r="28" spans="1:8" ht="12.75" customHeight="1">
      <c r="C28" s="684" t="s">
        <v>2791</v>
      </c>
      <c r="D28" s="717" t="s">
        <v>379</v>
      </c>
      <c r="E28" s="718"/>
      <c r="F28" s="2205" t="s">
        <v>2792</v>
      </c>
      <c r="G28" s="2205"/>
      <c r="H28" s="2205"/>
    </row>
    <row r="29" spans="1:8" ht="12.75" customHeight="1">
      <c r="C29" s="719" t="s">
        <v>515</v>
      </c>
      <c r="D29" s="717" t="s">
        <v>389</v>
      </c>
      <c r="E29" s="2205" t="s">
        <v>2793</v>
      </c>
      <c r="F29" s="2205"/>
      <c r="G29" s="2205"/>
      <c r="H29" s="2205"/>
    </row>
    <row r="30" spans="1:8" ht="12.75" customHeight="1">
      <c r="E30" s="2205" t="s">
        <v>2794</v>
      </c>
      <c r="F30" s="2205"/>
      <c r="G30" s="2205"/>
      <c r="H30" s="2205"/>
    </row>
    <row r="31" spans="1:8" ht="12.75" customHeight="1">
      <c r="D31" s="720" t="s">
        <v>1795</v>
      </c>
      <c r="E31" s="2205" t="s">
        <v>2795</v>
      </c>
      <c r="F31" s="2205"/>
      <c r="G31" s="2205"/>
      <c r="H31" s="2205"/>
    </row>
    <row r="32" spans="1:8" ht="3" customHeight="1">
      <c r="D32" s="717"/>
      <c r="E32" s="1468"/>
      <c r="F32" s="1468"/>
      <c r="G32" s="1468"/>
      <c r="H32" s="1468"/>
    </row>
    <row r="33" spans="1:11">
      <c r="A33" s="689" t="s">
        <v>2788</v>
      </c>
      <c r="B33" s="715"/>
      <c r="C33" s="689" t="s">
        <v>2796</v>
      </c>
      <c r="D33" s="716" t="s">
        <v>2797</v>
      </c>
    </row>
    <row r="34" spans="1:11" ht="4.5" customHeight="1"/>
    <row r="35" spans="1:11" ht="12.75" customHeight="1">
      <c r="C35" s="684" t="s">
        <v>2791</v>
      </c>
      <c r="D35" s="717" t="s">
        <v>379</v>
      </c>
      <c r="E35" s="718"/>
      <c r="F35" s="2205" t="s">
        <v>2792</v>
      </c>
      <c r="G35" s="2205"/>
      <c r="H35" s="2205"/>
    </row>
    <row r="36" spans="1:11" ht="12.75" customHeight="1">
      <c r="C36" s="719" t="s">
        <v>515</v>
      </c>
      <c r="D36" s="717" t="s">
        <v>389</v>
      </c>
      <c r="E36" s="2205" t="s">
        <v>2798</v>
      </c>
      <c r="F36" s="2205"/>
      <c r="G36" s="2205"/>
      <c r="H36" s="2205"/>
    </row>
    <row r="37" spans="1:11" ht="12.75" customHeight="1">
      <c r="E37" s="2205" t="s">
        <v>2794</v>
      </c>
      <c r="F37" s="2205"/>
      <c r="G37" s="2205"/>
      <c r="H37" s="2205"/>
    </row>
    <row r="38" spans="1:11" ht="12.75" customHeight="1">
      <c r="D38" s="720" t="s">
        <v>1795</v>
      </c>
      <c r="E38" s="2205" t="s">
        <v>2795</v>
      </c>
      <c r="F38" s="2205"/>
      <c r="G38" s="2205"/>
      <c r="H38" s="2205"/>
    </row>
    <row r="39" spans="1:11" ht="3" customHeight="1">
      <c r="D39" s="717"/>
      <c r="E39" s="1468"/>
      <c r="F39" s="1468"/>
      <c r="G39" s="1468"/>
      <c r="H39" s="1468"/>
    </row>
    <row r="40" spans="1:11">
      <c r="A40" s="689" t="s">
        <v>2788</v>
      </c>
      <c r="B40" s="715"/>
      <c r="C40" s="689" t="s">
        <v>2799</v>
      </c>
      <c r="D40" s="716" t="s">
        <v>2800</v>
      </c>
    </row>
    <row r="41" spans="1:11" ht="4.5" customHeight="1"/>
    <row r="42" spans="1:11" ht="12.75" customHeight="1">
      <c r="C42" s="684" t="s">
        <v>2791</v>
      </c>
      <c r="D42" s="717" t="s">
        <v>379</v>
      </c>
      <c r="E42" s="718"/>
      <c r="F42" s="2205" t="s">
        <v>2792</v>
      </c>
      <c r="G42" s="2205"/>
      <c r="H42" s="2205"/>
      <c r="K42" s="642" t="s">
        <v>2338</v>
      </c>
    </row>
    <row r="43" spans="1:11" ht="12.75" customHeight="1">
      <c r="C43" s="719" t="s">
        <v>515</v>
      </c>
      <c r="D43" s="717" t="s">
        <v>389</v>
      </c>
      <c r="E43" s="2205" t="s">
        <v>2798</v>
      </c>
      <c r="F43" s="2205"/>
      <c r="G43" s="2205"/>
      <c r="H43" s="2205"/>
    </row>
    <row r="44" spans="1:11" ht="12.75" customHeight="1">
      <c r="E44" s="2205" t="s">
        <v>2794</v>
      </c>
      <c r="F44" s="2205"/>
      <c r="G44" s="2205"/>
      <c r="H44" s="2205"/>
    </row>
    <row r="45" spans="1:11" ht="12.75" customHeight="1">
      <c r="D45" s="720" t="s">
        <v>1795</v>
      </c>
      <c r="E45" s="2205" t="s">
        <v>2795</v>
      </c>
      <c r="F45" s="2205"/>
      <c r="G45" s="2205"/>
      <c r="H45" s="2205"/>
    </row>
    <row r="46" spans="1:11" ht="9" customHeight="1"/>
    <row r="47" spans="1:11" ht="7.5" customHeight="1">
      <c r="E47" s="2205"/>
      <c r="F47" s="2205"/>
      <c r="G47" s="2205"/>
      <c r="H47" s="2205"/>
    </row>
    <row r="48" spans="1:11" ht="24.75" customHeight="1">
      <c r="A48" s="2221" t="s">
        <v>2801</v>
      </c>
      <c r="B48" s="2221"/>
      <c r="C48" s="2221"/>
      <c r="D48" s="2221"/>
      <c r="E48" s="2221"/>
      <c r="F48" s="2221"/>
      <c r="G48" s="2221"/>
      <c r="H48" s="2221"/>
    </row>
    <row r="49" spans="1:11" ht="9" customHeight="1"/>
    <row r="50" spans="1:11" ht="26.25" customHeight="1">
      <c r="A50" s="2222" t="s">
        <v>2802</v>
      </c>
      <c r="B50" s="2222"/>
      <c r="C50" s="2222"/>
      <c r="D50" s="2222"/>
      <c r="E50" s="2222"/>
      <c r="F50" s="2222"/>
      <c r="G50" s="2222"/>
      <c r="H50" s="2222"/>
    </row>
    <row r="51" spans="1:11" ht="9" customHeight="1">
      <c r="A51" s="663"/>
    </row>
    <row r="52" spans="1:11">
      <c r="A52" s="689" t="s">
        <v>2788</v>
      </c>
      <c r="B52" s="715"/>
      <c r="C52" s="689" t="s">
        <v>2789</v>
      </c>
      <c r="D52" s="716" t="s">
        <v>2803</v>
      </c>
    </row>
    <row r="53" spans="1:11" ht="4.5" customHeight="1"/>
    <row r="54" spans="1:11" ht="12.75" customHeight="1">
      <c r="C54" s="684" t="s">
        <v>2791</v>
      </c>
      <c r="D54" s="717" t="s">
        <v>379</v>
      </c>
      <c r="E54" s="718"/>
      <c r="F54" s="2205" t="s">
        <v>2792</v>
      </c>
      <c r="G54" s="2205"/>
      <c r="H54" s="2205"/>
    </row>
    <row r="55" spans="1:11" ht="12.75" customHeight="1">
      <c r="C55" s="719" t="s">
        <v>515</v>
      </c>
      <c r="D55" s="717" t="s">
        <v>389</v>
      </c>
      <c r="E55" s="2205" t="s">
        <v>2804</v>
      </c>
      <c r="F55" s="2205"/>
      <c r="G55" s="2205"/>
      <c r="H55" s="2205"/>
    </row>
    <row r="56" spans="1:11" ht="3" customHeight="1">
      <c r="D56" s="717"/>
      <c r="E56" s="1468"/>
      <c r="F56" s="1468"/>
      <c r="G56" s="1468"/>
      <c r="H56" s="1468"/>
    </row>
    <row r="57" spans="1:11">
      <c r="A57" s="689" t="s">
        <v>2788</v>
      </c>
      <c r="B57" s="715"/>
      <c r="C57" s="689" t="s">
        <v>2796</v>
      </c>
      <c r="D57" s="716" t="s">
        <v>2805</v>
      </c>
    </row>
    <row r="58" spans="1:11" ht="4.5" customHeight="1"/>
    <row r="59" spans="1:11">
      <c r="C59" s="684" t="s">
        <v>2791</v>
      </c>
      <c r="D59" s="717" t="s">
        <v>379</v>
      </c>
      <c r="E59" s="718"/>
      <c r="F59" s="2205" t="s">
        <v>2792</v>
      </c>
      <c r="G59" s="2205"/>
      <c r="H59" s="2205"/>
    </row>
    <row r="60" spans="1:11" ht="12.75" customHeight="1">
      <c r="C60" s="719" t="s">
        <v>515</v>
      </c>
      <c r="D60" s="717" t="s">
        <v>389</v>
      </c>
      <c r="E60" s="2205" t="s">
        <v>2804</v>
      </c>
      <c r="F60" s="2205"/>
      <c r="G60" s="2205"/>
      <c r="H60" s="2205"/>
    </row>
    <row r="61" spans="1:11" ht="3" customHeight="1">
      <c r="D61" s="717"/>
      <c r="E61" s="1468"/>
      <c r="F61" s="1468"/>
      <c r="G61" s="1468"/>
      <c r="H61" s="1468"/>
    </row>
    <row r="62" spans="1:11">
      <c r="A62" s="689" t="s">
        <v>2788</v>
      </c>
      <c r="B62" s="715"/>
      <c r="C62" s="689" t="s">
        <v>2799</v>
      </c>
      <c r="D62" s="716" t="s">
        <v>2806</v>
      </c>
    </row>
    <row r="63" spans="1:11" ht="4.5" customHeight="1"/>
    <row r="64" spans="1:11">
      <c r="C64" s="684" t="s">
        <v>2791</v>
      </c>
      <c r="D64" s="717" t="s">
        <v>379</v>
      </c>
      <c r="E64" s="718"/>
      <c r="F64" s="2205" t="s">
        <v>2792</v>
      </c>
      <c r="G64" s="2205"/>
      <c r="H64" s="2205"/>
      <c r="K64" s="642" t="s">
        <v>2338</v>
      </c>
    </row>
    <row r="65" spans="3:8" ht="12.75" customHeight="1">
      <c r="C65" s="719" t="s">
        <v>515</v>
      </c>
      <c r="D65" s="717" t="s">
        <v>389</v>
      </c>
      <c r="E65" s="2205" t="s">
        <v>2804</v>
      </c>
      <c r="F65" s="2205"/>
      <c r="G65" s="2205"/>
      <c r="H65" s="2205"/>
    </row>
    <row r="66" spans="3:8" ht="7.5" customHeight="1">
      <c r="E66" s="2205"/>
      <c r="F66" s="2205"/>
      <c r="G66" s="2205"/>
      <c r="H66" s="2205"/>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72"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1220" customWidth="1"/>
    <col min="2" max="2" width="12.42578125" style="1220" customWidth="1"/>
    <col min="3" max="3" width="12.28515625" style="1220" customWidth="1"/>
    <col min="4" max="4" width="9.7109375" style="1220" customWidth="1"/>
    <col min="5" max="5" width="10.42578125" style="1220" customWidth="1"/>
    <col min="6" max="6" width="9.140625" style="1220"/>
    <col min="7" max="7" width="11" style="1220" customWidth="1"/>
    <col min="8" max="8" width="14.42578125" style="1220" customWidth="1"/>
    <col min="9" max="9" width="10.140625" style="1220" customWidth="1"/>
    <col min="10" max="16384" width="9.140625" style="1220"/>
  </cols>
  <sheetData>
    <row r="1" spans="2:13" ht="15.75">
      <c r="B1" s="2242" t="s">
        <v>2807</v>
      </c>
      <c r="C1" s="2242"/>
      <c r="D1" s="2242"/>
      <c r="E1" s="2242"/>
      <c r="F1" s="2242"/>
      <c r="G1" s="2242"/>
      <c r="H1" s="2242"/>
      <c r="I1" s="2242"/>
    </row>
    <row r="2" spans="2:13" ht="15">
      <c r="B2" s="1221" t="s">
        <v>2808</v>
      </c>
      <c r="C2" s="1471"/>
      <c r="D2" s="1471"/>
      <c r="E2" s="1471"/>
      <c r="F2" s="1471"/>
      <c r="G2" s="1471"/>
      <c r="H2" s="1471"/>
      <c r="I2" s="1471"/>
    </row>
    <row r="3" spans="2:13" ht="14.25">
      <c r="B3" s="1222" t="s">
        <v>2809</v>
      </c>
      <c r="C3" s="1471"/>
      <c r="D3" s="1471"/>
      <c r="E3" s="1471"/>
      <c r="F3" s="1471"/>
      <c r="G3" s="1471"/>
      <c r="H3" s="1471"/>
      <c r="I3" s="1471"/>
    </row>
    <row r="4" spans="2:13">
      <c r="B4" s="2243" t="s">
        <v>1292</v>
      </c>
      <c r="C4" s="2243"/>
      <c r="D4" s="2243"/>
      <c r="E4" s="2249" t="s">
        <v>2810</v>
      </c>
      <c r="F4" s="2251"/>
      <c r="G4" s="2249" t="s">
        <v>59</v>
      </c>
      <c r="H4" s="2250"/>
      <c r="I4" s="2251"/>
      <c r="J4" s="1215" t="s">
        <v>2811</v>
      </c>
      <c r="K4" s="1215"/>
      <c r="L4" s="1223"/>
      <c r="M4" s="1223"/>
    </row>
    <row r="5" spans="2:13">
      <c r="B5" s="2244" t="str">
        <f>'Closing term sheet'!C8</f>
        <v>TISHCO Ball Ground L.P.</v>
      </c>
      <c r="C5" s="2245"/>
      <c r="D5" s="2245"/>
      <c r="E5" s="2255"/>
      <c r="F5" s="2256"/>
      <c r="G5" s="2252" t="str">
        <f>'Closing term sheet'!C28</f>
        <v>Mill at Stone Valley</v>
      </c>
      <c r="H5" s="2253"/>
      <c r="I5" s="2254"/>
      <c r="K5" s="642"/>
    </row>
    <row r="6" spans="2:13" ht="4.5" customHeight="1">
      <c r="D6" s="1224"/>
      <c r="E6" s="1224"/>
      <c r="F6" s="1224"/>
      <c r="G6" s="1224"/>
      <c r="H6" s="1224"/>
      <c r="I6" s="1224"/>
      <c r="K6" s="642"/>
    </row>
    <row r="7" spans="2:13">
      <c r="B7" s="2246" t="s">
        <v>2812</v>
      </c>
      <c r="C7" s="2246"/>
      <c r="D7" s="1225"/>
      <c r="E7" s="1225"/>
      <c r="F7" s="1225"/>
      <c r="G7" s="1225"/>
      <c r="H7" s="2247">
        <f>'Preview term'!E9</f>
        <v>0</v>
      </c>
      <c r="I7" s="2248"/>
    </row>
    <row r="8" spans="2:13" ht="4.5" customHeight="1">
      <c r="B8" s="1225"/>
      <c r="C8" s="1225"/>
      <c r="D8" s="1225"/>
      <c r="E8" s="1225"/>
      <c r="F8" s="1225"/>
      <c r="G8" s="1225"/>
      <c r="H8" s="1225"/>
      <c r="I8" s="1225"/>
      <c r="J8" s="1225"/>
    </row>
    <row r="9" spans="2:13">
      <c r="B9" s="1226" t="s">
        <v>2813</v>
      </c>
      <c r="C9" s="1226"/>
      <c r="D9" s="1225"/>
      <c r="E9" s="691" t="s">
        <v>2814</v>
      </c>
      <c r="F9" s="1225"/>
      <c r="G9" s="1225"/>
      <c r="H9" s="1225"/>
      <c r="I9" s="1227" t="str">
        <f>'Closing term sheet'!D12</f>
        <v>&lt;&lt;Select&gt;&gt;</v>
      </c>
    </row>
    <row r="10" spans="2:13" ht="7.5" customHeight="1">
      <c r="B10" s="1225"/>
      <c r="C10" s="1225"/>
      <c r="D10" s="1225"/>
      <c r="E10" s="1225"/>
      <c r="F10" s="1225"/>
      <c r="G10" s="1225"/>
      <c r="H10" s="1225"/>
      <c r="I10" s="1225"/>
    </row>
    <row r="11" spans="2:13" ht="14.25">
      <c r="B11" s="1228" t="s">
        <v>2815</v>
      </c>
      <c r="C11" s="1225"/>
      <c r="D11" s="1229"/>
      <c r="E11" s="1225"/>
      <c r="F11" s="1225"/>
      <c r="G11" s="1225"/>
      <c r="H11" s="1225"/>
      <c r="I11" s="1225"/>
    </row>
    <row r="12" spans="2:13">
      <c r="B12" s="1431" t="s">
        <v>2816</v>
      </c>
      <c r="C12" s="1369"/>
      <c r="D12" s="1369"/>
      <c r="E12" s="1369"/>
      <c r="F12" s="1369"/>
      <c r="G12" s="1369"/>
      <c r="H12" s="1369"/>
      <c r="I12" s="1230" t="s">
        <v>21</v>
      </c>
    </row>
    <row r="13" spans="2:13">
      <c r="B13" s="1231"/>
      <c r="C13" s="1232"/>
      <c r="D13" s="1225"/>
      <c r="E13" s="691" t="s">
        <v>2817</v>
      </c>
      <c r="F13" s="1225"/>
      <c r="G13" s="1225"/>
      <c r="H13" s="1225"/>
      <c r="I13" s="1233"/>
    </row>
    <row r="14" spans="2:13" ht="7.5" customHeight="1">
      <c r="B14" s="1234"/>
      <c r="C14" s="1225"/>
      <c r="D14" s="1225"/>
      <c r="E14" s="1225"/>
      <c r="F14" s="1229"/>
      <c r="G14" s="1225"/>
      <c r="H14" s="1225"/>
      <c r="I14" s="1233"/>
    </row>
    <row r="15" spans="2:13">
      <c r="B15" s="1234" t="s">
        <v>2818</v>
      </c>
      <c r="C15" s="1225"/>
      <c r="D15" s="1225"/>
      <c r="E15" s="1225"/>
      <c r="F15" s="710"/>
      <c r="G15" s="1225"/>
      <c r="H15" s="1225"/>
      <c r="I15" s="1235"/>
    </row>
    <row r="16" spans="2:13">
      <c r="B16" s="1236" t="s">
        <v>2819</v>
      </c>
      <c r="C16" s="1225"/>
      <c r="D16" s="1225"/>
      <c r="E16" s="1237" t="s">
        <v>2820</v>
      </c>
      <c r="F16" s="1225"/>
      <c r="G16" s="1225"/>
      <c r="H16" s="1225"/>
      <c r="I16" s="1235"/>
    </row>
    <row r="17" spans="2:9" ht="7.5" customHeight="1">
      <c r="B17" s="1231"/>
      <c r="C17" s="1225"/>
      <c r="D17" s="1225"/>
      <c r="E17" s="1225"/>
      <c r="F17" s="1225"/>
      <c r="G17" s="1225"/>
      <c r="H17" s="1225"/>
      <c r="I17" s="1233"/>
    </row>
    <row r="18" spans="2:9">
      <c r="B18" s="1234" t="s">
        <v>2821</v>
      </c>
      <c r="C18" s="1225"/>
      <c r="D18" s="1225"/>
      <c r="E18" s="1225"/>
      <c r="F18" s="1225"/>
      <c r="G18" s="1225"/>
      <c r="H18" s="1225"/>
      <c r="I18" s="1238" t="s">
        <v>21</v>
      </c>
    </row>
    <row r="19" spans="2:9">
      <c r="B19" s="1239" t="s">
        <v>2822</v>
      </c>
      <c r="C19" s="1225"/>
      <c r="D19" s="1225"/>
      <c r="E19" s="1225"/>
      <c r="F19" s="1225"/>
      <c r="G19" s="1225"/>
      <c r="H19" s="1225"/>
      <c r="I19" s="1240"/>
    </row>
    <row r="20" spans="2:9" ht="7.5" customHeight="1">
      <c r="B20" s="1234"/>
      <c r="C20" s="1225"/>
      <c r="D20" s="1225"/>
      <c r="E20" s="1225"/>
      <c r="F20" s="1225"/>
      <c r="G20" s="1225"/>
      <c r="H20" s="1225"/>
      <c r="I20" s="1240"/>
    </row>
    <row r="21" spans="2:9">
      <c r="B21" s="1234" t="s">
        <v>2823</v>
      </c>
      <c r="C21" s="1225"/>
      <c r="D21" s="1225"/>
      <c r="E21" s="1225"/>
      <c r="F21" s="1225"/>
      <c r="G21" s="1225"/>
      <c r="H21" s="1225"/>
      <c r="I21" s="1235"/>
    </row>
    <row r="22" spans="2:9">
      <c r="B22" s="1239" t="s">
        <v>2824</v>
      </c>
      <c r="C22" s="1225"/>
      <c r="D22" s="1225"/>
      <c r="E22" s="1225"/>
      <c r="F22" s="1225"/>
      <c r="G22" s="1225"/>
      <c r="H22" s="1225"/>
      <c r="I22" s="1240"/>
    </row>
    <row r="23" spans="2:9" ht="3" customHeight="1">
      <c r="B23" s="1241"/>
      <c r="C23" s="1242"/>
      <c r="D23" s="1242"/>
      <c r="E23" s="1242"/>
      <c r="F23" s="1242"/>
      <c r="G23" s="1242"/>
      <c r="H23" s="1242"/>
      <c r="I23" s="1243"/>
    </row>
    <row r="24" spans="2:9" ht="7.5" customHeight="1">
      <c r="B24" s="1225"/>
      <c r="C24" s="1225"/>
      <c r="D24" s="1225"/>
      <c r="E24" s="1225"/>
      <c r="F24" s="1225"/>
      <c r="G24" s="1225"/>
      <c r="H24" s="1225"/>
      <c r="I24" s="1225"/>
    </row>
    <row r="25" spans="2:9" ht="15" customHeight="1">
      <c r="B25" s="1228" t="s">
        <v>2825</v>
      </c>
      <c r="C25" s="1225"/>
      <c r="D25" s="1225"/>
      <c r="E25" s="1225"/>
      <c r="F25" s="1225"/>
      <c r="G25" s="1225"/>
      <c r="H25" s="1225"/>
      <c r="I25" s="1225"/>
    </row>
    <row r="26" spans="2:9" ht="3" customHeight="1">
      <c r="B26" s="1432"/>
      <c r="C26" s="1369"/>
      <c r="D26" s="1369"/>
      <c r="E26" s="1369"/>
      <c r="F26" s="1369"/>
      <c r="G26" s="1369"/>
      <c r="H26" s="1369"/>
      <c r="I26" s="1370"/>
    </row>
    <row r="27" spans="2:9">
      <c r="B27" s="1234" t="s">
        <v>2826</v>
      </c>
      <c r="C27" s="1225"/>
      <c r="D27" s="1244">
        <v>2</v>
      </c>
      <c r="F27" s="1225"/>
      <c r="G27" s="710" t="s">
        <v>2827</v>
      </c>
      <c r="H27" s="1225"/>
      <c r="I27" s="1245">
        <v>2</v>
      </c>
    </row>
    <row r="28" spans="2:9">
      <c r="B28" s="1231"/>
      <c r="C28" s="1237" t="s">
        <v>2828</v>
      </c>
      <c r="D28" s="1246"/>
      <c r="E28" s="1246"/>
      <c r="F28" s="1246"/>
      <c r="H28" s="1246" t="s">
        <v>2829</v>
      </c>
      <c r="I28" s="1233"/>
    </row>
    <row r="29" spans="2:9">
      <c r="B29" s="1231"/>
      <c r="C29" s="1237" t="s">
        <v>2830</v>
      </c>
      <c r="D29" s="1246"/>
      <c r="E29" s="1246"/>
      <c r="F29" s="1246"/>
      <c r="H29" s="1246" t="s">
        <v>2831</v>
      </c>
      <c r="I29" s="1233"/>
    </row>
    <row r="30" spans="2:9">
      <c r="B30" s="1231"/>
      <c r="C30" s="1237" t="s">
        <v>2832</v>
      </c>
      <c r="D30" s="1246"/>
      <c r="E30" s="1246"/>
      <c r="F30" s="1246"/>
      <c r="H30" s="1246" t="s">
        <v>2833</v>
      </c>
      <c r="I30" s="1233"/>
    </row>
    <row r="31" spans="2:9" ht="3" customHeight="1">
      <c r="B31" s="1241"/>
      <c r="C31" s="1242"/>
      <c r="D31" s="1242"/>
      <c r="E31" s="1242"/>
      <c r="F31" s="1242"/>
      <c r="G31" s="1242"/>
      <c r="H31" s="1242"/>
      <c r="I31" s="1243"/>
    </row>
    <row r="32" spans="2:9" ht="7.5" customHeight="1"/>
    <row r="33" spans="2:9" ht="15" customHeight="1">
      <c r="B33" s="641" t="s">
        <v>2834</v>
      </c>
    </row>
    <row r="34" spans="2:9" ht="3" customHeight="1">
      <c r="B34" s="1432"/>
      <c r="C34" s="1369"/>
      <c r="D34" s="1369"/>
      <c r="E34" s="1369"/>
      <c r="F34" s="1369"/>
      <c r="G34" s="1369"/>
      <c r="H34" s="1369"/>
      <c r="I34" s="1370"/>
    </row>
    <row r="35" spans="2:9">
      <c r="B35" s="1234" t="s">
        <v>2835</v>
      </c>
      <c r="C35" s="1225"/>
      <c r="D35" s="1225"/>
      <c r="F35" s="1247"/>
      <c r="H35" s="2227" t="s">
        <v>2836</v>
      </c>
      <c r="I35" s="2228"/>
    </row>
    <row r="36" spans="2:9">
      <c r="B36" s="1248" t="s">
        <v>2837</v>
      </c>
      <c r="C36" s="1246"/>
      <c r="D36" s="1246"/>
      <c r="E36" s="1225"/>
      <c r="F36" s="1249"/>
      <c r="G36" s="1250"/>
      <c r="H36" s="2227"/>
      <c r="I36" s="2228"/>
    </row>
    <row r="37" spans="2:9">
      <c r="B37" s="1248" t="s">
        <v>2838</v>
      </c>
      <c r="D37" s="1246"/>
      <c r="E37" s="1225"/>
      <c r="F37" s="1492"/>
      <c r="G37" s="1250"/>
      <c r="H37" s="2227"/>
      <c r="I37" s="2228"/>
    </row>
    <row r="38" spans="2:9">
      <c r="B38" s="1248" t="s">
        <v>2839</v>
      </c>
      <c r="D38" s="1225"/>
      <c r="E38" s="1225"/>
      <c r="F38" s="1492"/>
      <c r="G38" s="1250"/>
      <c r="H38" s="1250"/>
      <c r="I38" s="1251"/>
    </row>
    <row r="39" spans="2:9" ht="12.75" customHeight="1">
      <c r="B39" s="1248" t="s">
        <v>2840</v>
      </c>
      <c r="C39" s="1225"/>
      <c r="D39" s="1225"/>
      <c r="E39" s="1225"/>
      <c r="F39" s="1492"/>
      <c r="G39" s="1250"/>
      <c r="H39" s="1250"/>
      <c r="I39" s="1251"/>
    </row>
    <row r="40" spans="2:9">
      <c r="B40" s="1252" t="s">
        <v>2841</v>
      </c>
      <c r="C40" s="1253"/>
      <c r="D40" s="1254"/>
      <c r="E40" s="1255"/>
      <c r="F40" s="1492"/>
      <c r="G40" s="1255"/>
      <c r="H40" s="1235"/>
      <c r="I40" s="1233"/>
    </row>
    <row r="41" spans="2:9">
      <c r="B41" s="1252" t="s">
        <v>2842</v>
      </c>
      <c r="C41" s="1253"/>
      <c r="D41" s="1254"/>
      <c r="E41" s="1225"/>
      <c r="F41" s="1492"/>
      <c r="G41" s="1225"/>
      <c r="H41" s="1225"/>
      <c r="I41" s="1233"/>
    </row>
    <row r="42" spans="2:9">
      <c r="B42" s="1256" t="s">
        <v>2843</v>
      </c>
      <c r="C42" s="1257"/>
      <c r="D42" s="1257"/>
      <c r="E42" s="1225"/>
      <c r="F42" s="1492"/>
      <c r="G42" s="1225"/>
      <c r="H42" s="1225"/>
      <c r="I42" s="1233"/>
    </row>
    <row r="43" spans="2:9" ht="3" customHeight="1">
      <c r="B43" s="1241"/>
      <c r="C43" s="1242"/>
      <c r="D43" s="1242"/>
      <c r="E43" s="1242"/>
      <c r="F43" s="1242"/>
      <c r="G43" s="1242"/>
      <c r="H43" s="1242"/>
      <c r="I43" s="1243"/>
    </row>
    <row r="44" spans="2:9" ht="7.5" customHeight="1"/>
    <row r="45" spans="2:9" ht="15" customHeight="1">
      <c r="B45" s="641" t="s">
        <v>2844</v>
      </c>
    </row>
    <row r="46" spans="2:9" ht="3" customHeight="1">
      <c r="B46" s="1432"/>
      <c r="C46" s="1369"/>
      <c r="D46" s="1369"/>
      <c r="E46" s="1369"/>
      <c r="F46" s="1369"/>
      <c r="G46" s="1369"/>
      <c r="H46" s="1369"/>
      <c r="I46" s="1370"/>
    </row>
    <row r="47" spans="2:9" ht="18">
      <c r="B47" s="1234" t="s">
        <v>2845</v>
      </c>
      <c r="C47" s="1225"/>
      <c r="D47" s="1258"/>
      <c r="E47" s="1259" t="str">
        <f>Overview!H7</f>
        <v>New Construction</v>
      </c>
      <c r="F47" s="664" t="s">
        <v>2846</v>
      </c>
      <c r="H47" s="1225"/>
      <c r="I47" s="1233"/>
    </row>
    <row r="48" spans="2:9">
      <c r="B48" s="1239" t="s">
        <v>2847</v>
      </c>
      <c r="C48" s="1246"/>
      <c r="D48" s="1246" t="s">
        <v>2848</v>
      </c>
      <c r="E48" s="1225"/>
      <c r="F48" s="2236" t="str">
        <f>'Closing term sheet'!$C$30</f>
        <v>Ball Ground Highway &amp; Coy M. Holcomb Drive</v>
      </c>
      <c r="G48" s="2237"/>
      <c r="H48" s="2237"/>
      <c r="I48" s="2238"/>
    </row>
    <row r="49" spans="2:9">
      <c r="B49" s="1239" t="s">
        <v>2849</v>
      </c>
      <c r="D49" s="1246" t="s">
        <v>2850</v>
      </c>
      <c r="E49" s="1225"/>
      <c r="F49" s="2239"/>
      <c r="G49" s="2240"/>
      <c r="H49" s="2240"/>
      <c r="I49" s="2241"/>
    </row>
    <row r="50" spans="2:9">
      <c r="B50" s="1239" t="s">
        <v>2851</v>
      </c>
      <c r="D50" s="1225"/>
      <c r="E50" s="1225"/>
      <c r="F50" s="1260"/>
      <c r="G50" s="1261"/>
      <c r="H50" s="1261"/>
      <c r="I50" s="1262"/>
    </row>
    <row r="51" spans="2:9" ht="7.5" customHeight="1">
      <c r="B51" s="1231"/>
      <c r="C51" s="1225"/>
      <c r="D51" s="1225"/>
      <c r="E51" s="1225"/>
      <c r="F51" s="1225"/>
      <c r="G51" s="1225"/>
      <c r="H51" s="1225"/>
      <c r="I51" s="1233"/>
    </row>
    <row r="52" spans="2:9">
      <c r="B52" s="1263" t="s">
        <v>2852</v>
      </c>
      <c r="C52" s="2259" t="str">
        <f>'Part I-Project Information'!F38</f>
        <v>Ball Ground</v>
      </c>
      <c r="D52" s="2260"/>
      <c r="E52" s="1469" t="s">
        <v>2853</v>
      </c>
      <c r="F52" s="1227" t="s">
        <v>45</v>
      </c>
      <c r="G52" s="1469" t="s">
        <v>2854</v>
      </c>
      <c r="H52" s="1264">
        <f>'Part I-Project Information'!J38</f>
        <v>301070000</v>
      </c>
      <c r="I52" s="1233"/>
    </row>
    <row r="53" spans="2:9">
      <c r="B53" s="1263" t="s">
        <v>2855</v>
      </c>
      <c r="D53" s="1265" t="e">
        <f>VLOOKUP("='Part I-Project Information'!$J$39",'DCA Underwriting Assumptions'!$G$155:$O$314,9)</f>
        <v>#N/A</v>
      </c>
      <c r="I53" s="1233"/>
    </row>
    <row r="54" spans="2:9">
      <c r="B54" s="1263" t="s">
        <v>2856</v>
      </c>
      <c r="D54" s="1225"/>
      <c r="E54" s="1225"/>
      <c r="F54" s="1225"/>
      <c r="G54" s="1225"/>
      <c r="I54" s="1233"/>
    </row>
    <row r="55" spans="2:9">
      <c r="B55" s="1256" t="s">
        <v>2857</v>
      </c>
      <c r="D55" s="1266">
        <f>'Closing term sheet'!$D$33</f>
        <v>63</v>
      </c>
      <c r="E55" s="1267"/>
      <c r="F55" s="691" t="s">
        <v>2858</v>
      </c>
      <c r="G55" s="1225"/>
      <c r="H55" s="1225"/>
      <c r="I55" s="1233"/>
    </row>
    <row r="56" spans="2:9">
      <c r="B56" s="1256" t="s">
        <v>2859</v>
      </c>
      <c r="D56" s="1268">
        <f>'Closing term sheet'!$D$62</f>
        <v>2267374</v>
      </c>
      <c r="E56" s="1269"/>
      <c r="F56" s="691" t="s">
        <v>2860</v>
      </c>
      <c r="G56" s="1225"/>
      <c r="H56" s="1225"/>
      <c r="I56" s="1233"/>
    </row>
    <row r="57" spans="2:9">
      <c r="B57" s="1248" t="s">
        <v>2861</v>
      </c>
      <c r="D57" s="1270"/>
      <c r="F57" s="691" t="s">
        <v>2862</v>
      </c>
      <c r="G57" s="1225"/>
      <c r="H57" s="1225"/>
      <c r="I57" s="1233"/>
    </row>
    <row r="58" spans="2:9" ht="7.5" customHeight="1">
      <c r="B58" s="1241"/>
      <c r="C58" s="1242"/>
      <c r="D58" s="1242"/>
      <c r="E58" s="1242"/>
      <c r="F58" s="1242"/>
      <c r="G58" s="1242"/>
      <c r="H58" s="1242"/>
      <c r="I58" s="1243"/>
    </row>
    <row r="59" spans="2:9" ht="15" customHeight="1"/>
    <row r="60" spans="2:9" ht="7.5" customHeight="1">
      <c r="B60" s="1432"/>
      <c r="C60" s="1369"/>
      <c r="D60" s="1369"/>
      <c r="E60" s="1369"/>
      <c r="F60" s="1369"/>
      <c r="G60" s="1369"/>
      <c r="H60" s="1369"/>
      <c r="I60" s="1370"/>
    </row>
    <row r="61" spans="2:9">
      <c r="B61" s="2264" t="s">
        <v>2863</v>
      </c>
      <c r="C61" s="2265"/>
      <c r="D61" s="2265"/>
      <c r="E61" s="2265"/>
      <c r="F61" s="2265"/>
      <c r="G61" s="2265"/>
      <c r="H61" s="2265"/>
      <c r="I61" s="2266"/>
    </row>
    <row r="62" spans="2:9" ht="7.5" customHeight="1">
      <c r="B62" s="2261"/>
      <c r="C62" s="2262"/>
      <c r="D62" s="2262"/>
      <c r="E62" s="1225"/>
      <c r="F62" s="1225"/>
      <c r="G62" s="1271"/>
      <c r="H62" s="1225"/>
      <c r="I62" s="1233"/>
    </row>
    <row r="63" spans="2:9">
      <c r="B63" s="1272" t="s">
        <v>2864</v>
      </c>
      <c r="C63" s="1225"/>
      <c r="D63" s="1266">
        <v>4</v>
      </c>
      <c r="F63" s="1225"/>
      <c r="G63" s="2246" t="s">
        <v>2865</v>
      </c>
      <c r="H63" s="2246"/>
      <c r="I63" s="2263"/>
    </row>
    <row r="64" spans="2:9">
      <c r="B64" s="1231"/>
      <c r="C64" s="1246" t="s">
        <v>2866</v>
      </c>
      <c r="D64" s="1246" t="s">
        <v>2867</v>
      </c>
      <c r="F64" s="1225"/>
      <c r="G64" s="1470" t="s">
        <v>2868</v>
      </c>
      <c r="H64" s="1225"/>
      <c r="I64" s="1273">
        <f>'Closing term sheet'!$D$35</f>
        <v>74</v>
      </c>
    </row>
    <row r="65" spans="2:9">
      <c r="B65" s="1231"/>
      <c r="C65" s="1246" t="s">
        <v>2869</v>
      </c>
      <c r="D65" s="1246" t="s">
        <v>2870</v>
      </c>
      <c r="F65" s="1225"/>
      <c r="G65" s="1274" t="s">
        <v>2871</v>
      </c>
      <c r="H65" s="1225"/>
      <c r="I65" s="1273">
        <f>C42</f>
        <v>0</v>
      </c>
    </row>
    <row r="66" spans="2:9">
      <c r="B66" s="1239"/>
      <c r="C66" s="1246" t="s">
        <v>2872</v>
      </c>
      <c r="D66" s="1225"/>
      <c r="E66" s="1246"/>
      <c r="F66" s="1225"/>
      <c r="H66" s="1225"/>
      <c r="I66" s="1275"/>
    </row>
    <row r="67" spans="2:9" ht="7.5" customHeight="1">
      <c r="B67" s="1241"/>
      <c r="C67" s="1242"/>
      <c r="D67" s="1242"/>
      <c r="E67" s="1242"/>
      <c r="F67" s="1242"/>
      <c r="G67" s="1242"/>
      <c r="H67" s="1242"/>
      <c r="I67" s="1243"/>
    </row>
    <row r="68" spans="2:9" ht="15" customHeight="1">
      <c r="B68" s="1225"/>
      <c r="C68" s="1225"/>
      <c r="D68" s="1225"/>
      <c r="E68" s="1225"/>
      <c r="F68" s="1225"/>
      <c r="G68" s="1225"/>
      <c r="H68" s="1225"/>
      <c r="I68" s="1225"/>
    </row>
    <row r="69" spans="2:9" ht="7.5" customHeight="1">
      <c r="B69" s="1432"/>
      <c r="C69" s="1369"/>
      <c r="D69" s="1369"/>
      <c r="E69" s="1369"/>
      <c r="F69" s="1369"/>
      <c r="G69" s="1369"/>
      <c r="H69" s="1369"/>
      <c r="I69" s="1370"/>
    </row>
    <row r="70" spans="2:9">
      <c r="B70" s="1234" t="s">
        <v>2873</v>
      </c>
      <c r="C70" s="1225"/>
      <c r="D70" s="1225"/>
      <c r="E70" s="1225"/>
      <c r="F70" s="1225"/>
      <c r="G70" s="1225"/>
      <c r="H70" s="1225"/>
      <c r="I70" s="1233"/>
    </row>
    <row r="71" spans="2:9" ht="7.5" customHeight="1">
      <c r="B71" s="1231"/>
      <c r="C71" s="1225"/>
      <c r="D71" s="1225"/>
      <c r="E71" s="1225"/>
      <c r="F71" s="1225"/>
      <c r="G71" s="1225"/>
      <c r="H71" s="1225"/>
      <c r="I71" s="1233"/>
    </row>
    <row r="72" spans="2:9">
      <c r="B72" s="1234" t="s">
        <v>2874</v>
      </c>
      <c r="D72" s="1225"/>
      <c r="E72" s="1225"/>
      <c r="F72" s="1225"/>
      <c r="G72" s="1225"/>
      <c r="H72" s="1225"/>
      <c r="I72" s="1258"/>
    </row>
    <row r="73" spans="2:9" ht="7.5" customHeight="1">
      <c r="B73" s="1231"/>
      <c r="C73" s="1225"/>
      <c r="D73" s="1225"/>
      <c r="E73" s="1225"/>
      <c r="F73" s="1225"/>
      <c r="G73" s="1225"/>
      <c r="H73" s="1225"/>
      <c r="I73" s="1233"/>
    </row>
    <row r="74" spans="2:9">
      <c r="B74" s="1231" t="s">
        <v>2875</v>
      </c>
      <c r="D74" s="1225"/>
      <c r="E74" s="1225"/>
      <c r="F74" s="1225" t="s">
        <v>2876</v>
      </c>
      <c r="G74" s="1225"/>
      <c r="H74" s="1225"/>
      <c r="I74" s="1276"/>
    </row>
    <row r="75" spans="2:9">
      <c r="B75" s="1231"/>
      <c r="E75" s="1225"/>
      <c r="F75" s="1225" t="s">
        <v>2877</v>
      </c>
      <c r="G75" s="1225"/>
      <c r="H75" s="1225"/>
      <c r="I75" s="1276"/>
    </row>
    <row r="76" spans="2:9">
      <c r="B76" s="1231"/>
      <c r="E76" s="1225"/>
      <c r="F76" s="1225" t="s">
        <v>2878</v>
      </c>
      <c r="G76" s="1225"/>
      <c r="H76" s="1225"/>
      <c r="I76" s="1276"/>
    </row>
    <row r="77" spans="2:9">
      <c r="B77" s="1231"/>
      <c r="E77" s="1225"/>
      <c r="F77" s="710" t="s">
        <v>2879</v>
      </c>
      <c r="G77" s="1225"/>
      <c r="H77" s="1225"/>
      <c r="I77" s="1276"/>
    </row>
    <row r="78" spans="2:9" ht="7.5" customHeight="1">
      <c r="B78" s="1241"/>
      <c r="C78" s="1242"/>
      <c r="D78" s="1242"/>
      <c r="E78" s="1242"/>
      <c r="F78" s="1242"/>
      <c r="G78" s="1242"/>
      <c r="H78" s="1242"/>
      <c r="I78" s="1243"/>
    </row>
    <row r="79" spans="2:9" ht="7.5" customHeight="1"/>
    <row r="80" spans="2:9">
      <c r="B80" s="1432"/>
      <c r="C80" s="1369"/>
      <c r="D80" s="1369"/>
      <c r="E80" s="1369"/>
      <c r="F80" s="1369"/>
      <c r="G80" s="1369"/>
      <c r="H80" s="1369"/>
      <c r="I80" s="1370"/>
    </row>
    <row r="81" spans="2:9">
      <c r="B81" s="2264" t="s">
        <v>2880</v>
      </c>
      <c r="C81" s="2265"/>
      <c r="D81" s="2265"/>
      <c r="E81" s="2265"/>
      <c r="F81" s="2265"/>
      <c r="G81" s="2265"/>
      <c r="H81" s="2265"/>
      <c r="I81" s="2266"/>
    </row>
    <row r="82" spans="2:9">
      <c r="B82" s="1231"/>
      <c r="C82" s="1225"/>
      <c r="D82" s="1225"/>
      <c r="E82" s="1225"/>
      <c r="F82" s="1225"/>
      <c r="G82" s="1225"/>
      <c r="H82" s="1225"/>
      <c r="I82" s="1233"/>
    </row>
    <row r="83" spans="2:9">
      <c r="B83" s="1234" t="s">
        <v>2881</v>
      </c>
      <c r="C83" s="1225"/>
      <c r="D83" s="1225"/>
      <c r="E83" s="1225"/>
      <c r="F83" s="1225"/>
      <c r="G83" s="1225"/>
      <c r="H83" s="1225"/>
      <c r="I83" s="1233"/>
    </row>
    <row r="84" spans="2:9">
      <c r="B84" s="1231"/>
      <c r="C84" s="710" t="s">
        <v>2882</v>
      </c>
      <c r="D84" s="1225"/>
      <c r="E84" s="1225"/>
      <c r="F84" s="2232">
        <f>'Closing term sheet'!D62</f>
        <v>2267374</v>
      </c>
      <c r="G84" s="2232"/>
      <c r="H84" s="1225"/>
      <c r="I84" s="1233"/>
    </row>
    <row r="85" spans="2:9">
      <c r="B85" s="1231"/>
      <c r="C85" s="710" t="s">
        <v>2883</v>
      </c>
      <c r="D85" s="1225"/>
      <c r="E85" s="1225"/>
      <c r="F85" s="2258">
        <f>'Part III-Sources of Funds'!I44+'Part III-Sources of Funds'!I45</f>
        <v>100091.26950361293</v>
      </c>
      <c r="G85" s="2258"/>
      <c r="H85" s="1225"/>
      <c r="I85" s="1233"/>
    </row>
    <row r="86" spans="2:9">
      <c r="B86" s="1231"/>
      <c r="C86" s="710" t="s">
        <v>2884</v>
      </c>
      <c r="D86" s="1225"/>
      <c r="E86" s="1225"/>
      <c r="F86" s="2257"/>
      <c r="G86" s="2257"/>
      <c r="H86" s="1225"/>
      <c r="I86" s="1233"/>
    </row>
    <row r="87" spans="2:9">
      <c r="B87" s="1231"/>
      <c r="C87" s="1246" t="s">
        <v>2885</v>
      </c>
      <c r="D87" s="1225"/>
      <c r="E87" s="1225"/>
      <c r="F87" s="2258">
        <v>11000</v>
      </c>
      <c r="G87" s="2258"/>
      <c r="H87" s="1225"/>
      <c r="I87" s="1233"/>
    </row>
    <row r="88" spans="2:9">
      <c r="B88" s="1231"/>
      <c r="C88" s="710" t="s">
        <v>2886</v>
      </c>
      <c r="D88" s="1225"/>
      <c r="E88" s="1225"/>
      <c r="F88" s="2235"/>
      <c r="G88" s="2235"/>
      <c r="H88" s="1225"/>
      <c r="I88" s="1233"/>
    </row>
    <row r="89" spans="2:9">
      <c r="B89" s="1231"/>
      <c r="C89" s="691" t="s">
        <v>2887</v>
      </c>
      <c r="D89" s="1225"/>
      <c r="E89" s="1225"/>
      <c r="F89" s="2230">
        <f>SUM(F84:G88)</f>
        <v>2378465.269503613</v>
      </c>
      <c r="G89" s="2230"/>
      <c r="H89" s="1225"/>
      <c r="I89" s="1233"/>
    </row>
    <row r="90" spans="2:9">
      <c r="B90" s="1231"/>
      <c r="C90" s="1225"/>
      <c r="D90" s="1225"/>
      <c r="E90" s="1225"/>
      <c r="F90" s="2231"/>
      <c r="G90" s="2231"/>
      <c r="H90" s="1225"/>
      <c r="I90" s="1233"/>
    </row>
    <row r="91" spans="2:9">
      <c r="B91" s="1234" t="s">
        <v>2888</v>
      </c>
      <c r="C91" s="1225"/>
      <c r="D91" s="1225"/>
      <c r="E91" s="1225"/>
      <c r="F91" s="1225"/>
      <c r="G91" s="1225"/>
      <c r="H91" s="1225"/>
      <c r="I91" s="1233"/>
    </row>
    <row r="92" spans="2:9">
      <c r="B92" s="1231"/>
      <c r="C92" s="710" t="s">
        <v>2889</v>
      </c>
      <c r="D92" s="1225"/>
      <c r="E92" s="1225"/>
      <c r="F92" s="2232"/>
      <c r="G92" s="2232"/>
      <c r="H92" s="1225"/>
      <c r="I92" s="1233"/>
    </row>
    <row r="93" spans="2:9">
      <c r="B93" s="1231"/>
      <c r="C93" s="710" t="s">
        <v>2890</v>
      </c>
      <c r="D93" s="1225"/>
      <c r="E93" s="1225"/>
      <c r="F93" s="2233"/>
      <c r="G93" s="2233"/>
      <c r="H93" s="1225"/>
      <c r="I93" s="1233"/>
    </row>
    <row r="94" spans="2:9">
      <c r="B94" s="1231"/>
      <c r="C94" s="710" t="s">
        <v>2891</v>
      </c>
      <c r="D94" s="1225"/>
      <c r="E94" s="1225"/>
      <c r="F94" s="2234" t="s">
        <v>2700</v>
      </c>
      <c r="G94" s="2229"/>
      <c r="H94" s="1225"/>
      <c r="I94" s="1233"/>
    </row>
    <row r="95" spans="2:9">
      <c r="B95" s="1231"/>
      <c r="C95" s="691" t="s">
        <v>2892</v>
      </c>
      <c r="D95" s="1225"/>
      <c r="E95" s="1225"/>
      <c r="F95" s="2230">
        <f>+SUM(F92:G94)</f>
        <v>0</v>
      </c>
      <c r="G95" s="2230"/>
      <c r="H95" s="1225"/>
      <c r="I95" s="1233"/>
    </row>
    <row r="96" spans="2:9">
      <c r="B96" s="1231"/>
      <c r="C96" s="1225"/>
      <c r="D96" s="1225"/>
      <c r="E96" s="1225"/>
      <c r="F96" s="1225"/>
      <c r="G96" s="1225"/>
      <c r="H96" s="1225"/>
      <c r="I96" s="1233"/>
    </row>
    <row r="97" spans="2:9">
      <c r="B97" s="1234" t="s">
        <v>2893</v>
      </c>
      <c r="C97" s="1225"/>
      <c r="D97" s="1225"/>
      <c r="E97" s="1225"/>
      <c r="F97" s="1225"/>
      <c r="G97" s="1225"/>
      <c r="H97" s="1225"/>
      <c r="I97" s="1233"/>
    </row>
    <row r="98" spans="2:9">
      <c r="B98" s="1231"/>
      <c r="C98" s="710" t="s">
        <v>2894</v>
      </c>
      <c r="D98" s="1225"/>
      <c r="E98" s="1225"/>
      <c r="F98" s="2232"/>
      <c r="G98" s="2232"/>
      <c r="H98" s="1225"/>
      <c r="I98" s="1233"/>
    </row>
    <row r="99" spans="2:9">
      <c r="B99" s="1231"/>
      <c r="C99" s="710" t="s">
        <v>2895</v>
      </c>
      <c r="D99" s="1225"/>
      <c r="E99" s="1225"/>
      <c r="F99" s="2233"/>
      <c r="G99" s="2233"/>
      <c r="H99" s="1225"/>
      <c r="I99" s="1233"/>
    </row>
    <row r="100" spans="2:9">
      <c r="B100" s="1231"/>
      <c r="C100" s="710" t="s">
        <v>2896</v>
      </c>
      <c r="D100" s="1225"/>
      <c r="E100" s="1225"/>
      <c r="F100" s="2235"/>
      <c r="G100" s="2235"/>
      <c r="H100" s="1225"/>
      <c r="I100" s="1233"/>
    </row>
    <row r="101" spans="2:9">
      <c r="B101" s="1231"/>
      <c r="C101" s="691" t="s">
        <v>2897</v>
      </c>
      <c r="D101" s="1225"/>
      <c r="E101" s="1225"/>
      <c r="F101" s="2230">
        <f>+SUM(F98:G100)</f>
        <v>0</v>
      </c>
      <c r="G101" s="2230"/>
      <c r="H101" s="1225"/>
      <c r="I101" s="1233"/>
    </row>
    <row r="102" spans="2:9">
      <c r="B102" s="1231"/>
      <c r="C102" s="1225"/>
      <c r="D102" s="1225"/>
      <c r="E102" s="1225"/>
      <c r="F102" s="1225"/>
      <c r="G102" s="1225"/>
      <c r="H102" s="1225"/>
      <c r="I102" s="1233"/>
    </row>
    <row r="103" spans="2:9">
      <c r="B103" s="1272" t="s">
        <v>2898</v>
      </c>
      <c r="C103" s="710"/>
      <c r="D103" s="1225"/>
      <c r="E103" s="1225"/>
      <c r="F103" s="2229">
        <f>'Part III-Sources of Funds'!I46+'Part III-Sources of Funds'!I47</f>
        <v>0</v>
      </c>
      <c r="G103" s="2229"/>
      <c r="H103" s="1225"/>
      <c r="I103" s="1233"/>
    </row>
    <row r="104" spans="2:9">
      <c r="B104" s="1231"/>
      <c r="C104" s="1225"/>
      <c r="D104" s="1225"/>
      <c r="E104" s="1225"/>
      <c r="F104" s="1225"/>
      <c r="G104" s="1225"/>
      <c r="H104" s="1225"/>
      <c r="I104" s="1277" t="s">
        <v>2899</v>
      </c>
    </row>
    <row r="105" spans="2:9">
      <c r="B105" s="1234" t="s">
        <v>2900</v>
      </c>
      <c r="C105" s="1225"/>
      <c r="D105" s="1225"/>
      <c r="E105" s="1225"/>
      <c r="F105" s="2229">
        <f>+F103+F101+F95+F89</f>
        <v>2378465.269503613</v>
      </c>
      <c r="G105" s="2229"/>
      <c r="H105" s="1225"/>
      <c r="I105" s="1233"/>
    </row>
    <row r="106" spans="2:9">
      <c r="B106" s="1241"/>
      <c r="C106" s="1242"/>
      <c r="D106" s="1242"/>
      <c r="E106" s="1242"/>
      <c r="F106" s="1242"/>
      <c r="G106" s="1242"/>
      <c r="H106" s="1242"/>
      <c r="I106" s="1243"/>
    </row>
    <row r="108" spans="2:9">
      <c r="C108" s="1278" t="s">
        <v>22</v>
      </c>
    </row>
    <row r="109" spans="2:9">
      <c r="C109" s="1278" t="s">
        <v>21</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7" workbookViewId="0">
      <selection activeCell="A4" sqref="A1:XFD1048576"/>
    </sheetView>
  </sheetViews>
  <sheetFormatPr defaultColWidth="8.85546875" defaultRowHeight="15.75"/>
  <cols>
    <col min="1" max="1" width="2.28515625" style="2287" customWidth="1"/>
    <col min="2" max="13" width="7.7109375" style="2287" customWidth="1"/>
    <col min="14" max="15" width="5.85546875" style="2287" customWidth="1"/>
    <col min="16" max="16384" width="8.85546875" style="2287"/>
  </cols>
  <sheetData>
    <row r="1" spans="1:26" ht="18">
      <c r="N1" s="2288" t="s">
        <v>2901</v>
      </c>
      <c r="O1" s="2288"/>
      <c r="P1" s="2288"/>
      <c r="Q1" s="2288"/>
      <c r="R1" s="2288"/>
      <c r="S1" s="2288"/>
      <c r="T1" s="2288"/>
      <c r="U1" s="2288"/>
      <c r="V1" s="2288"/>
      <c r="W1" s="2288"/>
      <c r="X1" s="2288"/>
      <c r="Y1" s="2288"/>
      <c r="Z1" s="2288"/>
    </row>
    <row r="2" spans="1:26">
      <c r="N2" s="2289" t="s">
        <v>2902</v>
      </c>
      <c r="O2" s="2289"/>
      <c r="P2" s="2289"/>
      <c r="Q2" s="2289"/>
      <c r="R2" s="2289"/>
      <c r="S2" s="2289"/>
      <c r="T2" s="2289"/>
      <c r="U2" s="2289"/>
      <c r="V2" s="2289"/>
      <c r="W2" s="2289"/>
      <c r="X2" s="2289"/>
      <c r="Y2" s="2289"/>
      <c r="Z2" s="2289"/>
    </row>
    <row r="3" spans="1:26">
      <c r="N3" s="2290" t="s">
        <v>2903</v>
      </c>
      <c r="O3" s="2290"/>
      <c r="P3" s="2290"/>
      <c r="Q3" s="2290"/>
      <c r="R3" s="2290"/>
      <c r="S3" s="2290"/>
      <c r="T3" s="2290"/>
      <c r="U3" s="2290"/>
      <c r="V3" s="2290"/>
      <c r="W3" s="2290"/>
      <c r="X3" s="2290"/>
      <c r="Y3" s="2290"/>
      <c r="Z3" s="2290"/>
    </row>
    <row r="4" spans="1:26" ht="16.5">
      <c r="B4" s="2291"/>
      <c r="C4" s="2291"/>
      <c r="D4" s="2291"/>
      <c r="E4" s="2291"/>
      <c r="F4" s="2291"/>
      <c r="G4" s="2291"/>
      <c r="H4" s="2291"/>
      <c r="I4" s="2291"/>
      <c r="J4" s="2291"/>
      <c r="K4" s="2291"/>
      <c r="L4" s="2291"/>
      <c r="M4" s="2291"/>
      <c r="N4" s="2292" t="s">
        <v>2904</v>
      </c>
    </row>
    <row r="5" spans="1:26" ht="59.25" customHeight="1">
      <c r="A5" s="2293" t="s">
        <v>2905</v>
      </c>
      <c r="B5" s="2293"/>
      <c r="C5" s="2293"/>
      <c r="D5" s="2293"/>
      <c r="E5" s="2293"/>
      <c r="F5" s="2293"/>
      <c r="G5" s="2293"/>
      <c r="H5" s="2293"/>
      <c r="I5" s="2293"/>
      <c r="J5" s="2293"/>
      <c r="K5" s="2293"/>
      <c r="L5" s="2293"/>
      <c r="M5" s="2293"/>
    </row>
    <row r="6" spans="1:26" ht="11.45" customHeight="1">
      <c r="A6" s="2291"/>
      <c r="B6" s="2291"/>
      <c r="C6" s="2291"/>
      <c r="D6" s="2291"/>
      <c r="E6" s="2291"/>
      <c r="F6" s="2291"/>
      <c r="G6" s="2291"/>
      <c r="H6" s="2291"/>
      <c r="I6" s="2291"/>
      <c r="J6" s="2291"/>
      <c r="K6" s="2291"/>
      <c r="L6" s="2291"/>
      <c r="M6" s="2291"/>
    </row>
    <row r="7" spans="1:26" ht="16.5">
      <c r="A7" s="2291" t="s">
        <v>2906</v>
      </c>
      <c r="B7" s="2291"/>
      <c r="C7" s="2291"/>
      <c r="D7" s="2291"/>
      <c r="E7" s="2291"/>
      <c r="F7" s="2291"/>
      <c r="G7" s="2291"/>
      <c r="H7" s="2291"/>
      <c r="I7" s="2291"/>
      <c r="J7" s="2291"/>
      <c r="K7" s="2291"/>
      <c r="L7" s="2291"/>
      <c r="M7" s="2291"/>
    </row>
    <row r="8" spans="1:26" ht="11.45" customHeight="1">
      <c r="A8" s="2291"/>
      <c r="B8" s="2291"/>
      <c r="C8" s="2291"/>
      <c r="D8" s="2291"/>
      <c r="E8" s="2291"/>
      <c r="F8" s="2291"/>
      <c r="G8" s="2291"/>
      <c r="H8" s="2291"/>
      <c r="I8" s="2291"/>
      <c r="J8" s="2291"/>
      <c r="K8" s="2291"/>
      <c r="L8" s="2291"/>
      <c r="M8" s="2291"/>
    </row>
    <row r="9" spans="1:26" ht="16.5">
      <c r="A9" s="2294" t="s">
        <v>2907</v>
      </c>
      <c r="B9" s="2294"/>
      <c r="C9" s="2294"/>
      <c r="D9" s="2294"/>
      <c r="E9" s="2294"/>
      <c r="F9" s="2294"/>
      <c r="G9" s="2294"/>
      <c r="H9" s="2294"/>
      <c r="I9" s="2294"/>
      <c r="J9" s="2294"/>
      <c r="K9" s="2294"/>
      <c r="L9" s="2294"/>
      <c r="M9" s="2294"/>
    </row>
    <row r="10" spans="1:26" ht="6.75" customHeight="1">
      <c r="A10" s="2294"/>
      <c r="B10" s="2294"/>
      <c r="C10" s="2294"/>
      <c r="D10" s="2294"/>
      <c r="E10" s="2294"/>
      <c r="F10" s="2294"/>
      <c r="G10" s="2294"/>
      <c r="H10" s="2294"/>
      <c r="I10" s="2294"/>
      <c r="J10" s="2294"/>
      <c r="K10" s="2294"/>
      <c r="L10" s="2294"/>
      <c r="M10" s="2294"/>
    </row>
    <row r="11" spans="1:26" ht="44.25" customHeight="1">
      <c r="A11" s="2295" t="s">
        <v>2908</v>
      </c>
      <c r="B11" s="2295"/>
      <c r="C11" s="2295"/>
      <c r="D11" s="2295"/>
      <c r="E11" s="2295"/>
      <c r="F11" s="2295"/>
      <c r="G11" s="2295"/>
      <c r="H11" s="2295"/>
      <c r="I11" s="2295"/>
      <c r="J11" s="2295"/>
      <c r="K11" s="2295"/>
      <c r="L11" s="2295"/>
      <c r="M11" s="2295"/>
    </row>
    <row r="12" spans="1:26" ht="3" customHeight="1">
      <c r="A12" s="2294"/>
      <c r="B12" s="2294"/>
      <c r="C12" s="2294"/>
      <c r="D12" s="2294"/>
      <c r="E12" s="2294"/>
      <c r="F12" s="2294"/>
      <c r="G12" s="2294"/>
      <c r="H12" s="2294"/>
      <c r="I12" s="2294"/>
      <c r="J12" s="2294"/>
      <c r="K12" s="2294"/>
      <c r="L12" s="2294"/>
      <c r="M12" s="2294"/>
    </row>
    <row r="13" spans="1:26" ht="96" customHeight="1">
      <c r="A13" s="2296" t="s">
        <v>1303</v>
      </c>
      <c r="B13" s="2297" t="s">
        <v>2909</v>
      </c>
      <c r="C13" s="2297"/>
      <c r="D13" s="2297"/>
      <c r="E13" s="2297"/>
      <c r="F13" s="2297"/>
      <c r="G13" s="2297"/>
      <c r="H13" s="2297"/>
      <c r="I13" s="2297"/>
      <c r="J13" s="2297"/>
      <c r="K13" s="2297"/>
      <c r="L13" s="2297"/>
      <c r="M13" s="2297"/>
    </row>
    <row r="14" spans="1:26" ht="47.25" customHeight="1">
      <c r="A14" s="2296" t="s">
        <v>1306</v>
      </c>
      <c r="B14" s="2297" t="s">
        <v>2910</v>
      </c>
      <c r="C14" s="2297"/>
      <c r="D14" s="2297"/>
      <c r="E14" s="2297"/>
      <c r="F14" s="2297"/>
      <c r="G14" s="2297"/>
      <c r="H14" s="2297"/>
      <c r="I14" s="2297"/>
      <c r="J14" s="2297"/>
      <c r="K14" s="2297"/>
      <c r="L14" s="2297"/>
      <c r="M14" s="2297"/>
    </row>
    <row r="15" spans="1:26" ht="117" customHeight="1">
      <c r="A15" s="2296" t="s">
        <v>1308</v>
      </c>
      <c r="B15" s="2297" t="s">
        <v>2911</v>
      </c>
      <c r="C15" s="2297"/>
      <c r="D15" s="2297"/>
      <c r="E15" s="2297"/>
      <c r="F15" s="2297"/>
      <c r="G15" s="2297"/>
      <c r="H15" s="2297"/>
      <c r="I15" s="2297"/>
      <c r="J15" s="2297"/>
      <c r="K15" s="2297"/>
      <c r="L15" s="2297"/>
      <c r="M15" s="2297"/>
    </row>
    <row r="16" spans="1:26" ht="147" customHeight="1">
      <c r="A16" s="2296" t="s">
        <v>1310</v>
      </c>
      <c r="B16" s="2297" t="s">
        <v>2912</v>
      </c>
      <c r="C16" s="2297"/>
      <c r="D16" s="2297"/>
      <c r="E16" s="2297"/>
      <c r="F16" s="2297"/>
      <c r="G16" s="2297"/>
      <c r="H16" s="2297"/>
      <c r="I16" s="2297"/>
      <c r="J16" s="2297"/>
      <c r="K16" s="2297"/>
      <c r="L16" s="2297"/>
      <c r="M16" s="2297"/>
    </row>
    <row r="17" spans="1:13" ht="48.75" customHeight="1">
      <c r="A17" s="2296" t="s">
        <v>1323</v>
      </c>
      <c r="B17" s="2297" t="s">
        <v>2913</v>
      </c>
      <c r="C17" s="2297"/>
      <c r="D17" s="2297"/>
      <c r="E17" s="2297"/>
      <c r="F17" s="2297"/>
      <c r="G17" s="2297"/>
      <c r="H17" s="2297"/>
      <c r="I17" s="2297"/>
      <c r="J17" s="2297"/>
      <c r="K17" s="2297"/>
      <c r="L17" s="2297"/>
      <c r="M17" s="2297"/>
    </row>
    <row r="18" spans="1:13" ht="165" customHeight="1">
      <c r="A18" s="2296" t="s">
        <v>1324</v>
      </c>
      <c r="B18" s="2297" t="s">
        <v>2914</v>
      </c>
      <c r="C18" s="2297"/>
      <c r="D18" s="2297"/>
      <c r="E18" s="2297"/>
      <c r="F18" s="2297"/>
      <c r="G18" s="2297"/>
      <c r="H18" s="2297"/>
      <c r="I18" s="2297"/>
      <c r="J18" s="2297"/>
      <c r="K18" s="2297"/>
      <c r="L18" s="2297"/>
      <c r="M18" s="2297"/>
    </row>
    <row r="19" spans="1:13" ht="48.75" customHeight="1">
      <c r="A19" s="2296" t="s">
        <v>1379</v>
      </c>
      <c r="B19" s="2298" t="s">
        <v>2915</v>
      </c>
      <c r="C19" s="2298"/>
      <c r="D19" s="2298"/>
      <c r="E19" s="2298"/>
      <c r="F19" s="2298"/>
      <c r="G19" s="2298"/>
      <c r="H19" s="2298"/>
      <c r="I19" s="2298"/>
      <c r="J19" s="2298"/>
      <c r="K19" s="2298"/>
      <c r="L19" s="2298"/>
      <c r="M19" s="2298"/>
    </row>
    <row r="20" spans="1:13" ht="50.25" customHeight="1">
      <c r="A20" s="2296" t="s">
        <v>1384</v>
      </c>
      <c r="B20" s="2297" t="s">
        <v>2916</v>
      </c>
      <c r="C20" s="2297"/>
      <c r="D20" s="2297"/>
      <c r="E20" s="2297"/>
      <c r="F20" s="2297"/>
      <c r="G20" s="2297"/>
      <c r="H20" s="2297"/>
      <c r="I20" s="2297"/>
      <c r="J20" s="2297"/>
      <c r="K20" s="2297"/>
      <c r="L20" s="2297"/>
      <c r="M20" s="2297"/>
    </row>
    <row r="21" spans="1:13" ht="31.5" customHeight="1">
      <c r="A21" s="2296" t="s">
        <v>1372</v>
      </c>
      <c r="B21" s="2297" t="s">
        <v>2917</v>
      </c>
      <c r="C21" s="2297"/>
      <c r="D21" s="2297"/>
      <c r="E21" s="2297"/>
      <c r="F21" s="2297"/>
      <c r="G21" s="2297"/>
      <c r="H21" s="2297"/>
      <c r="I21" s="2297"/>
      <c r="J21" s="2297"/>
      <c r="K21" s="2297"/>
      <c r="L21" s="2297"/>
      <c r="M21" s="2297"/>
    </row>
    <row r="22" spans="1:13" ht="1.5" customHeight="1">
      <c r="A22" s="2294"/>
      <c r="B22" s="2294"/>
      <c r="C22" s="2294"/>
      <c r="D22" s="2294"/>
      <c r="E22" s="2294"/>
      <c r="F22" s="2294"/>
      <c r="G22" s="2294"/>
      <c r="H22" s="2294"/>
      <c r="I22" s="2294"/>
      <c r="J22" s="2294"/>
      <c r="K22" s="2294"/>
      <c r="L22" s="2294"/>
      <c r="M22" s="2294"/>
    </row>
    <row r="23" spans="1:13" ht="3" customHeight="1">
      <c r="A23" s="2294"/>
      <c r="B23" s="2294"/>
      <c r="C23" s="2294"/>
      <c r="D23" s="2294"/>
      <c r="E23" s="2294"/>
      <c r="F23" s="2294"/>
      <c r="G23" s="2294"/>
      <c r="H23" s="2294"/>
      <c r="I23" s="2294"/>
      <c r="J23" s="2294"/>
      <c r="K23" s="2294"/>
      <c r="L23" s="2294"/>
      <c r="M23" s="2294"/>
    </row>
    <row r="24" spans="1:13" ht="13.5" customHeight="1">
      <c r="A24" s="2294" t="s">
        <v>2918</v>
      </c>
      <c r="B24" s="2294"/>
      <c r="C24" s="2294"/>
      <c r="D24" s="2294"/>
      <c r="E24" s="2294"/>
      <c r="F24" s="2294"/>
      <c r="G24" s="2294"/>
      <c r="H24" s="2294"/>
      <c r="I24" s="2294"/>
      <c r="J24" s="2294"/>
      <c r="K24" s="2294"/>
      <c r="L24" s="2294"/>
      <c r="M24" s="2294"/>
    </row>
    <row r="25" spans="1:13" ht="32.25" customHeight="1">
      <c r="A25" s="2296" t="s">
        <v>2919</v>
      </c>
      <c r="B25" s="2297" t="s">
        <v>2920</v>
      </c>
      <c r="C25" s="2297"/>
      <c r="D25" s="2297"/>
      <c r="E25" s="2297"/>
      <c r="F25" s="2297"/>
      <c r="G25" s="2297"/>
      <c r="H25" s="2297"/>
      <c r="I25" s="2297"/>
      <c r="J25" s="2297"/>
      <c r="K25" s="2297"/>
      <c r="L25" s="2297"/>
      <c r="M25" s="2297"/>
    </row>
    <row r="26" spans="1:13" ht="31.5" customHeight="1">
      <c r="A26" s="2296" t="s">
        <v>2919</v>
      </c>
      <c r="B26" s="2297" t="s">
        <v>2921</v>
      </c>
      <c r="C26" s="2297"/>
      <c r="D26" s="2297"/>
      <c r="E26" s="2297"/>
      <c r="F26" s="2297"/>
      <c r="G26" s="2297"/>
      <c r="H26" s="2297"/>
      <c r="I26" s="2297"/>
      <c r="J26" s="2297"/>
      <c r="K26" s="2297"/>
      <c r="L26" s="2297"/>
      <c r="M26" s="2297"/>
    </row>
    <row r="27" spans="1:13" ht="78.75" customHeight="1">
      <c r="A27" s="2296" t="s">
        <v>2919</v>
      </c>
      <c r="B27" s="2297" t="s">
        <v>2922</v>
      </c>
      <c r="C27" s="2297"/>
      <c r="D27" s="2297"/>
      <c r="E27" s="2297"/>
      <c r="F27" s="2297"/>
      <c r="G27" s="2297"/>
      <c r="H27" s="2297"/>
      <c r="I27" s="2297"/>
      <c r="J27" s="2297"/>
      <c r="K27" s="2297"/>
      <c r="L27" s="2297"/>
      <c r="M27" s="2297"/>
    </row>
    <row r="28" spans="1:13" ht="7.5" customHeight="1">
      <c r="A28" s="2294"/>
      <c r="B28" s="2294"/>
      <c r="C28" s="2294"/>
      <c r="D28" s="2294"/>
      <c r="E28" s="2294"/>
      <c r="F28" s="2294"/>
      <c r="G28" s="2294"/>
      <c r="H28" s="2294"/>
      <c r="I28" s="2294"/>
      <c r="J28" s="2294"/>
      <c r="K28" s="2294"/>
      <c r="L28" s="2294"/>
      <c r="M28" s="2294"/>
    </row>
    <row r="29" spans="1:13" ht="43.5" customHeight="1">
      <c r="A29" s="2297" t="s">
        <v>2923</v>
      </c>
      <c r="B29" s="2297"/>
      <c r="C29" s="2297"/>
      <c r="D29" s="2297"/>
      <c r="E29" s="2297"/>
      <c r="F29" s="2297"/>
      <c r="G29" s="2297"/>
      <c r="H29" s="2297"/>
      <c r="I29" s="2297"/>
      <c r="J29" s="2297"/>
      <c r="K29" s="2297"/>
      <c r="L29" s="2297"/>
      <c r="M29" s="2297"/>
    </row>
    <row r="30" spans="1:13" ht="3" customHeight="1">
      <c r="A30" s="2294"/>
      <c r="B30" s="2294"/>
      <c r="C30" s="2294"/>
      <c r="D30" s="2294"/>
      <c r="E30" s="2294"/>
      <c r="F30" s="2294"/>
      <c r="G30" s="2294"/>
      <c r="H30" s="2294"/>
      <c r="I30" s="2294"/>
      <c r="J30" s="2294"/>
      <c r="K30" s="2294"/>
      <c r="L30" s="2294"/>
      <c r="M30" s="2294"/>
    </row>
    <row r="31" spans="1:13" ht="32.25" customHeight="1">
      <c r="A31" s="2297" t="s">
        <v>2924</v>
      </c>
      <c r="B31" s="2297"/>
      <c r="C31" s="2297"/>
      <c r="D31" s="2297"/>
      <c r="E31" s="2297"/>
      <c r="F31" s="2297"/>
      <c r="G31" s="2297"/>
      <c r="H31" s="2297"/>
      <c r="I31" s="2297"/>
      <c r="J31" s="2297"/>
      <c r="K31" s="2297"/>
      <c r="L31" s="2297"/>
      <c r="M31" s="2297"/>
    </row>
    <row r="32" spans="1:13" ht="4.5" customHeight="1">
      <c r="A32" s="2294"/>
      <c r="B32" s="2294"/>
      <c r="C32" s="2294"/>
      <c r="D32" s="2294"/>
      <c r="E32" s="2294"/>
      <c r="F32" s="2294"/>
      <c r="G32" s="2294"/>
      <c r="H32" s="2294"/>
      <c r="I32" s="2294"/>
      <c r="J32" s="2294"/>
      <c r="K32" s="2294"/>
      <c r="L32" s="2294"/>
      <c r="M32" s="2294"/>
    </row>
    <row r="33" spans="1:13" ht="16.5">
      <c r="A33" s="2294" t="s">
        <v>2925</v>
      </c>
      <c r="B33" s="2294"/>
      <c r="C33" s="2294"/>
      <c r="D33" s="2294"/>
      <c r="E33" s="2294"/>
      <c r="F33" s="2294"/>
      <c r="G33" s="2294"/>
      <c r="H33" s="2294"/>
      <c r="I33" s="2294"/>
      <c r="J33" s="2294"/>
      <c r="K33" s="2294"/>
      <c r="L33" s="2294"/>
      <c r="M33" s="2294"/>
    </row>
    <row r="34" spans="1:13" ht="6" customHeight="1">
      <c r="A34" s="2299"/>
      <c r="B34" s="2299"/>
      <c r="C34" s="2299"/>
      <c r="D34" s="2299"/>
      <c r="E34" s="2299"/>
      <c r="F34" s="2299"/>
      <c r="G34" s="2299"/>
      <c r="H34" s="2299"/>
      <c r="I34" s="2299"/>
      <c r="J34" s="2299"/>
      <c r="K34" s="2299"/>
      <c r="L34" s="2299"/>
      <c r="M34" s="2299"/>
    </row>
    <row r="35" spans="1:13" ht="16.5">
      <c r="A35" s="2300" t="s">
        <v>36</v>
      </c>
      <c r="B35" s="2300"/>
      <c r="C35" s="2300"/>
      <c r="D35" s="2300"/>
      <c r="E35" s="2300"/>
      <c r="F35" s="2300"/>
      <c r="G35" s="2301"/>
      <c r="H35" s="2300"/>
      <c r="I35" s="2300"/>
      <c r="J35" s="2300"/>
      <c r="K35" s="2300"/>
      <c r="L35" s="2300"/>
      <c r="M35" s="2300"/>
    </row>
    <row r="36" spans="1:13" ht="12" customHeight="1">
      <c r="A36" s="2302" t="s">
        <v>2926</v>
      </c>
      <c r="B36" s="2302"/>
      <c r="C36" s="2302"/>
      <c r="D36" s="2302"/>
      <c r="E36" s="2302"/>
      <c r="F36" s="2302"/>
      <c r="G36" s="2301"/>
      <c r="H36" s="2302" t="s">
        <v>37</v>
      </c>
      <c r="I36" s="2302"/>
      <c r="J36" s="2302"/>
      <c r="K36" s="2302"/>
      <c r="L36" s="2302"/>
      <c r="M36" s="2302"/>
    </row>
    <row r="37" spans="1:13" ht="6" customHeight="1">
      <c r="A37" s="2301"/>
      <c r="B37" s="2301"/>
      <c r="C37" s="2301"/>
      <c r="D37" s="2301"/>
      <c r="E37" s="2301"/>
      <c r="F37" s="2301"/>
      <c r="G37" s="2301"/>
      <c r="H37" s="2301"/>
      <c r="I37" s="2301"/>
      <c r="J37" s="2301"/>
      <c r="K37" s="2301"/>
      <c r="L37" s="2301"/>
      <c r="M37" s="2301"/>
    </row>
    <row r="38" spans="1:13" ht="16.5">
      <c r="A38" s="2300"/>
      <c r="B38" s="2300"/>
      <c r="C38" s="2300"/>
      <c r="D38" s="2300"/>
      <c r="E38" s="2300"/>
      <c r="F38" s="2300"/>
      <c r="G38" s="2301"/>
      <c r="H38" s="2303"/>
      <c r="I38" s="2303"/>
      <c r="J38" s="2303"/>
      <c r="K38" s="2303"/>
      <c r="L38" s="2303"/>
      <c r="M38" s="2303"/>
    </row>
    <row r="39" spans="1:13" ht="12" customHeight="1">
      <c r="A39" s="2302" t="s">
        <v>2927</v>
      </c>
      <c r="B39" s="2302"/>
      <c r="C39" s="2302"/>
      <c r="D39" s="2302"/>
      <c r="E39" s="2302"/>
      <c r="F39" s="2302"/>
      <c r="G39" s="2301"/>
      <c r="H39" s="2302" t="s">
        <v>2341</v>
      </c>
      <c r="I39" s="2302"/>
      <c r="J39" s="2302"/>
      <c r="K39" s="2302"/>
      <c r="L39" s="2302"/>
      <c r="M39" s="2302"/>
    </row>
    <row r="40" spans="1:13" ht="3" customHeight="1">
      <c r="A40" s="2304"/>
      <c r="B40" s="2304"/>
      <c r="C40" s="2304"/>
      <c r="D40" s="2304"/>
      <c r="E40" s="2304"/>
      <c r="F40" s="2304"/>
      <c r="G40" s="2301"/>
      <c r="H40" s="2304"/>
      <c r="I40" s="2304"/>
      <c r="J40" s="2304"/>
      <c r="K40" s="2304"/>
      <c r="L40" s="2304"/>
      <c r="M40" s="2304"/>
    </row>
    <row r="41" spans="1:13" ht="11.45" customHeight="1">
      <c r="A41" s="2291"/>
      <c r="B41" s="2291"/>
      <c r="C41" s="2291"/>
      <c r="D41" s="2291"/>
      <c r="E41" s="2291"/>
      <c r="F41" s="2291"/>
      <c r="G41" s="2291"/>
      <c r="H41" s="2305" t="s">
        <v>2928</v>
      </c>
      <c r="I41" s="2305"/>
      <c r="J41" s="2305"/>
      <c r="K41" s="2305"/>
      <c r="L41" s="2305"/>
      <c r="M41" s="2305"/>
    </row>
    <row r="42" spans="1:13" ht="11.45" customHeight="1">
      <c r="A42" s="2291"/>
      <c r="B42" s="2291"/>
      <c r="C42" s="2291"/>
      <c r="D42" s="2291"/>
      <c r="E42" s="2291"/>
      <c r="F42" s="2291"/>
      <c r="G42" s="2291"/>
    </row>
    <row r="43" spans="1:13" ht="11.45" customHeight="1">
      <c r="A43" s="2291"/>
      <c r="B43" s="2291"/>
      <c r="C43" s="2291"/>
      <c r="D43" s="2291"/>
      <c r="E43" s="2291"/>
      <c r="F43" s="2291"/>
      <c r="G43" s="2291"/>
      <c r="H43" s="2291"/>
      <c r="I43" s="2291"/>
      <c r="J43" s="2291"/>
      <c r="K43" s="2291"/>
      <c r="L43" s="2291"/>
      <c r="M43" s="2291"/>
    </row>
    <row r="44" spans="1:13" ht="11.45" customHeight="1">
      <c r="A44" s="2291"/>
      <c r="B44" s="2291"/>
      <c r="C44" s="2291"/>
      <c r="D44" s="2291"/>
      <c r="E44" s="2291"/>
      <c r="F44" s="2291"/>
      <c r="G44" s="2291"/>
      <c r="H44" s="2291"/>
      <c r="I44" s="2291"/>
      <c r="J44" s="2291"/>
      <c r="K44" s="2291"/>
      <c r="L44" s="2291"/>
      <c r="M44" s="2291"/>
    </row>
    <row r="45" spans="1:13" ht="11.45" customHeight="1"/>
    <row r="46" spans="1:13" ht="11.45" customHeight="1"/>
    <row r="47" spans="1:13" ht="11.45" customHeight="1"/>
    <row r="48" spans="1:13" ht="11.45" customHeight="1"/>
    <row r="49" ht="11.45" customHeight="1"/>
  </sheetData>
  <sheetProtection algorithmName="SHA-512" hashValue="t3WlOlnbQ1NQFCYAR+3dgkCAUaby+ly41KOa5Zvree0CmOrFNW+Rp3A/9qXiH5xwJ4O63IuKSvyRFFgjpWpwsw==" saltValue="QJSpFrOtTrqGIAMH6B4FR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 zoomScale="155" zoomScaleNormal="155" workbookViewId="0">
      <selection activeCell="A4" sqref="A1:XFD1048576"/>
    </sheetView>
  </sheetViews>
  <sheetFormatPr defaultColWidth="8.85546875" defaultRowHeight="12.75"/>
  <cols>
    <col min="1" max="1" width="1.7109375" style="12" customWidth="1"/>
    <col min="2" max="2" width="5.28515625" style="12" customWidth="1"/>
    <col min="3" max="3" width="9.7109375" style="12" customWidth="1"/>
    <col min="4" max="6" width="7.7109375" style="12" customWidth="1"/>
    <col min="7" max="7" width="10.85546875" style="12" customWidth="1"/>
    <col min="8" max="8" width="7.7109375" style="12" customWidth="1"/>
    <col min="9" max="9" width="17.5703125" style="12" customWidth="1"/>
    <col min="10" max="10" width="7.7109375" style="12" customWidth="1"/>
    <col min="11" max="11" width="7.28515625" style="12" customWidth="1"/>
    <col min="12" max="12" width="7.7109375" style="12" customWidth="1"/>
    <col min="13" max="13" width="7.42578125" style="12" customWidth="1"/>
    <col min="14" max="16" width="7.7109375" style="12" customWidth="1"/>
    <col min="17" max="17" width="8.140625" style="12" customWidth="1"/>
    <col min="18" max="18" width="8.42578125" style="12" customWidth="1"/>
    <col min="19" max="26" width="8.85546875" style="12"/>
    <col min="27" max="28" width="8.85546875" style="407"/>
    <col min="29" max="16384" width="8.85546875" style="12"/>
  </cols>
  <sheetData>
    <row r="1" spans="1:28" s="118" customFormat="1" ht="3" customHeight="1">
      <c r="A1" s="119"/>
      <c r="B1" s="119"/>
      <c r="C1" s="119"/>
      <c r="D1" s="119"/>
      <c r="E1" s="119"/>
      <c r="F1" s="119"/>
      <c r="G1" s="119"/>
      <c r="H1" s="119"/>
      <c r="I1" s="119"/>
      <c r="J1" s="119"/>
      <c r="K1" s="119"/>
      <c r="L1" s="119"/>
      <c r="M1" s="119"/>
      <c r="N1" s="119"/>
      <c r="O1" s="119"/>
      <c r="P1" s="119"/>
      <c r="AA1" s="807"/>
      <c r="AB1" s="807"/>
    </row>
    <row r="2" spans="1:28" s="183" customFormat="1" ht="13.15" customHeight="1">
      <c r="A2" s="2274" t="s">
        <v>2929</v>
      </c>
      <c r="B2" s="2275"/>
      <c r="C2" s="2275"/>
      <c r="D2" s="2275"/>
      <c r="E2" s="2275"/>
      <c r="F2" s="2275"/>
      <c r="G2" s="2275"/>
      <c r="H2" s="2275"/>
      <c r="I2" s="2275"/>
      <c r="J2" s="2275"/>
      <c r="K2" s="2275"/>
      <c r="L2" s="2275"/>
      <c r="M2" s="2275"/>
      <c r="N2" s="2275"/>
      <c r="O2" s="2275"/>
      <c r="P2" s="2275"/>
      <c r="Q2" s="2275"/>
      <c r="R2" s="2276"/>
      <c r="S2" s="120"/>
      <c r="T2" s="120"/>
      <c r="U2" s="120"/>
      <c r="AA2" s="407"/>
      <c r="AB2" s="407"/>
    </row>
    <row r="3" spans="1:28" s="183" customFormat="1" ht="4.1500000000000004" customHeight="1">
      <c r="A3" s="121"/>
      <c r="B3" s="121"/>
      <c r="C3" s="121"/>
      <c r="D3" s="121"/>
      <c r="E3" s="121"/>
      <c r="F3" s="121"/>
      <c r="G3" s="121"/>
      <c r="H3" s="121"/>
      <c r="I3" s="121"/>
      <c r="J3" s="121"/>
      <c r="K3" s="121"/>
      <c r="L3" s="121"/>
      <c r="M3" s="121"/>
      <c r="N3" s="121"/>
      <c r="O3" s="121"/>
      <c r="P3" s="121"/>
      <c r="Q3" s="120"/>
      <c r="R3" s="120"/>
      <c r="S3" s="120"/>
      <c r="T3" s="120"/>
      <c r="U3" s="120"/>
      <c r="AA3" s="407"/>
      <c r="AB3" s="407"/>
    </row>
    <row r="4" spans="1:28" s="183" customFormat="1" ht="12" customHeight="1">
      <c r="A4" s="184" t="s">
        <v>2930</v>
      </c>
      <c r="B4" s="184"/>
      <c r="C4" s="184"/>
      <c r="D4" s="120"/>
      <c r="E4" s="120"/>
      <c r="F4" s="184" t="s">
        <v>2931</v>
      </c>
      <c r="G4" s="184"/>
      <c r="H4" s="120"/>
      <c r="I4" s="120"/>
      <c r="J4" s="184" t="s">
        <v>2932</v>
      </c>
      <c r="K4" s="184"/>
      <c r="L4" s="184"/>
      <c r="M4" s="184"/>
      <c r="N4" s="184"/>
      <c r="O4" s="184"/>
      <c r="P4" s="120"/>
      <c r="Q4" s="123" t="s">
        <v>2413</v>
      </c>
      <c r="R4" s="123" t="s">
        <v>2415</v>
      </c>
      <c r="S4" s="120"/>
      <c r="T4" s="120"/>
      <c r="U4" s="120"/>
      <c r="W4" s="187"/>
      <c r="X4" s="187"/>
      <c r="Y4" s="187"/>
      <c r="Z4" s="187"/>
      <c r="AA4" s="407"/>
      <c r="AB4" s="407"/>
    </row>
    <row r="5" spans="1:28" s="183" customFormat="1" ht="4.1500000000000004" customHeight="1">
      <c r="A5" s="184"/>
      <c r="B5" s="184"/>
      <c r="C5" s="184"/>
      <c r="D5" s="184"/>
      <c r="E5" s="120"/>
      <c r="F5" s="184"/>
      <c r="G5" s="184"/>
      <c r="H5" s="120"/>
      <c r="I5" s="120"/>
      <c r="J5" s="184"/>
      <c r="K5" s="184"/>
      <c r="L5" s="184"/>
      <c r="M5" s="184"/>
      <c r="N5" s="184"/>
      <c r="O5" s="184"/>
      <c r="P5" s="120"/>
      <c r="Q5" s="185"/>
      <c r="R5" s="186"/>
      <c r="S5" s="120"/>
      <c r="T5" s="120"/>
      <c r="U5" s="120"/>
      <c r="W5" s="187"/>
      <c r="X5" s="187"/>
      <c r="Y5" s="187"/>
      <c r="Z5" s="187"/>
      <c r="AA5" s="407"/>
      <c r="AB5" s="407"/>
    </row>
    <row r="6" spans="1:28" s="183" customFormat="1" ht="11.45" customHeight="1">
      <c r="A6" s="188" t="s">
        <v>2933</v>
      </c>
      <c r="B6" s="122"/>
      <c r="C6" s="122"/>
      <c r="D6" s="120"/>
      <c r="E6" s="120"/>
      <c r="F6" s="122" t="s">
        <v>2934</v>
      </c>
      <c r="G6" s="122"/>
      <c r="H6" s="120"/>
      <c r="I6" s="120"/>
      <c r="J6" s="122" t="s">
        <v>2935</v>
      </c>
      <c r="K6" s="122"/>
      <c r="L6" s="122" t="s">
        <v>1828</v>
      </c>
      <c r="M6" s="122"/>
      <c r="N6" s="122"/>
      <c r="O6" s="122"/>
      <c r="P6" s="120"/>
      <c r="Q6" s="1551" t="s">
        <v>1762</v>
      </c>
      <c r="R6" s="1551">
        <v>950000</v>
      </c>
      <c r="S6" s="120"/>
      <c r="U6" s="120"/>
      <c r="V6" s="812"/>
      <c r="W6" s="812"/>
      <c r="X6" s="123"/>
      <c r="AA6" s="407"/>
      <c r="AB6" s="407"/>
    </row>
    <row r="7" spans="1:28" s="183" customFormat="1" ht="11.45" customHeight="1">
      <c r="A7" s="188"/>
      <c r="B7" s="122"/>
      <c r="C7" s="122"/>
      <c r="D7" s="120"/>
      <c r="E7" s="120"/>
      <c r="F7" s="122"/>
      <c r="G7" s="122"/>
      <c r="H7" s="120"/>
      <c r="I7" s="120"/>
      <c r="J7" s="122"/>
      <c r="K7" s="122"/>
      <c r="L7" s="122" t="s">
        <v>1842</v>
      </c>
      <c r="M7" s="122"/>
      <c r="N7" s="122"/>
      <c r="O7" s="122"/>
      <c r="P7" s="120"/>
      <c r="Q7" s="1551" t="s">
        <v>1762</v>
      </c>
      <c r="R7" s="1551">
        <v>850000</v>
      </c>
      <c r="S7" s="120"/>
      <c r="U7" s="120"/>
      <c r="V7" s="812"/>
      <c r="W7" s="812"/>
      <c r="X7" s="123"/>
      <c r="AA7" s="407"/>
      <c r="AB7" s="407"/>
    </row>
    <row r="8" spans="1:28" s="183" customFormat="1" ht="11.45" customHeight="1">
      <c r="F8" s="122"/>
      <c r="G8" s="122"/>
      <c r="H8" s="120"/>
      <c r="I8" s="120"/>
      <c r="J8" s="122"/>
      <c r="L8" s="122" t="s">
        <v>2936</v>
      </c>
      <c r="M8" s="122"/>
      <c r="N8" s="122"/>
      <c r="O8" s="122"/>
      <c r="P8" s="120"/>
      <c r="Q8" s="1551" t="s">
        <v>1762</v>
      </c>
      <c r="R8" s="1551">
        <v>1200000</v>
      </c>
      <c r="S8" s="120"/>
      <c r="T8" s="120"/>
      <c r="U8" s="120"/>
      <c r="V8" s="812"/>
      <c r="W8" s="812"/>
      <c r="X8" s="123"/>
      <c r="AA8" s="407"/>
      <c r="AB8" s="407"/>
    </row>
    <row r="9" spans="1:28" s="183" customFormat="1" ht="11.45" customHeight="1">
      <c r="F9" s="122"/>
      <c r="G9" s="122"/>
      <c r="H9" s="120"/>
      <c r="I9" s="120"/>
      <c r="J9" s="122" t="s">
        <v>2937</v>
      </c>
      <c r="K9" s="122"/>
      <c r="L9" s="122"/>
      <c r="M9" s="122"/>
      <c r="N9" s="122"/>
      <c r="O9" s="122"/>
      <c r="P9" s="120"/>
      <c r="Q9" s="1551" t="s">
        <v>1762</v>
      </c>
      <c r="R9" s="1551">
        <v>1700000</v>
      </c>
      <c r="S9" s="120"/>
      <c r="T9" s="120"/>
      <c r="U9" s="120"/>
      <c r="V9" s="812"/>
      <c r="W9" s="812"/>
      <c r="X9" s="123"/>
      <c r="AA9" s="407"/>
      <c r="AB9" s="407"/>
    </row>
    <row r="10" spans="1:28" s="183" customFormat="1" ht="11.45" customHeight="1">
      <c r="F10" s="122" t="s">
        <v>2596</v>
      </c>
      <c r="G10" s="122"/>
      <c r="H10" s="120"/>
      <c r="I10" s="120"/>
      <c r="J10" s="122" t="s">
        <v>2938</v>
      </c>
      <c r="K10" s="122"/>
      <c r="L10" s="122"/>
      <c r="M10" s="122"/>
      <c r="N10" s="122"/>
      <c r="O10" s="122"/>
      <c r="P10" s="120"/>
      <c r="Q10" s="1551">
        <v>1000000</v>
      </c>
      <c r="R10" s="1551">
        <v>2000000</v>
      </c>
      <c r="S10" s="189"/>
      <c r="T10" s="189"/>
      <c r="U10" s="120"/>
      <c r="V10" s="856"/>
      <c r="W10" s="856"/>
      <c r="X10" s="856"/>
      <c r="AA10" s="407"/>
      <c r="AB10" s="407"/>
    </row>
    <row r="11" spans="1:28" s="183" customFormat="1" ht="11.45" customHeight="1">
      <c r="F11" s="122"/>
      <c r="G11" s="122"/>
      <c r="H11" s="120"/>
      <c r="I11" s="120"/>
      <c r="J11" s="122" t="s">
        <v>2939</v>
      </c>
      <c r="K11" s="122"/>
      <c r="L11" s="122"/>
      <c r="M11" s="122"/>
      <c r="N11" s="122"/>
      <c r="O11" s="122"/>
      <c r="P11" s="120"/>
      <c r="Q11" s="1551" t="s">
        <v>1762</v>
      </c>
      <c r="R11" s="1552">
        <v>0.25</v>
      </c>
      <c r="S11" s="120"/>
      <c r="T11" s="120"/>
      <c r="U11" s="120"/>
      <c r="V11" s="812"/>
      <c r="W11" s="812"/>
      <c r="X11" s="123"/>
      <c r="AA11" s="407"/>
      <c r="AB11" s="407"/>
    </row>
    <row r="12" spans="1:28" s="183" customFormat="1" ht="11.45" customHeight="1">
      <c r="A12" s="122"/>
      <c r="B12" s="122"/>
      <c r="C12" s="122"/>
      <c r="D12" s="120"/>
      <c r="E12" s="120"/>
      <c r="F12" s="122" t="s">
        <v>2940</v>
      </c>
      <c r="G12" s="122"/>
      <c r="H12" s="120"/>
      <c r="I12" s="120"/>
      <c r="J12" s="456" t="s">
        <v>2941</v>
      </c>
      <c r="K12" s="193"/>
      <c r="M12" s="193"/>
      <c r="N12" s="193"/>
      <c r="O12" s="122"/>
      <c r="Q12" s="191"/>
      <c r="R12" s="191"/>
      <c r="S12" s="200"/>
      <c r="T12" s="120"/>
      <c r="U12" s="120"/>
      <c r="V12" s="856"/>
      <c r="W12" s="856"/>
      <c r="X12" s="856"/>
      <c r="AA12" s="407"/>
      <c r="AB12" s="407"/>
    </row>
    <row r="13" spans="1:28" s="183" customFormat="1" ht="11.45" customHeight="1">
      <c r="A13" s="122"/>
      <c r="B13" s="122"/>
      <c r="C13" s="122"/>
      <c r="D13" s="120"/>
      <c r="E13" s="120"/>
      <c r="F13" s="122"/>
      <c r="G13" s="122"/>
      <c r="H13" s="120"/>
      <c r="I13" s="120"/>
      <c r="J13" s="456"/>
      <c r="K13" s="193"/>
      <c r="M13" s="193"/>
      <c r="N13" s="193"/>
      <c r="O13" s="122"/>
      <c r="Q13" s="191"/>
      <c r="R13" s="191"/>
      <c r="S13" s="200"/>
      <c r="T13" s="120"/>
      <c r="U13" s="120"/>
      <c r="V13" s="856"/>
      <c r="W13" s="856"/>
      <c r="X13" s="856"/>
      <c r="AA13" s="407"/>
      <c r="AB13" s="407"/>
    </row>
    <row r="14" spans="1:28" s="183" customFormat="1" ht="11.45" customHeight="1">
      <c r="A14" s="122"/>
      <c r="B14" s="122"/>
      <c r="C14" s="122"/>
      <c r="D14" s="120"/>
      <c r="E14" s="120"/>
      <c r="F14" s="2277" t="s">
        <v>2942</v>
      </c>
      <c r="G14" s="2278"/>
      <c r="H14" s="2278"/>
      <c r="I14" s="2278"/>
      <c r="J14" s="2279"/>
      <c r="K14" s="193"/>
      <c r="L14" s="457" t="s">
        <v>2943</v>
      </c>
      <c r="M14" s="193"/>
      <c r="N14" s="2277" t="s">
        <v>2942</v>
      </c>
      <c r="O14" s="2278"/>
      <c r="P14" s="2278"/>
      <c r="Q14" s="2278"/>
      <c r="R14" s="2279"/>
      <c r="S14" s="200"/>
      <c r="T14" s="120"/>
      <c r="U14" s="120"/>
      <c r="V14" s="856"/>
      <c r="W14" s="856"/>
      <c r="X14" s="856"/>
      <c r="AA14" s="407"/>
      <c r="AB14" s="407"/>
    </row>
    <row r="15" spans="1:28" s="183" customFormat="1" ht="11.45" customHeight="1">
      <c r="A15" s="122"/>
      <c r="D15" s="458" t="s">
        <v>2944</v>
      </c>
      <c r="E15" s="458" t="s">
        <v>1070</v>
      </c>
      <c r="F15" s="459">
        <v>0</v>
      </c>
      <c r="G15" s="460">
        <v>1</v>
      </c>
      <c r="H15" s="1541">
        <v>2</v>
      </c>
      <c r="I15" s="1541">
        <v>3</v>
      </c>
      <c r="J15" s="461" t="s">
        <v>2945</v>
      </c>
      <c r="L15" s="458" t="s">
        <v>2944</v>
      </c>
      <c r="M15" s="458" t="s">
        <v>1070</v>
      </c>
      <c r="N15" s="459">
        <v>0</v>
      </c>
      <c r="O15" s="460">
        <v>1</v>
      </c>
      <c r="P15" s="1541">
        <v>2</v>
      </c>
      <c r="Q15" s="1541">
        <v>3</v>
      </c>
      <c r="R15" s="461" t="s">
        <v>2945</v>
      </c>
      <c r="S15" s="200"/>
      <c r="T15" s="120"/>
      <c r="U15" s="120"/>
      <c r="V15" s="856"/>
      <c r="W15" s="856"/>
      <c r="X15" s="856"/>
      <c r="AA15" s="407"/>
      <c r="AB15" s="407"/>
    </row>
    <row r="16" spans="1:28" s="183" customFormat="1" ht="11.45" customHeight="1">
      <c r="A16" s="122"/>
      <c r="C16" s="221"/>
      <c r="D16" s="876" t="s">
        <v>2180</v>
      </c>
      <c r="E16" s="876" t="s">
        <v>1285</v>
      </c>
      <c r="F16" s="877">
        <v>129802</v>
      </c>
      <c r="G16" s="877">
        <v>169579</v>
      </c>
      <c r="H16" s="877">
        <v>205492</v>
      </c>
      <c r="I16" s="877">
        <v>250678</v>
      </c>
      <c r="J16" s="877">
        <v>294766</v>
      </c>
      <c r="L16" s="200" t="s">
        <v>2180</v>
      </c>
      <c r="M16" s="200" t="s">
        <v>1285</v>
      </c>
      <c r="N16" s="2281">
        <f t="shared" ref="N16:R31" si="0">ROUNDDOWN(F16*1.1,0)</f>
        <v>142782</v>
      </c>
      <c r="O16" s="2281">
        <f t="shared" si="0"/>
        <v>186536</v>
      </c>
      <c r="P16" s="2281">
        <f t="shared" si="0"/>
        <v>226041</v>
      </c>
      <c r="Q16" s="2281">
        <f t="shared" si="0"/>
        <v>275745</v>
      </c>
      <c r="R16" s="2281">
        <f t="shared" si="0"/>
        <v>324242</v>
      </c>
      <c r="S16" s="200"/>
      <c r="T16" s="120"/>
      <c r="U16" s="120"/>
      <c r="V16" s="856"/>
      <c r="W16" s="856"/>
      <c r="X16" s="856"/>
      <c r="AA16" s="407"/>
      <c r="AB16" s="407"/>
    </row>
    <row r="17" spans="1:28" s="183" customFormat="1" ht="11.45" customHeight="1">
      <c r="A17" s="122"/>
      <c r="C17" s="221"/>
      <c r="D17" s="876" t="s">
        <v>2180</v>
      </c>
      <c r="E17" s="876" t="s">
        <v>1131</v>
      </c>
      <c r="F17" s="877">
        <v>105598</v>
      </c>
      <c r="G17" s="877">
        <v>147837</v>
      </c>
      <c r="H17" s="877">
        <v>190077</v>
      </c>
      <c r="I17" s="877">
        <v>253436</v>
      </c>
      <c r="J17" s="877">
        <v>316794</v>
      </c>
      <c r="L17" s="200" t="s">
        <v>2180</v>
      </c>
      <c r="M17" s="200" t="s">
        <v>1131</v>
      </c>
      <c r="N17" s="2281">
        <f t="shared" si="0"/>
        <v>116157</v>
      </c>
      <c r="O17" s="2281">
        <f t="shared" si="0"/>
        <v>162620</v>
      </c>
      <c r="P17" s="2281">
        <f t="shared" si="0"/>
        <v>209084</v>
      </c>
      <c r="Q17" s="2281">
        <f t="shared" si="0"/>
        <v>278779</v>
      </c>
      <c r="R17" s="2281">
        <f t="shared" si="0"/>
        <v>348473</v>
      </c>
      <c r="S17" s="200"/>
      <c r="T17" s="120"/>
      <c r="U17" s="120"/>
      <c r="V17" s="856"/>
      <c r="W17" s="856"/>
      <c r="X17" s="856"/>
      <c r="AA17" s="407"/>
      <c r="AB17" s="407"/>
    </row>
    <row r="18" spans="1:28" s="183" customFormat="1" ht="11.45" customHeight="1">
      <c r="A18" s="122"/>
      <c r="C18" s="221"/>
      <c r="D18" s="876" t="s">
        <v>2180</v>
      </c>
      <c r="E18" s="876" t="s">
        <v>1129</v>
      </c>
      <c r="F18" s="877">
        <v>119585</v>
      </c>
      <c r="G18" s="877">
        <v>156306</v>
      </c>
      <c r="H18" s="877">
        <v>189734</v>
      </c>
      <c r="I18" s="877">
        <v>232306</v>
      </c>
      <c r="J18" s="877">
        <v>275312</v>
      </c>
      <c r="L18" s="200" t="s">
        <v>2180</v>
      </c>
      <c r="M18" s="200" t="s">
        <v>1129</v>
      </c>
      <c r="N18" s="2281">
        <f t="shared" si="0"/>
        <v>131543</v>
      </c>
      <c r="O18" s="2281">
        <f t="shared" si="0"/>
        <v>171936</v>
      </c>
      <c r="P18" s="2281">
        <f t="shared" si="0"/>
        <v>208707</v>
      </c>
      <c r="Q18" s="2281">
        <f t="shared" si="0"/>
        <v>255536</v>
      </c>
      <c r="R18" s="2281">
        <f t="shared" si="0"/>
        <v>302843</v>
      </c>
      <c r="S18" s="200"/>
      <c r="T18" s="120"/>
      <c r="U18" s="120"/>
      <c r="V18" s="856"/>
      <c r="W18" s="856"/>
      <c r="X18" s="856"/>
      <c r="AA18" s="407"/>
      <c r="AB18" s="407"/>
    </row>
    <row r="19" spans="1:28" s="183" customFormat="1" ht="11.45" customHeight="1">
      <c r="A19" s="122"/>
      <c r="C19" s="221"/>
      <c r="D19" s="876" t="s">
        <v>2180</v>
      </c>
      <c r="E19" s="876" t="s">
        <v>1130</v>
      </c>
      <c r="F19" s="877">
        <v>104164</v>
      </c>
      <c r="G19" s="877">
        <v>144030</v>
      </c>
      <c r="H19" s="877">
        <v>182870</v>
      </c>
      <c r="I19" s="877">
        <v>239197</v>
      </c>
      <c r="J19" s="877">
        <v>298135</v>
      </c>
      <c r="L19" s="200" t="s">
        <v>2180</v>
      </c>
      <c r="M19" s="200" t="s">
        <v>1130</v>
      </c>
      <c r="N19" s="2281">
        <f t="shared" si="0"/>
        <v>114580</v>
      </c>
      <c r="O19" s="2281">
        <f t="shared" si="0"/>
        <v>158433</v>
      </c>
      <c r="P19" s="2281">
        <f t="shared" si="0"/>
        <v>201157</v>
      </c>
      <c r="Q19" s="2281">
        <f t="shared" si="0"/>
        <v>263116</v>
      </c>
      <c r="R19" s="2281">
        <f t="shared" si="0"/>
        <v>327948</v>
      </c>
      <c r="S19" s="200"/>
      <c r="T19" s="120"/>
      <c r="U19" s="120"/>
      <c r="V19" s="856"/>
      <c r="W19" s="856"/>
      <c r="X19" s="856"/>
      <c r="AA19" s="407"/>
      <c r="AB19" s="407"/>
    </row>
    <row r="20" spans="1:28" s="183" customFormat="1" ht="11.45" customHeight="1">
      <c r="A20" s="122"/>
      <c r="C20" s="221"/>
      <c r="D20" s="867" t="s">
        <v>2946</v>
      </c>
      <c r="E20" s="867" t="s">
        <v>1285</v>
      </c>
      <c r="F20" s="868">
        <v>128651</v>
      </c>
      <c r="G20" s="868">
        <v>168262</v>
      </c>
      <c r="H20" s="868">
        <v>204067</v>
      </c>
      <c r="I20" s="868">
        <v>249250</v>
      </c>
      <c r="J20" s="868">
        <v>293196</v>
      </c>
      <c r="L20" s="200" t="s">
        <v>2946</v>
      </c>
      <c r="M20" s="200" t="s">
        <v>1285</v>
      </c>
      <c r="N20" s="2281">
        <f t="shared" si="0"/>
        <v>141516</v>
      </c>
      <c r="O20" s="2281">
        <f t="shared" si="0"/>
        <v>185088</v>
      </c>
      <c r="P20" s="2281">
        <f t="shared" si="0"/>
        <v>224473</v>
      </c>
      <c r="Q20" s="2281">
        <f t="shared" si="0"/>
        <v>274175</v>
      </c>
      <c r="R20" s="2281">
        <f t="shared" si="0"/>
        <v>322515</v>
      </c>
      <c r="S20" s="200"/>
      <c r="T20" s="120"/>
      <c r="U20" s="120"/>
      <c r="V20" s="856"/>
      <c r="W20" s="856"/>
      <c r="X20" s="856"/>
      <c r="AA20" s="407"/>
      <c r="AB20" s="407"/>
    </row>
    <row r="21" spans="1:28" s="183" customFormat="1" ht="11.45" customHeight="1">
      <c r="A21" s="122"/>
      <c r="C21" s="221"/>
      <c r="D21" s="867" t="s">
        <v>2946</v>
      </c>
      <c r="E21" s="867" t="s">
        <v>1131</v>
      </c>
      <c r="F21" s="868">
        <v>104877</v>
      </c>
      <c r="G21" s="868">
        <v>146828</v>
      </c>
      <c r="H21" s="868">
        <v>188779</v>
      </c>
      <c r="I21" s="868">
        <v>251705</v>
      </c>
      <c r="J21" s="868">
        <v>314631</v>
      </c>
      <c r="L21" s="200" t="s">
        <v>2946</v>
      </c>
      <c r="M21" s="200" t="s">
        <v>1131</v>
      </c>
      <c r="N21" s="2281">
        <f t="shared" si="0"/>
        <v>115364</v>
      </c>
      <c r="O21" s="2281">
        <f t="shared" si="0"/>
        <v>161510</v>
      </c>
      <c r="P21" s="2281">
        <f t="shared" si="0"/>
        <v>207656</v>
      </c>
      <c r="Q21" s="2281">
        <f t="shared" si="0"/>
        <v>276875</v>
      </c>
      <c r="R21" s="2281">
        <f t="shared" si="0"/>
        <v>346094</v>
      </c>
      <c r="S21" s="200"/>
      <c r="T21" s="120"/>
      <c r="U21" s="120"/>
      <c r="V21" s="856"/>
      <c r="W21" s="856"/>
      <c r="X21" s="856"/>
      <c r="AA21" s="407"/>
      <c r="AB21" s="407"/>
    </row>
    <row r="22" spans="1:28" s="183" customFormat="1" ht="11.45" customHeight="1">
      <c r="A22" s="122"/>
      <c r="C22" s="221"/>
      <c r="D22" s="867" t="s">
        <v>2946</v>
      </c>
      <c r="E22" s="867" t="s">
        <v>1129</v>
      </c>
      <c r="F22" s="868">
        <v>118188</v>
      </c>
      <c r="G22" s="868">
        <v>154670</v>
      </c>
      <c r="H22" s="868">
        <v>187930</v>
      </c>
      <c r="I22" s="868">
        <v>230437</v>
      </c>
      <c r="J22" s="868">
        <v>273273</v>
      </c>
      <c r="L22" s="200" t="s">
        <v>2946</v>
      </c>
      <c r="M22" s="200" t="s">
        <v>1129</v>
      </c>
      <c r="N22" s="2281">
        <f t="shared" si="0"/>
        <v>130006</v>
      </c>
      <c r="O22" s="2281">
        <f t="shared" si="0"/>
        <v>170137</v>
      </c>
      <c r="P22" s="2281">
        <f t="shared" si="0"/>
        <v>206723</v>
      </c>
      <c r="Q22" s="2281">
        <f t="shared" si="0"/>
        <v>253480</v>
      </c>
      <c r="R22" s="2281">
        <f t="shared" si="0"/>
        <v>300600</v>
      </c>
      <c r="S22" s="200"/>
      <c r="T22" s="120"/>
      <c r="U22" s="120"/>
      <c r="V22" s="856"/>
      <c r="W22" s="856"/>
      <c r="X22" s="856"/>
      <c r="AA22" s="407"/>
      <c r="AB22" s="407"/>
    </row>
    <row r="23" spans="1:28" s="183" customFormat="1" ht="11.45" customHeight="1">
      <c r="A23" s="122"/>
      <c r="C23" s="221"/>
      <c r="D23" s="867" t="s">
        <v>2946</v>
      </c>
      <c r="E23" s="867" t="s">
        <v>1130</v>
      </c>
      <c r="F23" s="868">
        <v>102579</v>
      </c>
      <c r="G23" s="868">
        <v>141768</v>
      </c>
      <c r="H23" s="868">
        <v>179905</v>
      </c>
      <c r="I23" s="868">
        <v>235133</v>
      </c>
      <c r="J23" s="868">
        <v>293035</v>
      </c>
      <c r="L23" s="200" t="s">
        <v>2946</v>
      </c>
      <c r="M23" s="200" t="s">
        <v>1130</v>
      </c>
      <c r="N23" s="2281">
        <f t="shared" si="0"/>
        <v>112836</v>
      </c>
      <c r="O23" s="2281">
        <f t="shared" si="0"/>
        <v>155944</v>
      </c>
      <c r="P23" s="2281">
        <f t="shared" si="0"/>
        <v>197895</v>
      </c>
      <c r="Q23" s="2281">
        <f t="shared" si="0"/>
        <v>258646</v>
      </c>
      <c r="R23" s="2281">
        <f t="shared" si="0"/>
        <v>322338</v>
      </c>
      <c r="S23" s="200"/>
      <c r="T23" s="120"/>
      <c r="U23" s="120"/>
      <c r="V23" s="856"/>
      <c r="W23" s="856"/>
      <c r="X23" s="856"/>
      <c r="AA23" s="407"/>
      <c r="AB23" s="407"/>
    </row>
    <row r="24" spans="1:28" s="183" customFormat="1" ht="11.45" customHeight="1">
      <c r="A24" s="122"/>
      <c r="C24" s="221"/>
      <c r="D24" s="865" t="s">
        <v>413</v>
      </c>
      <c r="E24" s="865" t="s">
        <v>1285</v>
      </c>
      <c r="F24" s="866">
        <v>140378</v>
      </c>
      <c r="G24" s="866">
        <v>183548</v>
      </c>
      <c r="H24" s="866">
        <v>222560</v>
      </c>
      <c r="I24" s="866">
        <v>271753</v>
      </c>
      <c r="J24" s="866">
        <v>319636</v>
      </c>
      <c r="L24" s="456" t="s">
        <v>413</v>
      </c>
      <c r="M24" s="456" t="s">
        <v>1285</v>
      </c>
      <c r="N24" s="2281">
        <f t="shared" si="0"/>
        <v>154415</v>
      </c>
      <c r="O24" s="2281">
        <f t="shared" si="0"/>
        <v>201902</v>
      </c>
      <c r="P24" s="2281">
        <f t="shared" si="0"/>
        <v>244816</v>
      </c>
      <c r="Q24" s="2281">
        <f t="shared" si="0"/>
        <v>298928</v>
      </c>
      <c r="R24" s="2281">
        <f t="shared" si="0"/>
        <v>351599</v>
      </c>
      <c r="S24" s="200"/>
      <c r="T24" s="120"/>
      <c r="U24" s="120"/>
      <c r="V24" s="856"/>
      <c r="W24" s="856"/>
      <c r="X24" s="856"/>
      <c r="AA24" s="407"/>
      <c r="AB24" s="407"/>
    </row>
    <row r="25" spans="1:28" s="183" customFormat="1" ht="11.45" customHeight="1">
      <c r="A25" s="122"/>
      <c r="C25" s="221"/>
      <c r="D25" s="865" t="s">
        <v>413</v>
      </c>
      <c r="E25" s="865" t="s">
        <v>1131</v>
      </c>
      <c r="F25" s="866">
        <v>114378</v>
      </c>
      <c r="G25" s="866">
        <v>160129</v>
      </c>
      <c r="H25" s="866">
        <v>205881</v>
      </c>
      <c r="I25" s="866">
        <v>274508</v>
      </c>
      <c r="J25" s="866">
        <v>343134</v>
      </c>
      <c r="L25" s="456" t="s">
        <v>413</v>
      </c>
      <c r="M25" s="456" t="s">
        <v>1131</v>
      </c>
      <c r="N25" s="2281">
        <f t="shared" si="0"/>
        <v>125815</v>
      </c>
      <c r="O25" s="2281">
        <f t="shared" si="0"/>
        <v>176141</v>
      </c>
      <c r="P25" s="2281">
        <f t="shared" si="0"/>
        <v>226469</v>
      </c>
      <c r="Q25" s="2281">
        <f t="shared" si="0"/>
        <v>301958</v>
      </c>
      <c r="R25" s="2281">
        <f t="shared" si="0"/>
        <v>377447</v>
      </c>
      <c r="S25" s="200"/>
      <c r="T25" s="120"/>
      <c r="U25" s="120"/>
      <c r="V25" s="856"/>
      <c r="W25" s="856"/>
      <c r="X25" s="856"/>
      <c r="AA25" s="407"/>
      <c r="AB25" s="407"/>
    </row>
    <row r="26" spans="1:28" s="183" customFormat="1" ht="11.45" customHeight="1">
      <c r="A26" s="122"/>
      <c r="C26" s="221"/>
      <c r="D26" s="865" t="s">
        <v>413</v>
      </c>
      <c r="E26" s="865" t="s">
        <v>1129</v>
      </c>
      <c r="F26" s="866">
        <v>129053</v>
      </c>
      <c r="G26" s="866">
        <v>168837</v>
      </c>
      <c r="H26" s="866">
        <v>205093</v>
      </c>
      <c r="I26" s="866">
        <v>251390</v>
      </c>
      <c r="J26" s="866">
        <v>298072</v>
      </c>
      <c r="L26" s="456" t="s">
        <v>413</v>
      </c>
      <c r="M26" s="456" t="s">
        <v>1129</v>
      </c>
      <c r="N26" s="2281">
        <f t="shared" si="0"/>
        <v>141958</v>
      </c>
      <c r="O26" s="2281">
        <f t="shared" si="0"/>
        <v>185720</v>
      </c>
      <c r="P26" s="2281">
        <f t="shared" si="0"/>
        <v>225602</v>
      </c>
      <c r="Q26" s="2281">
        <f t="shared" si="0"/>
        <v>276529</v>
      </c>
      <c r="R26" s="2281">
        <f t="shared" si="0"/>
        <v>327879</v>
      </c>
      <c r="S26" s="200"/>
      <c r="T26" s="120"/>
      <c r="U26" s="120"/>
      <c r="V26" s="856"/>
      <c r="W26" s="856"/>
      <c r="X26" s="856"/>
      <c r="AA26" s="407"/>
      <c r="AB26" s="407"/>
    </row>
    <row r="27" spans="1:28" s="183" customFormat="1" ht="11.45" customHeight="1">
      <c r="A27" s="122"/>
      <c r="C27" s="221"/>
      <c r="D27" s="865" t="s">
        <v>413</v>
      </c>
      <c r="E27" s="865" t="s">
        <v>1130</v>
      </c>
      <c r="F27" s="866">
        <v>112110</v>
      </c>
      <c r="G27" s="866">
        <v>154960</v>
      </c>
      <c r="H27" s="866">
        <v>196671</v>
      </c>
      <c r="I27" s="866">
        <v>257098</v>
      </c>
      <c r="J27" s="866">
        <v>320417</v>
      </c>
      <c r="L27" s="456" t="s">
        <v>413</v>
      </c>
      <c r="M27" s="456" t="s">
        <v>1130</v>
      </c>
      <c r="N27" s="2281">
        <f t="shared" si="0"/>
        <v>123321</v>
      </c>
      <c r="O27" s="2281">
        <f t="shared" si="0"/>
        <v>170456</v>
      </c>
      <c r="P27" s="2281">
        <f t="shared" si="0"/>
        <v>216338</v>
      </c>
      <c r="Q27" s="2281">
        <f t="shared" si="0"/>
        <v>282807</v>
      </c>
      <c r="R27" s="2281">
        <f t="shared" si="0"/>
        <v>352458</v>
      </c>
      <c r="S27" s="200"/>
      <c r="T27" s="120"/>
      <c r="U27" s="120"/>
      <c r="V27" s="856"/>
      <c r="W27" s="856"/>
      <c r="X27" s="856"/>
      <c r="AA27" s="407"/>
      <c r="AB27" s="407"/>
    </row>
    <row r="28" spans="1:28" s="183" customFormat="1" ht="11.45" customHeight="1">
      <c r="A28" s="122"/>
      <c r="C28" s="221"/>
      <c r="D28" s="869" t="s">
        <v>2947</v>
      </c>
      <c r="E28" s="869" t="s">
        <v>1285</v>
      </c>
      <c r="F28" s="870">
        <v>132505</v>
      </c>
      <c r="G28" s="870">
        <v>172926</v>
      </c>
      <c r="H28" s="870">
        <v>209377</v>
      </c>
      <c r="I28" s="870">
        <v>255107</v>
      </c>
      <c r="J28" s="870">
        <v>299867</v>
      </c>
      <c r="L28" s="456" t="s">
        <v>2947</v>
      </c>
      <c r="M28" s="456" t="s">
        <v>1285</v>
      </c>
      <c r="N28" s="2281">
        <f t="shared" si="0"/>
        <v>145755</v>
      </c>
      <c r="O28" s="2281">
        <f t="shared" si="0"/>
        <v>190218</v>
      </c>
      <c r="P28" s="2281">
        <f t="shared" si="0"/>
        <v>230314</v>
      </c>
      <c r="Q28" s="2281">
        <f t="shared" si="0"/>
        <v>280617</v>
      </c>
      <c r="R28" s="2281">
        <f t="shared" si="0"/>
        <v>329853</v>
      </c>
      <c r="S28" s="200"/>
      <c r="T28" s="120"/>
      <c r="U28" s="120"/>
      <c r="V28" s="856"/>
      <c r="W28" s="856"/>
      <c r="X28" s="856"/>
      <c r="AA28" s="407"/>
      <c r="AB28" s="407"/>
    </row>
    <row r="29" spans="1:28" s="183" customFormat="1" ht="11.45" customHeight="1">
      <c r="A29" s="122"/>
      <c r="C29" s="221"/>
      <c r="D29" s="869" t="s">
        <v>2947</v>
      </c>
      <c r="E29" s="869" t="s">
        <v>1131</v>
      </c>
      <c r="F29" s="870">
        <v>107584</v>
      </c>
      <c r="G29" s="870">
        <v>150617</v>
      </c>
      <c r="H29" s="870">
        <v>193650</v>
      </c>
      <c r="I29" s="870">
        <v>258201</v>
      </c>
      <c r="J29" s="870">
        <v>322751</v>
      </c>
      <c r="L29" s="456" t="s">
        <v>2947</v>
      </c>
      <c r="M29" s="456" t="s">
        <v>1131</v>
      </c>
      <c r="N29" s="2281">
        <f t="shared" si="0"/>
        <v>118342</v>
      </c>
      <c r="O29" s="2281">
        <f t="shared" si="0"/>
        <v>165678</v>
      </c>
      <c r="P29" s="2281">
        <f t="shared" si="0"/>
        <v>213015</v>
      </c>
      <c r="Q29" s="2281">
        <f t="shared" si="0"/>
        <v>284021</v>
      </c>
      <c r="R29" s="2281">
        <f t="shared" si="0"/>
        <v>355026</v>
      </c>
      <c r="S29" s="200"/>
      <c r="T29" s="120"/>
      <c r="U29" s="120"/>
      <c r="V29" s="856"/>
      <c r="W29" s="856"/>
      <c r="X29" s="856"/>
      <c r="AA29" s="407"/>
      <c r="AB29" s="407"/>
    </row>
    <row r="30" spans="1:28" s="183" customFormat="1" ht="11.45" customHeight="1">
      <c r="A30" s="122"/>
      <c r="C30" s="221"/>
      <c r="D30" s="869" t="s">
        <v>2947</v>
      </c>
      <c r="E30" s="869" t="s">
        <v>1129</v>
      </c>
      <c r="F30" s="870">
        <v>122412</v>
      </c>
      <c r="G30" s="870">
        <v>159813</v>
      </c>
      <c r="H30" s="870">
        <v>193809</v>
      </c>
      <c r="I30" s="870">
        <v>236957</v>
      </c>
      <c r="J30" s="870">
        <v>280648</v>
      </c>
      <c r="L30" s="456" t="s">
        <v>2947</v>
      </c>
      <c r="M30" s="456" t="s">
        <v>1129</v>
      </c>
      <c r="N30" s="2281">
        <f t="shared" si="0"/>
        <v>134653</v>
      </c>
      <c r="O30" s="2281">
        <f t="shared" si="0"/>
        <v>175794</v>
      </c>
      <c r="P30" s="2281">
        <f t="shared" si="0"/>
        <v>213189</v>
      </c>
      <c r="Q30" s="2281">
        <f t="shared" si="0"/>
        <v>260652</v>
      </c>
      <c r="R30" s="2281">
        <f t="shared" si="0"/>
        <v>308712</v>
      </c>
      <c r="S30" s="200"/>
      <c r="T30" s="120"/>
      <c r="U30" s="120"/>
      <c r="V30" s="856"/>
      <c r="W30" s="856"/>
      <c r="X30" s="856"/>
      <c r="AA30" s="407"/>
      <c r="AB30" s="407"/>
    </row>
    <row r="31" spans="1:28" s="183" customFormat="1" ht="11.45" customHeight="1">
      <c r="A31" s="122"/>
      <c r="C31" s="221"/>
      <c r="D31" s="869" t="s">
        <v>2947</v>
      </c>
      <c r="E31" s="869" t="s">
        <v>1130</v>
      </c>
      <c r="F31" s="870">
        <v>106994</v>
      </c>
      <c r="G31" s="870">
        <v>148014</v>
      </c>
      <c r="H31" s="870">
        <v>188019</v>
      </c>
      <c r="I31" s="870">
        <v>246119</v>
      </c>
      <c r="J31" s="870">
        <v>306798</v>
      </c>
      <c r="L31" s="456" t="s">
        <v>2947</v>
      </c>
      <c r="M31" s="456" t="s">
        <v>1130</v>
      </c>
      <c r="N31" s="2281">
        <f t="shared" si="0"/>
        <v>117693</v>
      </c>
      <c r="O31" s="2281">
        <f t="shared" si="0"/>
        <v>162815</v>
      </c>
      <c r="P31" s="2281">
        <f t="shared" si="0"/>
        <v>206820</v>
      </c>
      <c r="Q31" s="2281">
        <f t="shared" si="0"/>
        <v>270730</v>
      </c>
      <c r="R31" s="2281">
        <f t="shared" si="0"/>
        <v>337477</v>
      </c>
      <c r="S31" s="200"/>
      <c r="T31" s="120"/>
      <c r="U31" s="120"/>
      <c r="V31" s="856"/>
      <c r="W31" s="856"/>
      <c r="X31" s="856"/>
      <c r="AA31" s="407"/>
      <c r="AB31" s="407"/>
    </row>
    <row r="32" spans="1:28" s="183" customFormat="1" ht="11.45" customHeight="1">
      <c r="A32" s="122"/>
      <c r="C32" s="221"/>
      <c r="D32" s="896" t="s">
        <v>2948</v>
      </c>
      <c r="E32" s="896" t="s">
        <v>1285</v>
      </c>
      <c r="F32" s="730">
        <v>135971</v>
      </c>
      <c r="G32" s="730">
        <v>178050</v>
      </c>
      <c r="H32" s="730">
        <v>216136</v>
      </c>
      <c r="I32" s="730">
        <v>264350</v>
      </c>
      <c r="J32" s="730">
        <v>311082</v>
      </c>
      <c r="L32" s="896" t="s">
        <v>2948</v>
      </c>
      <c r="M32" s="456" t="s">
        <v>1285</v>
      </c>
      <c r="N32" s="2281">
        <f t="shared" ref="N32:N35" si="1">ROUNDDOWN(F32*1.1,0)</f>
        <v>149568</v>
      </c>
      <c r="O32" s="2281">
        <f t="shared" ref="O32:O35" si="2">ROUNDDOWN(G32*1.1,0)</f>
        <v>195855</v>
      </c>
      <c r="P32" s="2281">
        <f t="shared" ref="P32:P35" si="3">ROUNDDOWN(H32*1.1,0)</f>
        <v>237749</v>
      </c>
      <c r="Q32" s="2281">
        <f t="shared" ref="Q32:Q35" si="4">ROUNDDOWN(I32*1.1,0)</f>
        <v>290785</v>
      </c>
      <c r="R32" s="2281">
        <f t="shared" ref="R32:R35" si="5">ROUNDDOWN(J32*1.1,0)</f>
        <v>342190</v>
      </c>
      <c r="S32" s="200"/>
      <c r="T32" s="120"/>
      <c r="U32" s="120"/>
      <c r="V32" s="856"/>
      <c r="W32" s="856"/>
      <c r="X32" s="856"/>
      <c r="AA32" s="407"/>
      <c r="AB32" s="407"/>
    </row>
    <row r="33" spans="1:28" s="183" customFormat="1" ht="11.45" customHeight="1">
      <c r="A33" s="122"/>
      <c r="C33" s="221"/>
      <c r="D33" s="896" t="s">
        <v>2948</v>
      </c>
      <c r="E33" s="896" t="s">
        <v>1131</v>
      </c>
      <c r="F33" s="730">
        <v>111093</v>
      </c>
      <c r="G33" s="730">
        <v>155530</v>
      </c>
      <c r="H33" s="730">
        <v>199967</v>
      </c>
      <c r="I33" s="730">
        <v>266623</v>
      </c>
      <c r="J33" s="730">
        <v>333278</v>
      </c>
      <c r="L33" s="896" t="s">
        <v>2948</v>
      </c>
      <c r="M33" s="456" t="s">
        <v>1131</v>
      </c>
      <c r="N33" s="2281">
        <f t="shared" si="1"/>
        <v>122202</v>
      </c>
      <c r="O33" s="2281">
        <f t="shared" si="2"/>
        <v>171083</v>
      </c>
      <c r="P33" s="2281">
        <f t="shared" si="3"/>
        <v>219963</v>
      </c>
      <c r="Q33" s="2281">
        <f t="shared" si="4"/>
        <v>293285</v>
      </c>
      <c r="R33" s="2281">
        <f t="shared" si="5"/>
        <v>366605</v>
      </c>
      <c r="S33" s="200"/>
      <c r="T33" s="120"/>
      <c r="U33" s="120"/>
      <c r="V33" s="856"/>
      <c r="W33" s="856"/>
      <c r="X33" s="856"/>
      <c r="AA33" s="407"/>
      <c r="AB33" s="407"/>
    </row>
    <row r="34" spans="1:28" s="183" customFormat="1" ht="11.45" customHeight="1">
      <c r="A34" s="122"/>
      <c r="C34" s="221"/>
      <c r="D34" s="896" t="s">
        <v>2948</v>
      </c>
      <c r="E34" s="896" t="s">
        <v>1129</v>
      </c>
      <c r="F34" s="730">
        <v>124524</v>
      </c>
      <c r="G34" s="730">
        <v>163179</v>
      </c>
      <c r="H34" s="730">
        <v>198480</v>
      </c>
      <c r="I34" s="730">
        <v>243766</v>
      </c>
      <c r="J34" s="730">
        <v>289284</v>
      </c>
      <c r="L34" s="896" t="s">
        <v>2948</v>
      </c>
      <c r="M34" s="456" t="s">
        <v>1129</v>
      </c>
      <c r="N34" s="2281">
        <f t="shared" si="1"/>
        <v>136976</v>
      </c>
      <c r="O34" s="2281">
        <f t="shared" si="2"/>
        <v>179496</v>
      </c>
      <c r="P34" s="2281">
        <f t="shared" si="3"/>
        <v>218328</v>
      </c>
      <c r="Q34" s="2281">
        <f t="shared" si="4"/>
        <v>268142</v>
      </c>
      <c r="R34" s="2281">
        <f t="shared" si="5"/>
        <v>318212</v>
      </c>
      <c r="S34" s="200"/>
      <c r="T34" s="120"/>
      <c r="U34" s="120"/>
      <c r="V34" s="856"/>
      <c r="W34" s="856"/>
      <c r="X34" s="856"/>
      <c r="AA34" s="407"/>
      <c r="AB34" s="407"/>
    </row>
    <row r="35" spans="1:28" s="183" customFormat="1" ht="11.45" customHeight="1">
      <c r="A35" s="122"/>
      <c r="C35" s="221"/>
      <c r="D35" s="896" t="s">
        <v>2948</v>
      </c>
      <c r="E35" s="896" t="s">
        <v>1130</v>
      </c>
      <c r="F35" s="730">
        <v>107650</v>
      </c>
      <c r="G35" s="730">
        <v>148694</v>
      </c>
      <c r="H35" s="730">
        <v>188587</v>
      </c>
      <c r="I35" s="730">
        <v>246263</v>
      </c>
      <c r="J35" s="730">
        <v>306864</v>
      </c>
      <c r="L35" s="896" t="s">
        <v>2948</v>
      </c>
      <c r="M35" s="456" t="s">
        <v>1130</v>
      </c>
      <c r="N35" s="2281">
        <f t="shared" si="1"/>
        <v>118415</v>
      </c>
      <c r="O35" s="2281">
        <f t="shared" si="2"/>
        <v>163563</v>
      </c>
      <c r="P35" s="2281">
        <f t="shared" si="3"/>
        <v>207445</v>
      </c>
      <c r="Q35" s="2281">
        <f t="shared" si="4"/>
        <v>270889</v>
      </c>
      <c r="R35" s="2281">
        <f t="shared" si="5"/>
        <v>337550</v>
      </c>
      <c r="S35" s="200"/>
      <c r="T35" s="120"/>
      <c r="U35" s="120"/>
      <c r="V35" s="856"/>
      <c r="W35" s="856"/>
      <c r="X35" s="856"/>
      <c r="AA35" s="407"/>
      <c r="AB35" s="407"/>
    </row>
    <row r="36" spans="1:28" s="183" customFormat="1" ht="11.45" customHeight="1">
      <c r="A36" s="122"/>
      <c r="C36" s="221"/>
      <c r="D36" s="871" t="s">
        <v>2949</v>
      </c>
      <c r="E36" s="871" t="s">
        <v>1285</v>
      </c>
      <c r="F36" s="872">
        <v>130802</v>
      </c>
      <c r="G36" s="872">
        <v>170775</v>
      </c>
      <c r="H36" s="872">
        <v>206839</v>
      </c>
      <c r="I36" s="872">
        <v>252134</v>
      </c>
      <c r="J36" s="872">
        <v>296415</v>
      </c>
      <c r="L36" s="200" t="s">
        <v>2949</v>
      </c>
      <c r="M36" s="200" t="s">
        <v>1285</v>
      </c>
      <c r="N36" s="2281">
        <f t="shared" ref="N36:R51" si="6">ROUNDDOWN(F36*1.1,0)</f>
        <v>143882</v>
      </c>
      <c r="O36" s="2281">
        <f t="shared" si="6"/>
        <v>187852</v>
      </c>
      <c r="P36" s="2281">
        <f t="shared" si="6"/>
        <v>227522</v>
      </c>
      <c r="Q36" s="2281">
        <f t="shared" si="6"/>
        <v>277347</v>
      </c>
      <c r="R36" s="2281">
        <f t="shared" si="6"/>
        <v>326056</v>
      </c>
      <c r="S36" s="200"/>
      <c r="T36" s="120"/>
      <c r="U36" s="120"/>
      <c r="V36" s="856"/>
      <c r="W36" s="856"/>
      <c r="X36" s="856"/>
      <c r="AA36" s="407"/>
      <c r="AB36" s="407"/>
    </row>
    <row r="37" spans="1:28" s="183" customFormat="1" ht="11.45" customHeight="1">
      <c r="A37" s="122"/>
      <c r="C37" s="221"/>
      <c r="D37" s="871" t="s">
        <v>2949</v>
      </c>
      <c r="E37" s="871" t="s">
        <v>1131</v>
      </c>
      <c r="F37" s="872">
        <v>106284</v>
      </c>
      <c r="G37" s="872">
        <v>148797</v>
      </c>
      <c r="H37" s="872">
        <v>191311</v>
      </c>
      <c r="I37" s="872">
        <v>255081</v>
      </c>
      <c r="J37" s="872">
        <v>318851</v>
      </c>
      <c r="L37" s="200" t="s">
        <v>2949</v>
      </c>
      <c r="M37" s="200" t="s">
        <v>1131</v>
      </c>
      <c r="N37" s="2281">
        <f t="shared" si="6"/>
        <v>116912</v>
      </c>
      <c r="O37" s="2281">
        <f t="shared" si="6"/>
        <v>163676</v>
      </c>
      <c r="P37" s="2281">
        <f t="shared" si="6"/>
        <v>210442</v>
      </c>
      <c r="Q37" s="2281">
        <f t="shared" si="6"/>
        <v>280589</v>
      </c>
      <c r="R37" s="2281">
        <f t="shared" si="6"/>
        <v>350736</v>
      </c>
      <c r="S37" s="200"/>
      <c r="T37" s="120"/>
      <c r="U37" s="120"/>
      <c r="V37" s="856"/>
      <c r="W37" s="856"/>
      <c r="X37" s="856"/>
      <c r="AA37" s="407"/>
      <c r="AB37" s="407"/>
    </row>
    <row r="38" spans="1:28" s="183" customFormat="1" ht="11.45" customHeight="1">
      <c r="A38" s="122"/>
      <c r="C38" s="221"/>
      <c r="D38" s="871" t="s">
        <v>2949</v>
      </c>
      <c r="E38" s="871" t="s">
        <v>1129</v>
      </c>
      <c r="F38" s="872">
        <v>120709</v>
      </c>
      <c r="G38" s="872">
        <v>157663</v>
      </c>
      <c r="H38" s="872">
        <v>191271</v>
      </c>
      <c r="I38" s="872">
        <v>233985</v>
      </c>
      <c r="J38" s="872">
        <v>277195</v>
      </c>
      <c r="L38" s="200" t="s">
        <v>2949</v>
      </c>
      <c r="M38" s="200" t="s">
        <v>1129</v>
      </c>
      <c r="N38" s="2281">
        <f t="shared" si="6"/>
        <v>132779</v>
      </c>
      <c r="O38" s="2281">
        <f t="shared" si="6"/>
        <v>173429</v>
      </c>
      <c r="P38" s="2281">
        <f t="shared" si="6"/>
        <v>210398</v>
      </c>
      <c r="Q38" s="2281">
        <f t="shared" si="6"/>
        <v>257383</v>
      </c>
      <c r="R38" s="2281">
        <f t="shared" si="6"/>
        <v>304914</v>
      </c>
      <c r="S38" s="200"/>
      <c r="T38" s="120"/>
      <c r="U38" s="120"/>
      <c r="V38" s="856"/>
      <c r="W38" s="856"/>
      <c r="X38" s="856"/>
      <c r="AA38" s="407"/>
      <c r="AB38" s="407"/>
    </row>
    <row r="39" spans="1:28" s="183" customFormat="1" ht="11.45" customHeight="1">
      <c r="A39" s="122"/>
      <c r="C39" s="221"/>
      <c r="D39" s="871" t="s">
        <v>2949</v>
      </c>
      <c r="E39" s="871" t="s">
        <v>1130</v>
      </c>
      <c r="F39" s="872">
        <v>105363</v>
      </c>
      <c r="G39" s="872">
        <v>145732</v>
      </c>
      <c r="H39" s="872">
        <v>185085</v>
      </c>
      <c r="I39" s="872">
        <v>242207</v>
      </c>
      <c r="J39" s="872">
        <v>301908</v>
      </c>
      <c r="L39" s="200" t="s">
        <v>2949</v>
      </c>
      <c r="M39" s="200" t="s">
        <v>1130</v>
      </c>
      <c r="N39" s="2281">
        <f t="shared" si="6"/>
        <v>115899</v>
      </c>
      <c r="O39" s="2281">
        <f t="shared" si="6"/>
        <v>160305</v>
      </c>
      <c r="P39" s="2281">
        <f t="shared" si="6"/>
        <v>203593</v>
      </c>
      <c r="Q39" s="2281">
        <f t="shared" si="6"/>
        <v>266427</v>
      </c>
      <c r="R39" s="2281">
        <f t="shared" si="6"/>
        <v>332098</v>
      </c>
      <c r="S39" s="200"/>
      <c r="T39" s="120"/>
      <c r="U39" s="120"/>
      <c r="V39" s="856"/>
      <c r="W39" s="856"/>
      <c r="X39" s="856"/>
      <c r="AA39" s="407"/>
      <c r="AB39" s="407"/>
    </row>
    <row r="40" spans="1:28" s="183" customFormat="1" ht="11.45" customHeight="1">
      <c r="A40" s="122"/>
      <c r="C40" s="221"/>
      <c r="D40" s="873" t="s">
        <v>2950</v>
      </c>
      <c r="E40" s="873" t="s">
        <v>1285</v>
      </c>
      <c r="F40" s="874">
        <v>127800</v>
      </c>
      <c r="G40" s="874">
        <v>167186</v>
      </c>
      <c r="H40" s="874">
        <v>202798</v>
      </c>
      <c r="I40" s="874">
        <v>247764</v>
      </c>
      <c r="J40" s="874">
        <v>291469</v>
      </c>
      <c r="L40" s="456" t="s">
        <v>2950</v>
      </c>
      <c r="M40" s="456" t="s">
        <v>1285</v>
      </c>
      <c r="N40" s="2281">
        <f t="shared" si="6"/>
        <v>140580</v>
      </c>
      <c r="O40" s="2281">
        <f t="shared" si="6"/>
        <v>183904</v>
      </c>
      <c r="P40" s="2281">
        <f t="shared" si="6"/>
        <v>223077</v>
      </c>
      <c r="Q40" s="2281">
        <f t="shared" si="6"/>
        <v>272540</v>
      </c>
      <c r="R40" s="2281">
        <f t="shared" si="6"/>
        <v>320615</v>
      </c>
      <c r="S40" s="200"/>
      <c r="T40" s="120"/>
      <c r="U40" s="120"/>
      <c r="V40" s="856"/>
      <c r="W40" s="856"/>
      <c r="X40" s="856"/>
      <c r="AA40" s="407"/>
      <c r="AB40" s="407"/>
    </row>
    <row r="41" spans="1:28" s="183" customFormat="1" ht="11.45" customHeight="1">
      <c r="A41" s="122"/>
      <c r="C41" s="221"/>
      <c r="D41" s="873" t="s">
        <v>2950</v>
      </c>
      <c r="E41" s="873" t="s">
        <v>1131</v>
      </c>
      <c r="F41" s="874">
        <v>104227</v>
      </c>
      <c r="G41" s="874">
        <v>145918</v>
      </c>
      <c r="H41" s="874">
        <v>187609</v>
      </c>
      <c r="I41" s="874">
        <v>250145</v>
      </c>
      <c r="J41" s="874">
        <v>312681</v>
      </c>
      <c r="L41" s="456" t="s">
        <v>2950</v>
      </c>
      <c r="M41" s="456" t="s">
        <v>1131</v>
      </c>
      <c r="N41" s="2281">
        <f t="shared" si="6"/>
        <v>114649</v>
      </c>
      <c r="O41" s="2281">
        <f t="shared" si="6"/>
        <v>160509</v>
      </c>
      <c r="P41" s="2281">
        <f t="shared" si="6"/>
        <v>206369</v>
      </c>
      <c r="Q41" s="2281">
        <f t="shared" si="6"/>
        <v>275159</v>
      </c>
      <c r="R41" s="2281">
        <f t="shared" si="6"/>
        <v>343949</v>
      </c>
      <c r="S41" s="200"/>
      <c r="T41" s="120"/>
      <c r="U41" s="120"/>
      <c r="V41" s="856"/>
      <c r="W41" s="856"/>
      <c r="X41" s="856"/>
      <c r="AA41" s="407"/>
      <c r="AB41" s="407"/>
    </row>
    <row r="42" spans="1:28" s="183" customFormat="1" ht="11.45" customHeight="1">
      <c r="A42" s="122"/>
      <c r="C42" s="221"/>
      <c r="D42" s="873" t="s">
        <v>2950</v>
      </c>
      <c r="E42" s="873" t="s">
        <v>1129</v>
      </c>
      <c r="F42" s="874">
        <v>117337</v>
      </c>
      <c r="G42" s="874">
        <v>153594</v>
      </c>
      <c r="H42" s="874">
        <v>186661</v>
      </c>
      <c r="I42" s="874">
        <v>228950</v>
      </c>
      <c r="J42" s="874">
        <v>271546</v>
      </c>
      <c r="L42" s="456" t="s">
        <v>2950</v>
      </c>
      <c r="M42" s="456" t="s">
        <v>1129</v>
      </c>
      <c r="N42" s="2281">
        <f t="shared" si="6"/>
        <v>129070</v>
      </c>
      <c r="O42" s="2281">
        <f t="shared" si="6"/>
        <v>168953</v>
      </c>
      <c r="P42" s="2281">
        <f t="shared" si="6"/>
        <v>205327</v>
      </c>
      <c r="Q42" s="2281">
        <f t="shared" si="6"/>
        <v>251845</v>
      </c>
      <c r="R42" s="2281">
        <f t="shared" si="6"/>
        <v>298700</v>
      </c>
      <c r="S42" s="200"/>
      <c r="T42" s="120"/>
      <c r="U42" s="120"/>
      <c r="V42" s="856"/>
      <c r="W42" s="856"/>
      <c r="X42" s="856"/>
      <c r="AA42" s="407"/>
      <c r="AB42" s="407"/>
    </row>
    <row r="43" spans="1:28" s="183" customFormat="1" ht="11.45" customHeight="1">
      <c r="A43" s="122"/>
      <c r="C43" s="221"/>
      <c r="D43" s="873" t="s">
        <v>2950</v>
      </c>
      <c r="E43" s="873" t="s">
        <v>1130</v>
      </c>
      <c r="F43" s="874">
        <v>101764</v>
      </c>
      <c r="G43" s="874">
        <v>140627</v>
      </c>
      <c r="H43" s="874">
        <v>178438</v>
      </c>
      <c r="I43" s="874">
        <v>233177</v>
      </c>
      <c r="J43" s="874">
        <v>290589</v>
      </c>
      <c r="L43" s="456" t="s">
        <v>2950</v>
      </c>
      <c r="M43" s="456" t="s">
        <v>1130</v>
      </c>
      <c r="N43" s="2281">
        <f t="shared" si="6"/>
        <v>111940</v>
      </c>
      <c r="O43" s="2281">
        <f t="shared" si="6"/>
        <v>154689</v>
      </c>
      <c r="P43" s="2281">
        <f t="shared" si="6"/>
        <v>196281</v>
      </c>
      <c r="Q43" s="2281">
        <f t="shared" si="6"/>
        <v>256494</v>
      </c>
      <c r="R43" s="2281">
        <f t="shared" si="6"/>
        <v>319647</v>
      </c>
      <c r="S43" s="200"/>
      <c r="T43" s="120"/>
      <c r="U43" s="120"/>
      <c r="V43" s="856"/>
      <c r="W43" s="856"/>
      <c r="X43" s="856"/>
      <c r="AA43" s="407"/>
      <c r="AB43" s="407"/>
    </row>
    <row r="44" spans="1:28" s="183" customFormat="1" ht="11.45" customHeight="1">
      <c r="A44" s="122"/>
      <c r="C44" s="221"/>
      <c r="D44" s="865" t="s">
        <v>2951</v>
      </c>
      <c r="E44" s="865" t="s">
        <v>1285</v>
      </c>
      <c r="F44" s="866">
        <v>135165</v>
      </c>
      <c r="G44" s="866">
        <v>176624</v>
      </c>
      <c r="H44" s="866">
        <v>214065</v>
      </c>
      <c r="I44" s="866">
        <v>261200</v>
      </c>
      <c r="J44" s="866">
        <v>307162</v>
      </c>
      <c r="L44" s="456" t="s">
        <v>2951</v>
      </c>
      <c r="M44" s="456" t="s">
        <v>1285</v>
      </c>
      <c r="N44" s="2281">
        <f t="shared" si="6"/>
        <v>148681</v>
      </c>
      <c r="O44" s="2281">
        <f t="shared" si="6"/>
        <v>194286</v>
      </c>
      <c r="P44" s="2281">
        <f t="shared" si="6"/>
        <v>235471</v>
      </c>
      <c r="Q44" s="2281">
        <f t="shared" si="6"/>
        <v>287320</v>
      </c>
      <c r="R44" s="2281">
        <f t="shared" si="6"/>
        <v>337878</v>
      </c>
      <c r="S44" s="200"/>
      <c r="T44" s="120"/>
      <c r="U44" s="120"/>
      <c r="V44" s="856"/>
      <c r="W44" s="856"/>
      <c r="X44" s="856"/>
      <c r="AA44" s="407"/>
      <c r="AB44" s="407"/>
    </row>
    <row r="45" spans="1:28" s="183" customFormat="1" ht="11.45" customHeight="1">
      <c r="A45" s="122"/>
      <c r="C45" s="221"/>
      <c r="D45" s="865" t="s">
        <v>2951</v>
      </c>
      <c r="E45" s="865" t="s">
        <v>1131</v>
      </c>
      <c r="F45" s="866">
        <v>110006</v>
      </c>
      <c r="G45" s="866">
        <v>154008</v>
      </c>
      <c r="H45" s="866">
        <v>198011</v>
      </c>
      <c r="I45" s="866">
        <v>264014</v>
      </c>
      <c r="J45" s="866">
        <v>330018</v>
      </c>
      <c r="L45" s="456" t="s">
        <v>2951</v>
      </c>
      <c r="M45" s="456" t="s">
        <v>1131</v>
      </c>
      <c r="N45" s="2281">
        <f t="shared" si="6"/>
        <v>121006</v>
      </c>
      <c r="O45" s="2281">
        <f t="shared" si="6"/>
        <v>169408</v>
      </c>
      <c r="P45" s="2281">
        <f t="shared" si="6"/>
        <v>217812</v>
      </c>
      <c r="Q45" s="2281">
        <f t="shared" si="6"/>
        <v>290415</v>
      </c>
      <c r="R45" s="2281">
        <f t="shared" si="6"/>
        <v>363019</v>
      </c>
      <c r="S45" s="200"/>
      <c r="T45" s="120"/>
      <c r="U45" s="120"/>
      <c r="V45" s="856"/>
      <c r="W45" s="856"/>
      <c r="X45" s="856"/>
      <c r="AA45" s="407"/>
      <c r="AB45" s="407"/>
    </row>
    <row r="46" spans="1:28" s="183" customFormat="1" ht="11.45" customHeight="1">
      <c r="A46" s="122"/>
      <c r="C46" s="221"/>
      <c r="D46" s="865" t="s">
        <v>2951</v>
      </c>
      <c r="E46" s="865" t="s">
        <v>1129</v>
      </c>
      <c r="F46" s="866">
        <v>124455</v>
      </c>
      <c r="G46" s="866">
        <v>162712</v>
      </c>
      <c r="H46" s="866">
        <v>197548</v>
      </c>
      <c r="I46" s="866">
        <v>241944</v>
      </c>
      <c r="J46" s="866">
        <v>286771</v>
      </c>
      <c r="L46" s="456" t="s">
        <v>2951</v>
      </c>
      <c r="M46" s="456" t="s">
        <v>1129</v>
      </c>
      <c r="N46" s="2281">
        <f t="shared" si="6"/>
        <v>136900</v>
      </c>
      <c r="O46" s="2281">
        <f t="shared" si="6"/>
        <v>178983</v>
      </c>
      <c r="P46" s="2281">
        <f t="shared" si="6"/>
        <v>217302</v>
      </c>
      <c r="Q46" s="2281">
        <f t="shared" si="6"/>
        <v>266138</v>
      </c>
      <c r="R46" s="2281">
        <f t="shared" si="6"/>
        <v>315448</v>
      </c>
      <c r="S46" s="200"/>
      <c r="T46" s="120"/>
      <c r="U46" s="120"/>
      <c r="V46" s="856"/>
      <c r="W46" s="856"/>
      <c r="X46" s="856"/>
      <c r="AA46" s="407"/>
      <c r="AB46" s="407"/>
    </row>
    <row r="47" spans="1:28" s="183" customFormat="1" ht="11.45" customHeight="1">
      <c r="A47" s="122"/>
      <c r="C47" s="221"/>
      <c r="D47" s="865" t="s">
        <v>2951</v>
      </c>
      <c r="E47" s="865" t="s">
        <v>1130</v>
      </c>
      <c r="F47" s="866">
        <v>108329</v>
      </c>
      <c r="G47" s="866">
        <v>149776</v>
      </c>
      <c r="H47" s="866">
        <v>190145</v>
      </c>
      <c r="I47" s="866">
        <v>248674</v>
      </c>
      <c r="J47" s="866">
        <v>309940</v>
      </c>
      <c r="L47" s="456" t="s">
        <v>2951</v>
      </c>
      <c r="M47" s="456" t="s">
        <v>1130</v>
      </c>
      <c r="N47" s="2281">
        <f t="shared" si="6"/>
        <v>119161</v>
      </c>
      <c r="O47" s="2281">
        <f t="shared" si="6"/>
        <v>164753</v>
      </c>
      <c r="P47" s="2281">
        <f t="shared" si="6"/>
        <v>209159</v>
      </c>
      <c r="Q47" s="2281">
        <f t="shared" si="6"/>
        <v>273541</v>
      </c>
      <c r="R47" s="2281">
        <f t="shared" si="6"/>
        <v>340934</v>
      </c>
      <c r="S47" s="200"/>
      <c r="T47" s="120"/>
      <c r="U47" s="120"/>
      <c r="V47" s="856"/>
      <c r="W47" s="856"/>
      <c r="X47" s="856"/>
      <c r="AA47" s="407"/>
      <c r="AB47" s="407"/>
    </row>
    <row r="48" spans="1:28" s="183" customFormat="1" ht="11.45" customHeight="1">
      <c r="A48" s="122"/>
      <c r="C48" s="221"/>
      <c r="D48" s="869" t="s">
        <v>43</v>
      </c>
      <c r="E48" s="869" t="s">
        <v>1285</v>
      </c>
      <c r="F48" s="870">
        <v>122990</v>
      </c>
      <c r="G48" s="870">
        <v>160975</v>
      </c>
      <c r="H48" s="870">
        <v>195338</v>
      </c>
      <c r="I48" s="870">
        <v>238786</v>
      </c>
      <c r="J48" s="870">
        <v>280955</v>
      </c>
      <c r="L48" s="456" t="s">
        <v>43</v>
      </c>
      <c r="M48" s="456" t="s">
        <v>1285</v>
      </c>
      <c r="N48" s="2281">
        <f t="shared" si="6"/>
        <v>135289</v>
      </c>
      <c r="O48" s="2281">
        <f t="shared" si="6"/>
        <v>177072</v>
      </c>
      <c r="P48" s="2281">
        <f t="shared" si="6"/>
        <v>214871</v>
      </c>
      <c r="Q48" s="2281">
        <f t="shared" si="6"/>
        <v>262664</v>
      </c>
      <c r="R48" s="2281">
        <f t="shared" si="6"/>
        <v>309050</v>
      </c>
      <c r="S48" s="200"/>
      <c r="T48" s="120"/>
      <c r="U48" s="120"/>
      <c r="V48" s="856"/>
      <c r="W48" s="856"/>
      <c r="X48" s="856"/>
      <c r="AA48" s="407"/>
      <c r="AB48" s="407"/>
    </row>
    <row r="49" spans="1:28" s="183" customFormat="1" ht="11.45" customHeight="1">
      <c r="A49" s="122"/>
      <c r="C49" s="221"/>
      <c r="D49" s="869" t="s">
        <v>43</v>
      </c>
      <c r="E49" s="869" t="s">
        <v>1131</v>
      </c>
      <c r="F49" s="870">
        <v>100398</v>
      </c>
      <c r="G49" s="870">
        <v>140558</v>
      </c>
      <c r="H49" s="870">
        <v>180717</v>
      </c>
      <c r="I49" s="870">
        <v>240956</v>
      </c>
      <c r="J49" s="870">
        <v>301195</v>
      </c>
      <c r="L49" s="456" t="s">
        <v>43</v>
      </c>
      <c r="M49" s="456" t="s">
        <v>1131</v>
      </c>
      <c r="N49" s="2281">
        <f t="shared" si="6"/>
        <v>110437</v>
      </c>
      <c r="O49" s="2281">
        <f t="shared" si="6"/>
        <v>154613</v>
      </c>
      <c r="P49" s="2281">
        <f t="shared" si="6"/>
        <v>198788</v>
      </c>
      <c r="Q49" s="2281">
        <f t="shared" si="6"/>
        <v>265051</v>
      </c>
      <c r="R49" s="2281">
        <f t="shared" si="6"/>
        <v>331314</v>
      </c>
      <c r="S49" s="200"/>
      <c r="T49" s="120"/>
      <c r="U49" s="120"/>
      <c r="V49" s="856"/>
      <c r="W49" s="856"/>
      <c r="X49" s="856"/>
      <c r="AA49" s="407"/>
      <c r="AB49" s="407"/>
    </row>
    <row r="50" spans="1:28" s="183" customFormat="1" ht="11.45" customHeight="1">
      <c r="A50" s="122"/>
      <c r="C50" s="221"/>
      <c r="D50" s="869" t="s">
        <v>43</v>
      </c>
      <c r="E50" s="869" t="s">
        <v>1129</v>
      </c>
      <c r="F50" s="870">
        <v>112773</v>
      </c>
      <c r="G50" s="870">
        <v>147703</v>
      </c>
      <c r="H50" s="870">
        <v>179581</v>
      </c>
      <c r="I50" s="870">
        <v>220415</v>
      </c>
      <c r="J50" s="870">
        <v>261501</v>
      </c>
      <c r="L50" s="456" t="s">
        <v>43</v>
      </c>
      <c r="M50" s="456" t="s">
        <v>1129</v>
      </c>
      <c r="N50" s="2281">
        <f t="shared" si="6"/>
        <v>124050</v>
      </c>
      <c r="O50" s="2281">
        <f t="shared" si="6"/>
        <v>162473</v>
      </c>
      <c r="P50" s="2281">
        <f t="shared" si="6"/>
        <v>197539</v>
      </c>
      <c r="Q50" s="2281">
        <f t="shared" si="6"/>
        <v>242456</v>
      </c>
      <c r="R50" s="2281">
        <f t="shared" si="6"/>
        <v>287651</v>
      </c>
      <c r="S50" s="200"/>
      <c r="T50" s="120"/>
      <c r="U50" s="120"/>
      <c r="V50" s="856"/>
      <c r="W50" s="856"/>
      <c r="X50" s="856"/>
      <c r="AA50" s="407"/>
      <c r="AB50" s="407"/>
    </row>
    <row r="51" spans="1:28" s="183" customFormat="1" ht="11.45" customHeight="1">
      <c r="A51" s="122"/>
      <c r="C51" s="221"/>
      <c r="D51" s="869" t="s">
        <v>43</v>
      </c>
      <c r="E51" s="869" t="s">
        <v>1130</v>
      </c>
      <c r="F51" s="870">
        <v>97643</v>
      </c>
      <c r="G51" s="870">
        <v>134902</v>
      </c>
      <c r="H51" s="870">
        <v>171133</v>
      </c>
      <c r="I51" s="870">
        <v>223548</v>
      </c>
      <c r="J51" s="870">
        <v>278574</v>
      </c>
      <c r="L51" s="456" t="s">
        <v>43</v>
      </c>
      <c r="M51" s="456" t="s">
        <v>1130</v>
      </c>
      <c r="N51" s="2281">
        <f t="shared" si="6"/>
        <v>107407</v>
      </c>
      <c r="O51" s="2281">
        <f t="shared" si="6"/>
        <v>148392</v>
      </c>
      <c r="P51" s="2281">
        <f t="shared" si="6"/>
        <v>188246</v>
      </c>
      <c r="Q51" s="2281">
        <f t="shared" si="6"/>
        <v>245902</v>
      </c>
      <c r="R51" s="2281">
        <f t="shared" si="6"/>
        <v>306431</v>
      </c>
      <c r="S51" s="200"/>
      <c r="T51" s="120"/>
      <c r="U51" s="120"/>
      <c r="V51" s="856"/>
      <c r="W51" s="856"/>
      <c r="X51" s="856"/>
      <c r="AA51" s="407"/>
      <c r="AB51" s="407"/>
    </row>
    <row r="52" spans="1:28" s="183" customFormat="1" ht="3" customHeight="1">
      <c r="A52" s="122"/>
      <c r="B52" s="122"/>
      <c r="C52" s="122"/>
      <c r="D52" s="122"/>
      <c r="E52" s="120"/>
      <c r="F52" s="122"/>
      <c r="G52" s="122"/>
      <c r="H52" s="192"/>
      <c r="I52" s="120"/>
      <c r="J52" s="122"/>
      <c r="K52" s="193"/>
      <c r="L52" s="193"/>
      <c r="M52" s="193"/>
      <c r="N52" s="193"/>
      <c r="O52" s="122"/>
      <c r="P52" s="120"/>
      <c r="Q52" s="191"/>
      <c r="R52" s="191"/>
      <c r="S52" s="120"/>
      <c r="T52" s="120"/>
      <c r="U52" s="120"/>
      <c r="AA52" s="407"/>
      <c r="AB52" s="407"/>
    </row>
    <row r="53" spans="1:28" s="183" customFormat="1" ht="11.25" customHeight="1">
      <c r="A53" s="122"/>
      <c r="B53" s="122"/>
      <c r="C53" s="122"/>
      <c r="D53" s="122"/>
      <c r="E53" s="120"/>
      <c r="F53" s="122" t="s">
        <v>2952</v>
      </c>
      <c r="G53" s="122"/>
      <c r="H53" s="192"/>
      <c r="I53" s="120"/>
      <c r="J53" s="122"/>
      <c r="K53" s="193"/>
      <c r="L53" s="193"/>
      <c r="M53" s="193"/>
      <c r="N53" s="193"/>
      <c r="O53" s="122"/>
      <c r="P53" s="120"/>
      <c r="Q53" s="191"/>
      <c r="R53" s="191"/>
      <c r="S53" s="120"/>
      <c r="T53" s="120"/>
      <c r="U53" s="120"/>
      <c r="AA53" s="407"/>
      <c r="AB53" s="407"/>
    </row>
    <row r="54" spans="1:28" s="183" customFormat="1" ht="11.45" customHeight="1">
      <c r="A54" s="122"/>
      <c r="B54" s="122"/>
      <c r="C54" s="122"/>
      <c r="D54" s="120"/>
      <c r="E54" s="120"/>
      <c r="F54" s="122"/>
      <c r="G54" s="122"/>
      <c r="H54" s="120"/>
      <c r="I54" s="120"/>
      <c r="J54" s="190" t="s">
        <v>854</v>
      </c>
      <c r="K54" s="190" t="s">
        <v>855</v>
      </c>
      <c r="L54" s="190" t="s">
        <v>856</v>
      </c>
      <c r="M54" s="190" t="s">
        <v>857</v>
      </c>
      <c r="N54" s="190" t="s">
        <v>858</v>
      </c>
      <c r="O54" s="122"/>
      <c r="P54" s="120"/>
      <c r="Q54" s="123" t="s">
        <v>2413</v>
      </c>
      <c r="R54" s="123" t="s">
        <v>2415</v>
      </c>
      <c r="S54" s="189"/>
      <c r="T54" s="189"/>
      <c r="U54" s="120"/>
      <c r="V54" s="856"/>
      <c r="W54" s="856"/>
      <c r="X54" s="856"/>
      <c r="AA54" s="407"/>
      <c r="AB54" s="407"/>
    </row>
    <row r="55" spans="1:28" s="183" customFormat="1" ht="11.45" customHeight="1">
      <c r="A55" s="122"/>
      <c r="B55" s="122"/>
      <c r="C55" s="122"/>
      <c r="D55" s="120"/>
      <c r="E55" s="120"/>
      <c r="F55" s="122" t="s">
        <v>2953</v>
      </c>
      <c r="G55" s="122"/>
      <c r="H55" s="120"/>
      <c r="I55" s="120"/>
      <c r="J55" s="1433">
        <v>110481</v>
      </c>
      <c r="K55" s="1433">
        <v>126647</v>
      </c>
      <c r="L55" s="1433">
        <v>154003</v>
      </c>
      <c r="M55" s="1433">
        <v>199229</v>
      </c>
      <c r="N55" s="1433">
        <v>199229</v>
      </c>
      <c r="O55" s="122"/>
      <c r="P55" s="120"/>
      <c r="Q55" s="1551">
        <v>1000</v>
      </c>
      <c r="R55" s="1551">
        <v>0</v>
      </c>
      <c r="S55" s="200" t="s">
        <v>2954</v>
      </c>
      <c r="T55" s="189"/>
      <c r="U55" s="120"/>
      <c r="V55" s="856"/>
      <c r="W55" s="856"/>
      <c r="X55" s="856"/>
      <c r="AA55" s="407"/>
      <c r="AB55" s="407"/>
    </row>
    <row r="56" spans="1:28" s="183" customFormat="1" ht="11.45" customHeight="1">
      <c r="A56" s="122"/>
      <c r="B56" s="122"/>
      <c r="C56" s="122"/>
      <c r="D56" s="120"/>
      <c r="E56" s="120"/>
      <c r="O56" s="122"/>
      <c r="T56" s="189"/>
      <c r="U56" s="120"/>
      <c r="V56" s="856"/>
      <c r="W56" s="856"/>
      <c r="X56" s="856"/>
      <c r="AA56" s="407"/>
      <c r="AB56" s="407"/>
    </row>
    <row r="57" spans="1:28" s="183" customFormat="1" ht="11.45" customHeight="1">
      <c r="A57" s="184" t="s">
        <v>2930</v>
      </c>
      <c r="B57" s="184"/>
      <c r="C57" s="184"/>
      <c r="D57" s="120"/>
      <c r="E57" s="120"/>
      <c r="F57" s="184" t="s">
        <v>2931</v>
      </c>
      <c r="G57" s="184"/>
      <c r="H57" s="120"/>
      <c r="I57" s="120"/>
      <c r="J57" s="184" t="s">
        <v>2932</v>
      </c>
      <c r="K57" s="184"/>
      <c r="L57" s="184"/>
      <c r="M57" s="184"/>
      <c r="N57" s="184"/>
      <c r="O57" s="184"/>
      <c r="P57" s="120"/>
      <c r="Q57" s="123" t="s">
        <v>2413</v>
      </c>
      <c r="R57" s="123" t="s">
        <v>2415</v>
      </c>
      <c r="S57" s="200"/>
      <c r="T57" s="189"/>
      <c r="U57" s="120"/>
      <c r="V57" s="856"/>
      <c r="W57" s="856"/>
      <c r="X57" s="856"/>
      <c r="AA57" s="407"/>
      <c r="AB57" s="407"/>
    </row>
    <row r="58" spans="1:28" s="183" customFormat="1" ht="3" customHeight="1">
      <c r="A58" s="122"/>
      <c r="B58" s="122"/>
      <c r="C58" s="122"/>
      <c r="D58" s="122"/>
      <c r="E58" s="120"/>
      <c r="F58" s="122"/>
      <c r="G58" s="122"/>
      <c r="H58" s="192"/>
      <c r="I58" s="120"/>
      <c r="J58" s="122"/>
      <c r="K58" s="193"/>
      <c r="L58" s="193"/>
      <c r="M58" s="193"/>
      <c r="N58" s="193"/>
      <c r="O58" s="122"/>
      <c r="P58" s="120"/>
      <c r="Q58" s="191"/>
      <c r="R58" s="191"/>
      <c r="S58" s="120"/>
      <c r="T58" s="120"/>
      <c r="U58" s="120"/>
      <c r="AA58" s="407"/>
      <c r="AB58" s="407"/>
    </row>
    <row r="59" spans="1:28" s="183" customFormat="1" ht="12" customHeight="1">
      <c r="A59" s="188" t="s">
        <v>2955</v>
      </c>
      <c r="B59" s="184"/>
      <c r="C59" s="184"/>
      <c r="D59" s="184"/>
      <c r="E59" s="120"/>
      <c r="F59" s="184"/>
      <c r="G59" s="184"/>
      <c r="H59" s="184"/>
      <c r="I59" s="120"/>
      <c r="J59" s="122"/>
      <c r="K59" s="184"/>
      <c r="L59" s="184"/>
      <c r="M59" s="184"/>
      <c r="N59" s="184"/>
      <c r="O59" s="184"/>
      <c r="P59" s="120"/>
      <c r="Q59" s="185"/>
      <c r="R59" s="186"/>
      <c r="S59" s="187"/>
      <c r="AA59" s="407"/>
      <c r="AB59" s="407"/>
    </row>
    <row r="60" spans="1:28" s="183" customFormat="1" ht="11.45" customHeight="1">
      <c r="A60" s="120"/>
      <c r="B60" s="122" t="s">
        <v>2955</v>
      </c>
      <c r="C60" s="122"/>
      <c r="D60" s="120"/>
      <c r="E60" s="120"/>
      <c r="F60" s="122" t="s">
        <v>2956</v>
      </c>
      <c r="G60" s="122" t="s">
        <v>1934</v>
      </c>
      <c r="H60" s="120"/>
      <c r="I60" s="120"/>
      <c r="J60" s="122" t="s">
        <v>1077</v>
      </c>
      <c r="K60" s="122"/>
      <c r="L60" s="122"/>
      <c r="M60" s="122"/>
      <c r="N60" s="122"/>
      <c r="O60" s="122"/>
      <c r="P60" s="120"/>
      <c r="Q60" s="1434">
        <v>4500</v>
      </c>
      <c r="R60" s="1435" t="s">
        <v>1762</v>
      </c>
      <c r="S60" s="194"/>
      <c r="AA60" s="407"/>
      <c r="AB60" s="407"/>
    </row>
    <row r="61" spans="1:28" s="183" customFormat="1" ht="11.45" customHeight="1">
      <c r="A61" s="120"/>
      <c r="B61" s="122"/>
      <c r="C61" s="122"/>
      <c r="D61" s="120"/>
      <c r="E61" s="120"/>
      <c r="F61" s="122"/>
      <c r="G61" s="122" t="s">
        <v>1929</v>
      </c>
      <c r="H61" s="120"/>
      <c r="I61" s="120"/>
      <c r="J61" s="122" t="s">
        <v>1077</v>
      </c>
      <c r="K61" s="122"/>
      <c r="L61" s="122"/>
      <c r="M61" s="122"/>
      <c r="N61" s="122"/>
      <c r="O61" s="122"/>
      <c r="P61" s="120"/>
      <c r="Q61" s="1434">
        <v>4000</v>
      </c>
      <c r="R61" s="1435" t="s">
        <v>1762</v>
      </c>
      <c r="S61" s="194"/>
      <c r="AA61" s="407"/>
      <c r="AB61" s="407"/>
    </row>
    <row r="62" spans="1:28" s="183" customFormat="1" ht="11.45" customHeight="1">
      <c r="A62" s="120"/>
      <c r="B62" s="122"/>
      <c r="C62" s="122"/>
      <c r="D62" s="120"/>
      <c r="E62" s="120"/>
      <c r="F62" s="122" t="s">
        <v>184</v>
      </c>
      <c r="G62" s="122" t="s">
        <v>2944</v>
      </c>
      <c r="H62" s="120"/>
      <c r="I62" s="120"/>
      <c r="J62" s="122" t="s">
        <v>1077</v>
      </c>
      <c r="K62" s="122"/>
      <c r="L62" s="122"/>
      <c r="M62" s="122"/>
      <c r="N62" s="122"/>
      <c r="O62" s="122"/>
      <c r="P62" s="120"/>
      <c r="Q62" s="1434">
        <v>3500</v>
      </c>
      <c r="R62" s="1435" t="s">
        <v>1762</v>
      </c>
      <c r="S62" s="194"/>
      <c r="AA62" s="407"/>
      <c r="AB62" s="407"/>
    </row>
    <row r="63" spans="1:28" s="183" customFormat="1" ht="11.45" customHeight="1">
      <c r="A63" s="122"/>
      <c r="B63" s="122"/>
      <c r="C63" s="122"/>
      <c r="D63" s="120"/>
      <c r="E63" s="120"/>
      <c r="G63" s="122" t="s">
        <v>2957</v>
      </c>
      <c r="H63" s="120"/>
      <c r="I63" s="120"/>
      <c r="J63" s="122" t="s">
        <v>1077</v>
      </c>
      <c r="K63" s="122"/>
      <c r="L63" s="122"/>
      <c r="M63" s="122"/>
      <c r="N63" s="122"/>
      <c r="O63" s="122"/>
      <c r="P63" s="120"/>
      <c r="Q63" s="1434">
        <v>3000</v>
      </c>
      <c r="R63" s="1435" t="s">
        <v>1762</v>
      </c>
      <c r="S63" s="194"/>
      <c r="AA63" s="407"/>
      <c r="AB63" s="407"/>
    </row>
    <row r="64" spans="1:28" s="183" customFormat="1" ht="11.45" customHeight="1">
      <c r="A64" s="122"/>
      <c r="B64" s="122"/>
      <c r="C64" s="122"/>
      <c r="D64" s="120"/>
      <c r="E64" s="120"/>
      <c r="G64" s="122" t="s">
        <v>2958</v>
      </c>
      <c r="H64" s="120"/>
      <c r="I64" s="120"/>
      <c r="J64" s="122" t="s">
        <v>1077</v>
      </c>
      <c r="K64" s="122"/>
      <c r="L64" s="122"/>
      <c r="M64" s="122"/>
      <c r="N64" s="122"/>
      <c r="O64" s="122"/>
      <c r="P64" s="120"/>
      <c r="Q64" s="1434">
        <v>3000</v>
      </c>
      <c r="R64" s="1435" t="s">
        <v>1762</v>
      </c>
      <c r="S64" s="194"/>
      <c r="T64" s="194"/>
      <c r="U64" s="194"/>
      <c r="AA64" s="407"/>
      <c r="AB64" s="407"/>
    </row>
    <row r="65" spans="1:28" s="183" customFormat="1" ht="11.45" customHeight="1">
      <c r="A65" s="122"/>
      <c r="B65" s="122" t="s">
        <v>2959</v>
      </c>
      <c r="C65" s="122"/>
      <c r="D65" s="120"/>
      <c r="E65" s="120"/>
      <c r="F65" s="122" t="s">
        <v>257</v>
      </c>
      <c r="G65" s="122"/>
      <c r="H65" s="120"/>
      <c r="I65" s="120"/>
      <c r="J65" s="122" t="s">
        <v>1077</v>
      </c>
      <c r="K65" s="122"/>
      <c r="L65" s="122"/>
      <c r="M65" s="122"/>
      <c r="N65" s="122"/>
      <c r="O65" s="122"/>
      <c r="P65" s="120"/>
      <c r="Q65" s="1436">
        <v>350</v>
      </c>
      <c r="R65" s="1435" t="s">
        <v>1762</v>
      </c>
      <c r="S65" s="194"/>
      <c r="T65" s="194"/>
      <c r="U65" s="194"/>
      <c r="AA65" s="407"/>
      <c r="AB65" s="407"/>
    </row>
    <row r="66" spans="1:28" s="183" customFormat="1" ht="11.45" customHeight="1">
      <c r="A66" s="122"/>
      <c r="B66" s="122"/>
      <c r="C66" s="122"/>
      <c r="D66" s="120"/>
      <c r="E66" s="120"/>
      <c r="F66" s="122" t="s">
        <v>2960</v>
      </c>
      <c r="G66" s="122"/>
      <c r="H66" s="120"/>
      <c r="I66" s="120"/>
      <c r="J66" s="122" t="s">
        <v>1077</v>
      </c>
      <c r="K66" s="122"/>
      <c r="L66" s="122"/>
      <c r="M66" s="122"/>
      <c r="N66" s="122"/>
      <c r="O66" s="122"/>
      <c r="P66" s="120"/>
      <c r="Q66" s="1436">
        <v>250</v>
      </c>
      <c r="R66" s="1435" t="s">
        <v>1762</v>
      </c>
      <c r="S66" s="194"/>
      <c r="T66" s="194"/>
      <c r="U66" s="194"/>
      <c r="AA66" s="407"/>
      <c r="AB66" s="407"/>
    </row>
    <row r="67" spans="1:28" s="183" customFormat="1" ht="11.45" customHeight="1">
      <c r="A67" s="122"/>
      <c r="B67" s="122"/>
      <c r="C67" s="122"/>
      <c r="D67" s="122"/>
      <c r="E67" s="120"/>
      <c r="F67" s="122" t="s">
        <v>2961</v>
      </c>
      <c r="G67" s="122"/>
      <c r="H67" s="120"/>
      <c r="I67" s="120"/>
      <c r="J67" s="122" t="s">
        <v>1077</v>
      </c>
      <c r="K67" s="122"/>
      <c r="L67" s="122"/>
      <c r="M67" s="122"/>
      <c r="N67" s="122"/>
      <c r="O67" s="122"/>
      <c r="P67" s="120"/>
      <c r="Q67" s="1436">
        <v>420</v>
      </c>
      <c r="R67" s="1435" t="s">
        <v>1762</v>
      </c>
      <c r="S67" s="194"/>
      <c r="T67" s="194"/>
      <c r="U67" s="194"/>
      <c r="AA67" s="407"/>
      <c r="AB67" s="407"/>
    </row>
    <row r="68" spans="1:28" s="183" customFormat="1" ht="11.45" customHeight="1">
      <c r="A68" s="122"/>
      <c r="B68" s="122"/>
      <c r="C68" s="122"/>
      <c r="D68" s="122"/>
      <c r="E68" s="120"/>
      <c r="F68" s="122" t="s">
        <v>117</v>
      </c>
      <c r="G68" s="122"/>
      <c r="H68" s="120"/>
      <c r="I68" s="120"/>
      <c r="J68" s="122" t="s">
        <v>1077</v>
      </c>
      <c r="K68" s="122"/>
      <c r="L68" s="122"/>
      <c r="M68" s="122"/>
      <c r="N68" s="122"/>
      <c r="O68" s="122"/>
      <c r="P68" s="120"/>
      <c r="Q68" s="1436">
        <v>420</v>
      </c>
      <c r="R68" s="1435" t="s">
        <v>1762</v>
      </c>
      <c r="S68" s="194"/>
      <c r="T68" s="194"/>
      <c r="U68" s="194"/>
      <c r="AA68" s="407"/>
      <c r="AB68" s="407"/>
    </row>
    <row r="69" spans="1:28" s="183" customFormat="1" ht="3" customHeight="1">
      <c r="A69" s="120"/>
      <c r="B69" s="122"/>
      <c r="C69" s="122"/>
      <c r="D69" s="122"/>
      <c r="E69" s="120"/>
      <c r="F69" s="122"/>
      <c r="G69" s="122"/>
      <c r="H69" s="120"/>
      <c r="I69" s="120"/>
      <c r="J69" s="122"/>
      <c r="K69" s="122"/>
      <c r="L69" s="122"/>
      <c r="M69" s="122"/>
      <c r="N69" s="122"/>
      <c r="O69" s="122"/>
      <c r="P69" s="120"/>
      <c r="Q69" s="122"/>
      <c r="R69" s="190"/>
      <c r="S69" s="194"/>
      <c r="T69" s="194"/>
      <c r="U69" s="194"/>
      <c r="AA69" s="407"/>
      <c r="AB69" s="407"/>
    </row>
    <row r="70" spans="1:28" s="183" customFormat="1" ht="12" customHeight="1">
      <c r="A70" s="188" t="s">
        <v>2962</v>
      </c>
      <c r="B70" s="122"/>
      <c r="C70" s="122"/>
      <c r="D70" s="122"/>
      <c r="E70" s="120"/>
      <c r="F70" s="122"/>
      <c r="G70" s="122"/>
      <c r="H70" s="120"/>
      <c r="I70" s="120"/>
      <c r="J70" s="122"/>
      <c r="K70" s="122"/>
      <c r="L70" s="122"/>
      <c r="M70" s="122"/>
      <c r="N70" s="122"/>
      <c r="O70" s="122"/>
      <c r="P70" s="120"/>
      <c r="Q70" s="122"/>
      <c r="R70" s="190"/>
      <c r="S70" s="194"/>
      <c r="T70" s="194"/>
      <c r="U70" s="194"/>
      <c r="AA70" s="407"/>
      <c r="AB70" s="407"/>
    </row>
    <row r="71" spans="1:28" s="183" customFormat="1" ht="11.45" customHeight="1">
      <c r="A71" s="122"/>
      <c r="B71" s="122" t="s">
        <v>2963</v>
      </c>
      <c r="C71" s="122"/>
      <c r="D71" s="120"/>
      <c r="E71" s="120"/>
      <c r="F71" s="122" t="s">
        <v>257</v>
      </c>
      <c r="G71" s="122"/>
      <c r="H71" s="120"/>
      <c r="I71" s="120"/>
      <c r="J71" s="122" t="s">
        <v>2964</v>
      </c>
      <c r="K71" s="122"/>
      <c r="L71" s="122"/>
      <c r="M71" s="122"/>
      <c r="N71" s="122"/>
      <c r="O71" s="122"/>
      <c r="P71" s="120"/>
      <c r="Q71" s="1551">
        <v>25000</v>
      </c>
      <c r="R71" s="1435" t="s">
        <v>2965</v>
      </c>
      <c r="S71" s="194"/>
      <c r="T71" s="194"/>
      <c r="U71" s="194"/>
      <c r="AA71" s="407"/>
      <c r="AB71" s="407"/>
    </row>
    <row r="72" spans="1:28" s="183" customFormat="1" ht="11.45" customHeight="1">
      <c r="A72" s="122"/>
      <c r="B72" s="122" t="s">
        <v>696</v>
      </c>
      <c r="C72" s="122"/>
      <c r="D72" s="120"/>
      <c r="E72" s="120"/>
      <c r="F72" s="122" t="s">
        <v>2960</v>
      </c>
      <c r="G72" s="122"/>
      <c r="H72" s="120"/>
      <c r="I72" s="120"/>
      <c r="J72" s="122" t="s">
        <v>2966</v>
      </c>
      <c r="K72" s="122"/>
      <c r="L72" s="122"/>
      <c r="M72" s="122"/>
      <c r="N72" s="122"/>
      <c r="O72" s="122"/>
      <c r="P72" s="120"/>
      <c r="Q72" s="1552" t="s">
        <v>64</v>
      </c>
      <c r="R72" s="1552">
        <v>0.05</v>
      </c>
      <c r="S72" s="194"/>
      <c r="T72" s="194"/>
      <c r="U72" s="194"/>
      <c r="AA72" s="407"/>
      <c r="AB72" s="407"/>
    </row>
    <row r="73" spans="1:28" s="183" customFormat="1" ht="11.45" customHeight="1">
      <c r="A73" s="122"/>
      <c r="B73" s="122"/>
      <c r="C73" s="122"/>
      <c r="D73" s="120"/>
      <c r="E73" s="120"/>
      <c r="F73" s="122" t="s">
        <v>257</v>
      </c>
      <c r="G73" s="122"/>
      <c r="H73" s="120"/>
      <c r="I73" s="120"/>
      <c r="J73" s="122" t="s">
        <v>2966</v>
      </c>
      <c r="K73" s="122"/>
      <c r="L73" s="122"/>
      <c r="M73" s="122"/>
      <c r="N73" s="122"/>
      <c r="O73" s="122"/>
      <c r="P73" s="120"/>
      <c r="Q73" s="1552" t="s">
        <v>64</v>
      </c>
      <c r="R73" s="1552">
        <v>0.1</v>
      </c>
      <c r="S73" s="194"/>
      <c r="T73" s="194"/>
      <c r="U73" s="194"/>
      <c r="AA73" s="407"/>
      <c r="AB73" s="407"/>
    </row>
    <row r="74" spans="1:28" s="183" customFormat="1" ht="11.45" customHeight="1">
      <c r="A74" s="122"/>
      <c r="B74" s="122" t="s">
        <v>2967</v>
      </c>
      <c r="C74" s="122"/>
      <c r="D74" s="120"/>
      <c r="E74" s="120"/>
      <c r="F74" s="122" t="s">
        <v>1762</v>
      </c>
      <c r="G74" s="122"/>
      <c r="H74" s="120"/>
      <c r="I74" s="120"/>
      <c r="J74" s="122" t="s">
        <v>2968</v>
      </c>
      <c r="K74" s="122"/>
      <c r="L74" s="122"/>
      <c r="M74" s="122"/>
      <c r="N74" s="122"/>
      <c r="O74" s="122"/>
      <c r="P74" s="120"/>
      <c r="Q74" s="1435" t="s">
        <v>1762</v>
      </c>
      <c r="R74" s="1552">
        <v>0.06</v>
      </c>
      <c r="S74" s="194"/>
      <c r="T74" s="194"/>
      <c r="U74" s="194"/>
      <c r="AA74" s="407"/>
      <c r="AB74" s="407"/>
    </row>
    <row r="75" spans="1:28" s="183" customFormat="1" ht="11.45" customHeight="1">
      <c r="A75" s="122"/>
      <c r="B75" s="122" t="s">
        <v>2969</v>
      </c>
      <c r="C75" s="122"/>
      <c r="D75" s="120"/>
      <c r="E75" s="120"/>
      <c r="F75" s="122" t="s">
        <v>1762</v>
      </c>
      <c r="G75" s="122"/>
      <c r="H75" s="120"/>
      <c r="I75" s="120"/>
      <c r="J75" s="122" t="s">
        <v>2968</v>
      </c>
      <c r="K75" s="122"/>
      <c r="L75" s="122"/>
      <c r="M75" s="122"/>
      <c r="N75" s="122"/>
      <c r="O75" s="122"/>
      <c r="P75" s="120"/>
      <c r="Q75" s="1435" t="s">
        <v>1762</v>
      </c>
      <c r="R75" s="1552">
        <v>0.02</v>
      </c>
      <c r="S75" s="194"/>
      <c r="T75" s="194"/>
      <c r="U75" s="194"/>
      <c r="AA75" s="407"/>
      <c r="AB75" s="407"/>
    </row>
    <row r="76" spans="1:28" s="183" customFormat="1" ht="11.45" customHeight="1">
      <c r="A76" s="122"/>
      <c r="B76" s="122" t="s">
        <v>2970</v>
      </c>
      <c r="C76" s="122"/>
      <c r="D76" s="120"/>
      <c r="E76" s="120"/>
      <c r="F76" s="122" t="s">
        <v>1762</v>
      </c>
      <c r="G76" s="122"/>
      <c r="H76" s="120"/>
      <c r="I76" s="120"/>
      <c r="J76" s="122" t="s">
        <v>2968</v>
      </c>
      <c r="K76" s="122"/>
      <c r="L76" s="122"/>
      <c r="M76" s="122"/>
      <c r="N76" s="122"/>
      <c r="O76" s="122"/>
      <c r="P76" s="120"/>
      <c r="Q76" s="1435" t="s">
        <v>1762</v>
      </c>
      <c r="R76" s="1552">
        <v>0.06</v>
      </c>
      <c r="S76" s="194"/>
      <c r="T76" s="194"/>
      <c r="U76" s="194"/>
      <c r="AA76" s="407"/>
      <c r="AB76" s="407"/>
    </row>
    <row r="77" spans="1:28" s="183" customFormat="1" ht="11.45" customHeight="1">
      <c r="A77" s="122"/>
      <c r="B77" s="122" t="s">
        <v>1160</v>
      </c>
      <c r="C77" s="122"/>
      <c r="D77" s="120"/>
      <c r="E77" s="120"/>
      <c r="F77" s="122" t="s">
        <v>713</v>
      </c>
      <c r="G77" s="122"/>
      <c r="H77" s="120"/>
      <c r="I77" s="120"/>
      <c r="J77" s="122"/>
      <c r="K77" s="122"/>
      <c r="L77" s="122"/>
      <c r="M77" s="122"/>
      <c r="N77" s="122"/>
      <c r="O77" s="122"/>
      <c r="P77" s="120"/>
      <c r="Q77" s="1435" t="s">
        <v>1762</v>
      </c>
      <c r="R77" s="1551">
        <v>20000</v>
      </c>
      <c r="S77" s="194"/>
      <c r="T77" s="194"/>
      <c r="U77" s="194"/>
      <c r="AA77" s="407"/>
      <c r="AB77" s="407"/>
    </row>
    <row r="78" spans="1:28" s="183" customFormat="1" ht="11.45" customHeight="1">
      <c r="A78" s="120"/>
      <c r="B78" s="194" t="s">
        <v>2971</v>
      </c>
      <c r="C78" s="122"/>
      <c r="D78" s="122"/>
      <c r="E78" s="120"/>
      <c r="F78" s="124" t="s">
        <v>2972</v>
      </c>
      <c r="G78" s="122"/>
      <c r="H78" s="120"/>
      <c r="I78" s="120"/>
      <c r="J78" s="122" t="s">
        <v>2973</v>
      </c>
      <c r="K78" s="122"/>
      <c r="L78" s="122"/>
      <c r="M78" s="122"/>
      <c r="N78" s="122"/>
      <c r="O78" s="122"/>
      <c r="P78" s="120"/>
      <c r="Q78" s="2268">
        <v>1000</v>
      </c>
      <c r="R78" s="2269"/>
      <c r="S78" s="194"/>
      <c r="T78" s="194"/>
      <c r="U78" s="194"/>
      <c r="AA78" s="407"/>
      <c r="AB78" s="407"/>
    </row>
    <row r="79" spans="1:28" s="183" customFormat="1" ht="11.45" customHeight="1">
      <c r="A79" s="122"/>
      <c r="B79" s="122"/>
      <c r="C79" s="122"/>
      <c r="D79" s="122"/>
      <c r="E79" s="120"/>
      <c r="G79" s="122"/>
      <c r="H79" s="120"/>
      <c r="I79" s="120"/>
      <c r="J79" s="122" t="s">
        <v>2974</v>
      </c>
      <c r="K79" s="122"/>
      <c r="L79" s="122"/>
      <c r="M79" s="122"/>
      <c r="N79" s="122"/>
      <c r="O79" s="122"/>
      <c r="P79" s="120"/>
      <c r="Q79" s="2268">
        <v>500</v>
      </c>
      <c r="R79" s="2269"/>
      <c r="S79" s="194"/>
      <c r="T79" s="194"/>
      <c r="U79" s="194"/>
      <c r="AA79" s="407"/>
      <c r="AB79" s="407"/>
    </row>
    <row r="80" spans="1:28" s="183" customFormat="1" ht="11.45" customHeight="1">
      <c r="A80" s="122"/>
      <c r="B80" s="122"/>
      <c r="C80" s="122"/>
      <c r="D80" s="122"/>
      <c r="E80" s="120"/>
      <c r="F80" s="124" t="s">
        <v>2975</v>
      </c>
      <c r="G80" s="122"/>
      <c r="H80" s="120"/>
      <c r="I80" s="120"/>
      <c r="J80" s="124" t="s">
        <v>2976</v>
      </c>
      <c r="K80" s="122"/>
      <c r="L80" s="122"/>
      <c r="M80" s="122"/>
      <c r="N80" s="122"/>
      <c r="O80" s="122"/>
      <c r="P80" s="120"/>
      <c r="Q80" s="2268">
        <v>1500</v>
      </c>
      <c r="R80" s="2269"/>
      <c r="S80" s="194"/>
      <c r="T80" s="194"/>
      <c r="U80" s="194"/>
      <c r="AA80" s="407"/>
      <c r="AB80" s="407"/>
    </row>
    <row r="81" spans="1:28" s="183" customFormat="1" ht="11.45" customHeight="1">
      <c r="A81" s="122"/>
      <c r="B81" s="122"/>
      <c r="C81" s="122"/>
      <c r="D81" s="122"/>
      <c r="E81" s="120"/>
      <c r="G81" s="122"/>
      <c r="H81" s="120"/>
      <c r="I81" s="120"/>
      <c r="J81" s="124" t="s">
        <v>2977</v>
      </c>
      <c r="K81" s="122"/>
      <c r="L81" s="122"/>
      <c r="M81" s="122"/>
      <c r="N81" s="122"/>
      <c r="O81" s="122"/>
      <c r="P81" s="120"/>
      <c r="Q81" s="2268">
        <v>1500</v>
      </c>
      <c r="R81" s="2269"/>
      <c r="S81" s="194"/>
      <c r="T81" s="194"/>
      <c r="U81" s="194"/>
      <c r="AA81" s="407"/>
      <c r="AB81" s="407"/>
    </row>
    <row r="82" spans="1:28" s="183" customFormat="1" ht="11.45" customHeight="1">
      <c r="A82" s="122"/>
      <c r="B82" s="122"/>
      <c r="C82" s="122"/>
      <c r="D82" s="122"/>
      <c r="E82" s="120"/>
      <c r="G82" s="122"/>
      <c r="H82" s="120"/>
      <c r="I82" s="120"/>
      <c r="J82" s="124" t="s">
        <v>2978</v>
      </c>
      <c r="K82" s="122"/>
      <c r="L82" s="122"/>
      <c r="M82" s="122"/>
      <c r="N82" s="122"/>
      <c r="O82" s="122"/>
      <c r="P82" s="120"/>
      <c r="Q82" s="2268">
        <v>1500</v>
      </c>
      <c r="R82" s="2269"/>
      <c r="S82" s="194"/>
      <c r="T82" s="194"/>
      <c r="U82" s="194"/>
      <c r="AA82" s="407"/>
      <c r="AB82" s="407"/>
    </row>
    <row r="83" spans="1:28" s="183" customFormat="1" ht="11.45" customHeight="1">
      <c r="A83" s="122"/>
      <c r="B83" s="122"/>
      <c r="C83" s="122"/>
      <c r="D83" s="122"/>
      <c r="E83" s="120"/>
      <c r="G83" s="122"/>
      <c r="H83" s="120"/>
      <c r="I83" s="120"/>
      <c r="J83" s="124" t="s">
        <v>2979</v>
      </c>
      <c r="K83" s="122"/>
      <c r="L83" s="122"/>
      <c r="M83" s="122"/>
      <c r="N83" s="122"/>
      <c r="O83" s="122"/>
      <c r="P83" s="120"/>
      <c r="Q83" s="2268">
        <v>1500</v>
      </c>
      <c r="R83" s="2269"/>
      <c r="S83" s="194"/>
      <c r="T83" s="194"/>
      <c r="U83" s="194"/>
      <c r="AA83" s="407"/>
      <c r="AB83" s="407"/>
    </row>
    <row r="84" spans="1:28" s="183" customFormat="1" ht="11.45" customHeight="1">
      <c r="A84" s="122"/>
      <c r="B84" s="122"/>
      <c r="C84" s="122"/>
      <c r="D84" s="122"/>
      <c r="E84" s="120"/>
      <c r="F84" s="124" t="s">
        <v>2980</v>
      </c>
      <c r="G84" s="122"/>
      <c r="H84" s="120"/>
      <c r="I84" s="120"/>
      <c r="J84" s="122" t="s">
        <v>2973</v>
      </c>
      <c r="K84" s="122"/>
      <c r="L84" s="122"/>
      <c r="M84" s="122"/>
      <c r="N84" s="122"/>
      <c r="O84" s="122"/>
      <c r="P84" s="120"/>
      <c r="Q84" s="2268">
        <v>6500</v>
      </c>
      <c r="R84" s="2269"/>
      <c r="S84" s="194"/>
      <c r="T84" s="194"/>
      <c r="U84" s="194"/>
      <c r="AA84" s="407"/>
      <c r="AB84" s="407"/>
    </row>
    <row r="85" spans="1:28" s="183" customFormat="1" ht="11.45" customHeight="1">
      <c r="A85" s="122"/>
      <c r="B85" s="122"/>
      <c r="C85" s="122"/>
      <c r="D85" s="122"/>
      <c r="E85" s="120"/>
      <c r="F85" s="124" t="s">
        <v>2980</v>
      </c>
      <c r="G85" s="122"/>
      <c r="H85" s="120"/>
      <c r="I85" s="120"/>
      <c r="J85" s="122" t="s">
        <v>2974</v>
      </c>
      <c r="K85" s="122"/>
      <c r="L85" s="122"/>
      <c r="M85" s="122"/>
      <c r="N85" s="122"/>
      <c r="O85" s="122"/>
      <c r="P85" s="120"/>
      <c r="Q85" s="2268">
        <v>5500</v>
      </c>
      <c r="R85" s="2269"/>
      <c r="S85" s="194"/>
      <c r="T85" s="194"/>
      <c r="U85" s="194"/>
      <c r="AA85" s="407"/>
      <c r="AB85" s="407"/>
    </row>
    <row r="86" spans="1:28" s="183" customFormat="1" ht="11.45" customHeight="1">
      <c r="A86" s="122"/>
      <c r="B86" s="122"/>
      <c r="C86" s="122"/>
      <c r="D86" s="122"/>
      <c r="E86" s="120"/>
      <c r="F86" s="124" t="s">
        <v>2981</v>
      </c>
      <c r="G86" s="122"/>
      <c r="H86" s="120"/>
      <c r="I86" s="120"/>
      <c r="J86" s="122"/>
      <c r="K86" s="122"/>
      <c r="L86" s="122"/>
      <c r="M86" s="122"/>
      <c r="N86" s="122"/>
      <c r="O86" s="122"/>
      <c r="P86" s="120"/>
      <c r="Q86" s="2268">
        <v>5000</v>
      </c>
      <c r="R86" s="2269"/>
      <c r="S86" s="194"/>
      <c r="T86" s="194"/>
      <c r="U86" s="194"/>
      <c r="AA86" s="407"/>
      <c r="AB86" s="407"/>
    </row>
    <row r="87" spans="1:28" s="183" customFormat="1" ht="11.45" customHeight="1">
      <c r="A87" s="122"/>
      <c r="B87" s="122"/>
      <c r="C87" s="122"/>
      <c r="D87" s="122"/>
      <c r="E87" s="120"/>
      <c r="F87" s="124" t="s">
        <v>2982</v>
      </c>
      <c r="G87" s="122"/>
      <c r="H87" s="120"/>
      <c r="I87" s="120"/>
      <c r="J87" s="122"/>
      <c r="K87" s="122"/>
      <c r="L87" s="122"/>
      <c r="M87" s="122"/>
      <c r="N87" s="122"/>
      <c r="O87" s="122"/>
      <c r="P87" s="120"/>
      <c r="Q87" s="2268">
        <v>1500</v>
      </c>
      <c r="R87" s="2269"/>
      <c r="S87" s="194"/>
      <c r="T87" s="194"/>
      <c r="U87" s="194"/>
      <c r="AA87" s="407"/>
      <c r="AB87" s="407"/>
    </row>
    <row r="88" spans="1:28" s="183" customFormat="1" ht="11.45" customHeight="1">
      <c r="A88" s="122"/>
      <c r="C88" s="122"/>
      <c r="D88" s="120"/>
      <c r="E88" s="120"/>
      <c r="F88" s="124" t="s">
        <v>2983</v>
      </c>
      <c r="H88" s="122"/>
      <c r="I88" s="120"/>
      <c r="J88" s="122" t="s">
        <v>2984</v>
      </c>
      <c r="K88" s="122"/>
      <c r="L88" s="122"/>
      <c r="M88" s="122"/>
      <c r="N88" s="122"/>
      <c r="O88" s="122"/>
      <c r="P88" s="120"/>
      <c r="Q88" s="2267">
        <v>0.08</v>
      </c>
      <c r="R88" s="2267"/>
      <c r="S88" s="194"/>
      <c r="T88" s="194"/>
      <c r="U88" s="194"/>
      <c r="AA88" s="407"/>
      <c r="AB88" s="407"/>
    </row>
    <row r="89" spans="1:28" s="183" customFormat="1" ht="11.45" customHeight="1">
      <c r="A89" s="122"/>
      <c r="C89" s="122"/>
      <c r="D89" s="120"/>
      <c r="E89" s="120"/>
      <c r="F89" s="124" t="s">
        <v>2985</v>
      </c>
      <c r="H89" s="122"/>
      <c r="I89" s="120"/>
      <c r="J89" s="122" t="s">
        <v>2984</v>
      </c>
      <c r="K89" s="122"/>
      <c r="L89" s="122"/>
      <c r="M89" s="122"/>
      <c r="N89" s="122"/>
      <c r="O89" s="122"/>
      <c r="P89" s="120"/>
      <c r="Q89" s="2267">
        <v>0.08</v>
      </c>
      <c r="R89" s="2267"/>
      <c r="S89" s="194"/>
      <c r="T89" s="194"/>
      <c r="U89" s="194"/>
      <c r="AA89" s="407"/>
      <c r="AB89" s="407"/>
    </row>
    <row r="90" spans="1:28" s="183" customFormat="1" ht="11.45" customHeight="1">
      <c r="A90" s="122"/>
      <c r="C90" s="122"/>
      <c r="D90" s="120"/>
      <c r="E90" s="120"/>
      <c r="F90" s="124" t="s">
        <v>2986</v>
      </c>
      <c r="H90" s="122"/>
      <c r="I90" s="120"/>
      <c r="J90" s="122"/>
      <c r="K90" s="122"/>
      <c r="L90" s="122"/>
      <c r="M90" s="122"/>
      <c r="N90" s="122"/>
      <c r="O90" s="122"/>
      <c r="P90" s="120"/>
      <c r="Q90" s="2268">
        <v>3000</v>
      </c>
      <c r="R90" s="2269"/>
      <c r="S90" s="194"/>
      <c r="T90" s="194"/>
      <c r="U90" s="194"/>
      <c r="AA90" s="407"/>
      <c r="AB90" s="407"/>
    </row>
    <row r="91" spans="1:28" s="183" customFormat="1" ht="11.45" customHeight="1">
      <c r="A91" s="122"/>
      <c r="C91" s="122"/>
      <c r="D91" s="120"/>
      <c r="E91" s="120"/>
      <c r="F91" s="124" t="s">
        <v>2987</v>
      </c>
      <c r="H91" s="122"/>
      <c r="I91" s="120"/>
      <c r="J91" s="122"/>
      <c r="K91" s="122"/>
      <c r="L91" s="122"/>
      <c r="M91" s="122"/>
      <c r="N91" s="122"/>
      <c r="O91" s="122"/>
      <c r="P91" s="120"/>
      <c r="Q91" s="2268">
        <v>1500</v>
      </c>
      <c r="R91" s="2269"/>
      <c r="S91" s="194"/>
      <c r="T91" s="194"/>
      <c r="U91" s="194"/>
      <c r="AA91" s="407"/>
      <c r="AB91" s="407"/>
    </row>
    <row r="92" spans="1:28" s="183" customFormat="1" ht="11.45" customHeight="1">
      <c r="A92" s="122"/>
      <c r="C92" s="122"/>
      <c r="D92" s="120"/>
      <c r="E92" s="120"/>
      <c r="F92" s="122" t="s">
        <v>2988</v>
      </c>
      <c r="H92" s="122" t="s">
        <v>2989</v>
      </c>
      <c r="I92" s="120"/>
      <c r="J92" s="122" t="s">
        <v>1077</v>
      </c>
      <c r="K92" s="122"/>
      <c r="L92" s="122"/>
      <c r="M92" s="122"/>
      <c r="N92" s="122"/>
      <c r="O92" s="122"/>
      <c r="P92" s="120"/>
      <c r="Q92" s="1435">
        <v>800</v>
      </c>
      <c r="R92" s="1435" t="s">
        <v>1762</v>
      </c>
      <c r="S92" s="194"/>
      <c r="T92" s="194"/>
      <c r="U92" s="194"/>
      <c r="AA92" s="407"/>
      <c r="AB92" s="407"/>
    </row>
    <row r="93" spans="1:28" s="183" customFormat="1" ht="11.45" customHeight="1">
      <c r="A93" s="122"/>
      <c r="B93" s="122"/>
      <c r="C93" s="122"/>
      <c r="D93" s="120"/>
      <c r="E93" s="120"/>
      <c r="H93" s="124" t="s">
        <v>2990</v>
      </c>
      <c r="I93" s="204"/>
      <c r="J93" s="124" t="s">
        <v>1077</v>
      </c>
      <c r="K93" s="124" t="s">
        <v>2991</v>
      </c>
      <c r="L93" s="124"/>
      <c r="M93" s="124"/>
      <c r="N93" s="124"/>
      <c r="O93" s="124"/>
      <c r="P93" s="204"/>
      <c r="Q93" s="1437">
        <f>Q92</f>
        <v>800</v>
      </c>
      <c r="R93" s="1437" t="s">
        <v>1762</v>
      </c>
      <c r="S93" s="194"/>
      <c r="T93" s="194"/>
      <c r="U93" s="194"/>
      <c r="AA93" s="407"/>
      <c r="AB93" s="407"/>
    </row>
    <row r="94" spans="1:28" s="183" customFormat="1" ht="11.45" customHeight="1">
      <c r="A94" s="122"/>
      <c r="B94" s="122"/>
      <c r="C94" s="122"/>
      <c r="D94" s="120"/>
      <c r="E94" s="120"/>
      <c r="H94" s="122" t="s">
        <v>2992</v>
      </c>
      <c r="I94" s="120"/>
      <c r="J94" s="122" t="s">
        <v>2993</v>
      </c>
      <c r="K94" s="122"/>
      <c r="L94" s="122"/>
      <c r="M94" s="122"/>
      <c r="N94" s="122"/>
      <c r="O94" s="122"/>
      <c r="P94" s="120"/>
      <c r="Q94" s="1435">
        <v>1500</v>
      </c>
      <c r="R94" s="1435" t="s">
        <v>1762</v>
      </c>
      <c r="S94" s="194"/>
      <c r="T94" s="194"/>
      <c r="U94" s="194"/>
      <c r="AA94" s="407"/>
      <c r="AB94" s="407"/>
    </row>
    <row r="95" spans="1:28" s="183" customFormat="1" ht="11.45" customHeight="1">
      <c r="A95" s="122"/>
      <c r="B95" s="122"/>
      <c r="C95" s="122"/>
      <c r="D95" s="120"/>
      <c r="E95" s="120"/>
      <c r="H95" s="122" t="s">
        <v>2994</v>
      </c>
      <c r="I95" s="120"/>
      <c r="J95" s="122" t="s">
        <v>2938</v>
      </c>
      <c r="K95" s="122"/>
      <c r="L95" s="122"/>
      <c r="M95" s="122"/>
      <c r="N95" s="122"/>
      <c r="O95" s="122"/>
      <c r="P95" s="120"/>
      <c r="Q95" s="1435">
        <v>750</v>
      </c>
      <c r="R95" s="1435" t="s">
        <v>1762</v>
      </c>
      <c r="S95" s="194"/>
      <c r="T95" s="194"/>
      <c r="U95" s="194"/>
      <c r="AA95" s="407"/>
      <c r="AB95" s="407"/>
    </row>
    <row r="96" spans="1:28" s="183" customFormat="1" ht="11.45" customHeight="1">
      <c r="A96" s="122"/>
      <c r="B96" s="124"/>
      <c r="C96" s="122"/>
      <c r="D96" s="120"/>
      <c r="E96" s="120"/>
      <c r="H96" s="122" t="s">
        <v>2995</v>
      </c>
      <c r="I96" s="120"/>
      <c r="J96" s="122" t="s">
        <v>2996</v>
      </c>
      <c r="K96" s="122"/>
      <c r="L96" s="122" t="s">
        <v>2997</v>
      </c>
      <c r="M96" s="122"/>
      <c r="N96" s="122"/>
      <c r="O96" s="122"/>
      <c r="P96" s="120"/>
      <c r="Q96" s="2268">
        <v>75</v>
      </c>
      <c r="R96" s="2269"/>
      <c r="S96" s="194"/>
      <c r="T96" s="194"/>
      <c r="U96" s="194"/>
      <c r="AA96" s="407"/>
      <c r="AB96" s="407"/>
    </row>
    <row r="97" spans="1:28" s="183" customFormat="1" ht="13.5">
      <c r="A97" s="122"/>
      <c r="B97" s="122" t="s">
        <v>2998</v>
      </c>
      <c r="C97" s="122"/>
      <c r="D97" s="990" t="s">
        <v>2999</v>
      </c>
      <c r="E97" s="120"/>
      <c r="F97" s="122"/>
      <c r="G97" s="122"/>
      <c r="H97" s="122"/>
      <c r="I97" s="120"/>
      <c r="J97" s="122" t="s">
        <v>2415</v>
      </c>
      <c r="K97" s="122"/>
      <c r="L97" s="122"/>
      <c r="M97" s="122"/>
      <c r="N97" s="122"/>
      <c r="O97" s="122"/>
      <c r="P97" s="120"/>
      <c r="Q97" s="2268">
        <v>1800000</v>
      </c>
      <c r="R97" s="2269"/>
      <c r="S97" s="194"/>
      <c r="T97" s="194"/>
      <c r="U97" s="194"/>
      <c r="AA97" s="407"/>
      <c r="AB97" s="407"/>
    </row>
    <row r="98" spans="1:28" s="183" customFormat="1" ht="13.5">
      <c r="A98" s="122"/>
      <c r="B98" s="122"/>
      <c r="C98" s="122"/>
      <c r="D98" s="120"/>
      <c r="E98" s="120"/>
      <c r="F98" s="122"/>
      <c r="G98" s="122"/>
      <c r="H98" s="122"/>
      <c r="I98" s="120"/>
      <c r="J98" s="122" t="s">
        <v>3000</v>
      </c>
      <c r="K98" s="122"/>
      <c r="L98" s="122"/>
      <c r="M98" s="122"/>
      <c r="N98" s="122"/>
      <c r="O98" s="122"/>
      <c r="P98" s="120"/>
      <c r="Q98" s="2268">
        <v>3500000</v>
      </c>
      <c r="R98" s="2269"/>
      <c r="S98" s="194"/>
      <c r="T98" s="194"/>
      <c r="U98" s="194"/>
      <c r="AA98" s="407"/>
      <c r="AB98" s="407"/>
    </row>
    <row r="99" spans="1:28" s="183" customFormat="1" ht="13.5" hidden="1">
      <c r="A99" s="122"/>
      <c r="B99" s="122"/>
      <c r="C99" s="122"/>
      <c r="D99" s="120"/>
      <c r="E99" s="120"/>
      <c r="F99" s="122" t="s">
        <v>3001</v>
      </c>
      <c r="G99" s="122"/>
      <c r="H99" s="122" t="s">
        <v>112</v>
      </c>
      <c r="I99" s="120"/>
      <c r="J99" s="122" t="s">
        <v>3002</v>
      </c>
      <c r="K99" s="122"/>
      <c r="L99" s="122"/>
      <c r="M99" s="122"/>
      <c r="N99" s="122"/>
      <c r="O99" s="122"/>
      <c r="P99" s="120"/>
      <c r="Q99" s="2271">
        <v>0.15</v>
      </c>
      <c r="R99" s="2272"/>
      <c r="S99" s="194"/>
      <c r="T99" s="194"/>
      <c r="U99" s="194"/>
      <c r="AA99" s="407"/>
      <c r="AB99" s="407"/>
    </row>
    <row r="100" spans="1:28" s="183" customFormat="1" ht="13.5" hidden="1">
      <c r="A100" s="122"/>
      <c r="B100" s="286"/>
      <c r="C100" s="122"/>
      <c r="D100" s="120"/>
      <c r="E100" s="120"/>
      <c r="F100" s="122"/>
      <c r="G100" s="122"/>
      <c r="H100" s="122" t="s">
        <v>3003</v>
      </c>
      <c r="I100" s="122" t="s">
        <v>3004</v>
      </c>
      <c r="J100" s="122" t="s">
        <v>3005</v>
      </c>
      <c r="K100" s="122"/>
      <c r="L100" s="122"/>
      <c r="M100" s="122"/>
      <c r="N100" s="122"/>
      <c r="O100" s="122"/>
      <c r="P100" s="120"/>
      <c r="Q100" s="2271">
        <v>0.15</v>
      </c>
      <c r="R100" s="2272"/>
      <c r="S100" s="194"/>
      <c r="T100" s="194"/>
      <c r="U100" s="194"/>
      <c r="AA100" s="407"/>
      <c r="AB100" s="407"/>
    </row>
    <row r="101" spans="1:28" s="183" customFormat="1" ht="13.5" hidden="1">
      <c r="A101" s="122"/>
      <c r="B101" s="286"/>
      <c r="C101" s="122"/>
      <c r="D101" s="120"/>
      <c r="E101" s="120"/>
      <c r="F101" s="122"/>
      <c r="G101" s="122"/>
      <c r="H101" s="122"/>
      <c r="I101" s="122" t="s">
        <v>3006</v>
      </c>
      <c r="J101" s="122" t="s">
        <v>3007</v>
      </c>
      <c r="K101" s="122"/>
      <c r="L101" s="122"/>
      <c r="M101" s="122"/>
      <c r="N101" s="122"/>
      <c r="O101" s="122"/>
      <c r="P101" s="120"/>
      <c r="Q101" s="2271">
        <v>0.15</v>
      </c>
      <c r="R101" s="2272"/>
      <c r="S101" s="194"/>
      <c r="T101" s="194"/>
      <c r="U101" s="194"/>
      <c r="AA101" s="407"/>
      <c r="AB101" s="407"/>
    </row>
    <row r="102" spans="1:28" s="183" customFormat="1" ht="13.5" hidden="1">
      <c r="A102" s="122"/>
      <c r="B102" s="286"/>
      <c r="C102" s="122"/>
      <c r="D102" s="120"/>
      <c r="E102" s="120"/>
      <c r="F102" s="122"/>
      <c r="G102" s="122"/>
      <c r="H102" s="122" t="s">
        <v>3008</v>
      </c>
      <c r="I102" s="120"/>
      <c r="J102" s="122" t="s">
        <v>3007</v>
      </c>
      <c r="K102" s="122"/>
      <c r="L102" s="122"/>
      <c r="M102" s="122"/>
      <c r="N102" s="122"/>
      <c r="O102" s="122"/>
      <c r="P102" s="120"/>
      <c r="Q102" s="2271">
        <v>0.15</v>
      </c>
      <c r="R102" s="2272"/>
      <c r="S102" s="194"/>
      <c r="T102" s="194"/>
      <c r="U102" s="194"/>
      <c r="AA102" s="407"/>
      <c r="AB102" s="407"/>
    </row>
    <row r="103" spans="1:28" s="183" customFormat="1" ht="13.5" hidden="1">
      <c r="A103" s="122"/>
      <c r="B103" s="286"/>
      <c r="C103" s="122"/>
      <c r="D103" s="120"/>
      <c r="E103" s="120"/>
      <c r="F103" s="122"/>
      <c r="G103" s="122"/>
      <c r="H103" s="122"/>
      <c r="I103" s="122" t="s">
        <v>3009</v>
      </c>
      <c r="J103" s="122" t="s">
        <v>3010</v>
      </c>
      <c r="K103" s="122"/>
      <c r="L103" s="122"/>
      <c r="M103" s="122"/>
      <c r="N103" s="122"/>
      <c r="O103" s="122"/>
      <c r="P103" s="120"/>
      <c r="Q103" s="2271">
        <v>0.15</v>
      </c>
      <c r="R103" s="2272"/>
      <c r="S103" s="194"/>
      <c r="T103" s="194"/>
      <c r="U103" s="194"/>
      <c r="AA103" s="407"/>
      <c r="AB103" s="407"/>
    </row>
    <row r="104" spans="1:28" s="183" customFormat="1" ht="13.5" hidden="1">
      <c r="A104" s="122"/>
      <c r="B104" s="286"/>
      <c r="C104" s="122"/>
      <c r="D104" s="120"/>
      <c r="E104" s="120"/>
      <c r="F104" s="122" t="s">
        <v>3011</v>
      </c>
      <c r="G104" s="122"/>
      <c r="H104" s="122"/>
      <c r="I104" s="120"/>
      <c r="J104" s="122" t="s">
        <v>3012</v>
      </c>
      <c r="K104" s="122"/>
      <c r="L104" s="122"/>
      <c r="M104" s="122"/>
      <c r="N104" s="122"/>
      <c r="O104" s="122"/>
      <c r="P104" s="120"/>
      <c r="Q104" s="2271">
        <v>0.15</v>
      </c>
      <c r="R104" s="2272"/>
      <c r="S104" s="194"/>
      <c r="T104" s="194"/>
      <c r="U104" s="194"/>
      <c r="AA104" s="407"/>
      <c r="AB104" s="407"/>
    </row>
    <row r="105" spans="1:28" s="183" customFormat="1" ht="13.5" hidden="1">
      <c r="A105" s="122"/>
      <c r="B105" s="286"/>
      <c r="C105" s="122"/>
      <c r="D105" s="120"/>
      <c r="E105" s="120"/>
      <c r="G105" s="122"/>
      <c r="H105" s="122"/>
      <c r="I105" s="120"/>
      <c r="J105" s="122" t="s">
        <v>3013</v>
      </c>
      <c r="K105" s="122"/>
      <c r="L105" s="122"/>
      <c r="M105" s="122"/>
      <c r="N105" s="122"/>
      <c r="O105" s="122"/>
      <c r="P105" s="120"/>
      <c r="Q105" s="2271" t="s">
        <v>3014</v>
      </c>
      <c r="R105" s="2272"/>
      <c r="S105" s="194"/>
      <c r="T105" s="194"/>
      <c r="U105" s="194"/>
      <c r="AA105" s="407"/>
      <c r="AB105" s="407"/>
    </row>
    <row r="106" spans="1:28" s="183" customFormat="1" ht="13.5">
      <c r="A106" s="122"/>
      <c r="B106" s="286"/>
      <c r="C106" s="122"/>
      <c r="D106" s="120"/>
      <c r="E106" s="120"/>
      <c r="F106" s="122" t="s">
        <v>3015</v>
      </c>
      <c r="G106" s="122"/>
      <c r="H106" s="122"/>
      <c r="I106" s="120"/>
      <c r="J106" s="122"/>
      <c r="K106" s="122"/>
      <c r="L106" s="122"/>
      <c r="M106" s="122"/>
      <c r="N106" s="122"/>
      <c r="O106" s="122"/>
      <c r="P106" s="120"/>
      <c r="Q106" s="1438">
        <v>0</v>
      </c>
      <c r="R106" s="1438">
        <v>15</v>
      </c>
      <c r="S106" s="194"/>
      <c r="T106" s="194"/>
      <c r="U106" s="194"/>
      <c r="AA106" s="407"/>
      <c r="AB106" s="407"/>
    </row>
    <row r="107" spans="1:28" s="183" customFormat="1" ht="11.25" hidden="1" customHeight="1">
      <c r="A107" s="122"/>
      <c r="B107" s="286"/>
      <c r="C107" s="122"/>
      <c r="D107" s="120"/>
      <c r="E107" s="120"/>
      <c r="F107" s="122" t="s">
        <v>3016</v>
      </c>
      <c r="G107" s="122"/>
      <c r="I107" s="120"/>
      <c r="J107" s="122"/>
      <c r="K107" s="122"/>
      <c r="L107" s="122"/>
      <c r="M107" s="122"/>
      <c r="N107" s="122"/>
      <c r="O107" s="122"/>
      <c r="P107" s="120"/>
      <c r="Q107" s="1552">
        <v>0</v>
      </c>
      <c r="R107" s="1552">
        <v>0.5</v>
      </c>
      <c r="S107" s="194"/>
      <c r="T107" s="194"/>
      <c r="U107" s="194"/>
      <c r="AA107" s="407"/>
      <c r="AB107" s="407"/>
    </row>
    <row r="108" spans="1:28" s="183" customFormat="1" ht="11.45" customHeight="1">
      <c r="A108" s="122"/>
      <c r="B108" s="122" t="s">
        <v>2566</v>
      </c>
      <c r="C108" s="122"/>
      <c r="D108" s="122"/>
      <c r="E108" s="122"/>
      <c r="F108" s="122"/>
      <c r="G108" s="122"/>
      <c r="H108" s="120"/>
      <c r="I108" s="120"/>
      <c r="J108" s="122" t="s">
        <v>3017</v>
      </c>
      <c r="K108" s="122"/>
      <c r="L108" s="122"/>
      <c r="M108" s="122"/>
      <c r="N108" s="122"/>
      <c r="O108" s="122"/>
      <c r="P108" s="120"/>
      <c r="Q108" s="1439">
        <v>6</v>
      </c>
      <c r="R108" s="1435" t="s">
        <v>1762</v>
      </c>
      <c r="S108" s="194"/>
      <c r="T108" s="194"/>
      <c r="U108" s="194"/>
      <c r="AA108" s="407"/>
      <c r="AB108" s="407"/>
    </row>
    <row r="109" spans="1:28" s="183" customFormat="1" ht="11.45" customHeight="1">
      <c r="A109" s="122"/>
      <c r="B109" s="122"/>
      <c r="C109" s="122"/>
      <c r="D109" s="122"/>
      <c r="E109" s="122"/>
      <c r="F109" s="122"/>
      <c r="G109" s="122"/>
      <c r="H109" s="120"/>
      <c r="I109" s="120"/>
      <c r="J109" s="122" t="s">
        <v>3018</v>
      </c>
      <c r="K109" s="122"/>
      <c r="L109" s="122"/>
      <c r="M109" s="122"/>
      <c r="N109" s="122"/>
      <c r="O109" s="122"/>
      <c r="P109" s="120"/>
      <c r="Q109" s="1439">
        <v>6</v>
      </c>
      <c r="R109" s="1435" t="s">
        <v>1762</v>
      </c>
      <c r="S109" s="194"/>
      <c r="T109" s="194"/>
      <c r="U109" s="194"/>
      <c r="AA109" s="407"/>
      <c r="AB109" s="407"/>
    </row>
    <row r="110" spans="1:28" s="183" customFormat="1" ht="11.45" customHeight="1">
      <c r="A110" s="122"/>
      <c r="B110" s="287" t="s">
        <v>3019</v>
      </c>
      <c r="C110" s="122"/>
      <c r="D110" s="120"/>
      <c r="E110" s="120"/>
      <c r="F110" s="122"/>
      <c r="G110" s="122"/>
      <c r="I110" s="120"/>
      <c r="J110" s="122" t="s">
        <v>3020</v>
      </c>
      <c r="K110" s="122"/>
      <c r="L110" s="122"/>
      <c r="M110" s="122"/>
      <c r="N110" s="122"/>
      <c r="O110" s="122"/>
      <c r="P110" s="120"/>
      <c r="Q110" s="1439">
        <v>3</v>
      </c>
      <c r="R110" s="1435" t="s">
        <v>1762</v>
      </c>
      <c r="S110" s="194"/>
      <c r="T110" s="194"/>
      <c r="U110" s="194"/>
      <c r="AA110" s="407"/>
      <c r="AB110" s="407"/>
    </row>
    <row r="111" spans="1:28" s="183" customFormat="1" ht="11.45" customHeight="1">
      <c r="A111" s="122"/>
      <c r="B111" s="124" t="s">
        <v>3021</v>
      </c>
      <c r="C111" s="122"/>
      <c r="D111" s="120"/>
      <c r="E111" s="122"/>
      <c r="F111" s="122"/>
      <c r="G111" s="122"/>
      <c r="H111" s="120"/>
      <c r="I111" s="120"/>
      <c r="J111" s="122" t="s">
        <v>2938</v>
      </c>
      <c r="K111" s="122"/>
      <c r="L111" s="122"/>
      <c r="M111" s="122"/>
      <c r="N111" s="122"/>
      <c r="O111" s="122"/>
      <c r="P111" s="120"/>
      <c r="Q111" s="2268">
        <v>3000</v>
      </c>
      <c r="R111" s="2269"/>
      <c r="S111" s="194"/>
      <c r="T111" s="194"/>
      <c r="U111" s="194"/>
      <c r="AA111" s="407"/>
      <c r="AB111" s="407"/>
    </row>
    <row r="112" spans="1:28" s="183" customFormat="1" ht="11.45" customHeight="1">
      <c r="A112" s="122"/>
      <c r="B112" s="122"/>
      <c r="C112" s="122"/>
      <c r="D112" s="120"/>
      <c r="E112" s="120"/>
      <c r="O112" s="122"/>
      <c r="T112" s="189"/>
      <c r="U112" s="120"/>
      <c r="V112" s="856"/>
      <c r="W112" s="856"/>
      <c r="X112" s="856"/>
      <c r="AA112" s="407"/>
      <c r="AB112" s="407"/>
    </row>
    <row r="113" spans="1:28" s="183" customFormat="1" ht="11.45" customHeight="1">
      <c r="A113" s="184" t="s">
        <v>2930</v>
      </c>
      <c r="B113" s="184"/>
      <c r="C113" s="184"/>
      <c r="D113" s="120"/>
      <c r="E113" s="120"/>
      <c r="F113" s="184" t="s">
        <v>2931</v>
      </c>
      <c r="G113" s="184"/>
      <c r="H113" s="120"/>
      <c r="I113" s="120"/>
      <c r="J113" s="184" t="s">
        <v>2932</v>
      </c>
      <c r="K113" s="184"/>
      <c r="L113" s="184"/>
      <c r="M113" s="184"/>
      <c r="N113" s="184"/>
      <c r="O113" s="184"/>
      <c r="P113" s="120"/>
      <c r="Q113" s="123" t="s">
        <v>2413</v>
      </c>
      <c r="R113" s="123" t="s">
        <v>2415</v>
      </c>
      <c r="S113" s="200"/>
      <c r="T113" s="189"/>
      <c r="U113" s="120"/>
      <c r="V113" s="856"/>
      <c r="W113" s="856"/>
      <c r="X113" s="856"/>
      <c r="AA113" s="407"/>
      <c r="AB113" s="407"/>
    </row>
    <row r="114" spans="1:28" s="183" customFormat="1" ht="3" customHeight="1">
      <c r="A114" s="122"/>
      <c r="B114" s="122"/>
      <c r="C114" s="122"/>
      <c r="D114" s="122"/>
      <c r="E114" s="120"/>
      <c r="F114" s="122"/>
      <c r="G114" s="122"/>
      <c r="H114" s="192"/>
      <c r="I114" s="120"/>
      <c r="J114" s="122"/>
      <c r="K114" s="193"/>
      <c r="L114" s="193"/>
      <c r="M114" s="193"/>
      <c r="N114" s="193"/>
      <c r="O114" s="122"/>
      <c r="P114" s="120"/>
      <c r="Q114" s="191"/>
      <c r="R114" s="191"/>
      <c r="S114" s="120"/>
      <c r="T114" s="120"/>
      <c r="U114" s="120"/>
      <c r="AA114" s="407"/>
      <c r="AB114" s="407"/>
    </row>
    <row r="115" spans="1:28" s="183" customFormat="1" ht="3" customHeight="1">
      <c r="A115" s="120"/>
      <c r="B115" s="122"/>
      <c r="C115" s="122"/>
      <c r="D115" s="122"/>
      <c r="E115" s="122"/>
      <c r="F115" s="122"/>
      <c r="G115" s="122"/>
      <c r="H115" s="122"/>
      <c r="I115" s="120"/>
      <c r="J115" s="122"/>
      <c r="K115" s="122"/>
      <c r="L115" s="122"/>
      <c r="M115" s="122"/>
      <c r="N115" s="122"/>
      <c r="O115" s="122"/>
      <c r="P115" s="120"/>
      <c r="Q115" s="122"/>
      <c r="R115" s="122"/>
      <c r="S115" s="194"/>
      <c r="T115" s="194"/>
      <c r="U115" s="194"/>
      <c r="AA115" s="407"/>
      <c r="AB115" s="407"/>
    </row>
    <row r="116" spans="1:28" s="183" customFormat="1" ht="12" customHeight="1">
      <c r="A116" s="188" t="s">
        <v>3022</v>
      </c>
      <c r="B116" s="122"/>
      <c r="C116" s="122"/>
      <c r="D116" s="122"/>
      <c r="E116" s="122"/>
      <c r="F116" s="122"/>
      <c r="G116" s="122"/>
      <c r="H116" s="122"/>
      <c r="I116" s="120"/>
      <c r="J116" s="122"/>
      <c r="K116" s="122"/>
      <c r="L116" s="122"/>
      <c r="M116" s="122"/>
      <c r="N116" s="122"/>
      <c r="O116" s="122"/>
      <c r="P116" s="120"/>
      <c r="Q116" s="122"/>
      <c r="R116" s="122"/>
      <c r="S116" s="194"/>
      <c r="T116" s="194"/>
      <c r="U116" s="194"/>
      <c r="AA116" s="407"/>
      <c r="AB116" s="407"/>
    </row>
    <row r="117" spans="1:28" ht="11.45" customHeight="1">
      <c r="B117" s="195" t="s">
        <v>3023</v>
      </c>
      <c r="C117" s="104"/>
      <c r="D117" s="104"/>
      <c r="E117" s="104"/>
      <c r="F117" s="104"/>
      <c r="G117" s="104"/>
      <c r="J117" s="1440">
        <v>1</v>
      </c>
      <c r="K117" s="1440">
        <v>2</v>
      </c>
      <c r="L117" s="1440">
        <v>3</v>
      </c>
      <c r="M117" s="1440">
        <v>4</v>
      </c>
      <c r="N117" s="1440">
        <v>5</v>
      </c>
      <c r="O117" s="1440">
        <v>6</v>
      </c>
      <c r="P117" s="1440">
        <v>7</v>
      </c>
      <c r="Q117" s="1440">
        <v>8</v>
      </c>
    </row>
    <row r="118" spans="1:28" ht="10.9" customHeight="1">
      <c r="B118" s="104"/>
      <c r="C118" s="104"/>
      <c r="D118" s="104"/>
      <c r="E118" s="104"/>
      <c r="F118" s="104"/>
      <c r="G118" s="104"/>
      <c r="J118" s="1441">
        <v>0.7</v>
      </c>
      <c r="K118" s="1441">
        <v>0.8</v>
      </c>
      <c r="L118" s="1441">
        <v>0.9</v>
      </c>
      <c r="M118" s="1440" t="s">
        <v>3024</v>
      </c>
      <c r="N118" s="1441">
        <v>1.08</v>
      </c>
      <c r="O118" s="1441">
        <v>1.1599999999999999</v>
      </c>
      <c r="P118" s="1441">
        <v>1.24</v>
      </c>
      <c r="Q118" s="1441">
        <v>1.32</v>
      </c>
    </row>
    <row r="119" spans="1:28" s="194" customFormat="1" ht="11.45" customHeight="1">
      <c r="A119" s="122"/>
      <c r="B119" s="122" t="s">
        <v>3025</v>
      </c>
      <c r="C119" s="122"/>
      <c r="D119" s="122"/>
      <c r="E119" s="122"/>
      <c r="F119" s="122"/>
      <c r="G119" s="122"/>
      <c r="H119" s="122"/>
      <c r="J119" s="122" t="s">
        <v>3026</v>
      </c>
      <c r="K119" s="122"/>
      <c r="L119" s="122"/>
      <c r="M119" s="122"/>
      <c r="N119" s="122"/>
      <c r="O119" s="122"/>
      <c r="Q119" s="2267">
        <v>0.02</v>
      </c>
      <c r="R119" s="2267"/>
      <c r="AA119" s="407"/>
      <c r="AB119" s="407"/>
    </row>
    <row r="120" spans="1:28" s="194" customFormat="1" ht="11.45" customHeight="1">
      <c r="A120" s="122"/>
      <c r="B120" s="122" t="s">
        <v>3027</v>
      </c>
      <c r="C120" s="122"/>
      <c r="D120" s="122"/>
      <c r="E120" s="122"/>
      <c r="F120" s="122"/>
      <c r="G120" s="122"/>
      <c r="H120" s="122"/>
      <c r="J120" s="122" t="s">
        <v>3026</v>
      </c>
      <c r="K120" s="122"/>
      <c r="L120" s="122"/>
      <c r="M120" s="122"/>
      <c r="N120" s="122"/>
      <c r="O120" s="122"/>
      <c r="Q120" s="2267">
        <v>7.0000000000000007E-2</v>
      </c>
      <c r="R120" s="2267"/>
      <c r="AA120" s="407"/>
      <c r="AB120" s="407"/>
    </row>
    <row r="121" spans="1:28" s="194" customFormat="1" ht="11.45" customHeight="1">
      <c r="A121" s="122"/>
      <c r="B121" s="122" t="s">
        <v>3028</v>
      </c>
      <c r="C121" s="122"/>
      <c r="D121" s="122"/>
      <c r="E121" s="122"/>
      <c r="F121" s="122"/>
      <c r="G121" s="122"/>
      <c r="H121" s="122"/>
      <c r="J121" s="122" t="s">
        <v>3026</v>
      </c>
      <c r="K121" s="122"/>
      <c r="L121" s="122"/>
      <c r="M121" s="122"/>
      <c r="N121" s="122"/>
      <c r="O121" s="122"/>
      <c r="Q121" s="2267">
        <v>7.0000000000000007E-2</v>
      </c>
      <c r="R121" s="2267"/>
      <c r="AA121" s="407"/>
      <c r="AB121" s="407"/>
    </row>
    <row r="122" spans="1:28" s="183" customFormat="1" ht="11.45" customHeight="1">
      <c r="A122" s="122"/>
      <c r="B122" s="122" t="s">
        <v>3029</v>
      </c>
      <c r="C122" s="122"/>
      <c r="D122" s="120"/>
      <c r="E122" s="120"/>
      <c r="F122" s="120"/>
      <c r="G122" s="122"/>
      <c r="H122" s="120"/>
      <c r="I122" s="120"/>
      <c r="J122" s="122" t="s">
        <v>3026</v>
      </c>
      <c r="K122" s="122"/>
      <c r="L122" s="122"/>
      <c r="M122" s="122"/>
      <c r="N122" s="122"/>
      <c r="O122" s="122"/>
      <c r="P122" s="120"/>
      <c r="Q122" s="2267">
        <v>0.03</v>
      </c>
      <c r="R122" s="2267"/>
      <c r="S122" s="194"/>
      <c r="T122" s="194"/>
      <c r="U122" s="194"/>
      <c r="AA122" s="407"/>
      <c r="AB122" s="407"/>
    </row>
    <row r="123" spans="1:28" s="183" customFormat="1" ht="11.45" customHeight="1">
      <c r="A123" s="122"/>
      <c r="B123" s="122" t="s">
        <v>3030</v>
      </c>
      <c r="C123" s="122"/>
      <c r="D123" s="120"/>
      <c r="E123" s="120"/>
      <c r="F123" s="120"/>
      <c r="G123" s="122"/>
      <c r="H123" s="120"/>
      <c r="I123" s="120"/>
      <c r="J123" s="122" t="s">
        <v>3026</v>
      </c>
      <c r="K123" s="122"/>
      <c r="L123" s="122"/>
      <c r="M123" s="122"/>
      <c r="N123" s="122"/>
      <c r="O123" s="122"/>
      <c r="P123" s="120"/>
      <c r="Q123" s="2267">
        <v>0.03</v>
      </c>
      <c r="R123" s="2267"/>
      <c r="S123" s="194"/>
      <c r="T123" s="194"/>
      <c r="U123" s="194"/>
      <c r="AA123" s="407"/>
      <c r="AB123" s="407"/>
    </row>
    <row r="124" spans="1:28" s="183" customFormat="1" ht="11.45" customHeight="1">
      <c r="A124" s="122"/>
      <c r="B124" s="122" t="s">
        <v>3031</v>
      </c>
      <c r="C124" s="122"/>
      <c r="D124" s="120"/>
      <c r="E124" s="120"/>
      <c r="F124" s="120"/>
      <c r="G124" s="122"/>
      <c r="H124" s="120"/>
      <c r="I124" s="120"/>
      <c r="J124" s="122" t="s">
        <v>3026</v>
      </c>
      <c r="K124" s="122"/>
      <c r="L124" s="122"/>
      <c r="M124" s="122"/>
      <c r="N124" s="122"/>
      <c r="O124" s="122"/>
      <c r="P124" s="120"/>
      <c r="Q124" s="2267">
        <v>0</v>
      </c>
      <c r="R124" s="2267"/>
      <c r="S124" s="194"/>
      <c r="T124" s="194"/>
      <c r="U124" s="194"/>
      <c r="AA124" s="407"/>
      <c r="AB124" s="407"/>
    </row>
    <row r="125" spans="1:28" s="183" customFormat="1" ht="4.1500000000000004" customHeight="1">
      <c r="A125" s="184"/>
      <c r="B125" s="184"/>
      <c r="C125" s="184"/>
      <c r="D125" s="184"/>
      <c r="E125" s="120"/>
      <c r="F125" s="184"/>
      <c r="G125" s="184"/>
      <c r="H125" s="120"/>
      <c r="I125" s="120"/>
      <c r="J125" s="184"/>
      <c r="K125" s="184"/>
      <c r="L125" s="184"/>
      <c r="M125" s="184"/>
      <c r="N125" s="184"/>
      <c r="O125" s="184"/>
      <c r="P125" s="120"/>
      <c r="Q125" s="185"/>
      <c r="R125" s="186"/>
      <c r="S125" s="120"/>
      <c r="T125" s="120"/>
      <c r="U125" s="120"/>
      <c r="W125" s="187"/>
      <c r="X125" s="187"/>
      <c r="Y125" s="187"/>
      <c r="Z125" s="187"/>
      <c r="AA125" s="407"/>
      <c r="AB125" s="407"/>
    </row>
    <row r="126" spans="1:28" s="183" customFormat="1" ht="11.45" customHeight="1">
      <c r="A126" s="188" t="s">
        <v>3032</v>
      </c>
      <c r="B126" s="122"/>
      <c r="C126" s="122"/>
      <c r="D126" s="120"/>
      <c r="E126" s="120"/>
      <c r="F126" s="122" t="s">
        <v>2934</v>
      </c>
      <c r="G126" s="122"/>
      <c r="H126" s="122" t="s">
        <v>176</v>
      </c>
      <c r="I126" s="120"/>
      <c r="J126" s="122" t="s">
        <v>3033</v>
      </c>
      <c r="K126" s="122"/>
      <c r="L126" s="122"/>
      <c r="M126" s="122"/>
      <c r="N126" s="122"/>
      <c r="O126" s="122"/>
      <c r="P126" s="120"/>
      <c r="Q126" s="2267">
        <v>0.1</v>
      </c>
      <c r="R126" s="2267"/>
      <c r="S126" s="120"/>
      <c r="T126" s="120"/>
      <c r="U126" s="120"/>
      <c r="V126" s="812"/>
      <c r="W126" s="812"/>
      <c r="X126" s="123"/>
      <c r="AA126" s="407"/>
      <c r="AB126" s="407"/>
    </row>
    <row r="127" spans="1:28" s="183" customFormat="1" ht="11.45" customHeight="1">
      <c r="A127" s="188"/>
      <c r="B127" s="122"/>
      <c r="C127" s="122"/>
      <c r="D127" s="120"/>
      <c r="E127" s="120"/>
      <c r="F127" s="122"/>
      <c r="G127" s="122"/>
      <c r="H127" s="122" t="s">
        <v>177</v>
      </c>
      <c r="I127" s="120"/>
      <c r="J127" s="122" t="s">
        <v>3034</v>
      </c>
      <c r="K127" s="122"/>
      <c r="L127" s="122"/>
      <c r="M127" s="122"/>
      <c r="N127" s="122"/>
      <c r="O127" s="122"/>
      <c r="P127" s="120"/>
      <c r="Q127" s="2270">
        <v>1000000</v>
      </c>
      <c r="R127" s="2270"/>
      <c r="S127" s="120"/>
      <c r="T127" s="120"/>
      <c r="U127" s="120"/>
      <c r="V127" s="812"/>
      <c r="W127" s="812"/>
      <c r="X127" s="123"/>
      <c r="AA127" s="407"/>
      <c r="AB127" s="407"/>
    </row>
    <row r="128" spans="1:28" s="183" customFormat="1" ht="11.45" customHeight="1">
      <c r="A128" s="122"/>
      <c r="B128" s="122"/>
      <c r="C128" s="122"/>
      <c r="D128" s="120"/>
      <c r="E128" s="120"/>
      <c r="F128" s="122"/>
      <c r="G128" s="122"/>
      <c r="H128" s="122" t="s">
        <v>178</v>
      </c>
      <c r="I128" s="120"/>
      <c r="J128" s="122" t="s">
        <v>3035</v>
      </c>
      <c r="K128" s="122"/>
      <c r="L128" s="122"/>
      <c r="M128" s="122"/>
      <c r="N128" s="122"/>
      <c r="O128" s="122"/>
      <c r="P128" s="120"/>
      <c r="Q128" s="2270">
        <v>1500000</v>
      </c>
      <c r="R128" s="2270"/>
      <c r="S128" s="189"/>
      <c r="T128" s="189"/>
      <c r="U128" s="120"/>
      <c r="V128" s="856"/>
      <c r="W128" s="856"/>
      <c r="X128" s="856"/>
      <c r="AA128" s="407"/>
      <c r="AB128" s="407"/>
    </row>
    <row r="129" spans="1:28" s="183" customFormat="1" ht="11.45" customHeight="1">
      <c r="A129" s="122"/>
      <c r="B129" s="122"/>
      <c r="C129" s="122"/>
      <c r="D129" s="120"/>
      <c r="E129" s="120"/>
      <c r="F129" s="122"/>
      <c r="G129" s="122"/>
      <c r="H129" s="122"/>
      <c r="I129" s="120"/>
      <c r="J129" s="122" t="s">
        <v>3036</v>
      </c>
      <c r="K129" s="122"/>
      <c r="L129" s="122"/>
      <c r="M129" s="122"/>
      <c r="N129" s="122"/>
      <c r="O129" s="122"/>
      <c r="P129" s="120"/>
      <c r="Q129" s="2270">
        <v>375000</v>
      </c>
      <c r="R129" s="2270"/>
      <c r="S129" s="189"/>
      <c r="T129" s="189"/>
      <c r="U129" s="120"/>
      <c r="V129" s="856"/>
      <c r="W129" s="856"/>
      <c r="X129" s="856"/>
      <c r="AA129" s="407"/>
      <c r="AB129" s="407"/>
    </row>
    <row r="130" spans="1:28" s="183" customFormat="1" ht="11.45" customHeight="1">
      <c r="A130" s="122"/>
      <c r="B130" s="122"/>
      <c r="C130" s="122"/>
      <c r="D130" s="120"/>
      <c r="E130" s="120"/>
      <c r="F130" s="122" t="s">
        <v>2596</v>
      </c>
      <c r="G130" s="122"/>
      <c r="H130" s="122" t="s">
        <v>180</v>
      </c>
      <c r="I130" s="120"/>
      <c r="J130" s="122" t="s">
        <v>3037</v>
      </c>
      <c r="K130" s="122"/>
      <c r="L130" s="122"/>
      <c r="M130" s="122"/>
      <c r="N130" s="122"/>
      <c r="O130" s="122"/>
      <c r="P130" s="120"/>
      <c r="Q130" s="2270">
        <v>4000000</v>
      </c>
      <c r="R130" s="2270"/>
      <c r="S130" s="189"/>
      <c r="T130" s="189"/>
      <c r="U130" s="120"/>
      <c r="V130" s="856"/>
      <c r="W130" s="856"/>
      <c r="X130" s="856"/>
      <c r="AA130" s="407"/>
      <c r="AB130" s="407"/>
    </row>
    <row r="131" spans="1:28" s="183" customFormat="1" ht="11.45" customHeight="1">
      <c r="A131" s="122"/>
      <c r="B131" s="122"/>
      <c r="C131" s="122"/>
      <c r="D131" s="120"/>
      <c r="E131" s="120"/>
      <c r="F131" s="122"/>
      <c r="G131" s="122"/>
      <c r="H131" s="120"/>
      <c r="I131" s="120"/>
      <c r="J131" s="122"/>
      <c r="K131" s="122"/>
      <c r="L131" s="122"/>
      <c r="M131" s="122"/>
      <c r="N131" s="122"/>
      <c r="O131" s="122"/>
      <c r="P131" s="120"/>
      <c r="Q131" s="191"/>
      <c r="R131" s="191"/>
      <c r="S131" s="189"/>
      <c r="T131" s="189"/>
      <c r="U131" s="120"/>
      <c r="V131" s="856"/>
      <c r="W131" s="856"/>
      <c r="X131" s="856"/>
      <c r="AA131" s="407"/>
      <c r="AB131" s="407"/>
    </row>
    <row r="132" spans="1:28" ht="4.5" customHeight="1"/>
    <row r="133" spans="1:28">
      <c r="A133" s="188" t="s">
        <v>3038</v>
      </c>
      <c r="F133" s="122" t="s">
        <v>184</v>
      </c>
      <c r="G133" s="122"/>
      <c r="H133" s="120"/>
      <c r="I133" s="120"/>
      <c r="J133" s="122" t="s">
        <v>3033</v>
      </c>
      <c r="K133" s="122"/>
      <c r="L133" s="122"/>
      <c r="M133" s="122"/>
      <c r="N133" s="122"/>
      <c r="O133" s="122"/>
      <c r="P133" s="120"/>
      <c r="Q133" s="2267">
        <v>0.35</v>
      </c>
      <c r="R133" s="2267"/>
    </row>
    <row r="134" spans="1:28" s="183" customFormat="1" ht="12.75" customHeight="1">
      <c r="A134" s="188"/>
      <c r="B134" s="122"/>
      <c r="C134" s="122"/>
      <c r="D134" s="120"/>
      <c r="E134" s="120"/>
      <c r="F134" s="122" t="s">
        <v>3039</v>
      </c>
      <c r="G134" s="122"/>
      <c r="H134" s="120"/>
      <c r="I134" s="120"/>
      <c r="J134" s="122" t="s">
        <v>3033</v>
      </c>
      <c r="K134" s="122"/>
      <c r="L134" s="122"/>
      <c r="M134" s="122"/>
      <c r="N134" s="122"/>
      <c r="O134" s="122"/>
      <c r="P134" s="120"/>
      <c r="Q134" s="2267" t="s">
        <v>3040</v>
      </c>
      <c r="R134" s="2267"/>
      <c r="S134" s="120"/>
      <c r="T134" s="120"/>
      <c r="U134" s="120"/>
      <c r="V134" s="812"/>
      <c r="W134" s="812"/>
      <c r="X134" s="123"/>
      <c r="AA134" s="407"/>
      <c r="AB134" s="407"/>
    </row>
    <row r="135" spans="1:28" s="183" customFormat="1" ht="12.75" customHeight="1">
      <c r="A135" s="188"/>
      <c r="B135" s="122"/>
      <c r="C135" s="122"/>
      <c r="D135" s="120"/>
      <c r="E135" s="120"/>
      <c r="F135" s="122"/>
      <c r="G135" s="122"/>
      <c r="H135" s="120"/>
      <c r="I135" s="120"/>
      <c r="J135" s="122"/>
      <c r="K135" s="122"/>
      <c r="L135" s="122"/>
      <c r="M135" s="122"/>
      <c r="N135" s="122"/>
      <c r="O135" s="122"/>
      <c r="P135" s="120"/>
      <c r="Q135" s="286"/>
      <c r="R135" s="286"/>
      <c r="S135" s="120"/>
      <c r="T135" s="120"/>
      <c r="U135" s="120"/>
      <c r="V135" s="812"/>
      <c r="W135" s="812"/>
      <c r="X135" s="123"/>
      <c r="AA135" s="407"/>
      <c r="AB135" s="407"/>
    </row>
    <row r="136" spans="1:28" s="183" customFormat="1" ht="12.75" customHeight="1">
      <c r="A136" s="188" t="s">
        <v>3041</v>
      </c>
      <c r="B136" s="122"/>
      <c r="C136" s="122"/>
      <c r="D136" s="120"/>
      <c r="E136" s="120"/>
      <c r="F136" s="122" t="s">
        <v>3042</v>
      </c>
      <c r="G136" s="122"/>
      <c r="H136" s="120"/>
      <c r="I136" s="120"/>
      <c r="J136" s="122" t="s">
        <v>3043</v>
      </c>
      <c r="K136" s="122"/>
      <c r="L136" s="122"/>
      <c r="M136" s="122"/>
      <c r="N136" s="122"/>
      <c r="O136" s="122"/>
      <c r="P136" s="120"/>
      <c r="Q136" s="2267">
        <v>0.05</v>
      </c>
      <c r="R136" s="2267"/>
      <c r="S136" s="120"/>
      <c r="T136" s="120"/>
      <c r="U136" s="120"/>
      <c r="V136" s="812"/>
      <c r="W136" s="812"/>
      <c r="X136" s="123"/>
      <c r="AA136" s="407"/>
      <c r="AB136" s="407"/>
    </row>
    <row r="137" spans="1:28" s="183" customFormat="1" ht="12.75" customHeight="1">
      <c r="A137" s="188"/>
      <c r="B137" s="122"/>
      <c r="C137" s="122"/>
      <c r="D137" s="120"/>
      <c r="E137" s="120"/>
      <c r="F137" s="122"/>
      <c r="G137" s="122" t="s">
        <v>3044</v>
      </c>
      <c r="H137" s="120"/>
      <c r="I137" s="120"/>
      <c r="J137" s="122" t="s">
        <v>3045</v>
      </c>
      <c r="K137" s="122"/>
      <c r="L137" s="122"/>
      <c r="M137" s="122"/>
      <c r="N137" s="122"/>
      <c r="O137" s="122"/>
      <c r="P137" s="120"/>
      <c r="Q137" s="2267">
        <v>0.4</v>
      </c>
      <c r="R137" s="2267"/>
      <c r="S137" s="120"/>
      <c r="T137" s="120"/>
      <c r="U137" s="120"/>
      <c r="V137" s="812"/>
      <c r="W137" s="812"/>
      <c r="X137" s="123"/>
      <c r="AA137" s="407"/>
      <c r="AB137" s="407"/>
    </row>
    <row r="138" spans="1:28" s="183" customFormat="1" ht="12.75" customHeight="1">
      <c r="A138" s="188"/>
      <c r="B138" s="122"/>
      <c r="C138" s="122"/>
      <c r="D138" s="120"/>
      <c r="E138" s="120"/>
      <c r="F138" s="122" t="s">
        <v>3046</v>
      </c>
      <c r="G138" s="122"/>
      <c r="H138" s="120"/>
      <c r="I138" s="120"/>
      <c r="J138" s="122" t="s">
        <v>3043</v>
      </c>
      <c r="K138" s="122"/>
      <c r="L138" s="122"/>
      <c r="M138" s="122"/>
      <c r="N138" s="122"/>
      <c r="O138" s="122"/>
      <c r="P138" s="120"/>
      <c r="Q138" s="2267">
        <v>0.02</v>
      </c>
      <c r="R138" s="2267"/>
      <c r="S138" s="120"/>
      <c r="T138" s="120"/>
      <c r="U138" s="120"/>
      <c r="V138" s="812"/>
      <c r="W138" s="812"/>
      <c r="X138" s="123"/>
      <c r="AA138" s="407"/>
      <c r="AB138" s="407"/>
    </row>
    <row r="139" spans="1:28" s="183" customFormat="1" ht="12.75" customHeight="1">
      <c r="A139" s="188"/>
      <c r="B139" s="122"/>
      <c r="C139" s="122"/>
      <c r="D139" s="120"/>
      <c r="E139" s="120"/>
      <c r="F139" s="122"/>
      <c r="G139" s="122"/>
      <c r="H139" s="120"/>
      <c r="I139" s="120"/>
      <c r="J139" s="122"/>
      <c r="K139" s="122"/>
      <c r="L139" s="122"/>
      <c r="M139" s="122"/>
      <c r="N139" s="122"/>
      <c r="O139" s="122"/>
      <c r="P139" s="120"/>
      <c r="Q139" s="286"/>
      <c r="R139" s="286"/>
      <c r="S139" s="120"/>
      <c r="T139" s="120"/>
      <c r="U139" s="120"/>
      <c r="V139" s="812"/>
      <c r="W139" s="812"/>
      <c r="X139" s="123"/>
      <c r="AA139" s="407"/>
      <c r="AB139" s="407"/>
    </row>
    <row r="140" spans="1:28" ht="13.15" customHeight="1">
      <c r="C140" s="122"/>
      <c r="D140" s="120"/>
      <c r="E140" s="196"/>
      <c r="F140" s="196"/>
      <c r="G140" s="196"/>
      <c r="H140" s="196"/>
      <c r="I140" s="196"/>
    </row>
    <row r="141" spans="1:28" ht="13.5">
      <c r="C141" s="122"/>
      <c r="D141" s="120"/>
      <c r="J141" s="2282" t="s">
        <v>3047</v>
      </c>
      <c r="K141" s="2282"/>
      <c r="L141" s="181"/>
    </row>
    <row r="142" spans="1:28" ht="13.5">
      <c r="C142" s="122"/>
      <c r="D142" s="120"/>
      <c r="J142" s="2283" t="s">
        <v>3048</v>
      </c>
      <c r="K142" s="2283" t="s">
        <v>3049</v>
      </c>
      <c r="L142" s="285" t="s">
        <v>3050</v>
      </c>
    </row>
    <row r="143" spans="1:28" ht="10.5" customHeight="1">
      <c r="C143" s="122"/>
      <c r="D143" s="120"/>
      <c r="E143" s="194"/>
      <c r="F143" s="194"/>
      <c r="J143" s="856">
        <v>0</v>
      </c>
      <c r="K143" s="856">
        <v>0.7</v>
      </c>
      <c r="L143" s="856">
        <v>1</v>
      </c>
    </row>
    <row r="144" spans="1:28" ht="10.5" customHeight="1">
      <c r="C144" s="196"/>
      <c r="D144" s="196"/>
      <c r="E144" s="194"/>
      <c r="F144" s="194"/>
      <c r="J144" s="856">
        <v>1</v>
      </c>
      <c r="K144" s="856">
        <v>0.75</v>
      </c>
      <c r="L144" s="856">
        <v>1.5</v>
      </c>
    </row>
    <row r="145" spans="2:30" ht="10.5" customHeight="1">
      <c r="C145" s="196"/>
      <c r="D145" s="196"/>
      <c r="E145" s="194"/>
      <c r="F145" s="194"/>
      <c r="J145" s="856">
        <v>2</v>
      </c>
      <c r="K145" s="856">
        <v>0.9</v>
      </c>
      <c r="L145" s="856">
        <v>3</v>
      </c>
    </row>
    <row r="146" spans="2:30" ht="10.5" customHeight="1">
      <c r="C146" s="196"/>
      <c r="D146" s="196"/>
      <c r="E146" s="194"/>
      <c r="F146" s="194"/>
      <c r="J146" s="856">
        <v>3</v>
      </c>
      <c r="K146" s="856">
        <v>1.04</v>
      </c>
      <c r="L146" s="856">
        <v>4.5</v>
      </c>
    </row>
    <row r="147" spans="2:30" ht="10.5" customHeight="1">
      <c r="C147" s="196"/>
      <c r="D147" s="196"/>
      <c r="E147" s="194"/>
      <c r="F147" s="194"/>
      <c r="J147" s="856">
        <v>4</v>
      </c>
      <c r="K147" s="856">
        <v>1.1599999999999999</v>
      </c>
      <c r="L147" s="856">
        <v>6</v>
      </c>
    </row>
    <row r="148" spans="2:30" ht="10.5" customHeight="1">
      <c r="E148" s="194"/>
      <c r="F148" s="194"/>
      <c r="J148" s="856">
        <v>5</v>
      </c>
      <c r="K148" s="856">
        <v>1.28</v>
      </c>
      <c r="L148" s="856">
        <v>7.5</v>
      </c>
    </row>
    <row r="149" spans="2:30" ht="10.5" customHeight="1">
      <c r="E149" s="194"/>
      <c r="F149" s="194"/>
      <c r="J149" s="856"/>
      <c r="K149" s="856"/>
      <c r="L149" s="856"/>
    </row>
    <row r="150" spans="2:30" ht="10.5" customHeight="1">
      <c r="E150" s="194"/>
      <c r="F150" s="194"/>
      <c r="J150" s="856"/>
      <c r="K150" s="856"/>
      <c r="L150" s="856"/>
    </row>
    <row r="151" spans="2:30" ht="10.5" customHeight="1">
      <c r="C151" s="2273" t="s">
        <v>3051</v>
      </c>
      <c r="E151" s="194"/>
      <c r="F151" s="194"/>
    </row>
    <row r="152" spans="2:30" ht="10.5" customHeight="1">
      <c r="C152" s="2273"/>
      <c r="E152" s="194"/>
      <c r="F152" s="194"/>
    </row>
    <row r="153" spans="2:30" ht="10.5" customHeight="1">
      <c r="C153" s="2273"/>
      <c r="D153" s="1107" t="s">
        <v>3052</v>
      </c>
      <c r="E153" s="491"/>
      <c r="F153" s="194"/>
    </row>
    <row r="154" spans="2:30" ht="39.75" customHeight="1">
      <c r="C154" s="387" t="s">
        <v>1074</v>
      </c>
      <c r="D154" s="284" t="s">
        <v>1022</v>
      </c>
      <c r="E154" s="194"/>
      <c r="F154" s="442" t="s">
        <v>44</v>
      </c>
      <c r="G154" s="442" t="s">
        <v>3053</v>
      </c>
      <c r="H154" s="442" t="s">
        <v>3054</v>
      </c>
      <c r="I154" s="443" t="s">
        <v>3055</v>
      </c>
      <c r="J154" s="443" t="s">
        <v>3056</v>
      </c>
      <c r="K154" s="442" t="s">
        <v>3057</v>
      </c>
      <c r="L154" s="444" t="s">
        <v>3058</v>
      </c>
      <c r="M154" s="444" t="s">
        <v>3059</v>
      </c>
      <c r="N154" s="444" t="s">
        <v>3060</v>
      </c>
      <c r="O154" s="444" t="s">
        <v>3061</v>
      </c>
      <c r="P154" s="442" t="s">
        <v>3062</v>
      </c>
      <c r="Q154" s="442"/>
      <c r="R154" s="122"/>
      <c r="S154" s="290"/>
      <c r="T154" s="445" t="s">
        <v>42</v>
      </c>
      <c r="U154" s="446" t="s">
        <v>79</v>
      </c>
      <c r="W154" s="475" t="s">
        <v>3063</v>
      </c>
      <c r="Z154" s="326"/>
      <c r="AA154" s="326"/>
      <c r="AB154" s="12"/>
      <c r="AC154" s="407"/>
      <c r="AD154" s="407"/>
    </row>
    <row r="155" spans="2:30" ht="10.5" customHeight="1">
      <c r="B155" s="194"/>
      <c r="C155" s="282" t="s">
        <v>2180</v>
      </c>
      <c r="D155" s="340">
        <v>47300</v>
      </c>
      <c r="E155" s="194"/>
      <c r="F155" s="194" t="s">
        <v>479</v>
      </c>
      <c r="G155" s="878" t="s">
        <v>3064</v>
      </c>
      <c r="H155" s="878" t="s">
        <v>3065</v>
      </c>
      <c r="I155" s="879" t="s">
        <v>3066</v>
      </c>
      <c r="J155" s="879" t="s">
        <v>2957</v>
      </c>
      <c r="K155" s="880" t="s">
        <v>3067</v>
      </c>
      <c r="L155" s="881" t="s">
        <v>3068</v>
      </c>
      <c r="M155" s="2284" t="s">
        <v>184</v>
      </c>
      <c r="N155" s="2284" t="s">
        <v>2951</v>
      </c>
      <c r="O155" s="2285" t="s">
        <v>3069</v>
      </c>
      <c r="P155" s="447" t="s">
        <v>3070</v>
      </c>
      <c r="Q155" s="200"/>
      <c r="R155" s="122"/>
      <c r="S155" s="290"/>
      <c r="T155" s="399" t="s">
        <v>3071</v>
      </c>
      <c r="U155" s="399" t="s">
        <v>3072</v>
      </c>
      <c r="W155" s="326" t="s">
        <v>3071</v>
      </c>
      <c r="X155" s="326" t="s">
        <v>3073</v>
      </c>
      <c r="Z155" s="326"/>
      <c r="AA155" s="12"/>
      <c r="AB155" s="12"/>
      <c r="AC155" s="808"/>
      <c r="AD155" s="407"/>
    </row>
    <row r="156" spans="2:30" ht="10.5" customHeight="1">
      <c r="B156" s="194"/>
      <c r="C156" s="282" t="s">
        <v>3066</v>
      </c>
      <c r="D156" s="340">
        <v>47900</v>
      </c>
      <c r="E156" s="194"/>
      <c r="F156" s="194" t="s">
        <v>480</v>
      </c>
      <c r="G156" s="878" t="s">
        <v>3074</v>
      </c>
      <c r="H156" s="878" t="s">
        <v>3065</v>
      </c>
      <c r="I156" s="879" t="s">
        <v>3075</v>
      </c>
      <c r="J156" s="879" t="s">
        <v>2957</v>
      </c>
      <c r="K156" s="880" t="s">
        <v>3076</v>
      </c>
      <c r="L156" s="881" t="s">
        <v>3068</v>
      </c>
      <c r="M156" s="2284" t="s">
        <v>184</v>
      </c>
      <c r="N156" s="2284" t="s">
        <v>43</v>
      </c>
      <c r="O156" s="2285" t="s">
        <v>3077</v>
      </c>
      <c r="P156" s="447" t="s">
        <v>3078</v>
      </c>
      <c r="Q156" s="200"/>
      <c r="R156" s="122"/>
      <c r="S156" s="290"/>
      <c r="T156" s="399" t="s">
        <v>3079</v>
      </c>
      <c r="U156" s="399" t="s">
        <v>301</v>
      </c>
      <c r="W156" s="326" t="s">
        <v>3079</v>
      </c>
      <c r="X156" s="326" t="s">
        <v>3073</v>
      </c>
      <c r="Z156" s="326"/>
      <c r="AA156" s="12"/>
      <c r="AB156" s="12"/>
      <c r="AC156" s="808"/>
      <c r="AD156" s="407"/>
    </row>
    <row r="157" spans="2:30" ht="10.5" customHeight="1">
      <c r="B157" s="194"/>
      <c r="C157" s="282" t="s">
        <v>3080</v>
      </c>
      <c r="D157" s="340">
        <v>61500</v>
      </c>
      <c r="E157" s="194"/>
      <c r="F157" s="194" t="s">
        <v>481</v>
      </c>
      <c r="G157" s="878" t="s">
        <v>3081</v>
      </c>
      <c r="H157" s="878" t="s">
        <v>3065</v>
      </c>
      <c r="I157" s="879" t="s">
        <v>3082</v>
      </c>
      <c r="J157" s="879" t="s">
        <v>2957</v>
      </c>
      <c r="K157" s="880" t="s">
        <v>3083</v>
      </c>
      <c r="L157" s="881" t="s">
        <v>3068</v>
      </c>
      <c r="M157" s="2284" t="s">
        <v>184</v>
      </c>
      <c r="N157" s="2284" t="s">
        <v>43</v>
      </c>
      <c r="O157" s="2285" t="s">
        <v>3084</v>
      </c>
      <c r="P157" s="447" t="s">
        <v>3085</v>
      </c>
      <c r="Q157" s="200"/>
      <c r="R157" s="122"/>
      <c r="S157" s="290"/>
      <c r="T157" s="399" t="s">
        <v>3086</v>
      </c>
      <c r="U157" s="399" t="s">
        <v>3087</v>
      </c>
      <c r="W157" s="326" t="s">
        <v>3086</v>
      </c>
      <c r="X157" s="326" t="s">
        <v>3073</v>
      </c>
      <c r="Z157" s="326"/>
      <c r="AA157" s="12"/>
      <c r="AB157" s="12"/>
      <c r="AC157" s="808"/>
      <c r="AD157" s="407"/>
    </row>
    <row r="158" spans="2:30" ht="10.5" customHeight="1">
      <c r="B158" s="194"/>
      <c r="C158" s="282" t="s">
        <v>3075</v>
      </c>
      <c r="D158" s="340">
        <v>38400</v>
      </c>
      <c r="E158" s="194"/>
      <c r="F158" s="194" t="s">
        <v>482</v>
      </c>
      <c r="G158" s="878" t="s">
        <v>3088</v>
      </c>
      <c r="H158" s="878" t="s">
        <v>3065</v>
      </c>
      <c r="I158" s="882" t="s">
        <v>2180</v>
      </c>
      <c r="J158" s="882" t="s">
        <v>2944</v>
      </c>
      <c r="K158" s="880" t="s">
        <v>3089</v>
      </c>
      <c r="L158" s="881" t="s">
        <v>3090</v>
      </c>
      <c r="M158" s="2284" t="s">
        <v>2956</v>
      </c>
      <c r="N158" s="2284" t="s">
        <v>2180</v>
      </c>
      <c r="O158" s="2285" t="s">
        <v>3091</v>
      </c>
      <c r="P158" s="447" t="s">
        <v>3092</v>
      </c>
      <c r="Q158" s="200"/>
      <c r="R158" s="122"/>
      <c r="S158" s="290"/>
      <c r="T158" s="399" t="s">
        <v>3093</v>
      </c>
      <c r="U158" s="399" t="s">
        <v>3094</v>
      </c>
      <c r="W158" s="326" t="s">
        <v>3095</v>
      </c>
      <c r="X158" s="326" t="s">
        <v>3073</v>
      </c>
      <c r="Z158" s="326"/>
      <c r="AA158" s="12"/>
      <c r="AB158" s="12"/>
      <c r="AC158" s="808"/>
      <c r="AD158" s="407"/>
    </row>
    <row r="159" spans="2:30" ht="10.5" customHeight="1">
      <c r="B159" s="194"/>
      <c r="C159" s="282" t="s">
        <v>3096</v>
      </c>
      <c r="D159" s="340">
        <v>69700</v>
      </c>
      <c r="E159" s="194"/>
      <c r="F159" s="194" t="s">
        <v>483</v>
      </c>
      <c r="G159" s="878" t="s">
        <v>3097</v>
      </c>
      <c r="H159" s="878" t="s">
        <v>3098</v>
      </c>
      <c r="I159" s="882" t="s">
        <v>3099</v>
      </c>
      <c r="J159" s="882" t="s">
        <v>2957</v>
      </c>
      <c r="K159" s="880" t="s">
        <v>3100</v>
      </c>
      <c r="L159" s="881" t="s">
        <v>3068</v>
      </c>
      <c r="M159" s="2284" t="s">
        <v>184</v>
      </c>
      <c r="N159" s="2284" t="s">
        <v>2950</v>
      </c>
      <c r="O159" s="2285" t="s">
        <v>3101</v>
      </c>
      <c r="P159" s="447" t="s">
        <v>3102</v>
      </c>
      <c r="Q159" s="200"/>
      <c r="R159" s="122"/>
      <c r="S159" s="290"/>
      <c r="T159" s="399" t="s">
        <v>3095</v>
      </c>
      <c r="U159" s="399" t="s">
        <v>3103</v>
      </c>
      <c r="W159" s="326" t="s">
        <v>3104</v>
      </c>
      <c r="X159" s="326" t="s">
        <v>3073</v>
      </c>
      <c r="Z159" s="326"/>
      <c r="AA159" s="12"/>
      <c r="AB159" s="12"/>
      <c r="AC159" s="808"/>
      <c r="AD159" s="407"/>
    </row>
    <row r="160" spans="2:30" ht="10.5" customHeight="1">
      <c r="B160" s="194"/>
      <c r="C160" s="282" t="s">
        <v>3105</v>
      </c>
      <c r="D160" s="340">
        <v>62000</v>
      </c>
      <c r="E160" s="194"/>
      <c r="F160" s="194" t="s">
        <v>484</v>
      </c>
      <c r="G160" s="878" t="s">
        <v>3106</v>
      </c>
      <c r="H160" s="878" t="s">
        <v>3098</v>
      </c>
      <c r="I160" s="879" t="s">
        <v>3107</v>
      </c>
      <c r="J160" s="879" t="s">
        <v>2957</v>
      </c>
      <c r="K160" s="880" t="s">
        <v>3108</v>
      </c>
      <c r="L160" s="881" t="s">
        <v>3068</v>
      </c>
      <c r="M160" s="2284" t="s">
        <v>184</v>
      </c>
      <c r="N160" s="2284" t="s">
        <v>2946</v>
      </c>
      <c r="O160" s="2285" t="s">
        <v>3109</v>
      </c>
      <c r="P160" s="447" t="s">
        <v>3110</v>
      </c>
      <c r="Q160" s="200"/>
      <c r="R160" s="122"/>
      <c r="S160" s="290"/>
      <c r="T160" s="399" t="s">
        <v>3111</v>
      </c>
      <c r="U160" s="399" t="s">
        <v>330</v>
      </c>
      <c r="W160" s="326" t="s">
        <v>2180</v>
      </c>
      <c r="X160" s="326" t="s">
        <v>3073</v>
      </c>
      <c r="Z160" s="326"/>
      <c r="AA160" s="12"/>
      <c r="AB160" s="12"/>
      <c r="AC160" s="808"/>
      <c r="AD160" s="407"/>
    </row>
    <row r="161" spans="2:30" ht="10.5" customHeight="1">
      <c r="B161" s="194"/>
      <c r="C161" s="282" t="s">
        <v>3082</v>
      </c>
      <c r="D161" s="340">
        <v>50200</v>
      </c>
      <c r="E161" s="194"/>
      <c r="F161" s="194" t="s">
        <v>485</v>
      </c>
      <c r="G161" s="878" t="s">
        <v>351</v>
      </c>
      <c r="H161" s="878" t="s">
        <v>3098</v>
      </c>
      <c r="I161" s="882" t="s">
        <v>3096</v>
      </c>
      <c r="J161" s="882" t="s">
        <v>2944</v>
      </c>
      <c r="K161" s="880" t="s">
        <v>3112</v>
      </c>
      <c r="L161" s="881" t="s">
        <v>3090</v>
      </c>
      <c r="M161" s="2284" t="s">
        <v>2956</v>
      </c>
      <c r="N161" s="2284" t="s">
        <v>413</v>
      </c>
      <c r="O161" s="2285" t="s">
        <v>3113</v>
      </c>
      <c r="P161" s="447" t="s">
        <v>3114</v>
      </c>
      <c r="Q161" s="200"/>
      <c r="R161" s="122"/>
      <c r="S161" s="290"/>
      <c r="T161" s="399" t="s">
        <v>3104</v>
      </c>
      <c r="U161" s="399" t="s">
        <v>3115</v>
      </c>
      <c r="W161" s="326" t="s">
        <v>3116</v>
      </c>
      <c r="X161" s="326" t="s">
        <v>3073</v>
      </c>
      <c r="Z161" s="326"/>
      <c r="AA161" s="12"/>
      <c r="AB161" s="12"/>
      <c r="AC161" s="808"/>
      <c r="AD161" s="407"/>
    </row>
    <row r="162" spans="2:30" ht="10.5" customHeight="1">
      <c r="B162" s="194"/>
      <c r="C162" s="282" t="s">
        <v>3099</v>
      </c>
      <c r="D162" s="340">
        <v>49200</v>
      </c>
      <c r="E162" s="194"/>
      <c r="F162" s="194" t="s">
        <v>486</v>
      </c>
      <c r="G162" s="878" t="s">
        <v>3087</v>
      </c>
      <c r="H162" s="878" t="s">
        <v>3098</v>
      </c>
      <c r="I162" s="882" t="s">
        <v>3096</v>
      </c>
      <c r="J162" s="882" t="s">
        <v>2944</v>
      </c>
      <c r="K162" s="880" t="s">
        <v>3112</v>
      </c>
      <c r="L162" s="881" t="s">
        <v>3090</v>
      </c>
      <c r="M162" s="2284" t="s">
        <v>2956</v>
      </c>
      <c r="N162" s="2284" t="s">
        <v>413</v>
      </c>
      <c r="O162" s="2285" t="s">
        <v>3117</v>
      </c>
      <c r="P162" s="447" t="s">
        <v>3118</v>
      </c>
      <c r="Q162" s="200"/>
      <c r="R162" s="122"/>
      <c r="S162" s="290"/>
      <c r="T162" s="399" t="s">
        <v>3119</v>
      </c>
      <c r="U162" s="399" t="s">
        <v>3120</v>
      </c>
      <c r="W162" s="326" t="s">
        <v>3121</v>
      </c>
      <c r="X162" s="326" t="s">
        <v>3073</v>
      </c>
      <c r="Z162" s="326"/>
      <c r="AA162" s="12"/>
      <c r="AB162" s="12"/>
      <c r="AC162" s="808"/>
      <c r="AD162" s="407"/>
    </row>
    <row r="163" spans="2:30" ht="10.5" customHeight="1">
      <c r="B163" s="194"/>
      <c r="C163" s="282" t="s">
        <v>3107</v>
      </c>
      <c r="D163" s="340">
        <v>54000</v>
      </c>
      <c r="E163" s="194"/>
      <c r="F163" s="194" t="s">
        <v>487</v>
      </c>
      <c r="G163" s="878" t="s">
        <v>3122</v>
      </c>
      <c r="H163" s="878" t="s">
        <v>3065</v>
      </c>
      <c r="I163" s="879" t="s">
        <v>3123</v>
      </c>
      <c r="J163" s="879" t="s">
        <v>2957</v>
      </c>
      <c r="K163" s="880" t="s">
        <v>3124</v>
      </c>
      <c r="L163" s="881" t="s">
        <v>3068</v>
      </c>
      <c r="M163" s="2284" t="s">
        <v>184</v>
      </c>
      <c r="N163" s="2284" t="s">
        <v>2180</v>
      </c>
      <c r="O163" s="2285" t="s">
        <v>3125</v>
      </c>
      <c r="P163" s="447" t="s">
        <v>3126</v>
      </c>
      <c r="Q163" s="415"/>
      <c r="R163" s="122"/>
      <c r="S163" s="290"/>
      <c r="T163" s="399" t="s">
        <v>2180</v>
      </c>
      <c r="U163" s="399" t="s">
        <v>342</v>
      </c>
      <c r="W163" s="326" t="s">
        <v>3127</v>
      </c>
      <c r="X163" s="326" t="s">
        <v>3073</v>
      </c>
      <c r="Z163" s="326"/>
      <c r="AA163" s="12"/>
      <c r="AB163" s="12"/>
      <c r="AC163" s="808"/>
      <c r="AD163" s="407"/>
    </row>
    <row r="164" spans="2:30" ht="10.5" customHeight="1">
      <c r="B164" s="194"/>
      <c r="C164" s="283" t="s">
        <v>3128</v>
      </c>
      <c r="D164" s="340">
        <v>37900</v>
      </c>
      <c r="E164" s="194"/>
      <c r="F164" s="194" t="s">
        <v>488</v>
      </c>
      <c r="G164" s="878" t="s">
        <v>3120</v>
      </c>
      <c r="H164" s="878" t="s">
        <v>3065</v>
      </c>
      <c r="I164" s="879" t="s">
        <v>3129</v>
      </c>
      <c r="J164" s="879" t="s">
        <v>2957</v>
      </c>
      <c r="K164" s="880" t="s">
        <v>3130</v>
      </c>
      <c r="L164" s="881" t="s">
        <v>3068</v>
      </c>
      <c r="M164" s="2284" t="s">
        <v>184</v>
      </c>
      <c r="N164" s="2284" t="s">
        <v>43</v>
      </c>
      <c r="O164" s="2285" t="s">
        <v>3131</v>
      </c>
      <c r="P164" s="447" t="s">
        <v>3132</v>
      </c>
      <c r="Q164" s="415"/>
      <c r="R164" s="194"/>
      <c r="S164" s="290"/>
      <c r="T164" s="399" t="s">
        <v>3133</v>
      </c>
      <c r="U164" s="399" t="s">
        <v>3134</v>
      </c>
      <c r="W164" s="326" t="s">
        <v>3135</v>
      </c>
      <c r="X164" s="326" t="s">
        <v>3073</v>
      </c>
      <c r="Z164" s="326"/>
      <c r="AA164" s="12"/>
      <c r="AB164" s="12"/>
      <c r="AC164" s="808"/>
      <c r="AD164" s="407"/>
    </row>
    <row r="165" spans="2:30" ht="10.5" customHeight="1">
      <c r="B165" s="194"/>
      <c r="C165" s="283" t="s">
        <v>3129</v>
      </c>
      <c r="D165" s="340">
        <v>43500</v>
      </c>
      <c r="E165" s="194"/>
      <c r="F165" s="194" t="s">
        <v>45</v>
      </c>
      <c r="G165" s="878" t="s">
        <v>3136</v>
      </c>
      <c r="H165" s="878" t="s">
        <v>3098</v>
      </c>
      <c r="I165" s="882" t="s">
        <v>2950</v>
      </c>
      <c r="J165" s="882" t="s">
        <v>2944</v>
      </c>
      <c r="K165" s="880" t="s">
        <v>3137</v>
      </c>
      <c r="L165" s="881" t="s">
        <v>3090</v>
      </c>
      <c r="M165" s="2284" t="s">
        <v>2956</v>
      </c>
      <c r="N165" s="2284" t="s">
        <v>2950</v>
      </c>
      <c r="O165" s="2285" t="s">
        <v>3138</v>
      </c>
      <c r="P165" s="447" t="s">
        <v>3139</v>
      </c>
      <c r="Q165" s="415"/>
      <c r="R165" s="122"/>
      <c r="S165" s="290"/>
      <c r="T165" s="399" t="s">
        <v>3140</v>
      </c>
      <c r="U165" s="399" t="s">
        <v>304</v>
      </c>
      <c r="W165" s="326" t="s">
        <v>3141</v>
      </c>
      <c r="X165" s="326" t="s">
        <v>3073</v>
      </c>
      <c r="Z165" s="326"/>
      <c r="AA165" s="12"/>
      <c r="AB165" s="12"/>
      <c r="AC165" s="808"/>
      <c r="AD165" s="407"/>
    </row>
    <row r="166" spans="2:30" ht="10.5" customHeight="1">
      <c r="B166" s="194"/>
      <c r="C166" s="283" t="s">
        <v>3142</v>
      </c>
      <c r="D166" s="340">
        <v>48400</v>
      </c>
      <c r="E166" s="194"/>
      <c r="F166" s="194" t="s">
        <v>489</v>
      </c>
      <c r="G166" s="878" t="s">
        <v>3143</v>
      </c>
      <c r="H166" s="878" t="s">
        <v>3098</v>
      </c>
      <c r="I166" s="882" t="s">
        <v>3142</v>
      </c>
      <c r="J166" s="882" t="s">
        <v>2957</v>
      </c>
      <c r="K166" s="880" t="s">
        <v>3144</v>
      </c>
      <c r="L166" s="881" t="s">
        <v>3068</v>
      </c>
      <c r="M166" s="2284" t="s">
        <v>184</v>
      </c>
      <c r="N166" s="2284" t="s">
        <v>2950</v>
      </c>
      <c r="O166" s="2285" t="s">
        <v>3145</v>
      </c>
      <c r="P166" s="447" t="s">
        <v>3146</v>
      </c>
      <c r="Q166" s="200"/>
      <c r="R166" s="122"/>
      <c r="S166" s="290"/>
      <c r="T166" s="399" t="s">
        <v>3147</v>
      </c>
      <c r="U166" s="399" t="s">
        <v>3148</v>
      </c>
      <c r="W166" s="326" t="s">
        <v>3149</v>
      </c>
      <c r="X166" s="326" t="s">
        <v>3073</v>
      </c>
      <c r="Z166" s="326"/>
      <c r="AA166" s="12"/>
      <c r="AB166" s="12"/>
      <c r="AC166" s="808"/>
      <c r="AD166" s="407"/>
    </row>
    <row r="167" spans="2:30" ht="10.5" customHeight="1">
      <c r="B167" s="194"/>
      <c r="C167" s="282" t="s">
        <v>2194</v>
      </c>
      <c r="D167" s="340">
        <v>54900</v>
      </c>
      <c r="E167" s="194"/>
      <c r="F167" s="194" t="s">
        <v>490</v>
      </c>
      <c r="G167" s="878" t="s">
        <v>3150</v>
      </c>
      <c r="H167" s="878" t="s">
        <v>3065</v>
      </c>
      <c r="I167" s="879" t="s">
        <v>2194</v>
      </c>
      <c r="J167" s="879" t="s">
        <v>2944</v>
      </c>
      <c r="K167" s="880" t="s">
        <v>3151</v>
      </c>
      <c r="L167" s="881" t="s">
        <v>3090</v>
      </c>
      <c r="M167" s="2284" t="s">
        <v>2956</v>
      </c>
      <c r="N167" s="2284" t="s">
        <v>43</v>
      </c>
      <c r="O167" s="2285" t="s">
        <v>3152</v>
      </c>
      <c r="P167" s="447" t="s">
        <v>3153</v>
      </c>
      <c r="Q167" s="200"/>
      <c r="R167" s="122"/>
      <c r="S167" s="290"/>
      <c r="T167" s="399" t="s">
        <v>3116</v>
      </c>
      <c r="U167" s="399" t="s">
        <v>3081</v>
      </c>
      <c r="W167" s="326" t="s">
        <v>2946</v>
      </c>
      <c r="X167" s="326" t="s">
        <v>3073</v>
      </c>
      <c r="Z167" s="326"/>
      <c r="AA167" s="12"/>
      <c r="AB167" s="12"/>
      <c r="AC167" s="808"/>
      <c r="AD167" s="407"/>
    </row>
    <row r="168" spans="2:30" ht="10.5" customHeight="1">
      <c r="B168" s="194"/>
      <c r="C168" s="283" t="s">
        <v>3154</v>
      </c>
      <c r="D168" s="340">
        <v>50000</v>
      </c>
      <c r="E168" s="194"/>
      <c r="F168" s="194" t="s">
        <v>491</v>
      </c>
      <c r="G168" s="878" t="s">
        <v>3155</v>
      </c>
      <c r="H168" s="878" t="s">
        <v>3065</v>
      </c>
      <c r="I168" s="879" t="s">
        <v>43</v>
      </c>
      <c r="J168" s="879" t="s">
        <v>2944</v>
      </c>
      <c r="K168" s="880" t="s">
        <v>3156</v>
      </c>
      <c r="L168" s="881" t="s">
        <v>3090</v>
      </c>
      <c r="M168" s="2284" t="s">
        <v>2956</v>
      </c>
      <c r="N168" s="2284" t="s">
        <v>43</v>
      </c>
      <c r="O168" s="2285" t="s">
        <v>3157</v>
      </c>
      <c r="P168" s="447" t="s">
        <v>3158</v>
      </c>
      <c r="Q168" s="200"/>
      <c r="R168" s="122"/>
      <c r="S168" s="290"/>
      <c r="T168" s="399" t="s">
        <v>3121</v>
      </c>
      <c r="U168" s="399" t="s">
        <v>334</v>
      </c>
      <c r="W168" s="326" t="s">
        <v>413</v>
      </c>
      <c r="X168" s="326" t="s">
        <v>3073</v>
      </c>
      <c r="Z168" s="326"/>
      <c r="AA168" s="12"/>
      <c r="AB168" s="12"/>
      <c r="AC168" s="808"/>
      <c r="AD168" s="407"/>
    </row>
    <row r="169" spans="2:30" ht="10.5" customHeight="1">
      <c r="B169" s="194"/>
      <c r="C169" s="282" t="s">
        <v>3159</v>
      </c>
      <c r="D169" s="340">
        <v>62100</v>
      </c>
      <c r="E169" s="194"/>
      <c r="F169" s="194" t="s">
        <v>492</v>
      </c>
      <c r="G169" s="878" t="s">
        <v>3160</v>
      </c>
      <c r="H169" s="878" t="s">
        <v>3065</v>
      </c>
      <c r="I169" s="882" t="s">
        <v>2951</v>
      </c>
      <c r="J169" s="882" t="s">
        <v>2944</v>
      </c>
      <c r="K169" s="880" t="s">
        <v>3161</v>
      </c>
      <c r="L169" s="881" t="s">
        <v>3090</v>
      </c>
      <c r="M169" s="2284" t="s">
        <v>2956</v>
      </c>
      <c r="N169" s="2284" t="s">
        <v>2951</v>
      </c>
      <c r="O169" s="2285" t="s">
        <v>3162</v>
      </c>
      <c r="P169" s="447" t="s">
        <v>3163</v>
      </c>
      <c r="Q169" s="200"/>
      <c r="R169" s="122"/>
      <c r="S169" s="290"/>
      <c r="T169" s="399" t="s">
        <v>3164</v>
      </c>
      <c r="U169" s="399" t="s">
        <v>330</v>
      </c>
      <c r="W169" s="326" t="s">
        <v>2189</v>
      </c>
      <c r="X169" s="326" t="s">
        <v>3073</v>
      </c>
      <c r="Z169" s="326"/>
      <c r="AA169" s="12"/>
      <c r="AB169" s="12"/>
      <c r="AC169" s="808"/>
      <c r="AD169" s="407"/>
    </row>
    <row r="170" spans="2:30" ht="10.5" customHeight="1">
      <c r="B170" s="194"/>
      <c r="C170" s="283" t="s">
        <v>3165</v>
      </c>
      <c r="D170" s="340">
        <v>34400</v>
      </c>
      <c r="E170" s="194"/>
      <c r="F170" s="194" t="s">
        <v>493</v>
      </c>
      <c r="G170" s="878" t="s">
        <v>287</v>
      </c>
      <c r="H170" s="878" t="s">
        <v>3065</v>
      </c>
      <c r="I170" s="882" t="s">
        <v>3154</v>
      </c>
      <c r="J170" s="882" t="s">
        <v>2957</v>
      </c>
      <c r="K170" s="880" t="s">
        <v>3166</v>
      </c>
      <c r="L170" s="881" t="s">
        <v>3068</v>
      </c>
      <c r="M170" s="2284" t="s">
        <v>184</v>
      </c>
      <c r="N170" s="2284" t="s">
        <v>2951</v>
      </c>
      <c r="O170" s="2285" t="s">
        <v>3167</v>
      </c>
      <c r="P170" s="447" t="s">
        <v>3168</v>
      </c>
      <c r="Q170" s="200"/>
      <c r="R170" s="122"/>
      <c r="S170" s="290"/>
      <c r="T170" s="399" t="s">
        <v>3169</v>
      </c>
      <c r="U170" s="399" t="s">
        <v>344</v>
      </c>
      <c r="W170" s="326" t="s">
        <v>2947</v>
      </c>
      <c r="X170" s="326" t="s">
        <v>3073</v>
      </c>
      <c r="Z170" s="326"/>
      <c r="AA170" s="12"/>
      <c r="AB170" s="12"/>
      <c r="AC170" s="808"/>
      <c r="AD170" s="407"/>
    </row>
    <row r="171" spans="2:30" ht="10.5" customHeight="1">
      <c r="B171" s="194"/>
      <c r="C171" s="283" t="s">
        <v>3170</v>
      </c>
      <c r="D171" s="340">
        <v>62100</v>
      </c>
      <c r="E171" s="194"/>
      <c r="F171" s="194" t="s">
        <v>494</v>
      </c>
      <c r="G171" s="878" t="s">
        <v>3171</v>
      </c>
      <c r="H171" s="878" t="s">
        <v>3065</v>
      </c>
      <c r="I171" s="882" t="s">
        <v>3105</v>
      </c>
      <c r="J171" s="882" t="s">
        <v>2944</v>
      </c>
      <c r="K171" s="880" t="s">
        <v>3172</v>
      </c>
      <c r="L171" s="881" t="s">
        <v>3090</v>
      </c>
      <c r="M171" s="2284" t="s">
        <v>184</v>
      </c>
      <c r="N171" s="2284" t="s">
        <v>2947</v>
      </c>
      <c r="O171" s="2285" t="s">
        <v>3173</v>
      </c>
      <c r="P171" s="447" t="s">
        <v>3174</v>
      </c>
      <c r="Q171" s="200"/>
      <c r="R171" s="122"/>
      <c r="S171" s="290"/>
      <c r="T171" s="399" t="s">
        <v>3175</v>
      </c>
      <c r="U171" s="399" t="s">
        <v>3176</v>
      </c>
      <c r="W171" s="326" t="s">
        <v>3177</v>
      </c>
      <c r="X171" s="326" t="s">
        <v>3073</v>
      </c>
      <c r="Z171" s="326"/>
      <c r="AA171" s="12"/>
      <c r="AB171" s="12"/>
      <c r="AC171" s="808"/>
      <c r="AD171" s="407"/>
    </row>
    <row r="172" spans="2:30" ht="10.5" customHeight="1">
      <c r="B172" s="194"/>
      <c r="C172" s="283" t="s">
        <v>3178</v>
      </c>
      <c r="D172" s="340">
        <v>39800</v>
      </c>
      <c r="E172" s="194"/>
      <c r="F172" s="194" t="s">
        <v>495</v>
      </c>
      <c r="G172" s="878" t="s">
        <v>3179</v>
      </c>
      <c r="H172" s="878" t="s">
        <v>3098</v>
      </c>
      <c r="I172" s="882" t="s">
        <v>3159</v>
      </c>
      <c r="J172" s="882" t="s">
        <v>2944</v>
      </c>
      <c r="K172" s="880" t="s">
        <v>3180</v>
      </c>
      <c r="L172" s="881" t="s">
        <v>3090</v>
      </c>
      <c r="M172" s="2284" t="s">
        <v>184</v>
      </c>
      <c r="N172" s="2284" t="s">
        <v>413</v>
      </c>
      <c r="O172" s="2285" t="s">
        <v>3181</v>
      </c>
      <c r="P172" s="447" t="s">
        <v>3182</v>
      </c>
      <c r="Q172" s="200"/>
      <c r="R172" s="122"/>
      <c r="S172" s="290"/>
      <c r="T172" s="399" t="s">
        <v>3127</v>
      </c>
      <c r="U172" s="399" t="s">
        <v>3183</v>
      </c>
      <c r="W172" s="326" t="s">
        <v>3184</v>
      </c>
      <c r="X172" s="326" t="s">
        <v>3073</v>
      </c>
      <c r="Z172" s="326"/>
      <c r="AA172" s="12"/>
      <c r="AB172" s="12"/>
      <c r="AC172" s="808"/>
      <c r="AD172" s="407"/>
    </row>
    <row r="173" spans="2:30" ht="10.5" customHeight="1">
      <c r="B173" s="194"/>
      <c r="C173" s="282" t="s">
        <v>3185</v>
      </c>
      <c r="D173" s="340">
        <v>54800</v>
      </c>
      <c r="E173" s="194"/>
      <c r="F173" s="194" t="s">
        <v>496</v>
      </c>
      <c r="G173" s="878" t="s">
        <v>2198</v>
      </c>
      <c r="H173" s="878" t="s">
        <v>3065</v>
      </c>
      <c r="I173" s="879" t="s">
        <v>3165</v>
      </c>
      <c r="J173" s="879" t="s">
        <v>2957</v>
      </c>
      <c r="K173" s="880" t="s">
        <v>3186</v>
      </c>
      <c r="L173" s="881" t="s">
        <v>3068</v>
      </c>
      <c r="M173" s="2284" t="s">
        <v>184</v>
      </c>
      <c r="N173" s="2284" t="s">
        <v>2180</v>
      </c>
      <c r="O173" s="2285" t="s">
        <v>3187</v>
      </c>
      <c r="P173" s="447" t="s">
        <v>3188</v>
      </c>
      <c r="Q173" s="200"/>
      <c r="R173" s="122"/>
      <c r="S173" s="290"/>
      <c r="T173" s="399" t="s">
        <v>3189</v>
      </c>
      <c r="U173" s="399" t="s">
        <v>3183</v>
      </c>
      <c r="W173" s="326" t="s">
        <v>3190</v>
      </c>
      <c r="X173" s="326" t="s">
        <v>3073</v>
      </c>
      <c r="Z173" s="326"/>
      <c r="AA173" s="12"/>
      <c r="AB173" s="12"/>
      <c r="AC173" s="808"/>
      <c r="AD173" s="407"/>
    </row>
    <row r="174" spans="2:30" ht="10.5" customHeight="1">
      <c r="B174" s="194"/>
      <c r="C174" s="282" t="s">
        <v>2948</v>
      </c>
      <c r="D174" s="340">
        <v>59500</v>
      </c>
      <c r="E174" s="194"/>
      <c r="F174" s="194" t="s">
        <v>497</v>
      </c>
      <c r="G174" s="878" t="s">
        <v>320</v>
      </c>
      <c r="H174" s="878" t="s">
        <v>3065</v>
      </c>
      <c r="I174" s="882" t="s">
        <v>3170</v>
      </c>
      <c r="J174" s="882" t="s">
        <v>2957</v>
      </c>
      <c r="K174" s="880" t="s">
        <v>3191</v>
      </c>
      <c r="L174" s="881" t="s">
        <v>3068</v>
      </c>
      <c r="M174" s="2284" t="s">
        <v>184</v>
      </c>
      <c r="N174" s="2284" t="s">
        <v>43</v>
      </c>
      <c r="O174" s="2285" t="s">
        <v>3192</v>
      </c>
      <c r="P174" s="447" t="s">
        <v>3193</v>
      </c>
      <c r="Q174" s="200"/>
      <c r="R174" s="122"/>
      <c r="S174" s="290"/>
      <c r="T174" s="399" t="s">
        <v>3064</v>
      </c>
      <c r="U174" s="399" t="s">
        <v>298</v>
      </c>
      <c r="W174" s="326" t="s">
        <v>3097</v>
      </c>
      <c r="X174" s="326" t="s">
        <v>3073</v>
      </c>
      <c r="Z174" s="326"/>
      <c r="AA174" s="12"/>
      <c r="AB174" s="12"/>
      <c r="AC174" s="808"/>
      <c r="AD174" s="407"/>
    </row>
    <row r="175" spans="2:30" ht="10.5" customHeight="1">
      <c r="B175" s="194"/>
      <c r="C175" s="282" t="s">
        <v>3194</v>
      </c>
      <c r="D175" s="340">
        <v>41500</v>
      </c>
      <c r="E175" s="194"/>
      <c r="F175" s="194" t="s">
        <v>498</v>
      </c>
      <c r="G175" s="878" t="s">
        <v>3195</v>
      </c>
      <c r="H175" s="878" t="s">
        <v>3065</v>
      </c>
      <c r="I175" s="879" t="s">
        <v>3178</v>
      </c>
      <c r="J175" s="879" t="s">
        <v>2957</v>
      </c>
      <c r="K175" s="880" t="s">
        <v>3196</v>
      </c>
      <c r="L175" s="881" t="s">
        <v>3068</v>
      </c>
      <c r="M175" s="2284" t="s">
        <v>184</v>
      </c>
      <c r="N175" s="2284" t="s">
        <v>2951</v>
      </c>
      <c r="O175" s="2285" t="s">
        <v>3197</v>
      </c>
      <c r="P175" s="447" t="s">
        <v>3198</v>
      </c>
      <c r="Q175" s="200"/>
      <c r="R175" s="122"/>
      <c r="S175" s="290"/>
      <c r="T175" s="399" t="s">
        <v>3199</v>
      </c>
      <c r="U175" s="399" t="s">
        <v>3200</v>
      </c>
      <c r="W175" s="326" t="s">
        <v>3201</v>
      </c>
      <c r="X175" s="326" t="s">
        <v>3073</v>
      </c>
      <c r="Z175" s="326"/>
      <c r="AA175" s="12"/>
      <c r="AB175" s="12"/>
      <c r="AC175" s="808"/>
      <c r="AD175" s="407"/>
    </row>
    <row r="176" spans="2:30" ht="10.5" customHeight="1">
      <c r="B176" s="194"/>
      <c r="C176" s="282" t="s">
        <v>3202</v>
      </c>
      <c r="D176" s="340">
        <v>30400</v>
      </c>
      <c r="E176" s="194"/>
      <c r="F176" s="194" t="s">
        <v>499</v>
      </c>
      <c r="G176" s="878" t="s">
        <v>3203</v>
      </c>
      <c r="H176" s="878" t="s">
        <v>3098</v>
      </c>
      <c r="I176" s="882" t="s">
        <v>3096</v>
      </c>
      <c r="J176" s="882" t="s">
        <v>2944</v>
      </c>
      <c r="K176" s="880" t="s">
        <v>3112</v>
      </c>
      <c r="L176" s="881" t="s">
        <v>3090</v>
      </c>
      <c r="M176" s="2284" t="s">
        <v>2956</v>
      </c>
      <c r="N176" s="2284" t="s">
        <v>413</v>
      </c>
      <c r="O176" s="2285" t="s">
        <v>3204</v>
      </c>
      <c r="P176" s="447" t="s">
        <v>3205</v>
      </c>
      <c r="Q176" s="200"/>
      <c r="R176" s="122"/>
      <c r="S176" s="290"/>
      <c r="T176" s="399" t="s">
        <v>3135</v>
      </c>
      <c r="U176" s="399" t="s">
        <v>3206</v>
      </c>
      <c r="W176" s="326" t="s">
        <v>3207</v>
      </c>
      <c r="X176" s="326" t="s">
        <v>3073</v>
      </c>
      <c r="Z176" s="326"/>
      <c r="AA176" s="12"/>
      <c r="AB176" s="12"/>
      <c r="AC176" s="808"/>
      <c r="AD176" s="407"/>
    </row>
    <row r="177" spans="2:30" ht="10.5" customHeight="1">
      <c r="B177" s="194"/>
      <c r="C177" s="283" t="s">
        <v>3208</v>
      </c>
      <c r="D177" s="340">
        <v>43800</v>
      </c>
      <c r="E177" s="194"/>
      <c r="F177" s="194" t="s">
        <v>500</v>
      </c>
      <c r="G177" s="878" t="s">
        <v>315</v>
      </c>
      <c r="H177" s="878" t="s">
        <v>3098</v>
      </c>
      <c r="I177" s="882" t="s">
        <v>2948</v>
      </c>
      <c r="J177" s="882" t="s">
        <v>2944</v>
      </c>
      <c r="K177" s="880" t="s">
        <v>3209</v>
      </c>
      <c r="L177" s="881" t="s">
        <v>3090</v>
      </c>
      <c r="M177" s="2284" t="s">
        <v>184</v>
      </c>
      <c r="N177" s="2284" t="s">
        <v>2948</v>
      </c>
      <c r="O177" s="2285" t="s">
        <v>3210</v>
      </c>
      <c r="P177" s="447" t="s">
        <v>3211</v>
      </c>
      <c r="Q177" s="200"/>
      <c r="R177" s="122"/>
      <c r="S177" s="290"/>
      <c r="T177" s="399" t="s">
        <v>3212</v>
      </c>
      <c r="U177" s="399" t="s">
        <v>3213</v>
      </c>
      <c r="W177" s="326" t="s">
        <v>3214</v>
      </c>
      <c r="X177" s="326" t="s">
        <v>3073</v>
      </c>
      <c r="Z177" s="326"/>
      <c r="AA177" s="12"/>
      <c r="AB177" s="12"/>
      <c r="AC177" s="808"/>
      <c r="AD177" s="407"/>
    </row>
    <row r="178" spans="2:30" ht="10.5" customHeight="1">
      <c r="B178" s="194"/>
      <c r="C178" s="283" t="s">
        <v>3215</v>
      </c>
      <c r="D178" s="340">
        <v>43400</v>
      </c>
      <c r="E178" s="194"/>
      <c r="F178" s="194" t="s">
        <v>501</v>
      </c>
      <c r="G178" s="878" t="s">
        <v>3216</v>
      </c>
      <c r="H178" s="878" t="s">
        <v>3065</v>
      </c>
      <c r="I178" s="879" t="s">
        <v>3185</v>
      </c>
      <c r="J178" s="879" t="s">
        <v>2957</v>
      </c>
      <c r="K178" s="880" t="s">
        <v>3217</v>
      </c>
      <c r="L178" s="881" t="s">
        <v>3068</v>
      </c>
      <c r="M178" s="2284" t="s">
        <v>184</v>
      </c>
      <c r="N178" s="2284" t="s">
        <v>43</v>
      </c>
      <c r="O178" s="2285" t="s">
        <v>3218</v>
      </c>
      <c r="P178" s="447" t="s">
        <v>3219</v>
      </c>
      <c r="Q178" s="200"/>
      <c r="R178" s="122"/>
      <c r="S178" s="290"/>
      <c r="T178" s="399" t="s">
        <v>3220</v>
      </c>
      <c r="U178" s="399" t="s">
        <v>3221</v>
      </c>
      <c r="W178" s="326" t="s">
        <v>3222</v>
      </c>
      <c r="X178" s="326" t="s">
        <v>3073</v>
      </c>
      <c r="Z178" s="326"/>
      <c r="AA178" s="12"/>
      <c r="AB178" s="12"/>
      <c r="AC178" s="808"/>
      <c r="AD178" s="407"/>
    </row>
    <row r="179" spans="2:30" ht="10.5" customHeight="1">
      <c r="B179" s="194"/>
      <c r="C179" s="283" t="s">
        <v>3223</v>
      </c>
      <c r="D179" s="340">
        <v>39400</v>
      </c>
      <c r="E179" s="194"/>
      <c r="F179" s="194" t="s">
        <v>502</v>
      </c>
      <c r="G179" s="878" t="s">
        <v>318</v>
      </c>
      <c r="H179" s="878" t="s">
        <v>3065</v>
      </c>
      <c r="I179" s="882" t="s">
        <v>2951</v>
      </c>
      <c r="J179" s="882" t="s">
        <v>2944</v>
      </c>
      <c r="K179" s="880" t="s">
        <v>3161</v>
      </c>
      <c r="L179" s="881" t="s">
        <v>3090</v>
      </c>
      <c r="M179" s="2284" t="s">
        <v>2956</v>
      </c>
      <c r="N179" s="2284" t="s">
        <v>2951</v>
      </c>
      <c r="O179" s="2285" t="s">
        <v>3224</v>
      </c>
      <c r="P179" s="447" t="s">
        <v>3225</v>
      </c>
      <c r="Q179" s="200"/>
      <c r="R179" s="122"/>
      <c r="S179" s="290"/>
      <c r="T179" s="399" t="s">
        <v>3141</v>
      </c>
      <c r="U179" s="399" t="s">
        <v>2198</v>
      </c>
      <c r="W179" s="326" t="s">
        <v>3226</v>
      </c>
      <c r="X179" s="326" t="s">
        <v>3073</v>
      </c>
      <c r="Z179" s="326"/>
      <c r="AA179" s="12"/>
      <c r="AB179" s="12"/>
      <c r="AC179" s="808"/>
      <c r="AD179" s="407"/>
    </row>
    <row r="180" spans="2:30" ht="10.5" customHeight="1">
      <c r="B180" s="194"/>
      <c r="C180" s="282" t="s">
        <v>2949</v>
      </c>
      <c r="D180" s="340">
        <v>53400</v>
      </c>
      <c r="E180" s="194"/>
      <c r="F180" s="194" t="s">
        <v>503</v>
      </c>
      <c r="G180" s="878" t="s">
        <v>3227</v>
      </c>
      <c r="H180" s="878" t="s">
        <v>3098</v>
      </c>
      <c r="I180" s="882" t="s">
        <v>2949</v>
      </c>
      <c r="J180" s="882" t="s">
        <v>2944</v>
      </c>
      <c r="K180" s="880" t="s">
        <v>3228</v>
      </c>
      <c r="L180" s="881" t="s">
        <v>3090</v>
      </c>
      <c r="M180" s="2284" t="s">
        <v>184</v>
      </c>
      <c r="N180" s="2284" t="s">
        <v>2949</v>
      </c>
      <c r="O180" s="2285" t="s">
        <v>3229</v>
      </c>
      <c r="P180" s="447" t="s">
        <v>3230</v>
      </c>
      <c r="Q180" s="200"/>
      <c r="R180" s="122"/>
      <c r="S180" s="290"/>
      <c r="T180" s="399" t="s">
        <v>3231</v>
      </c>
      <c r="U180" s="399" t="s">
        <v>3232</v>
      </c>
      <c r="W180" s="326" t="s">
        <v>3233</v>
      </c>
      <c r="X180" s="326" t="s">
        <v>3073</v>
      </c>
      <c r="Z180" s="326"/>
      <c r="AA180" s="12"/>
      <c r="AB180" s="12"/>
      <c r="AC180" s="808"/>
      <c r="AD180" s="407"/>
    </row>
    <row r="181" spans="2:30" ht="10.5" customHeight="1">
      <c r="B181" s="194"/>
      <c r="C181" s="283" t="s">
        <v>3234</v>
      </c>
      <c r="D181" s="340">
        <v>43800</v>
      </c>
      <c r="E181" s="194"/>
      <c r="F181" s="194" t="s">
        <v>504</v>
      </c>
      <c r="G181" s="878" t="s">
        <v>3235</v>
      </c>
      <c r="H181" s="878" t="s">
        <v>3098</v>
      </c>
      <c r="I181" s="879" t="s">
        <v>3194</v>
      </c>
      <c r="J181" s="879" t="s">
        <v>2957</v>
      </c>
      <c r="K181" s="880" t="s">
        <v>3236</v>
      </c>
      <c r="L181" s="881" t="s">
        <v>3068</v>
      </c>
      <c r="M181" s="2284" t="s">
        <v>184</v>
      </c>
      <c r="N181" s="2284" t="s">
        <v>2948</v>
      </c>
      <c r="O181" s="2285" t="s">
        <v>3237</v>
      </c>
      <c r="P181" s="447" t="s">
        <v>3238</v>
      </c>
      <c r="Q181" s="200"/>
      <c r="R181" s="122"/>
      <c r="S181" s="290"/>
      <c r="T181" s="399" t="s">
        <v>3149</v>
      </c>
      <c r="U181" s="399" t="s">
        <v>3239</v>
      </c>
      <c r="W181" s="326" t="s">
        <v>3240</v>
      </c>
      <c r="X181" s="326" t="s">
        <v>3073</v>
      </c>
      <c r="Z181" s="326"/>
      <c r="AA181" s="12"/>
      <c r="AB181" s="12"/>
      <c r="AC181" s="808"/>
      <c r="AD181" s="407"/>
    </row>
    <row r="182" spans="2:30" ht="10.5" customHeight="1">
      <c r="B182" s="194"/>
      <c r="C182" s="283" t="s">
        <v>3241</v>
      </c>
      <c r="D182" s="340">
        <v>44700</v>
      </c>
      <c r="E182" s="194"/>
      <c r="F182" s="194" t="s">
        <v>505</v>
      </c>
      <c r="G182" s="878" t="s">
        <v>3242</v>
      </c>
      <c r="H182" s="878" t="s">
        <v>3098</v>
      </c>
      <c r="I182" s="882" t="s">
        <v>3096</v>
      </c>
      <c r="J182" s="882" t="s">
        <v>2944</v>
      </c>
      <c r="K182" s="880" t="s">
        <v>3112</v>
      </c>
      <c r="L182" s="881" t="s">
        <v>3090</v>
      </c>
      <c r="M182" s="2284" t="s">
        <v>2956</v>
      </c>
      <c r="N182" s="2284" t="s">
        <v>413</v>
      </c>
      <c r="O182" s="2285" t="s">
        <v>3243</v>
      </c>
      <c r="P182" s="447" t="s">
        <v>3244</v>
      </c>
      <c r="Q182" s="200"/>
      <c r="R182" s="122"/>
      <c r="S182" s="290"/>
      <c r="T182" s="399" t="s">
        <v>2946</v>
      </c>
      <c r="U182" s="399" t="s">
        <v>3245</v>
      </c>
      <c r="W182" s="326" t="s">
        <v>3246</v>
      </c>
      <c r="X182" s="326" t="s">
        <v>3073</v>
      </c>
      <c r="Z182" s="326"/>
      <c r="AA182" s="12"/>
      <c r="AB182" s="12"/>
      <c r="AC182" s="808"/>
      <c r="AD182" s="407"/>
    </row>
    <row r="183" spans="2:30" ht="10.5" customHeight="1">
      <c r="B183" s="194"/>
      <c r="C183" s="283" t="s">
        <v>2219</v>
      </c>
      <c r="D183" s="340">
        <v>52700</v>
      </c>
      <c r="E183" s="194"/>
      <c r="F183" s="194" t="s">
        <v>506</v>
      </c>
      <c r="G183" s="878" t="s">
        <v>3245</v>
      </c>
      <c r="H183" s="878" t="s">
        <v>3098</v>
      </c>
      <c r="I183" s="879" t="s">
        <v>3247</v>
      </c>
      <c r="J183" s="879" t="s">
        <v>2944</v>
      </c>
      <c r="K183" s="880" t="s">
        <v>3248</v>
      </c>
      <c r="L183" s="881" t="s">
        <v>3090</v>
      </c>
      <c r="M183" s="2286" t="s">
        <v>2956</v>
      </c>
      <c r="N183" s="2286" t="s">
        <v>2946</v>
      </c>
      <c r="O183" s="2285" t="s">
        <v>3249</v>
      </c>
      <c r="P183" s="447" t="s">
        <v>3250</v>
      </c>
      <c r="Q183" s="200"/>
      <c r="R183" s="194"/>
      <c r="S183" s="290"/>
      <c r="T183" s="399" t="s">
        <v>413</v>
      </c>
      <c r="U183" s="399" t="s">
        <v>334</v>
      </c>
      <c r="W183" s="326" t="s">
        <v>2194</v>
      </c>
      <c r="X183" s="326" t="s">
        <v>3073</v>
      </c>
      <c r="Z183" s="326"/>
      <c r="AA183" s="12"/>
      <c r="AB183" s="12"/>
      <c r="AC183" s="808"/>
      <c r="AD183" s="407"/>
    </row>
    <row r="184" spans="2:30" ht="10.5" customHeight="1">
      <c r="B184" s="194"/>
      <c r="C184" s="282" t="s">
        <v>3251</v>
      </c>
      <c r="D184" s="340">
        <v>44300</v>
      </c>
      <c r="E184" s="194"/>
      <c r="F184" s="194" t="s">
        <v>507</v>
      </c>
      <c r="G184" s="878" t="s">
        <v>3252</v>
      </c>
      <c r="H184" s="878" t="s">
        <v>3065</v>
      </c>
      <c r="I184" s="879" t="s">
        <v>3202</v>
      </c>
      <c r="J184" s="879" t="s">
        <v>2957</v>
      </c>
      <c r="K184" s="880" t="s">
        <v>3253</v>
      </c>
      <c r="L184" s="881" t="s">
        <v>3068</v>
      </c>
      <c r="M184" s="2286" t="s">
        <v>184</v>
      </c>
      <c r="N184" s="2286" t="s">
        <v>2180</v>
      </c>
      <c r="O184" s="2285" t="s">
        <v>3254</v>
      </c>
      <c r="P184" s="447" t="s">
        <v>3255</v>
      </c>
      <c r="Q184" s="415"/>
      <c r="R184" s="122"/>
      <c r="S184" s="290"/>
      <c r="T184" s="399" t="s">
        <v>3256</v>
      </c>
      <c r="U184" s="399" t="s">
        <v>3257</v>
      </c>
      <c r="W184" s="326" t="s">
        <v>3258</v>
      </c>
      <c r="X184" s="326" t="s">
        <v>3073</v>
      </c>
      <c r="Z184" s="326"/>
      <c r="AA184" s="12"/>
      <c r="AB184" s="12"/>
      <c r="AC184" s="808"/>
      <c r="AD184" s="407"/>
    </row>
    <row r="185" spans="2:30" ht="10.5" customHeight="1">
      <c r="B185" s="194"/>
      <c r="C185" s="282" t="s">
        <v>3259</v>
      </c>
      <c r="D185" s="340">
        <v>49300</v>
      </c>
      <c r="E185" s="194"/>
      <c r="F185" s="194" t="s">
        <v>508</v>
      </c>
      <c r="G185" s="878" t="s">
        <v>281</v>
      </c>
      <c r="H185" s="878" t="s">
        <v>3098</v>
      </c>
      <c r="I185" s="882" t="s">
        <v>3096</v>
      </c>
      <c r="J185" s="882" t="s">
        <v>2944</v>
      </c>
      <c r="K185" s="880" t="s">
        <v>3112</v>
      </c>
      <c r="L185" s="881" t="s">
        <v>3090</v>
      </c>
      <c r="M185" s="2284" t="s">
        <v>2956</v>
      </c>
      <c r="N185" s="2284" t="s">
        <v>413</v>
      </c>
      <c r="O185" s="2285" t="s">
        <v>3260</v>
      </c>
      <c r="P185" s="447" t="s">
        <v>3261</v>
      </c>
      <c r="Q185" s="415"/>
      <c r="R185" s="122"/>
      <c r="S185" s="290"/>
      <c r="T185" s="399" t="s">
        <v>2189</v>
      </c>
      <c r="U185" s="399" t="s">
        <v>351</v>
      </c>
      <c r="W185" s="326" t="s">
        <v>3262</v>
      </c>
      <c r="X185" s="326" t="s">
        <v>3073</v>
      </c>
      <c r="Z185" s="326"/>
      <c r="AA185" s="12"/>
      <c r="AB185" s="12"/>
      <c r="AC185" s="808"/>
      <c r="AD185" s="407"/>
    </row>
    <row r="186" spans="2:30" ht="10.5" customHeight="1">
      <c r="B186" s="194"/>
      <c r="C186" s="283" t="s">
        <v>3263</v>
      </c>
      <c r="D186" s="340">
        <v>38100</v>
      </c>
      <c r="E186" s="194"/>
      <c r="F186" s="194" t="s">
        <v>509</v>
      </c>
      <c r="G186" s="878" t="s">
        <v>3221</v>
      </c>
      <c r="H186" s="878" t="s">
        <v>3065</v>
      </c>
      <c r="I186" s="879" t="s">
        <v>3208</v>
      </c>
      <c r="J186" s="879" t="s">
        <v>2957</v>
      </c>
      <c r="K186" s="880" t="s">
        <v>3264</v>
      </c>
      <c r="L186" s="881" t="s">
        <v>3068</v>
      </c>
      <c r="M186" s="2286" t="s">
        <v>184</v>
      </c>
      <c r="N186" s="2286" t="s">
        <v>43</v>
      </c>
      <c r="O186" s="2285" t="s">
        <v>3265</v>
      </c>
      <c r="P186" s="447" t="s">
        <v>3266</v>
      </c>
      <c r="Q186" s="415"/>
      <c r="R186" s="122"/>
      <c r="S186" s="290"/>
      <c r="T186" s="399" t="s">
        <v>2947</v>
      </c>
      <c r="U186" s="399" t="s">
        <v>3267</v>
      </c>
      <c r="W186" s="326" t="s">
        <v>3268</v>
      </c>
      <c r="X186" s="326" t="s">
        <v>3073</v>
      </c>
      <c r="Z186" s="326"/>
      <c r="AA186" s="12"/>
      <c r="AB186" s="12"/>
      <c r="AC186" s="808"/>
      <c r="AD186" s="407"/>
    </row>
    <row r="187" spans="2:30" ht="10.5" customHeight="1">
      <c r="B187" s="194"/>
      <c r="C187" s="282" t="s">
        <v>3269</v>
      </c>
      <c r="D187" s="340">
        <v>43700</v>
      </c>
      <c r="E187" s="194"/>
      <c r="F187" s="194" t="s">
        <v>510</v>
      </c>
      <c r="G187" s="878" t="s">
        <v>301</v>
      </c>
      <c r="H187" s="878" t="s">
        <v>3098</v>
      </c>
      <c r="I187" s="882" t="s">
        <v>3096</v>
      </c>
      <c r="J187" s="882" t="s">
        <v>2944</v>
      </c>
      <c r="K187" s="880" t="s">
        <v>3112</v>
      </c>
      <c r="L187" s="881" t="s">
        <v>3090</v>
      </c>
      <c r="M187" s="2284" t="s">
        <v>2956</v>
      </c>
      <c r="N187" s="2284" t="s">
        <v>413</v>
      </c>
      <c r="O187" s="2285" t="s">
        <v>3270</v>
      </c>
      <c r="P187" s="447" t="s">
        <v>3271</v>
      </c>
      <c r="Q187" s="415"/>
      <c r="R187" s="122"/>
      <c r="S187" s="290"/>
      <c r="T187" s="399" t="s">
        <v>3177</v>
      </c>
      <c r="U187" s="399" t="s">
        <v>301</v>
      </c>
      <c r="W187" s="326" t="s">
        <v>3272</v>
      </c>
      <c r="X187" s="326" t="s">
        <v>3073</v>
      </c>
      <c r="Z187" s="326"/>
      <c r="AA187" s="12"/>
      <c r="AB187" s="12"/>
      <c r="AC187" s="808"/>
      <c r="AD187" s="407"/>
    </row>
    <row r="188" spans="2:30" ht="10.5" customHeight="1">
      <c r="B188" s="194"/>
      <c r="C188" s="283" t="s">
        <v>3273</v>
      </c>
      <c r="D188" s="340">
        <v>43600</v>
      </c>
      <c r="E188" s="194"/>
      <c r="F188" s="194" t="s">
        <v>511</v>
      </c>
      <c r="G188" s="878" t="s">
        <v>3176</v>
      </c>
      <c r="H188" s="878" t="s">
        <v>3065</v>
      </c>
      <c r="I188" s="879" t="s">
        <v>3215</v>
      </c>
      <c r="J188" s="879" t="s">
        <v>2957</v>
      </c>
      <c r="K188" s="880" t="s">
        <v>3274</v>
      </c>
      <c r="L188" s="881" t="s">
        <v>3068</v>
      </c>
      <c r="M188" s="2286" t="s">
        <v>184</v>
      </c>
      <c r="N188" s="2286" t="s">
        <v>43</v>
      </c>
      <c r="O188" s="2285" t="s">
        <v>3275</v>
      </c>
      <c r="P188" s="447" t="s">
        <v>3276</v>
      </c>
      <c r="Q188" s="415"/>
      <c r="R188" s="122"/>
      <c r="S188" s="290"/>
      <c r="T188" s="399" t="s">
        <v>3277</v>
      </c>
      <c r="U188" s="399" t="s">
        <v>3278</v>
      </c>
      <c r="W188" s="326" t="s">
        <v>2196</v>
      </c>
      <c r="X188" s="326" t="s">
        <v>3073</v>
      </c>
      <c r="Z188" s="326"/>
      <c r="AA188" s="12"/>
      <c r="AB188" s="12"/>
      <c r="AC188" s="808"/>
      <c r="AD188" s="407"/>
    </row>
    <row r="189" spans="2:30" ht="10.5" customHeight="1">
      <c r="B189" s="194"/>
      <c r="C189" s="283" t="s">
        <v>3279</v>
      </c>
      <c r="D189" s="340">
        <v>39000</v>
      </c>
      <c r="E189" s="194"/>
      <c r="F189" s="194" t="s">
        <v>512</v>
      </c>
      <c r="G189" s="878" t="s">
        <v>2211</v>
      </c>
      <c r="H189" s="878" t="s">
        <v>3065</v>
      </c>
      <c r="I189" s="879" t="s">
        <v>3223</v>
      </c>
      <c r="J189" s="879" t="s">
        <v>2957</v>
      </c>
      <c r="K189" s="880" t="s">
        <v>3280</v>
      </c>
      <c r="L189" s="881" t="s">
        <v>3068</v>
      </c>
      <c r="M189" s="2286" t="s">
        <v>184</v>
      </c>
      <c r="N189" s="2286" t="s">
        <v>2180</v>
      </c>
      <c r="O189" s="2285" t="s">
        <v>3281</v>
      </c>
      <c r="P189" s="447" t="s">
        <v>3282</v>
      </c>
      <c r="Q189" s="415"/>
      <c r="R189" s="122"/>
      <c r="S189" s="290"/>
      <c r="T189" s="399" t="s">
        <v>3283</v>
      </c>
      <c r="U189" s="399" t="s">
        <v>3284</v>
      </c>
      <c r="W189" s="326" t="s">
        <v>3285</v>
      </c>
      <c r="X189" s="326" t="s">
        <v>3073</v>
      </c>
      <c r="Z189" s="326"/>
      <c r="AA189" s="12"/>
      <c r="AB189" s="12"/>
      <c r="AC189" s="808"/>
      <c r="AD189" s="407"/>
    </row>
    <row r="190" spans="2:30" ht="10.5" customHeight="1">
      <c r="B190" s="194"/>
      <c r="C190" s="283" t="s">
        <v>3286</v>
      </c>
      <c r="D190" s="340">
        <v>48400</v>
      </c>
      <c r="E190" s="194"/>
      <c r="F190" s="194" t="s">
        <v>513</v>
      </c>
      <c r="G190" s="878" t="s">
        <v>298</v>
      </c>
      <c r="H190" s="878" t="s">
        <v>3098</v>
      </c>
      <c r="I190" s="882" t="s">
        <v>3105</v>
      </c>
      <c r="J190" s="882" t="s">
        <v>2944</v>
      </c>
      <c r="K190" s="880" t="s">
        <v>3172</v>
      </c>
      <c r="L190" s="881" t="s">
        <v>3090</v>
      </c>
      <c r="M190" s="2284" t="s">
        <v>184</v>
      </c>
      <c r="N190" s="2284" t="s">
        <v>2947</v>
      </c>
      <c r="O190" s="2285" t="s">
        <v>3287</v>
      </c>
      <c r="P190" s="447" t="s">
        <v>3288</v>
      </c>
      <c r="Q190" s="415"/>
      <c r="R190" s="122"/>
      <c r="S190" s="290"/>
      <c r="T190" s="399" t="s">
        <v>3184</v>
      </c>
      <c r="U190" s="399" t="s">
        <v>276</v>
      </c>
      <c r="W190" s="326" t="s">
        <v>2198</v>
      </c>
      <c r="X190" s="326" t="s">
        <v>3073</v>
      </c>
      <c r="Z190" s="326"/>
      <c r="AA190" s="12"/>
      <c r="AB190" s="12"/>
      <c r="AC190" s="808"/>
      <c r="AD190" s="407"/>
    </row>
    <row r="191" spans="2:30" ht="10.5" customHeight="1">
      <c r="B191" s="194"/>
      <c r="C191" s="283" t="s">
        <v>3289</v>
      </c>
      <c r="D191" s="340">
        <v>42700</v>
      </c>
      <c r="E191" s="194"/>
      <c r="F191" s="194" t="s">
        <v>514</v>
      </c>
      <c r="G191" s="878" t="s">
        <v>3094</v>
      </c>
      <c r="H191" s="878" t="s">
        <v>3065</v>
      </c>
      <c r="I191" s="879" t="s">
        <v>3234</v>
      </c>
      <c r="J191" s="879" t="s">
        <v>2957</v>
      </c>
      <c r="K191" s="880" t="s">
        <v>3290</v>
      </c>
      <c r="L191" s="881" t="s">
        <v>3068</v>
      </c>
      <c r="M191" s="2286" t="s">
        <v>184</v>
      </c>
      <c r="N191" s="2286" t="s">
        <v>43</v>
      </c>
      <c r="O191" s="2285" t="s">
        <v>3291</v>
      </c>
      <c r="P191" s="447" t="s">
        <v>3292</v>
      </c>
      <c r="Q191" s="415"/>
      <c r="R191" s="122"/>
      <c r="S191" s="290"/>
      <c r="T191" s="399" t="s">
        <v>3293</v>
      </c>
      <c r="U191" s="399" t="s">
        <v>3294</v>
      </c>
      <c r="W191" s="326" t="s">
        <v>3295</v>
      </c>
      <c r="X191" s="326" t="s">
        <v>3073</v>
      </c>
      <c r="Z191" s="326"/>
      <c r="AA191" s="12"/>
      <c r="AB191" s="12"/>
      <c r="AC191" s="808"/>
      <c r="AD191" s="407"/>
    </row>
    <row r="192" spans="2:30" ht="10.5" customHeight="1">
      <c r="B192" s="194"/>
      <c r="C192" s="283" t="s">
        <v>3296</v>
      </c>
      <c r="D192" s="340">
        <v>47200</v>
      </c>
      <c r="E192" s="194"/>
      <c r="F192" s="194" t="s">
        <v>515</v>
      </c>
      <c r="G192" s="878" t="s">
        <v>296</v>
      </c>
      <c r="H192" s="878" t="s">
        <v>3098</v>
      </c>
      <c r="I192" s="882" t="s">
        <v>3096</v>
      </c>
      <c r="J192" s="882" t="s">
        <v>2944</v>
      </c>
      <c r="K192" s="880" t="s">
        <v>3112</v>
      </c>
      <c r="L192" s="881" t="s">
        <v>3090</v>
      </c>
      <c r="M192" s="2284" t="s">
        <v>2956</v>
      </c>
      <c r="N192" s="2284" t="s">
        <v>413</v>
      </c>
      <c r="O192" s="2285" t="s">
        <v>3297</v>
      </c>
      <c r="P192" s="447" t="s">
        <v>3298</v>
      </c>
      <c r="Q192" s="415"/>
      <c r="R192" s="122"/>
      <c r="S192" s="290"/>
      <c r="T192" s="399" t="s">
        <v>3190</v>
      </c>
      <c r="U192" s="399" t="s">
        <v>3257</v>
      </c>
      <c r="W192" s="326" t="s">
        <v>3299</v>
      </c>
      <c r="X192" s="326" t="s">
        <v>3073</v>
      </c>
      <c r="Z192" s="326"/>
      <c r="AA192" s="12"/>
      <c r="AB192" s="12"/>
      <c r="AC192" s="808"/>
      <c r="AD192" s="407"/>
    </row>
    <row r="193" spans="2:30" ht="10.5" customHeight="1">
      <c r="B193" s="194"/>
      <c r="C193" s="283" t="s">
        <v>2234</v>
      </c>
      <c r="D193" s="340">
        <v>61700</v>
      </c>
      <c r="E193" s="194"/>
      <c r="F193" s="194" t="s">
        <v>516</v>
      </c>
      <c r="G193" s="878" t="s">
        <v>3300</v>
      </c>
      <c r="H193" s="878" t="s">
        <v>3098</v>
      </c>
      <c r="I193" s="882" t="s">
        <v>2950</v>
      </c>
      <c r="J193" s="882" t="s">
        <v>2944</v>
      </c>
      <c r="K193" s="880" t="s">
        <v>3137</v>
      </c>
      <c r="L193" s="881" t="s">
        <v>3090</v>
      </c>
      <c r="M193" s="2284" t="s">
        <v>184</v>
      </c>
      <c r="N193" s="2284" t="s">
        <v>2950</v>
      </c>
      <c r="O193" s="2285" t="s">
        <v>3301</v>
      </c>
      <c r="P193" s="447" t="s">
        <v>3302</v>
      </c>
      <c r="Q193" s="415"/>
      <c r="R193" s="122"/>
      <c r="S193" s="290"/>
      <c r="T193" s="399" t="s">
        <v>3097</v>
      </c>
      <c r="U193" s="399" t="s">
        <v>344</v>
      </c>
      <c r="W193" s="326" t="s">
        <v>3303</v>
      </c>
      <c r="X193" s="326" t="s">
        <v>3073</v>
      </c>
      <c r="Z193" s="326"/>
      <c r="AA193" s="12"/>
      <c r="AB193" s="12"/>
      <c r="AC193" s="808"/>
      <c r="AD193" s="407"/>
    </row>
    <row r="194" spans="2:30" ht="10.5" customHeight="1">
      <c r="B194" s="194"/>
      <c r="C194" s="283" t="s">
        <v>3304</v>
      </c>
      <c r="D194" s="340">
        <v>48800</v>
      </c>
      <c r="E194" s="194"/>
      <c r="F194" s="194" t="s">
        <v>517</v>
      </c>
      <c r="G194" s="878" t="s">
        <v>3200</v>
      </c>
      <c r="H194" s="878" t="s">
        <v>3065</v>
      </c>
      <c r="I194" s="879" t="s">
        <v>3241</v>
      </c>
      <c r="J194" s="879" t="s">
        <v>2957</v>
      </c>
      <c r="K194" s="880" t="s">
        <v>3305</v>
      </c>
      <c r="L194" s="881" t="s">
        <v>3068</v>
      </c>
      <c r="M194" s="2286" t="s">
        <v>184</v>
      </c>
      <c r="N194" s="2286" t="s">
        <v>2180</v>
      </c>
      <c r="O194" s="2285" t="s">
        <v>3306</v>
      </c>
      <c r="P194" s="447" t="s">
        <v>3307</v>
      </c>
      <c r="Q194" s="415"/>
      <c r="R194" s="122"/>
      <c r="S194" s="290"/>
      <c r="T194" s="399" t="s">
        <v>73</v>
      </c>
      <c r="U194" s="399" t="s">
        <v>3242</v>
      </c>
      <c r="W194" s="326" t="s">
        <v>2202</v>
      </c>
      <c r="X194" s="326" t="s">
        <v>3073</v>
      </c>
      <c r="Z194" s="326"/>
      <c r="AA194" s="12"/>
      <c r="AB194" s="12"/>
      <c r="AC194" s="808"/>
      <c r="AD194" s="407"/>
    </row>
    <row r="195" spans="2:30" ht="10.5" customHeight="1">
      <c r="B195" s="194"/>
      <c r="C195" s="283" t="s">
        <v>3308</v>
      </c>
      <c r="D195" s="340">
        <v>51300</v>
      </c>
      <c r="E195" s="194"/>
      <c r="F195" s="194" t="s">
        <v>518</v>
      </c>
      <c r="G195" s="878" t="s">
        <v>3309</v>
      </c>
      <c r="H195" s="878" t="s">
        <v>3098</v>
      </c>
      <c r="I195" s="882" t="s">
        <v>2948</v>
      </c>
      <c r="J195" s="882" t="s">
        <v>2944</v>
      </c>
      <c r="K195" s="880" t="s">
        <v>3209</v>
      </c>
      <c r="L195" s="881" t="s">
        <v>3090</v>
      </c>
      <c r="M195" s="2284" t="s">
        <v>184</v>
      </c>
      <c r="N195" s="2284" t="s">
        <v>2948</v>
      </c>
      <c r="O195" s="2285" t="s">
        <v>3310</v>
      </c>
      <c r="P195" s="447" t="s">
        <v>3311</v>
      </c>
      <c r="Q195" s="415"/>
      <c r="R195" s="122"/>
      <c r="S195" s="290"/>
      <c r="T195" s="399" t="s">
        <v>3201</v>
      </c>
      <c r="U195" s="399" t="s">
        <v>3134</v>
      </c>
      <c r="W195" s="326" t="s">
        <v>3312</v>
      </c>
      <c r="X195" s="326" t="s">
        <v>3073</v>
      </c>
      <c r="Z195" s="326"/>
      <c r="AA195" s="12"/>
      <c r="AB195" s="12"/>
      <c r="AC195" s="808"/>
      <c r="AD195" s="407"/>
    </row>
    <row r="196" spans="2:30" ht="10.5" customHeight="1">
      <c r="B196" s="194"/>
      <c r="C196" s="283" t="s">
        <v>3313</v>
      </c>
      <c r="D196" s="340">
        <v>49400</v>
      </c>
      <c r="E196" s="194"/>
      <c r="F196" s="194" t="s">
        <v>519</v>
      </c>
      <c r="G196" s="878" t="s">
        <v>3314</v>
      </c>
      <c r="H196" s="878" t="s">
        <v>3098</v>
      </c>
      <c r="I196" s="882" t="s">
        <v>3096</v>
      </c>
      <c r="J196" s="882" t="s">
        <v>2944</v>
      </c>
      <c r="K196" s="880" t="s">
        <v>3112</v>
      </c>
      <c r="L196" s="881" t="s">
        <v>3090</v>
      </c>
      <c r="M196" s="2284" t="s">
        <v>2956</v>
      </c>
      <c r="N196" s="2284" t="s">
        <v>413</v>
      </c>
      <c r="O196" s="2285" t="s">
        <v>3315</v>
      </c>
      <c r="P196" s="447" t="s">
        <v>3316</v>
      </c>
      <c r="Q196" s="415"/>
      <c r="R196" s="122"/>
      <c r="S196" s="290"/>
      <c r="T196" s="399" t="s">
        <v>3087</v>
      </c>
      <c r="U196" s="399" t="s">
        <v>3284</v>
      </c>
      <c r="W196" s="326" t="s">
        <v>2205</v>
      </c>
      <c r="X196" s="326" t="s">
        <v>3073</v>
      </c>
      <c r="Z196" s="326"/>
      <c r="AA196" s="12"/>
      <c r="AB196" s="12"/>
      <c r="AC196" s="808"/>
      <c r="AD196" s="407"/>
    </row>
    <row r="197" spans="2:30" ht="10.5" customHeight="1">
      <c r="B197" s="194"/>
      <c r="C197" s="283" t="s">
        <v>3317</v>
      </c>
      <c r="D197" s="340">
        <v>39600</v>
      </c>
      <c r="E197" s="194"/>
      <c r="F197" s="194" t="s">
        <v>520</v>
      </c>
      <c r="G197" s="878" t="s">
        <v>3257</v>
      </c>
      <c r="H197" s="878" t="s">
        <v>3065</v>
      </c>
      <c r="I197" s="879" t="s">
        <v>3251</v>
      </c>
      <c r="J197" s="879" t="s">
        <v>2957</v>
      </c>
      <c r="K197" s="880" t="s">
        <v>3318</v>
      </c>
      <c r="L197" s="881" t="s">
        <v>3068</v>
      </c>
      <c r="M197" s="2286" t="s">
        <v>184</v>
      </c>
      <c r="N197" s="2286" t="s">
        <v>2180</v>
      </c>
      <c r="O197" s="2285" t="s">
        <v>3319</v>
      </c>
      <c r="P197" s="447" t="s">
        <v>3320</v>
      </c>
      <c r="Q197" s="415"/>
      <c r="R197" s="122"/>
      <c r="S197" s="290"/>
      <c r="T197" s="399" t="s">
        <v>3321</v>
      </c>
      <c r="U197" s="399" t="s">
        <v>3322</v>
      </c>
      <c r="W197" s="326" t="s">
        <v>3323</v>
      </c>
      <c r="X197" s="326" t="s">
        <v>3073</v>
      </c>
      <c r="Z197" s="326"/>
      <c r="AA197" s="12"/>
      <c r="AB197" s="12"/>
      <c r="AC197" s="808"/>
      <c r="AD197" s="407"/>
    </row>
    <row r="198" spans="2:30" ht="10.5" customHeight="1">
      <c r="B198" s="194"/>
      <c r="C198" s="283" t="s">
        <v>3324</v>
      </c>
      <c r="D198" s="340">
        <v>50900</v>
      </c>
      <c r="E198" s="194"/>
      <c r="F198" s="194" t="s">
        <v>521</v>
      </c>
      <c r="G198" s="878" t="s">
        <v>3325</v>
      </c>
      <c r="H198" s="878" t="s">
        <v>3098</v>
      </c>
      <c r="I198" s="882" t="s">
        <v>3096</v>
      </c>
      <c r="J198" s="882" t="s">
        <v>2944</v>
      </c>
      <c r="K198" s="880" t="s">
        <v>3112</v>
      </c>
      <c r="L198" s="881" t="s">
        <v>3090</v>
      </c>
      <c r="M198" s="2284" t="s">
        <v>2956</v>
      </c>
      <c r="N198" s="2284" t="s">
        <v>413</v>
      </c>
      <c r="O198" s="2285" t="s">
        <v>3326</v>
      </c>
      <c r="P198" s="447" t="s">
        <v>3327</v>
      </c>
      <c r="Q198" s="415"/>
      <c r="R198" s="122"/>
      <c r="S198" s="290"/>
      <c r="T198" s="399" t="s">
        <v>3328</v>
      </c>
      <c r="U198" s="399" t="s">
        <v>3064</v>
      </c>
      <c r="W198" s="326" t="s">
        <v>3329</v>
      </c>
      <c r="X198" s="326" t="s">
        <v>3073</v>
      </c>
      <c r="Z198" s="326"/>
      <c r="AA198" s="12"/>
      <c r="AB198" s="12"/>
      <c r="AC198" s="808"/>
      <c r="AD198" s="407"/>
    </row>
    <row r="199" spans="2:30" ht="10.5" customHeight="1">
      <c r="B199" s="194"/>
      <c r="C199" s="283" t="s">
        <v>3330</v>
      </c>
      <c r="D199" s="340">
        <v>51800</v>
      </c>
      <c r="E199" s="194"/>
      <c r="F199" s="194" t="s">
        <v>522</v>
      </c>
      <c r="G199" s="878" t="s">
        <v>3331</v>
      </c>
      <c r="H199" s="878" t="s">
        <v>3065</v>
      </c>
      <c r="I199" s="879" t="s">
        <v>3259</v>
      </c>
      <c r="J199" s="879" t="s">
        <v>2957</v>
      </c>
      <c r="K199" s="880" t="s">
        <v>3332</v>
      </c>
      <c r="L199" s="881" t="s">
        <v>3068</v>
      </c>
      <c r="M199" s="2286" t="s">
        <v>184</v>
      </c>
      <c r="N199" s="2286" t="s">
        <v>2950</v>
      </c>
      <c r="O199" s="2285" t="s">
        <v>3333</v>
      </c>
      <c r="P199" s="447" t="s">
        <v>3334</v>
      </c>
      <c r="Q199" s="415"/>
      <c r="R199" s="122"/>
      <c r="S199" s="290"/>
      <c r="T199" s="194" t="s">
        <v>3335</v>
      </c>
      <c r="U199" s="194" t="s">
        <v>297</v>
      </c>
      <c r="W199" s="326" t="s">
        <v>3336</v>
      </c>
      <c r="X199" s="326" t="s">
        <v>3073</v>
      </c>
      <c r="Z199" s="326"/>
      <c r="AA199" s="12"/>
      <c r="AB199" s="12"/>
      <c r="AC199" s="407"/>
      <c r="AD199" s="407"/>
    </row>
    <row r="200" spans="2:30" ht="10.5" customHeight="1">
      <c r="B200" s="194"/>
      <c r="C200" s="283" t="s">
        <v>3337</v>
      </c>
      <c r="D200" s="340">
        <v>32300</v>
      </c>
      <c r="E200" s="194"/>
      <c r="F200" s="194" t="s">
        <v>523</v>
      </c>
      <c r="G200" s="878" t="s">
        <v>3338</v>
      </c>
      <c r="H200" s="878" t="s">
        <v>3065</v>
      </c>
      <c r="I200" s="879" t="s">
        <v>3263</v>
      </c>
      <c r="J200" s="879" t="s">
        <v>2957</v>
      </c>
      <c r="K200" s="880" t="s">
        <v>3339</v>
      </c>
      <c r="L200" s="881" t="s">
        <v>3068</v>
      </c>
      <c r="M200" s="2286" t="s">
        <v>184</v>
      </c>
      <c r="N200" s="2286" t="s">
        <v>2180</v>
      </c>
      <c r="O200" s="2285" t="s">
        <v>3340</v>
      </c>
      <c r="P200" s="447" t="s">
        <v>3341</v>
      </c>
      <c r="Q200" s="415"/>
      <c r="R200" s="122"/>
      <c r="S200" s="290"/>
      <c r="T200" s="399" t="s">
        <v>275</v>
      </c>
      <c r="U200" s="399" t="s">
        <v>276</v>
      </c>
      <c r="W200" s="326" t="s">
        <v>3342</v>
      </c>
      <c r="X200" s="326" t="s">
        <v>3073</v>
      </c>
      <c r="Z200" s="326"/>
      <c r="AA200" s="12"/>
      <c r="AB200" s="12"/>
      <c r="AC200" s="808"/>
      <c r="AD200" s="407"/>
    </row>
    <row r="201" spans="2:30" ht="10.5" customHeight="1">
      <c r="B201" s="194"/>
      <c r="C201" s="283" t="s">
        <v>3343</v>
      </c>
      <c r="D201" s="340">
        <v>52700</v>
      </c>
      <c r="E201" s="194"/>
      <c r="F201" s="194" t="s">
        <v>524</v>
      </c>
      <c r="G201" s="878" t="s">
        <v>342</v>
      </c>
      <c r="H201" s="878" t="s">
        <v>3065</v>
      </c>
      <c r="I201" s="882" t="s">
        <v>2180</v>
      </c>
      <c r="J201" s="882" t="s">
        <v>2944</v>
      </c>
      <c r="K201" s="880" t="s">
        <v>3089</v>
      </c>
      <c r="L201" s="881" t="s">
        <v>3090</v>
      </c>
      <c r="M201" s="2286" t="s">
        <v>2956</v>
      </c>
      <c r="N201" s="2286" t="s">
        <v>2180</v>
      </c>
      <c r="O201" s="2285" t="s">
        <v>3344</v>
      </c>
      <c r="P201" s="447" t="s">
        <v>3345</v>
      </c>
      <c r="Q201" s="415"/>
      <c r="R201" s="122"/>
      <c r="S201" s="290"/>
      <c r="T201" s="399" t="s">
        <v>3346</v>
      </c>
      <c r="U201" s="399" t="s">
        <v>3347</v>
      </c>
      <c r="W201" s="326" t="s">
        <v>3348</v>
      </c>
      <c r="X201" s="326" t="s">
        <v>3073</v>
      </c>
      <c r="Z201" s="326"/>
      <c r="AA201" s="12"/>
      <c r="AB201" s="12"/>
      <c r="AC201" s="808"/>
      <c r="AD201" s="407"/>
    </row>
    <row r="202" spans="2:30" ht="10.5" customHeight="1">
      <c r="B202" s="194"/>
      <c r="C202" s="283" t="s">
        <v>3349</v>
      </c>
      <c r="D202" s="340">
        <v>48700</v>
      </c>
      <c r="E202" s="194"/>
      <c r="F202" s="194" t="s">
        <v>525</v>
      </c>
      <c r="G202" s="878" t="s">
        <v>326</v>
      </c>
      <c r="H202" s="878" t="s">
        <v>3098</v>
      </c>
      <c r="I202" s="882" t="s">
        <v>3096</v>
      </c>
      <c r="J202" s="882" t="s">
        <v>2944</v>
      </c>
      <c r="K202" s="880" t="s">
        <v>3112</v>
      </c>
      <c r="L202" s="881" t="s">
        <v>3090</v>
      </c>
      <c r="M202" s="2284" t="s">
        <v>2956</v>
      </c>
      <c r="N202" s="2284" t="s">
        <v>413</v>
      </c>
      <c r="O202" s="2285" t="s">
        <v>3350</v>
      </c>
      <c r="P202" s="447" t="s">
        <v>3351</v>
      </c>
      <c r="Q202" s="415"/>
      <c r="R202" s="122"/>
      <c r="S202" s="290"/>
      <c r="T202" s="399" t="s">
        <v>3352</v>
      </c>
      <c r="U202" s="399" t="s">
        <v>2211</v>
      </c>
      <c r="W202" s="326" t="s">
        <v>281</v>
      </c>
      <c r="X202" s="326" t="s">
        <v>3073</v>
      </c>
      <c r="Z202" s="326"/>
      <c r="AA202" s="12"/>
      <c r="AB202" s="12"/>
      <c r="AC202" s="808"/>
      <c r="AD202" s="407"/>
    </row>
    <row r="203" spans="2:30" ht="10.5" customHeight="1">
      <c r="B203" s="194"/>
      <c r="C203" s="283" t="s">
        <v>3353</v>
      </c>
      <c r="D203" s="340">
        <v>46600</v>
      </c>
      <c r="E203" s="194"/>
      <c r="F203" s="194" t="s">
        <v>526</v>
      </c>
      <c r="G203" s="878" t="s">
        <v>3354</v>
      </c>
      <c r="H203" s="878" t="s">
        <v>3065</v>
      </c>
      <c r="I203" s="879" t="s">
        <v>3269</v>
      </c>
      <c r="J203" s="879" t="s">
        <v>2957</v>
      </c>
      <c r="K203" s="880" t="s">
        <v>3355</v>
      </c>
      <c r="L203" s="881" t="s">
        <v>3068</v>
      </c>
      <c r="M203" s="2286" t="s">
        <v>184</v>
      </c>
      <c r="N203" s="2286" t="s">
        <v>2180</v>
      </c>
      <c r="O203" s="2285" t="s">
        <v>3356</v>
      </c>
      <c r="P203" s="447" t="s">
        <v>3357</v>
      </c>
      <c r="Q203" s="415"/>
      <c r="R203" s="122"/>
      <c r="S203" s="290"/>
      <c r="T203" s="399" t="s">
        <v>3358</v>
      </c>
      <c r="U203" s="399" t="s">
        <v>351</v>
      </c>
      <c r="W203" s="326" t="s">
        <v>3359</v>
      </c>
      <c r="X203" s="326" t="s">
        <v>3073</v>
      </c>
      <c r="Z203" s="326"/>
      <c r="AA203" s="12"/>
      <c r="AB203" s="12"/>
      <c r="AC203" s="808"/>
      <c r="AD203" s="407"/>
    </row>
    <row r="204" spans="2:30" ht="10.5" customHeight="1">
      <c r="B204" s="194"/>
      <c r="C204" s="283" t="s">
        <v>3360</v>
      </c>
      <c r="D204" s="340">
        <v>48900</v>
      </c>
      <c r="E204" s="194"/>
      <c r="F204" s="194" t="s">
        <v>527</v>
      </c>
      <c r="G204" s="878" t="s">
        <v>3361</v>
      </c>
      <c r="H204" s="878" t="s">
        <v>3065</v>
      </c>
      <c r="I204" s="879" t="s">
        <v>43</v>
      </c>
      <c r="J204" s="879" t="s">
        <v>2944</v>
      </c>
      <c r="K204" s="880" t="s">
        <v>3156</v>
      </c>
      <c r="L204" s="881" t="s">
        <v>3090</v>
      </c>
      <c r="M204" s="2284" t="s">
        <v>184</v>
      </c>
      <c r="N204" s="2284" t="s">
        <v>43</v>
      </c>
      <c r="O204" s="2285" t="s">
        <v>3362</v>
      </c>
      <c r="P204" s="447" t="s">
        <v>3363</v>
      </c>
      <c r="Q204" s="415"/>
      <c r="R204" s="122"/>
      <c r="S204" s="290"/>
      <c r="T204" s="399" t="s">
        <v>3364</v>
      </c>
      <c r="U204" s="399" t="s">
        <v>3365</v>
      </c>
      <c r="W204" s="326" t="s">
        <v>2208</v>
      </c>
      <c r="X204" s="326" t="s">
        <v>3073</v>
      </c>
      <c r="Z204" s="326"/>
      <c r="AA204" s="12"/>
      <c r="AB204" s="12"/>
      <c r="AC204" s="808"/>
      <c r="AD204" s="407"/>
    </row>
    <row r="205" spans="2:30" ht="10.5" customHeight="1">
      <c r="B205" s="194"/>
      <c r="C205" s="282" t="s">
        <v>3366</v>
      </c>
      <c r="D205" s="340">
        <v>63600</v>
      </c>
      <c r="E205" s="194"/>
      <c r="F205" s="194" t="s">
        <v>528</v>
      </c>
      <c r="G205" s="878" t="s">
        <v>3367</v>
      </c>
      <c r="H205" s="878" t="s">
        <v>3065</v>
      </c>
      <c r="I205" s="882" t="s">
        <v>2951</v>
      </c>
      <c r="J205" s="882" t="s">
        <v>2944</v>
      </c>
      <c r="K205" s="880" t="s">
        <v>3161</v>
      </c>
      <c r="L205" s="881" t="s">
        <v>3090</v>
      </c>
      <c r="M205" s="2284" t="s">
        <v>184</v>
      </c>
      <c r="N205" s="2284" t="s">
        <v>2951</v>
      </c>
      <c r="O205" s="2285" t="s">
        <v>3368</v>
      </c>
      <c r="P205" s="447" t="s">
        <v>3369</v>
      </c>
      <c r="Q205" s="200"/>
      <c r="R205" s="122"/>
      <c r="S205" s="290"/>
      <c r="T205" s="399" t="s">
        <v>3370</v>
      </c>
      <c r="U205" s="399" t="s">
        <v>3371</v>
      </c>
      <c r="W205" s="326" t="s">
        <v>3372</v>
      </c>
      <c r="X205" s="326" t="s">
        <v>3073</v>
      </c>
      <c r="Z205" s="326"/>
      <c r="AA205" s="12"/>
      <c r="AB205" s="12"/>
      <c r="AC205" s="808"/>
      <c r="AD205" s="808"/>
    </row>
    <row r="206" spans="2:30" ht="10.5" customHeight="1">
      <c r="B206" s="194"/>
      <c r="C206" s="283" t="s">
        <v>3373</v>
      </c>
      <c r="D206" s="340">
        <v>44900</v>
      </c>
      <c r="E206" s="194"/>
      <c r="F206" s="448"/>
      <c r="G206" s="878" t="s">
        <v>3374</v>
      </c>
      <c r="H206" s="878" t="s">
        <v>3098</v>
      </c>
      <c r="I206" s="879" t="s">
        <v>3273</v>
      </c>
      <c r="J206" s="879" t="s">
        <v>2957</v>
      </c>
      <c r="K206" s="880" t="s">
        <v>3375</v>
      </c>
      <c r="L206" s="881" t="s">
        <v>3068</v>
      </c>
      <c r="M206" s="2286" t="s">
        <v>184</v>
      </c>
      <c r="N206" s="2286" t="s">
        <v>2946</v>
      </c>
      <c r="O206" s="2285" t="s">
        <v>3376</v>
      </c>
      <c r="P206" s="447" t="s">
        <v>3377</v>
      </c>
      <c r="Q206" s="200"/>
      <c r="R206" s="122"/>
      <c r="S206" s="290"/>
      <c r="T206" s="399" t="s">
        <v>3378</v>
      </c>
      <c r="U206" s="399" t="s">
        <v>3379</v>
      </c>
      <c r="W206" s="326" t="s">
        <v>2949</v>
      </c>
      <c r="X206" s="326" t="s">
        <v>3073</v>
      </c>
      <c r="Z206" s="326"/>
      <c r="AA206" s="12"/>
      <c r="AB206" s="12"/>
      <c r="AC206" s="808"/>
      <c r="AD206" s="407"/>
    </row>
    <row r="207" spans="2:30" ht="10.5" customHeight="1">
      <c r="B207" s="194"/>
      <c r="C207" s="282" t="s">
        <v>3380</v>
      </c>
      <c r="D207" s="340">
        <v>33500</v>
      </c>
      <c r="E207" s="194"/>
      <c r="F207" s="448"/>
      <c r="G207" s="878" t="s">
        <v>3381</v>
      </c>
      <c r="H207" s="878" t="s">
        <v>3065</v>
      </c>
      <c r="I207" s="879" t="s">
        <v>3279</v>
      </c>
      <c r="J207" s="879" t="s">
        <v>2957</v>
      </c>
      <c r="K207" s="880" t="s">
        <v>3382</v>
      </c>
      <c r="L207" s="881" t="s">
        <v>3068</v>
      </c>
      <c r="M207" s="2286" t="s">
        <v>184</v>
      </c>
      <c r="N207" s="2286" t="s">
        <v>2947</v>
      </c>
      <c r="O207" s="2285" t="s">
        <v>3383</v>
      </c>
      <c r="P207" s="447" t="s">
        <v>3384</v>
      </c>
      <c r="Q207" s="200"/>
      <c r="R207" s="122"/>
      <c r="S207" s="290"/>
      <c r="T207" s="194" t="s">
        <v>3207</v>
      </c>
      <c r="U207" s="194" t="s">
        <v>3385</v>
      </c>
      <c r="W207" s="326" t="s">
        <v>2213</v>
      </c>
      <c r="X207" s="326" t="s">
        <v>3073</v>
      </c>
      <c r="Z207" s="326"/>
      <c r="AA207" s="12"/>
      <c r="AB207" s="12"/>
      <c r="AC207" s="407"/>
      <c r="AD207" s="407"/>
    </row>
    <row r="208" spans="2:30" ht="10.5" customHeight="1">
      <c r="B208" s="194"/>
      <c r="C208" s="283" t="s">
        <v>3386</v>
      </c>
      <c r="D208" s="340">
        <v>37300</v>
      </c>
      <c r="E208" s="194"/>
      <c r="F208" s="448"/>
      <c r="G208" s="878" t="s">
        <v>297</v>
      </c>
      <c r="H208" s="878" t="s">
        <v>3065</v>
      </c>
      <c r="I208" s="879" t="s">
        <v>3286</v>
      </c>
      <c r="J208" s="879" t="s">
        <v>2957</v>
      </c>
      <c r="K208" s="880" t="s">
        <v>3387</v>
      </c>
      <c r="L208" s="881" t="s">
        <v>3068</v>
      </c>
      <c r="M208" s="2286" t="s">
        <v>184</v>
      </c>
      <c r="N208" s="2286" t="s">
        <v>2951</v>
      </c>
      <c r="O208" s="2285" t="s">
        <v>3388</v>
      </c>
      <c r="P208" s="447" t="s">
        <v>3389</v>
      </c>
      <c r="Q208" s="200"/>
      <c r="R208" s="122"/>
      <c r="S208" s="290"/>
      <c r="T208" s="399" t="s">
        <v>278</v>
      </c>
      <c r="U208" s="399" t="s">
        <v>279</v>
      </c>
      <c r="W208" s="326" t="s">
        <v>3390</v>
      </c>
      <c r="X208" s="326" t="s">
        <v>3073</v>
      </c>
      <c r="Z208" s="326"/>
      <c r="AA208" s="12"/>
      <c r="AB208" s="12"/>
      <c r="AC208" s="808"/>
      <c r="AD208" s="811"/>
    </row>
    <row r="209" spans="2:30" ht="10.5" customHeight="1">
      <c r="B209" s="194"/>
      <c r="C209" s="283" t="s">
        <v>3391</v>
      </c>
      <c r="D209" s="340">
        <v>46300</v>
      </c>
      <c r="E209" s="194"/>
      <c r="F209" s="448"/>
      <c r="G209" s="878" t="s">
        <v>3392</v>
      </c>
      <c r="H209" s="878" t="s">
        <v>3098</v>
      </c>
      <c r="I209" s="879" t="s">
        <v>3289</v>
      </c>
      <c r="J209" s="879" t="s">
        <v>2957</v>
      </c>
      <c r="K209" s="880" t="s">
        <v>3393</v>
      </c>
      <c r="L209" s="881" t="s">
        <v>3068</v>
      </c>
      <c r="M209" s="2286" t="s">
        <v>184</v>
      </c>
      <c r="N209" s="2286" t="s">
        <v>413</v>
      </c>
      <c r="O209" s="2285" t="s">
        <v>3394</v>
      </c>
      <c r="P209" s="447" t="s">
        <v>3395</v>
      </c>
      <c r="Q209" s="200"/>
      <c r="R209" s="122"/>
      <c r="S209" s="290"/>
      <c r="T209" s="399" t="s">
        <v>3214</v>
      </c>
      <c r="U209" s="399" t="s">
        <v>3396</v>
      </c>
      <c r="W209" s="326" t="s">
        <v>2215</v>
      </c>
      <c r="X209" s="326" t="s">
        <v>3073</v>
      </c>
      <c r="Z209" s="326"/>
      <c r="AA209" s="12"/>
      <c r="AB209" s="12"/>
      <c r="AC209" s="808"/>
      <c r="AD209" s="407"/>
    </row>
    <row r="210" spans="2:30" ht="10.5" customHeight="1">
      <c r="B210" s="194"/>
      <c r="C210" s="283" t="s">
        <v>3397</v>
      </c>
      <c r="D210" s="340">
        <v>51600</v>
      </c>
      <c r="E210" s="194"/>
      <c r="F210" s="448"/>
      <c r="G210" s="878" t="s">
        <v>3398</v>
      </c>
      <c r="H210" s="878" t="s">
        <v>3098</v>
      </c>
      <c r="I210" s="882" t="s">
        <v>3096</v>
      </c>
      <c r="J210" s="882" t="s">
        <v>2944</v>
      </c>
      <c r="K210" s="880" t="s">
        <v>3112</v>
      </c>
      <c r="L210" s="881" t="s">
        <v>3090</v>
      </c>
      <c r="M210" s="2284" t="s">
        <v>2956</v>
      </c>
      <c r="N210" s="2284" t="s">
        <v>413</v>
      </c>
      <c r="O210" s="2285" t="s">
        <v>3399</v>
      </c>
      <c r="P210" s="447" t="s">
        <v>3400</v>
      </c>
      <c r="Q210" s="200"/>
      <c r="R210" s="122"/>
      <c r="S210" s="290"/>
      <c r="T210" s="399" t="s">
        <v>3222</v>
      </c>
      <c r="U210" s="399" t="s">
        <v>3354</v>
      </c>
      <c r="W210" s="326" t="s">
        <v>3401</v>
      </c>
      <c r="X210" s="326" t="s">
        <v>3073</v>
      </c>
      <c r="Z210" s="326"/>
      <c r="AA210" s="12"/>
      <c r="AB210" s="12"/>
      <c r="AC210" s="808"/>
      <c r="AD210" s="407"/>
    </row>
    <row r="211" spans="2:30" ht="10.5" customHeight="1">
      <c r="B211" s="194"/>
      <c r="C211" s="283" t="s">
        <v>3402</v>
      </c>
      <c r="D211" s="340">
        <v>44200</v>
      </c>
      <c r="E211" s="194"/>
      <c r="F211" s="448"/>
      <c r="G211" s="878" t="s">
        <v>356</v>
      </c>
      <c r="H211" s="878" t="s">
        <v>3098</v>
      </c>
      <c r="I211" s="882" t="s">
        <v>2268</v>
      </c>
      <c r="J211" s="882" t="s">
        <v>2944</v>
      </c>
      <c r="K211" s="880" t="s">
        <v>3403</v>
      </c>
      <c r="L211" s="881" t="s">
        <v>3090</v>
      </c>
      <c r="M211" s="2286" t="s">
        <v>2956</v>
      </c>
      <c r="N211" s="2286" t="s">
        <v>413</v>
      </c>
      <c r="O211" s="2285" t="s">
        <v>3404</v>
      </c>
      <c r="P211" s="447" t="s">
        <v>3405</v>
      </c>
      <c r="Q211" s="200"/>
      <c r="R211" s="122"/>
      <c r="S211" s="290"/>
      <c r="T211" s="399" t="s">
        <v>3226</v>
      </c>
      <c r="U211" s="399" t="s">
        <v>318</v>
      </c>
      <c r="W211" s="326" t="s">
        <v>2218</v>
      </c>
      <c r="X211" s="326" t="s">
        <v>3073</v>
      </c>
      <c r="Z211" s="326"/>
      <c r="AA211" s="12"/>
      <c r="AB211" s="12"/>
      <c r="AC211" s="808"/>
      <c r="AD211" s="407"/>
    </row>
    <row r="212" spans="2:30" ht="10.5" customHeight="1">
      <c r="B212" s="194"/>
      <c r="C212" s="283" t="s">
        <v>3406</v>
      </c>
      <c r="D212" s="340">
        <v>47200</v>
      </c>
      <c r="E212" s="194"/>
      <c r="F212" s="448"/>
      <c r="G212" s="878" t="s">
        <v>3407</v>
      </c>
      <c r="H212" s="878" t="s">
        <v>3098</v>
      </c>
      <c r="I212" s="882" t="s">
        <v>3096</v>
      </c>
      <c r="J212" s="882" t="s">
        <v>2944</v>
      </c>
      <c r="K212" s="880" t="s">
        <v>3112</v>
      </c>
      <c r="L212" s="881" t="s">
        <v>3090</v>
      </c>
      <c r="M212" s="2284" t="s">
        <v>2956</v>
      </c>
      <c r="N212" s="2284" t="s">
        <v>413</v>
      </c>
      <c r="O212" s="2285" t="s">
        <v>3408</v>
      </c>
      <c r="P212" s="447" t="s">
        <v>3409</v>
      </c>
      <c r="Q212" s="200"/>
      <c r="R212" s="122"/>
      <c r="S212" s="290"/>
      <c r="T212" s="399" t="s">
        <v>3233</v>
      </c>
      <c r="U212" s="399" t="s">
        <v>3392</v>
      </c>
      <c r="W212" s="326" t="s">
        <v>3300</v>
      </c>
      <c r="X212" s="326" t="s">
        <v>3073</v>
      </c>
      <c r="Z212" s="326"/>
      <c r="AA212" s="12"/>
      <c r="AB212" s="12"/>
      <c r="AC212" s="808"/>
      <c r="AD212" s="407"/>
    </row>
    <row r="213" spans="2:30" ht="10.5" customHeight="1">
      <c r="B213" s="194"/>
      <c r="C213" s="283" t="s">
        <v>3410</v>
      </c>
      <c r="D213" s="340">
        <v>57500</v>
      </c>
      <c r="E213" s="194"/>
      <c r="F213" s="448"/>
      <c r="G213" s="878" t="s">
        <v>3411</v>
      </c>
      <c r="H213" s="878" t="s">
        <v>3098</v>
      </c>
      <c r="I213" s="882" t="s">
        <v>3296</v>
      </c>
      <c r="J213" s="882" t="s">
        <v>2957</v>
      </c>
      <c r="K213" s="880" t="s">
        <v>3412</v>
      </c>
      <c r="L213" s="881" t="s">
        <v>3068</v>
      </c>
      <c r="M213" s="2286" t="s">
        <v>184</v>
      </c>
      <c r="N213" s="2286" t="s">
        <v>2946</v>
      </c>
      <c r="O213" s="2285" t="s">
        <v>3413</v>
      </c>
      <c r="P213" s="447" t="s">
        <v>3414</v>
      </c>
      <c r="Q213" s="200"/>
      <c r="R213" s="122"/>
      <c r="S213" s="290"/>
      <c r="T213" s="399" t="s">
        <v>3415</v>
      </c>
      <c r="U213" s="399" t="s">
        <v>3252</v>
      </c>
      <c r="W213" s="326" t="s">
        <v>3416</v>
      </c>
      <c r="X213" s="326" t="s">
        <v>3073</v>
      </c>
      <c r="Z213" s="326"/>
      <c r="AA213" s="12"/>
      <c r="AB213" s="12"/>
      <c r="AC213" s="808"/>
      <c r="AD213" s="407"/>
    </row>
    <row r="214" spans="2:30" ht="10.5" customHeight="1">
      <c r="B214" s="194"/>
      <c r="C214" s="283" t="s">
        <v>3417</v>
      </c>
      <c r="D214" s="340">
        <v>58300</v>
      </c>
      <c r="E214" s="194"/>
      <c r="F214" s="448"/>
      <c r="G214" s="878" t="s">
        <v>334</v>
      </c>
      <c r="H214" s="878" t="s">
        <v>3098</v>
      </c>
      <c r="I214" s="882" t="s">
        <v>3096</v>
      </c>
      <c r="J214" s="882" t="s">
        <v>2944</v>
      </c>
      <c r="K214" s="880" t="s">
        <v>3112</v>
      </c>
      <c r="L214" s="881" t="s">
        <v>3090</v>
      </c>
      <c r="M214" s="2284" t="s">
        <v>2956</v>
      </c>
      <c r="N214" s="2284" t="s">
        <v>413</v>
      </c>
      <c r="O214" s="2285" t="s">
        <v>3418</v>
      </c>
      <c r="P214" s="447" t="s">
        <v>3419</v>
      </c>
      <c r="Q214" s="200"/>
      <c r="R214" s="122"/>
      <c r="S214" s="290"/>
      <c r="T214" s="399" t="s">
        <v>3420</v>
      </c>
      <c r="U214" s="399" t="s">
        <v>3267</v>
      </c>
      <c r="W214" s="326" t="s">
        <v>3421</v>
      </c>
      <c r="X214" s="326" t="s">
        <v>3073</v>
      </c>
      <c r="Z214" s="326"/>
      <c r="AA214" s="12"/>
      <c r="AB214" s="12"/>
      <c r="AC214" s="808"/>
      <c r="AD214" s="407"/>
    </row>
    <row r="215" spans="2:30" ht="10.5" customHeight="1">
      <c r="B215" s="194"/>
      <c r="C215" s="283" t="s">
        <v>2950</v>
      </c>
      <c r="D215" s="340">
        <v>49600</v>
      </c>
      <c r="E215" s="194"/>
      <c r="F215" s="448"/>
      <c r="G215" s="878" t="s">
        <v>3422</v>
      </c>
      <c r="H215" s="878" t="s">
        <v>3098</v>
      </c>
      <c r="I215" s="879" t="s">
        <v>3304</v>
      </c>
      <c r="J215" s="879" t="s">
        <v>2957</v>
      </c>
      <c r="K215" s="880" t="s">
        <v>3423</v>
      </c>
      <c r="L215" s="881" t="s">
        <v>3068</v>
      </c>
      <c r="M215" s="2286" t="s">
        <v>184</v>
      </c>
      <c r="N215" s="2286" t="s">
        <v>413</v>
      </c>
      <c r="O215" s="2285" t="s">
        <v>3424</v>
      </c>
      <c r="P215" s="447" t="s">
        <v>3425</v>
      </c>
      <c r="Q215" s="200"/>
      <c r="R215" s="122"/>
      <c r="S215" s="290"/>
      <c r="T215" s="194" t="s">
        <v>3426</v>
      </c>
      <c r="U215" s="194" t="s">
        <v>3379</v>
      </c>
      <c r="W215" s="326" t="s">
        <v>3427</v>
      </c>
      <c r="X215" s="326" t="s">
        <v>3073</v>
      </c>
      <c r="Z215" s="326"/>
      <c r="AA215" s="12"/>
      <c r="AB215" s="12"/>
      <c r="AC215" s="407"/>
      <c r="AD215" s="407"/>
    </row>
    <row r="216" spans="2:30" ht="10.5" customHeight="1">
      <c r="B216" s="194"/>
      <c r="C216" s="283" t="s">
        <v>3428</v>
      </c>
      <c r="D216" s="340">
        <v>39700</v>
      </c>
      <c r="E216" s="194"/>
      <c r="F216" s="448"/>
      <c r="G216" s="878" t="s">
        <v>3429</v>
      </c>
      <c r="H216" s="878" t="s">
        <v>3098</v>
      </c>
      <c r="I216" s="882" t="s">
        <v>3308</v>
      </c>
      <c r="J216" s="882" t="s">
        <v>2957</v>
      </c>
      <c r="K216" s="880" t="s">
        <v>3430</v>
      </c>
      <c r="L216" s="881" t="s">
        <v>3068</v>
      </c>
      <c r="M216" s="2286" t="s">
        <v>184</v>
      </c>
      <c r="N216" s="2286" t="s">
        <v>2947</v>
      </c>
      <c r="O216" s="2285" t="s">
        <v>3431</v>
      </c>
      <c r="P216" s="447" t="s">
        <v>3432</v>
      </c>
      <c r="Q216" s="200"/>
      <c r="R216" s="122"/>
      <c r="S216" s="290"/>
      <c r="T216" s="399" t="s">
        <v>280</v>
      </c>
      <c r="U216" s="399" t="s">
        <v>281</v>
      </c>
      <c r="W216" s="326" t="s">
        <v>3433</v>
      </c>
      <c r="X216" s="326" t="s">
        <v>3073</v>
      </c>
      <c r="Z216" s="326"/>
      <c r="AA216" s="12"/>
      <c r="AB216" s="12"/>
      <c r="AC216" s="808"/>
      <c r="AD216" s="407"/>
    </row>
    <row r="217" spans="2:30" ht="10.5" customHeight="1">
      <c r="B217" s="194"/>
      <c r="C217" s="283" t="s">
        <v>3434</v>
      </c>
      <c r="D217" s="340">
        <v>44800</v>
      </c>
      <c r="E217" s="194"/>
      <c r="F217" s="448"/>
      <c r="G217" s="878" t="s">
        <v>291</v>
      </c>
      <c r="H217" s="878" t="s">
        <v>3065</v>
      </c>
      <c r="I217" s="879" t="s">
        <v>2194</v>
      </c>
      <c r="J217" s="879" t="s">
        <v>2944</v>
      </c>
      <c r="K217" s="880" t="s">
        <v>3151</v>
      </c>
      <c r="L217" s="881" t="s">
        <v>3090</v>
      </c>
      <c r="M217" s="2286" t="s">
        <v>2956</v>
      </c>
      <c r="N217" s="2286" t="s">
        <v>2951</v>
      </c>
      <c r="O217" s="2285" t="s">
        <v>3435</v>
      </c>
      <c r="P217" s="447" t="s">
        <v>3436</v>
      </c>
      <c r="Q217" s="200"/>
      <c r="R217" s="122"/>
      <c r="S217" s="290"/>
      <c r="T217" s="399" t="s">
        <v>3437</v>
      </c>
      <c r="U217" s="399" t="s">
        <v>3322</v>
      </c>
      <c r="W217" s="326" t="s">
        <v>3438</v>
      </c>
      <c r="X217" s="326" t="s">
        <v>3073</v>
      </c>
      <c r="Z217" s="326"/>
      <c r="AA217" s="12"/>
      <c r="AB217" s="12"/>
      <c r="AC217" s="808"/>
      <c r="AD217" s="407"/>
    </row>
    <row r="218" spans="2:30" ht="10.5" customHeight="1">
      <c r="B218" s="194"/>
      <c r="C218" s="283" t="s">
        <v>3439</v>
      </c>
      <c r="D218" s="340">
        <v>41800</v>
      </c>
      <c r="E218" s="194"/>
      <c r="F218" s="448"/>
      <c r="G218" s="878" t="s">
        <v>3440</v>
      </c>
      <c r="H218" s="878" t="s">
        <v>3098</v>
      </c>
      <c r="I218" s="879" t="s">
        <v>3313</v>
      </c>
      <c r="J218" s="879" t="s">
        <v>2957</v>
      </c>
      <c r="K218" s="880" t="s">
        <v>3441</v>
      </c>
      <c r="L218" s="881" t="s">
        <v>3068</v>
      </c>
      <c r="M218" s="2286" t="s">
        <v>184</v>
      </c>
      <c r="N218" s="2286" t="s">
        <v>413</v>
      </c>
      <c r="O218" s="2285" t="s">
        <v>3442</v>
      </c>
      <c r="P218" s="447" t="s">
        <v>3443</v>
      </c>
      <c r="Q218" s="200"/>
      <c r="R218" s="122"/>
      <c r="S218" s="290"/>
      <c r="T218" s="399" t="s">
        <v>3444</v>
      </c>
      <c r="U218" s="399" t="s">
        <v>3445</v>
      </c>
      <c r="W218" s="326" t="s">
        <v>2219</v>
      </c>
      <c r="X218" s="326" t="s">
        <v>3073</v>
      </c>
      <c r="Z218" s="326"/>
      <c r="AA218" s="12"/>
      <c r="AB218" s="12"/>
      <c r="AC218" s="808"/>
      <c r="AD218" s="407"/>
    </row>
    <row r="219" spans="2:30" ht="10.5" customHeight="1">
      <c r="B219" s="194"/>
      <c r="C219" s="283" t="s">
        <v>3446</v>
      </c>
      <c r="D219" s="340">
        <v>39700</v>
      </c>
      <c r="E219" s="194"/>
      <c r="F219" s="448"/>
      <c r="G219" s="878" t="s">
        <v>3447</v>
      </c>
      <c r="H219" s="878" t="s">
        <v>3065</v>
      </c>
      <c r="I219" s="879" t="s">
        <v>3317</v>
      </c>
      <c r="J219" s="879" t="s">
        <v>2957</v>
      </c>
      <c r="K219" s="880" t="s">
        <v>3448</v>
      </c>
      <c r="L219" s="881" t="s">
        <v>3068</v>
      </c>
      <c r="M219" s="2286" t="s">
        <v>184</v>
      </c>
      <c r="N219" s="2286" t="s">
        <v>2180</v>
      </c>
      <c r="O219" s="2285" t="s">
        <v>3449</v>
      </c>
      <c r="P219" s="447" t="s">
        <v>3450</v>
      </c>
      <c r="Q219" s="200"/>
      <c r="R219" s="122"/>
      <c r="S219" s="290"/>
      <c r="T219" s="399" t="s">
        <v>3451</v>
      </c>
      <c r="U219" s="399" t="s">
        <v>3203</v>
      </c>
      <c r="W219" s="326" t="s">
        <v>3452</v>
      </c>
      <c r="X219" s="326" t="s">
        <v>3073</v>
      </c>
      <c r="Z219" s="326"/>
      <c r="AA219" s="12"/>
      <c r="AB219" s="12"/>
      <c r="AC219" s="808"/>
      <c r="AD219" s="407"/>
    </row>
    <row r="220" spans="2:30" ht="10.5" customHeight="1">
      <c r="B220" s="194"/>
      <c r="C220" s="283" t="s">
        <v>3453</v>
      </c>
      <c r="D220" s="340">
        <v>59300</v>
      </c>
      <c r="E220" s="194"/>
      <c r="F220" s="448"/>
      <c r="G220" s="878" t="s">
        <v>3454</v>
      </c>
      <c r="H220" s="878" t="s">
        <v>3098</v>
      </c>
      <c r="I220" s="879" t="s">
        <v>3324</v>
      </c>
      <c r="J220" s="879" t="s">
        <v>2957</v>
      </c>
      <c r="K220" s="880" t="s">
        <v>3455</v>
      </c>
      <c r="L220" s="881" t="s">
        <v>3068</v>
      </c>
      <c r="M220" s="2286" t="s">
        <v>184</v>
      </c>
      <c r="N220" s="2286" t="s">
        <v>2946</v>
      </c>
      <c r="O220" s="2285" t="s">
        <v>3456</v>
      </c>
      <c r="P220" s="447" t="s">
        <v>3457</v>
      </c>
      <c r="Q220" s="200"/>
      <c r="R220" s="122"/>
      <c r="S220" s="290"/>
      <c r="T220" s="399" t="s">
        <v>3458</v>
      </c>
      <c r="U220" s="399" t="s">
        <v>347</v>
      </c>
      <c r="W220" s="326" t="s">
        <v>3314</v>
      </c>
      <c r="X220" s="326" t="s">
        <v>3073</v>
      </c>
      <c r="Z220" s="326"/>
      <c r="AA220" s="12"/>
      <c r="AB220" s="12"/>
      <c r="AC220" s="808"/>
      <c r="AD220" s="407"/>
    </row>
    <row r="221" spans="2:30" ht="10.5" customHeight="1">
      <c r="B221" s="194"/>
      <c r="C221" s="283" t="s">
        <v>3459</v>
      </c>
      <c r="D221" s="340">
        <v>46100</v>
      </c>
      <c r="E221" s="194"/>
      <c r="F221" s="448"/>
      <c r="G221" s="878" t="s">
        <v>3347</v>
      </c>
      <c r="H221" s="878" t="s">
        <v>3098</v>
      </c>
      <c r="I221" s="882" t="s">
        <v>3096</v>
      </c>
      <c r="J221" s="882" t="s">
        <v>2944</v>
      </c>
      <c r="K221" s="880" t="s">
        <v>3112</v>
      </c>
      <c r="L221" s="881" t="s">
        <v>3090</v>
      </c>
      <c r="M221" s="2284" t="s">
        <v>2956</v>
      </c>
      <c r="N221" s="2284" t="s">
        <v>413</v>
      </c>
      <c r="O221" s="2285" t="s">
        <v>3460</v>
      </c>
      <c r="P221" s="447" t="s">
        <v>3461</v>
      </c>
      <c r="Q221" s="200"/>
      <c r="R221" s="122"/>
      <c r="S221" s="290"/>
      <c r="T221" s="399" t="s">
        <v>3240</v>
      </c>
      <c r="U221" s="399" t="s">
        <v>3374</v>
      </c>
      <c r="W221" s="326" t="s">
        <v>3462</v>
      </c>
      <c r="X221" s="326" t="s">
        <v>3073</v>
      </c>
      <c r="Z221" s="326"/>
      <c r="AA221" s="12"/>
      <c r="AB221" s="12"/>
      <c r="AC221" s="808"/>
      <c r="AD221" s="407"/>
    </row>
    <row r="222" spans="2:30" ht="10.5" customHeight="1">
      <c r="B222" s="194"/>
      <c r="C222" s="282" t="s">
        <v>3463</v>
      </c>
      <c r="D222" s="340">
        <v>58400</v>
      </c>
      <c r="E222" s="194"/>
      <c r="F222" s="448"/>
      <c r="G222" s="878" t="s">
        <v>344</v>
      </c>
      <c r="H222" s="878" t="s">
        <v>3098</v>
      </c>
      <c r="I222" s="879" t="s">
        <v>3330</v>
      </c>
      <c r="J222" s="879" t="s">
        <v>2957</v>
      </c>
      <c r="K222" s="880" t="s">
        <v>3464</v>
      </c>
      <c r="L222" s="881" t="s">
        <v>3068</v>
      </c>
      <c r="M222" s="2286" t="s">
        <v>184</v>
      </c>
      <c r="N222" s="2286" t="s">
        <v>2946</v>
      </c>
      <c r="O222" s="2285" t="s">
        <v>3465</v>
      </c>
      <c r="P222" s="447" t="s">
        <v>3466</v>
      </c>
      <c r="Q222" s="200"/>
      <c r="R222" s="122"/>
      <c r="S222" s="290"/>
      <c r="T222" s="399" t="s">
        <v>3467</v>
      </c>
      <c r="U222" s="399" t="s">
        <v>3213</v>
      </c>
      <c r="W222" s="326" t="s">
        <v>3257</v>
      </c>
      <c r="X222" s="326" t="s">
        <v>3073</v>
      </c>
      <c r="Z222" s="326"/>
      <c r="AA222" s="12"/>
      <c r="AB222" s="12"/>
      <c r="AC222" s="810"/>
      <c r="AD222" s="407"/>
    </row>
    <row r="223" spans="2:30" ht="10.5" customHeight="1">
      <c r="B223" s="194"/>
      <c r="C223" s="283" t="s">
        <v>3468</v>
      </c>
      <c r="D223" s="340">
        <v>43500</v>
      </c>
      <c r="E223" s="194"/>
      <c r="F223" s="448"/>
      <c r="G223" s="878" t="s">
        <v>3469</v>
      </c>
      <c r="H223" s="878" t="s">
        <v>3098</v>
      </c>
      <c r="I223" s="879" t="s">
        <v>2234</v>
      </c>
      <c r="J223" s="879" t="s">
        <v>2944</v>
      </c>
      <c r="K223" s="880" t="s">
        <v>3470</v>
      </c>
      <c r="L223" s="881" t="s">
        <v>3090</v>
      </c>
      <c r="M223" s="2286" t="s">
        <v>2956</v>
      </c>
      <c r="N223" s="2286" t="s">
        <v>413</v>
      </c>
      <c r="O223" s="2285" t="s">
        <v>3471</v>
      </c>
      <c r="P223" s="447" t="s">
        <v>3472</v>
      </c>
      <c r="Q223" s="200"/>
      <c r="R223" s="122"/>
      <c r="S223" s="290"/>
      <c r="T223" s="399" t="s">
        <v>3473</v>
      </c>
      <c r="U223" s="399" t="s">
        <v>3474</v>
      </c>
      <c r="W223" s="326" t="s">
        <v>3475</v>
      </c>
      <c r="X223" s="326" t="s">
        <v>3073</v>
      </c>
      <c r="Z223" s="326"/>
      <c r="AA223" s="12"/>
      <c r="AB223" s="12"/>
      <c r="AC223" s="808"/>
      <c r="AD223" s="407"/>
    </row>
    <row r="224" spans="2:30" ht="10.5" customHeight="1">
      <c r="B224" s="194"/>
      <c r="C224" s="283" t="s">
        <v>3476</v>
      </c>
      <c r="D224" s="340">
        <v>51700</v>
      </c>
      <c r="E224" s="194"/>
      <c r="F224" s="448"/>
      <c r="G224" s="883" t="s">
        <v>3477</v>
      </c>
      <c r="H224" s="878" t="s">
        <v>3098</v>
      </c>
      <c r="I224" s="879" t="s">
        <v>3337</v>
      </c>
      <c r="J224" s="879" t="s">
        <v>2957</v>
      </c>
      <c r="K224" s="880" t="s">
        <v>3478</v>
      </c>
      <c r="L224" s="881" t="s">
        <v>3068</v>
      </c>
      <c r="M224" s="2286" t="s">
        <v>184</v>
      </c>
      <c r="N224" s="2286" t="s">
        <v>2950</v>
      </c>
      <c r="O224" s="2285" t="s">
        <v>3479</v>
      </c>
      <c r="P224" s="447" t="s">
        <v>3480</v>
      </c>
      <c r="Q224" s="200"/>
      <c r="R224" s="122"/>
      <c r="S224" s="290"/>
      <c r="T224" s="399" t="s">
        <v>3246</v>
      </c>
      <c r="U224" s="399" t="s">
        <v>3481</v>
      </c>
      <c r="W224" s="326" t="s">
        <v>326</v>
      </c>
      <c r="X224" s="326" t="s">
        <v>3073</v>
      </c>
      <c r="Z224" s="326"/>
      <c r="AA224" s="12"/>
      <c r="AB224" s="12"/>
      <c r="AC224" s="808"/>
      <c r="AD224" s="407"/>
    </row>
    <row r="225" spans="2:30" ht="10.5" customHeight="1">
      <c r="B225" s="194"/>
      <c r="C225" s="283" t="s">
        <v>3482</v>
      </c>
      <c r="D225" s="340">
        <v>51200</v>
      </c>
      <c r="E225" s="194"/>
      <c r="F225" s="448"/>
      <c r="G225" s="878" t="s">
        <v>3481</v>
      </c>
      <c r="H225" s="878" t="s">
        <v>3098</v>
      </c>
      <c r="I225" s="882" t="s">
        <v>3343</v>
      </c>
      <c r="J225" s="882" t="s">
        <v>2944</v>
      </c>
      <c r="K225" s="880" t="s">
        <v>3483</v>
      </c>
      <c r="L225" s="881" t="s">
        <v>3090</v>
      </c>
      <c r="M225" s="2284" t="s">
        <v>184</v>
      </c>
      <c r="N225" s="2284" t="s">
        <v>413</v>
      </c>
      <c r="O225" s="2285" t="s">
        <v>3484</v>
      </c>
      <c r="P225" s="447" t="s">
        <v>3485</v>
      </c>
      <c r="Q225" s="200"/>
      <c r="R225" s="122"/>
      <c r="S225" s="290"/>
      <c r="T225" s="399" t="s">
        <v>3486</v>
      </c>
      <c r="U225" s="399" t="s">
        <v>3257</v>
      </c>
      <c r="W225" s="326" t="s">
        <v>2222</v>
      </c>
      <c r="X225" s="326" t="s">
        <v>3073</v>
      </c>
      <c r="Z225" s="326"/>
      <c r="AA225" s="12"/>
      <c r="AB225" s="12"/>
      <c r="AC225" s="808"/>
      <c r="AD225" s="407"/>
    </row>
    <row r="226" spans="2:30" ht="10.5" customHeight="1">
      <c r="B226" s="194"/>
      <c r="C226" s="283" t="s">
        <v>3487</v>
      </c>
      <c r="D226" s="340">
        <v>49100</v>
      </c>
      <c r="E226" s="194"/>
      <c r="F226" s="448"/>
      <c r="G226" s="878" t="s">
        <v>3488</v>
      </c>
      <c r="H226" s="878" t="s">
        <v>3098</v>
      </c>
      <c r="I226" s="882" t="s">
        <v>2949</v>
      </c>
      <c r="J226" s="882" t="s">
        <v>2944</v>
      </c>
      <c r="K226" s="880" t="s">
        <v>3228</v>
      </c>
      <c r="L226" s="881" t="s">
        <v>3090</v>
      </c>
      <c r="M226" s="2284" t="s">
        <v>184</v>
      </c>
      <c r="N226" s="2284" t="s">
        <v>2949</v>
      </c>
      <c r="O226" s="2285" t="s">
        <v>3489</v>
      </c>
      <c r="P226" s="447" t="s">
        <v>3490</v>
      </c>
      <c r="Q226" s="200"/>
      <c r="R226" s="122"/>
      <c r="S226" s="290"/>
      <c r="T226" s="399" t="s">
        <v>3491</v>
      </c>
      <c r="U226" s="399" t="s">
        <v>3492</v>
      </c>
      <c r="W226" s="326" t="s">
        <v>2224</v>
      </c>
      <c r="X226" s="326" t="s">
        <v>3073</v>
      </c>
      <c r="Z226" s="326"/>
      <c r="AA226" s="12"/>
      <c r="AB226" s="12"/>
      <c r="AC226" s="808"/>
      <c r="AD226" s="407"/>
    </row>
    <row r="227" spans="2:30" ht="10.5" customHeight="1">
      <c r="B227" s="194"/>
      <c r="C227" s="282" t="s">
        <v>3493</v>
      </c>
      <c r="D227" s="340">
        <v>47200</v>
      </c>
      <c r="E227" s="194"/>
      <c r="F227" s="448"/>
      <c r="G227" s="878" t="s">
        <v>347</v>
      </c>
      <c r="H227" s="878" t="s">
        <v>3098</v>
      </c>
      <c r="I227" s="879" t="s">
        <v>3349</v>
      </c>
      <c r="J227" s="879" t="s">
        <v>2957</v>
      </c>
      <c r="K227" s="880" t="s">
        <v>3494</v>
      </c>
      <c r="L227" s="881" t="s">
        <v>3068</v>
      </c>
      <c r="M227" s="2286" t="s">
        <v>184</v>
      </c>
      <c r="N227" s="2286" t="s">
        <v>2946</v>
      </c>
      <c r="O227" s="2285" t="s">
        <v>3495</v>
      </c>
      <c r="P227" s="447" t="s">
        <v>3496</v>
      </c>
      <c r="Q227" s="200"/>
      <c r="R227" s="122"/>
      <c r="S227" s="290"/>
      <c r="T227" s="399" t="s">
        <v>3497</v>
      </c>
      <c r="U227" s="399" t="s">
        <v>276</v>
      </c>
      <c r="W227" s="326" t="s">
        <v>3498</v>
      </c>
      <c r="X227" s="326" t="s">
        <v>3073</v>
      </c>
      <c r="Z227" s="326"/>
      <c r="AA227" s="12"/>
      <c r="AB227" s="12"/>
      <c r="AC227" s="808"/>
      <c r="AD227" s="407"/>
    </row>
    <row r="228" spans="2:30" ht="10.5" customHeight="1">
      <c r="B228" s="194"/>
      <c r="C228" s="283" t="s">
        <v>3499</v>
      </c>
      <c r="D228" s="340">
        <v>53900</v>
      </c>
      <c r="E228" s="194"/>
      <c r="F228" s="448"/>
      <c r="G228" s="878" t="s">
        <v>3500</v>
      </c>
      <c r="H228" s="878" t="s">
        <v>3098</v>
      </c>
      <c r="I228" s="882" t="s">
        <v>3096</v>
      </c>
      <c r="J228" s="882" t="s">
        <v>2944</v>
      </c>
      <c r="K228" s="880" t="s">
        <v>3112</v>
      </c>
      <c r="L228" s="881" t="s">
        <v>3090</v>
      </c>
      <c r="M228" s="2284" t="s">
        <v>2956</v>
      </c>
      <c r="N228" s="2284" t="s">
        <v>413</v>
      </c>
      <c r="O228" s="2285" t="s">
        <v>3501</v>
      </c>
      <c r="P228" s="447" t="s">
        <v>3502</v>
      </c>
      <c r="Q228" s="200"/>
      <c r="R228" s="122"/>
      <c r="S228" s="290"/>
      <c r="T228" s="399" t="s">
        <v>3503</v>
      </c>
      <c r="U228" s="399" t="s">
        <v>287</v>
      </c>
      <c r="W228" s="326" t="s">
        <v>3504</v>
      </c>
      <c r="X228" s="326" t="s">
        <v>3073</v>
      </c>
      <c r="Z228" s="326"/>
      <c r="AA228" s="12"/>
      <c r="AB228" s="12"/>
      <c r="AC228" s="808"/>
      <c r="AD228" s="407"/>
    </row>
    <row r="229" spans="2:30" ht="10.5" customHeight="1">
      <c r="B229" s="194"/>
      <c r="C229" s="283" t="s">
        <v>3505</v>
      </c>
      <c r="D229" s="340">
        <v>35000</v>
      </c>
      <c r="E229" s="194"/>
      <c r="F229" s="448"/>
      <c r="G229" s="878" t="s">
        <v>279</v>
      </c>
      <c r="H229" s="878" t="s">
        <v>3098</v>
      </c>
      <c r="I229" s="882" t="s">
        <v>3096</v>
      </c>
      <c r="J229" s="882" t="s">
        <v>2944</v>
      </c>
      <c r="K229" s="880" t="s">
        <v>3112</v>
      </c>
      <c r="L229" s="881" t="s">
        <v>3090</v>
      </c>
      <c r="M229" s="2284" t="s">
        <v>2956</v>
      </c>
      <c r="N229" s="2284" t="s">
        <v>413</v>
      </c>
      <c r="O229" s="2285" t="s">
        <v>3506</v>
      </c>
      <c r="P229" s="447" t="s">
        <v>3507</v>
      </c>
      <c r="Q229" s="200"/>
      <c r="R229" s="122"/>
      <c r="S229" s="290"/>
      <c r="T229" s="399" t="s">
        <v>3155</v>
      </c>
      <c r="U229" s="399" t="s">
        <v>3398</v>
      </c>
      <c r="W229" s="326" t="s">
        <v>3508</v>
      </c>
      <c r="X229" s="326" t="s">
        <v>3073</v>
      </c>
      <c r="Z229" s="326"/>
      <c r="AA229" s="12"/>
      <c r="AB229" s="12"/>
      <c r="AC229" s="808"/>
      <c r="AD229" s="407"/>
    </row>
    <row r="230" spans="2:30" ht="10.5" customHeight="1">
      <c r="B230" s="194"/>
      <c r="C230" s="283" t="s">
        <v>3509</v>
      </c>
      <c r="D230" s="340">
        <v>49000</v>
      </c>
      <c r="E230" s="194"/>
      <c r="F230" s="448"/>
      <c r="G230" s="878" t="s">
        <v>349</v>
      </c>
      <c r="H230" s="878" t="s">
        <v>3098</v>
      </c>
      <c r="I230" s="882" t="s">
        <v>3510</v>
      </c>
      <c r="J230" s="882" t="s">
        <v>2944</v>
      </c>
      <c r="K230" s="880" t="s">
        <v>3511</v>
      </c>
      <c r="L230" s="881" t="s">
        <v>3090</v>
      </c>
      <c r="M230" s="2286" t="s">
        <v>2956</v>
      </c>
      <c r="N230" s="2286" t="s">
        <v>2950</v>
      </c>
      <c r="O230" s="2285" t="s">
        <v>3512</v>
      </c>
      <c r="P230" s="447" t="s">
        <v>3513</v>
      </c>
      <c r="Q230" s="200"/>
      <c r="R230" s="122"/>
      <c r="S230" s="290"/>
      <c r="T230" s="399" t="s">
        <v>3514</v>
      </c>
      <c r="U230" s="399" t="s">
        <v>3176</v>
      </c>
      <c r="W230" s="326" t="s">
        <v>3515</v>
      </c>
      <c r="X230" s="326" t="s">
        <v>3073</v>
      </c>
      <c r="Z230" s="326"/>
      <c r="AA230" s="12"/>
      <c r="AB230" s="12"/>
      <c r="AC230" s="808"/>
      <c r="AD230" s="407"/>
    </row>
    <row r="231" spans="2:30" ht="10.5" customHeight="1">
      <c r="B231" s="194"/>
      <c r="C231" s="282" t="s">
        <v>3516</v>
      </c>
      <c r="D231" s="340">
        <v>34600</v>
      </c>
      <c r="E231" s="194"/>
      <c r="F231" s="448"/>
      <c r="G231" s="878" t="s">
        <v>3517</v>
      </c>
      <c r="H231" s="878" t="s">
        <v>3065</v>
      </c>
      <c r="I231" s="879" t="s">
        <v>3360</v>
      </c>
      <c r="J231" s="879" t="s">
        <v>2957</v>
      </c>
      <c r="K231" s="880" t="s">
        <v>3518</v>
      </c>
      <c r="L231" s="881" t="s">
        <v>3068</v>
      </c>
      <c r="M231" s="2286" t="s">
        <v>184</v>
      </c>
      <c r="N231" s="2286" t="s">
        <v>2180</v>
      </c>
      <c r="O231" s="2285" t="s">
        <v>3519</v>
      </c>
      <c r="P231" s="447" t="s">
        <v>3520</v>
      </c>
      <c r="Q231" s="200"/>
      <c r="R231" s="122"/>
      <c r="S231" s="290"/>
      <c r="T231" s="399" t="s">
        <v>2194</v>
      </c>
      <c r="U231" s="399" t="s">
        <v>291</v>
      </c>
      <c r="W231" s="326" t="s">
        <v>3521</v>
      </c>
      <c r="X231" s="326" t="s">
        <v>3073</v>
      </c>
      <c r="Z231" s="326"/>
      <c r="AA231" s="12"/>
      <c r="AB231" s="12"/>
      <c r="AC231" s="808"/>
      <c r="AD231" s="407"/>
    </row>
    <row r="232" spans="2:30" ht="10.5" customHeight="1">
      <c r="B232" s="194"/>
      <c r="C232" s="282" t="s">
        <v>2268</v>
      </c>
      <c r="D232" s="340">
        <v>51900</v>
      </c>
      <c r="E232" s="194"/>
      <c r="F232" s="448"/>
      <c r="G232" s="878" t="s">
        <v>3213</v>
      </c>
      <c r="H232" s="878" t="s">
        <v>3098</v>
      </c>
      <c r="I232" s="879" t="s">
        <v>3366</v>
      </c>
      <c r="J232" s="879" t="s">
        <v>2957</v>
      </c>
      <c r="K232" s="880" t="s">
        <v>3522</v>
      </c>
      <c r="L232" s="881" t="s">
        <v>3068</v>
      </c>
      <c r="M232" s="2286" t="s">
        <v>184</v>
      </c>
      <c r="N232" s="2286" t="s">
        <v>413</v>
      </c>
      <c r="O232" s="2285" t="s">
        <v>3523</v>
      </c>
      <c r="P232" s="447" t="s">
        <v>3524</v>
      </c>
      <c r="Q232" s="200"/>
      <c r="R232" s="122"/>
      <c r="S232" s="290"/>
      <c r="T232" s="399" t="s">
        <v>3258</v>
      </c>
      <c r="U232" s="399" t="s">
        <v>3481</v>
      </c>
      <c r="W232" s="326" t="s">
        <v>2226</v>
      </c>
      <c r="X232" s="326" t="s">
        <v>3073</v>
      </c>
      <c r="Z232" s="326"/>
      <c r="AA232" s="12"/>
      <c r="AB232" s="12"/>
      <c r="AC232" s="808"/>
      <c r="AD232" s="407"/>
    </row>
    <row r="233" spans="2:30" ht="10.5" customHeight="1">
      <c r="B233" s="194"/>
      <c r="C233" s="283" t="s">
        <v>2951</v>
      </c>
      <c r="D233" s="340">
        <v>64900</v>
      </c>
      <c r="E233" s="194"/>
      <c r="F233" s="448"/>
      <c r="G233" s="878" t="s">
        <v>3525</v>
      </c>
      <c r="H233" s="878" t="s">
        <v>3098</v>
      </c>
      <c r="I233" s="882" t="s">
        <v>3096</v>
      </c>
      <c r="J233" s="882" t="s">
        <v>2944</v>
      </c>
      <c r="K233" s="880" t="s">
        <v>3112</v>
      </c>
      <c r="L233" s="881" t="s">
        <v>3090</v>
      </c>
      <c r="M233" s="2284" t="s">
        <v>2956</v>
      </c>
      <c r="N233" s="2284" t="s">
        <v>413</v>
      </c>
      <c r="O233" s="2285" t="s">
        <v>3526</v>
      </c>
      <c r="P233" s="447" t="s">
        <v>3527</v>
      </c>
      <c r="Q233" s="200"/>
      <c r="R233" s="122"/>
      <c r="S233" s="290"/>
      <c r="T233" s="399" t="s">
        <v>3528</v>
      </c>
      <c r="U233" s="399" t="s">
        <v>3445</v>
      </c>
      <c r="W233" s="326" t="s">
        <v>3529</v>
      </c>
      <c r="X233" s="326" t="s">
        <v>3073</v>
      </c>
      <c r="Z233" s="326"/>
      <c r="AA233" s="12"/>
      <c r="AB233" s="12"/>
      <c r="AC233" s="808"/>
      <c r="AD233" s="407"/>
    </row>
    <row r="234" spans="2:30" ht="10.5" customHeight="1">
      <c r="B234" s="194"/>
      <c r="C234" s="283" t="s">
        <v>3530</v>
      </c>
      <c r="D234" s="340">
        <v>51000</v>
      </c>
      <c r="E234" s="194"/>
      <c r="F234" s="448"/>
      <c r="G234" s="878" t="s">
        <v>3531</v>
      </c>
      <c r="H234" s="878" t="s">
        <v>3065</v>
      </c>
      <c r="I234" s="879" t="s">
        <v>3373</v>
      </c>
      <c r="J234" s="879" t="s">
        <v>2957</v>
      </c>
      <c r="K234" s="880" t="s">
        <v>3532</v>
      </c>
      <c r="L234" s="881" t="s">
        <v>3068</v>
      </c>
      <c r="M234" s="2286" t="s">
        <v>184</v>
      </c>
      <c r="N234" s="2286" t="s">
        <v>43</v>
      </c>
      <c r="O234" s="2285" t="s">
        <v>3533</v>
      </c>
      <c r="P234" s="447" t="s">
        <v>3534</v>
      </c>
      <c r="Q234" s="200"/>
      <c r="R234" s="122"/>
      <c r="S234" s="290"/>
      <c r="T234" s="399" t="s">
        <v>3262</v>
      </c>
      <c r="U234" s="399" t="s">
        <v>3535</v>
      </c>
      <c r="W234" s="326" t="s">
        <v>3536</v>
      </c>
      <c r="X234" s="326" t="s">
        <v>3073</v>
      </c>
      <c r="Z234" s="326"/>
      <c r="AA234" s="12"/>
      <c r="AB234" s="12"/>
      <c r="AC234" s="808"/>
      <c r="AD234" s="407"/>
    </row>
    <row r="235" spans="2:30" ht="10.5" customHeight="1">
      <c r="B235" s="194"/>
      <c r="C235" s="283" t="s">
        <v>3537</v>
      </c>
      <c r="D235" s="340">
        <v>46500</v>
      </c>
      <c r="E235" s="194"/>
      <c r="F235" s="448"/>
      <c r="G235" s="878" t="s">
        <v>3284</v>
      </c>
      <c r="H235" s="878" t="s">
        <v>3098</v>
      </c>
      <c r="I235" s="879" t="s">
        <v>3380</v>
      </c>
      <c r="J235" s="879" t="s">
        <v>2957</v>
      </c>
      <c r="K235" s="880" t="s">
        <v>3538</v>
      </c>
      <c r="L235" s="881" t="s">
        <v>3068</v>
      </c>
      <c r="M235" s="2286" t="s">
        <v>184</v>
      </c>
      <c r="N235" s="2286" t="s">
        <v>2947</v>
      </c>
      <c r="O235" s="2285" t="s">
        <v>3539</v>
      </c>
      <c r="P235" s="447" t="s">
        <v>3540</v>
      </c>
      <c r="Q235" s="200"/>
      <c r="R235" s="122"/>
      <c r="S235" s="290"/>
      <c r="T235" s="399" t="s">
        <v>3268</v>
      </c>
      <c r="U235" s="399" t="s">
        <v>3347</v>
      </c>
      <c r="W235" s="326" t="s">
        <v>3541</v>
      </c>
      <c r="X235" s="326" t="s">
        <v>3073</v>
      </c>
      <c r="Z235" s="326"/>
      <c r="AA235" s="12"/>
      <c r="AB235" s="12"/>
      <c r="AC235" s="808"/>
      <c r="AD235" s="407"/>
    </row>
    <row r="236" spans="2:30" ht="10.5" customHeight="1">
      <c r="B236" s="194"/>
      <c r="C236" s="283" t="s">
        <v>3542</v>
      </c>
      <c r="D236" s="340">
        <v>43600</v>
      </c>
      <c r="E236" s="194"/>
      <c r="F236" s="448"/>
      <c r="G236" s="878" t="s">
        <v>3543</v>
      </c>
      <c r="H236" s="878" t="s">
        <v>3065</v>
      </c>
      <c r="I236" s="879" t="s">
        <v>3386</v>
      </c>
      <c r="J236" s="879" t="s">
        <v>2957</v>
      </c>
      <c r="K236" s="880" t="s">
        <v>3544</v>
      </c>
      <c r="L236" s="881" t="s">
        <v>3068</v>
      </c>
      <c r="M236" s="2286" t="s">
        <v>184</v>
      </c>
      <c r="N236" s="2286" t="s">
        <v>2947</v>
      </c>
      <c r="O236" s="2285" t="s">
        <v>3545</v>
      </c>
      <c r="P236" s="447" t="s">
        <v>3546</v>
      </c>
      <c r="Q236" s="200"/>
      <c r="R236" s="122"/>
      <c r="S236" s="290"/>
      <c r="T236" s="399" t="s">
        <v>3272</v>
      </c>
      <c r="U236" s="399" t="s">
        <v>3547</v>
      </c>
      <c r="W236" s="326" t="s">
        <v>3548</v>
      </c>
      <c r="X236" s="326" t="s">
        <v>3073</v>
      </c>
      <c r="Z236" s="326"/>
      <c r="AA236" s="12"/>
      <c r="AB236" s="12"/>
      <c r="AC236" s="808"/>
      <c r="AD236" s="407"/>
    </row>
    <row r="237" spans="2:30" ht="10.5" customHeight="1">
      <c r="B237" s="194"/>
      <c r="C237" s="283" t="s">
        <v>3549</v>
      </c>
      <c r="D237" s="340">
        <v>52600</v>
      </c>
      <c r="E237" s="194"/>
      <c r="F237" s="448"/>
      <c r="G237" s="878" t="s">
        <v>3103</v>
      </c>
      <c r="H237" s="878" t="s">
        <v>3098</v>
      </c>
      <c r="I237" s="879" t="s">
        <v>3391</v>
      </c>
      <c r="J237" s="879" t="s">
        <v>2957</v>
      </c>
      <c r="K237" s="880" t="s">
        <v>3550</v>
      </c>
      <c r="L237" s="881" t="s">
        <v>3068</v>
      </c>
      <c r="M237" s="2286" t="s">
        <v>184</v>
      </c>
      <c r="N237" s="2286" t="s">
        <v>2950</v>
      </c>
      <c r="O237" s="2285" t="s">
        <v>3551</v>
      </c>
      <c r="P237" s="447" t="s">
        <v>3552</v>
      </c>
      <c r="Q237" s="200"/>
      <c r="R237" s="122"/>
      <c r="S237" s="290"/>
      <c r="T237" s="399" t="s">
        <v>3553</v>
      </c>
      <c r="U237" s="399" t="s">
        <v>3338</v>
      </c>
      <c r="W237" s="326" t="s">
        <v>297</v>
      </c>
      <c r="X237" s="326" t="s">
        <v>3073</v>
      </c>
      <c r="Z237" s="326"/>
      <c r="AA237" s="12"/>
      <c r="AB237" s="12"/>
      <c r="AC237" s="808"/>
      <c r="AD237" s="407"/>
    </row>
    <row r="238" spans="2:30" ht="10.5" customHeight="1">
      <c r="B238" s="194"/>
      <c r="C238" s="282" t="s">
        <v>3554</v>
      </c>
      <c r="D238" s="340">
        <v>29500</v>
      </c>
      <c r="E238" s="194"/>
      <c r="F238" s="448"/>
      <c r="G238" s="878" t="s">
        <v>3555</v>
      </c>
      <c r="H238" s="878" t="s">
        <v>3098</v>
      </c>
      <c r="I238" s="882" t="s">
        <v>2950</v>
      </c>
      <c r="J238" s="882" t="s">
        <v>2944</v>
      </c>
      <c r="K238" s="880" t="s">
        <v>3137</v>
      </c>
      <c r="L238" s="881" t="s">
        <v>3090</v>
      </c>
      <c r="M238" s="2284" t="s">
        <v>184</v>
      </c>
      <c r="N238" s="2284" t="s">
        <v>2950</v>
      </c>
      <c r="O238" s="2285" t="s">
        <v>3556</v>
      </c>
      <c r="P238" s="447" t="s">
        <v>3557</v>
      </c>
      <c r="Q238" s="200"/>
      <c r="R238" s="122"/>
      <c r="S238" s="290"/>
      <c r="T238" s="399" t="s">
        <v>2196</v>
      </c>
      <c r="U238" s="399" t="s">
        <v>3558</v>
      </c>
      <c r="W238" s="326" t="s">
        <v>2230</v>
      </c>
      <c r="X238" s="326" t="s">
        <v>3073</v>
      </c>
      <c r="Z238" s="326"/>
      <c r="AA238" s="12"/>
      <c r="AB238" s="12"/>
      <c r="AC238" s="808"/>
      <c r="AD238" s="407"/>
    </row>
    <row r="239" spans="2:30" ht="10.5" customHeight="1">
      <c r="B239" s="194"/>
      <c r="C239" s="282" t="s">
        <v>3559</v>
      </c>
      <c r="D239" s="340">
        <v>43200</v>
      </c>
      <c r="E239" s="194"/>
      <c r="F239" s="448"/>
      <c r="G239" s="878" t="s">
        <v>3134</v>
      </c>
      <c r="H239" s="878" t="s">
        <v>3098</v>
      </c>
      <c r="I239" s="882" t="s">
        <v>3397</v>
      </c>
      <c r="J239" s="882" t="s">
        <v>2944</v>
      </c>
      <c r="K239" s="880" t="s">
        <v>3560</v>
      </c>
      <c r="L239" s="881" t="s">
        <v>3090</v>
      </c>
      <c r="M239" s="2284" t="s">
        <v>184</v>
      </c>
      <c r="N239" s="2284" t="s">
        <v>413</v>
      </c>
      <c r="O239" s="2285" t="s">
        <v>3561</v>
      </c>
      <c r="P239" s="447" t="s">
        <v>3562</v>
      </c>
      <c r="Q239" s="200"/>
      <c r="R239" s="122"/>
      <c r="S239" s="290"/>
      <c r="T239" s="399" t="s">
        <v>3563</v>
      </c>
      <c r="U239" s="399" t="s">
        <v>3564</v>
      </c>
      <c r="W239" s="326" t="s">
        <v>3565</v>
      </c>
      <c r="X239" s="326" t="s">
        <v>3073</v>
      </c>
      <c r="Z239" s="326"/>
      <c r="AA239" s="12"/>
      <c r="AB239" s="12"/>
      <c r="AC239" s="808"/>
      <c r="AD239" s="407"/>
    </row>
    <row r="240" spans="2:30" ht="10.5" customHeight="1">
      <c r="B240" s="194"/>
      <c r="C240" s="283" t="s">
        <v>3566</v>
      </c>
      <c r="D240" s="340">
        <v>42800</v>
      </c>
      <c r="E240" s="194"/>
      <c r="F240" s="448"/>
      <c r="G240" s="878" t="s">
        <v>3567</v>
      </c>
      <c r="H240" s="878" t="s">
        <v>3065</v>
      </c>
      <c r="I240" s="879" t="s">
        <v>43</v>
      </c>
      <c r="J240" s="879" t="s">
        <v>2944</v>
      </c>
      <c r="K240" s="880" t="s">
        <v>3156</v>
      </c>
      <c r="L240" s="881" t="s">
        <v>3090</v>
      </c>
      <c r="M240" s="2284" t="s">
        <v>184</v>
      </c>
      <c r="N240" s="2284" t="s">
        <v>43</v>
      </c>
      <c r="O240" s="2285" t="s">
        <v>3568</v>
      </c>
      <c r="P240" s="447" t="s">
        <v>3569</v>
      </c>
      <c r="Q240" s="200"/>
      <c r="R240" s="122"/>
      <c r="S240" s="290"/>
      <c r="T240" s="399" t="s">
        <v>3285</v>
      </c>
      <c r="U240" s="399" t="s">
        <v>3447</v>
      </c>
      <c r="W240" s="326" t="s">
        <v>3570</v>
      </c>
      <c r="X240" s="326" t="s">
        <v>3073</v>
      </c>
      <c r="Z240" s="326"/>
      <c r="AA240" s="12"/>
      <c r="AB240" s="12"/>
      <c r="AC240" s="808"/>
      <c r="AD240" s="407"/>
    </row>
    <row r="241" spans="2:30" ht="10.5" customHeight="1">
      <c r="B241" s="194"/>
      <c r="C241" s="283" t="s">
        <v>3571</v>
      </c>
      <c r="D241" s="340">
        <v>35400</v>
      </c>
      <c r="E241" s="194"/>
      <c r="F241" s="448"/>
      <c r="G241" s="878" t="s">
        <v>3564</v>
      </c>
      <c r="H241" s="878" t="s">
        <v>3098</v>
      </c>
      <c r="I241" s="879" t="s">
        <v>3402</v>
      </c>
      <c r="J241" s="879" t="s">
        <v>2957</v>
      </c>
      <c r="K241" s="880" t="s">
        <v>3572</v>
      </c>
      <c r="L241" s="881" t="s">
        <v>3068</v>
      </c>
      <c r="M241" s="2286" t="s">
        <v>184</v>
      </c>
      <c r="N241" s="2286" t="s">
        <v>2950</v>
      </c>
      <c r="O241" s="2285" t="s">
        <v>3573</v>
      </c>
      <c r="P241" s="447" t="s">
        <v>3574</v>
      </c>
      <c r="Q241" s="200"/>
      <c r="R241" s="122"/>
      <c r="S241" s="290"/>
      <c r="T241" s="399" t="s">
        <v>2198</v>
      </c>
      <c r="U241" s="399" t="s">
        <v>3440</v>
      </c>
      <c r="W241" s="326" t="s">
        <v>3575</v>
      </c>
      <c r="X241" s="326" t="s">
        <v>3073</v>
      </c>
      <c r="Z241" s="326"/>
      <c r="AA241" s="12"/>
      <c r="AB241" s="12"/>
      <c r="AC241" s="808"/>
      <c r="AD241" s="407"/>
    </row>
    <row r="242" spans="2:30" ht="10.5" customHeight="1">
      <c r="B242" s="194"/>
      <c r="C242" s="283" t="s">
        <v>3576</v>
      </c>
      <c r="D242" s="340">
        <v>46700</v>
      </c>
      <c r="E242" s="194"/>
      <c r="F242" s="448"/>
      <c r="G242" s="878" t="s">
        <v>3577</v>
      </c>
      <c r="H242" s="878" t="s">
        <v>3065</v>
      </c>
      <c r="I242" s="882" t="s">
        <v>2180</v>
      </c>
      <c r="J242" s="882" t="s">
        <v>2944</v>
      </c>
      <c r="K242" s="880" t="s">
        <v>3089</v>
      </c>
      <c r="L242" s="881" t="s">
        <v>3090</v>
      </c>
      <c r="M242" s="2284" t="s">
        <v>184</v>
      </c>
      <c r="N242" s="2284" t="s">
        <v>2180</v>
      </c>
      <c r="O242" s="2285" t="s">
        <v>3578</v>
      </c>
      <c r="P242" s="447" t="s">
        <v>3579</v>
      </c>
      <c r="Q242" s="200"/>
      <c r="R242" s="122"/>
      <c r="S242" s="290"/>
      <c r="T242" s="399" t="s">
        <v>3580</v>
      </c>
      <c r="U242" s="399" t="s">
        <v>3447</v>
      </c>
      <c r="W242" s="326" t="s">
        <v>3581</v>
      </c>
      <c r="X242" s="326" t="s">
        <v>3073</v>
      </c>
      <c r="Z242" s="326"/>
      <c r="AA242" s="12"/>
      <c r="AB242" s="12"/>
      <c r="AC242" s="808"/>
      <c r="AD242" s="407"/>
    </row>
    <row r="243" spans="2:30" ht="10.5" customHeight="1">
      <c r="B243" s="194"/>
      <c r="C243" s="283" t="s">
        <v>3582</v>
      </c>
      <c r="D243" s="340">
        <v>37400</v>
      </c>
      <c r="E243" s="194"/>
      <c r="F243" s="448"/>
      <c r="G243" s="878" t="s">
        <v>304</v>
      </c>
      <c r="H243" s="878" t="s">
        <v>3065</v>
      </c>
      <c r="I243" s="879" t="s">
        <v>3583</v>
      </c>
      <c r="J243" s="879" t="s">
        <v>2944</v>
      </c>
      <c r="K243" s="880" t="s">
        <v>3584</v>
      </c>
      <c r="L243" s="881" t="s">
        <v>3090</v>
      </c>
      <c r="M243" s="2286" t="s">
        <v>2956</v>
      </c>
      <c r="N243" s="2286" t="s">
        <v>2951</v>
      </c>
      <c r="O243" s="2285" t="s">
        <v>3585</v>
      </c>
      <c r="P243" s="447" t="s">
        <v>3586</v>
      </c>
      <c r="Q243" s="200"/>
      <c r="R243" s="122"/>
      <c r="S243" s="290"/>
      <c r="T243" s="399" t="s">
        <v>3587</v>
      </c>
      <c r="U243" s="399" t="s">
        <v>3588</v>
      </c>
      <c r="W243" s="326" t="s">
        <v>3589</v>
      </c>
      <c r="X243" s="326" t="s">
        <v>3073</v>
      </c>
      <c r="Z243" s="326"/>
      <c r="AA243" s="12"/>
      <c r="AB243" s="12"/>
      <c r="AC243" s="808"/>
      <c r="AD243" s="407"/>
    </row>
    <row r="244" spans="2:30" ht="10.5" customHeight="1">
      <c r="B244" s="194"/>
      <c r="C244" s="283" t="s">
        <v>3590</v>
      </c>
      <c r="D244" s="340">
        <v>35400</v>
      </c>
      <c r="E244" s="194"/>
      <c r="F244" s="448"/>
      <c r="G244" s="878" t="s">
        <v>3591</v>
      </c>
      <c r="H244" s="878" t="s">
        <v>3098</v>
      </c>
      <c r="I244" s="879" t="s">
        <v>3406</v>
      </c>
      <c r="J244" s="879" t="s">
        <v>2944</v>
      </c>
      <c r="K244" s="880" t="s">
        <v>3592</v>
      </c>
      <c r="L244" s="881" t="s">
        <v>3090</v>
      </c>
      <c r="M244" s="2286" t="s">
        <v>184</v>
      </c>
      <c r="N244" s="2286" t="s">
        <v>2947</v>
      </c>
      <c r="O244" s="2285" t="s">
        <v>3593</v>
      </c>
      <c r="P244" s="447" t="s">
        <v>3594</v>
      </c>
      <c r="Q244" s="200"/>
      <c r="R244" s="122"/>
      <c r="S244" s="290"/>
      <c r="T244" s="399" t="s">
        <v>3295</v>
      </c>
      <c r="U244" s="399" t="s">
        <v>3294</v>
      </c>
      <c r="W244" s="326" t="s">
        <v>3407</v>
      </c>
      <c r="X244" s="326" t="s">
        <v>3073</v>
      </c>
      <c r="Z244" s="326"/>
      <c r="AA244" s="12"/>
      <c r="AB244" s="12"/>
      <c r="AC244" s="808"/>
      <c r="AD244" s="407"/>
    </row>
    <row r="245" spans="2:30" ht="10.5" customHeight="1">
      <c r="B245" s="194"/>
      <c r="C245" s="283" t="s">
        <v>3595</v>
      </c>
      <c r="D245" s="340">
        <v>45200</v>
      </c>
      <c r="E245" s="194"/>
      <c r="F245" s="448"/>
      <c r="G245" s="878" t="s">
        <v>3596</v>
      </c>
      <c r="H245" s="878" t="s">
        <v>3065</v>
      </c>
      <c r="I245" s="879" t="s">
        <v>3410</v>
      </c>
      <c r="J245" s="879" t="s">
        <v>2944</v>
      </c>
      <c r="K245" s="880" t="s">
        <v>3597</v>
      </c>
      <c r="L245" s="881" t="s">
        <v>3090</v>
      </c>
      <c r="M245" s="2284" t="s">
        <v>184</v>
      </c>
      <c r="N245" s="2284" t="s">
        <v>2951</v>
      </c>
      <c r="O245" s="2285" t="s">
        <v>3598</v>
      </c>
      <c r="P245" s="447" t="s">
        <v>3599</v>
      </c>
      <c r="Q245" s="200"/>
      <c r="R245" s="122"/>
      <c r="S245" s="290"/>
      <c r="T245" s="399" t="s">
        <v>282</v>
      </c>
      <c r="U245" s="399" t="s">
        <v>276</v>
      </c>
      <c r="W245" s="326" t="s">
        <v>2232</v>
      </c>
      <c r="X245" s="326" t="s">
        <v>3073</v>
      </c>
      <c r="Z245" s="326"/>
      <c r="AA245" s="12"/>
      <c r="AB245" s="12"/>
      <c r="AC245" s="808"/>
      <c r="AD245" s="407"/>
    </row>
    <row r="246" spans="2:30" ht="10.5" customHeight="1">
      <c r="B246" s="194"/>
      <c r="C246" s="283" t="s">
        <v>3600</v>
      </c>
      <c r="D246" s="340">
        <v>48200</v>
      </c>
      <c r="E246" s="194"/>
      <c r="F246" s="448"/>
      <c r="G246" s="878" t="s">
        <v>332</v>
      </c>
      <c r="H246" s="878" t="s">
        <v>3065</v>
      </c>
      <c r="I246" s="879" t="s">
        <v>43</v>
      </c>
      <c r="J246" s="879" t="s">
        <v>2944</v>
      </c>
      <c r="K246" s="880" t="s">
        <v>3156</v>
      </c>
      <c r="L246" s="881" t="s">
        <v>3090</v>
      </c>
      <c r="M246" s="2286" t="s">
        <v>2956</v>
      </c>
      <c r="N246" s="2286" t="s">
        <v>43</v>
      </c>
      <c r="O246" s="2285" t="s">
        <v>3601</v>
      </c>
      <c r="P246" s="447" t="s">
        <v>3602</v>
      </c>
      <c r="Q246" s="200"/>
      <c r="R246" s="122"/>
      <c r="S246" s="290"/>
      <c r="T246" s="399" t="s">
        <v>3603</v>
      </c>
      <c r="U246" s="399" t="s">
        <v>3411</v>
      </c>
      <c r="W246" s="326" t="s">
        <v>3411</v>
      </c>
      <c r="X246" s="326" t="s">
        <v>3073</v>
      </c>
      <c r="Z246" s="326"/>
      <c r="AA246" s="12"/>
      <c r="AB246" s="12"/>
      <c r="AC246" s="808"/>
      <c r="AD246" s="407"/>
    </row>
    <row r="247" spans="2:30" ht="10.5" customHeight="1">
      <c r="B247" s="194"/>
      <c r="C247" s="282" t="s">
        <v>3604</v>
      </c>
      <c r="D247" s="340">
        <v>45600</v>
      </c>
      <c r="E247" s="194"/>
      <c r="F247" s="448"/>
      <c r="G247" s="878" t="s">
        <v>3605</v>
      </c>
      <c r="H247" s="878" t="s">
        <v>3098</v>
      </c>
      <c r="I247" s="882" t="s">
        <v>3417</v>
      </c>
      <c r="J247" s="882" t="s">
        <v>2957</v>
      </c>
      <c r="K247" s="880" t="s">
        <v>3606</v>
      </c>
      <c r="L247" s="881" t="s">
        <v>3068</v>
      </c>
      <c r="M247" s="2286" t="s">
        <v>184</v>
      </c>
      <c r="N247" s="2286" t="s">
        <v>413</v>
      </c>
      <c r="O247" s="2285" t="s">
        <v>3607</v>
      </c>
      <c r="P247" s="447" t="s">
        <v>3608</v>
      </c>
      <c r="Q247" s="200"/>
      <c r="R247" s="122"/>
      <c r="S247" s="290"/>
      <c r="T247" s="399" t="s">
        <v>3609</v>
      </c>
      <c r="U247" s="399" t="s">
        <v>3381</v>
      </c>
      <c r="W247" s="326" t="s">
        <v>3610</v>
      </c>
      <c r="X247" s="326" t="s">
        <v>3073</v>
      </c>
      <c r="Z247" s="326"/>
      <c r="AA247" s="12"/>
      <c r="AB247" s="12"/>
      <c r="AC247" s="808"/>
      <c r="AD247" s="407"/>
    </row>
    <row r="248" spans="2:30" ht="10.5" customHeight="1">
      <c r="B248" s="194"/>
      <c r="C248" s="282" t="s">
        <v>3611</v>
      </c>
      <c r="D248" s="340">
        <v>49000</v>
      </c>
      <c r="E248" s="194"/>
      <c r="F248" s="448"/>
      <c r="G248" s="878" t="s">
        <v>2950</v>
      </c>
      <c r="H248" s="878" t="s">
        <v>3098</v>
      </c>
      <c r="I248" s="879" t="s">
        <v>3428</v>
      </c>
      <c r="J248" s="879" t="s">
        <v>2957</v>
      </c>
      <c r="K248" s="880" t="s">
        <v>3612</v>
      </c>
      <c r="L248" s="881" t="s">
        <v>3068</v>
      </c>
      <c r="M248" s="2286" t="s">
        <v>184</v>
      </c>
      <c r="N248" s="2286" t="s">
        <v>2950</v>
      </c>
      <c r="O248" s="2285" t="s">
        <v>3613</v>
      </c>
      <c r="P248" s="447" t="s">
        <v>3614</v>
      </c>
      <c r="Q248" s="200"/>
      <c r="R248" s="122"/>
      <c r="S248" s="290"/>
      <c r="T248" s="399" t="s">
        <v>3299</v>
      </c>
      <c r="U248" s="399" t="s">
        <v>3242</v>
      </c>
      <c r="W248" s="326" t="s">
        <v>3615</v>
      </c>
      <c r="X248" s="326" t="s">
        <v>3073</v>
      </c>
      <c r="Z248" s="326"/>
      <c r="AA248" s="12"/>
      <c r="AB248" s="12"/>
      <c r="AC248" s="808"/>
      <c r="AD248" s="407"/>
    </row>
    <row r="249" spans="2:30" ht="10.5" customHeight="1">
      <c r="B249" s="194"/>
      <c r="C249" s="282" t="s">
        <v>3616</v>
      </c>
      <c r="D249" s="340">
        <v>54000</v>
      </c>
      <c r="E249" s="194"/>
      <c r="F249" s="448"/>
      <c r="G249" s="878" t="s">
        <v>2252</v>
      </c>
      <c r="H249" s="878" t="s">
        <v>3098</v>
      </c>
      <c r="I249" s="879" t="s">
        <v>3247</v>
      </c>
      <c r="J249" s="879" t="s">
        <v>2944</v>
      </c>
      <c r="K249" s="880" t="s">
        <v>3248</v>
      </c>
      <c r="L249" s="881" t="s">
        <v>3090</v>
      </c>
      <c r="M249" s="2284" t="s">
        <v>184</v>
      </c>
      <c r="N249" s="2284" t="s">
        <v>2946</v>
      </c>
      <c r="O249" s="2285" t="s">
        <v>3617</v>
      </c>
      <c r="P249" s="447" t="s">
        <v>3618</v>
      </c>
      <c r="Q249" s="200"/>
      <c r="R249" s="122"/>
      <c r="S249" s="290"/>
      <c r="T249" s="399" t="s">
        <v>3619</v>
      </c>
      <c r="U249" s="399" t="s">
        <v>351</v>
      </c>
      <c r="W249" s="326" t="s">
        <v>3620</v>
      </c>
      <c r="X249" s="326" t="s">
        <v>3073</v>
      </c>
      <c r="Z249" s="326"/>
      <c r="AA249" s="12"/>
      <c r="AB249" s="12"/>
      <c r="AC249" s="808"/>
      <c r="AD249" s="407"/>
    </row>
    <row r="250" spans="2:30" ht="10.5" customHeight="1">
      <c r="B250" s="194"/>
      <c r="C250" s="282" t="s">
        <v>3621</v>
      </c>
      <c r="D250" s="340">
        <v>49300</v>
      </c>
      <c r="E250" s="194"/>
      <c r="F250" s="448"/>
      <c r="G250" s="878" t="s">
        <v>3535</v>
      </c>
      <c r="H250" s="878" t="s">
        <v>3098</v>
      </c>
      <c r="I250" s="882" t="s">
        <v>2949</v>
      </c>
      <c r="J250" s="882" t="s">
        <v>2944</v>
      </c>
      <c r="K250" s="880" t="s">
        <v>3228</v>
      </c>
      <c r="L250" s="881" t="s">
        <v>3090</v>
      </c>
      <c r="M250" s="2284" t="s">
        <v>184</v>
      </c>
      <c r="N250" s="2284" t="s">
        <v>2949</v>
      </c>
      <c r="O250" s="2285" t="s">
        <v>3622</v>
      </c>
      <c r="P250" s="447" t="s">
        <v>3623</v>
      </c>
      <c r="Q250" s="200"/>
      <c r="R250" s="122"/>
      <c r="S250" s="290"/>
      <c r="T250" s="399" t="s">
        <v>3624</v>
      </c>
      <c r="U250" s="399" t="s">
        <v>2252</v>
      </c>
      <c r="W250" s="326" t="s">
        <v>2234</v>
      </c>
      <c r="X250" s="326" t="s">
        <v>3073</v>
      </c>
      <c r="Z250" s="326"/>
      <c r="AA250" s="12"/>
      <c r="AB250" s="12"/>
      <c r="AC250" s="808"/>
      <c r="AD250" s="407"/>
    </row>
    <row r="251" spans="2:30" ht="10.5" customHeight="1">
      <c r="B251" s="194"/>
      <c r="C251" s="282" t="s">
        <v>3625</v>
      </c>
      <c r="D251" s="340">
        <v>36500</v>
      </c>
      <c r="E251" s="194"/>
      <c r="F251" s="448"/>
      <c r="G251" s="878" t="s">
        <v>3626</v>
      </c>
      <c r="H251" s="878" t="s">
        <v>3098</v>
      </c>
      <c r="I251" s="882" t="s">
        <v>3105</v>
      </c>
      <c r="J251" s="882" t="s">
        <v>2944</v>
      </c>
      <c r="K251" s="880" t="s">
        <v>3172</v>
      </c>
      <c r="L251" s="881" t="s">
        <v>3090</v>
      </c>
      <c r="M251" s="2284" t="s">
        <v>184</v>
      </c>
      <c r="N251" s="2284" t="s">
        <v>2947</v>
      </c>
      <c r="O251" s="2285" t="s">
        <v>3627</v>
      </c>
      <c r="P251" s="447" t="s">
        <v>3628</v>
      </c>
      <c r="Q251" s="200"/>
      <c r="R251" s="122"/>
      <c r="S251" s="290"/>
      <c r="T251" s="399" t="s">
        <v>3629</v>
      </c>
      <c r="U251" s="399" t="s">
        <v>3411</v>
      </c>
      <c r="W251" s="326" t="s">
        <v>3630</v>
      </c>
      <c r="X251" s="326" t="s">
        <v>3073</v>
      </c>
      <c r="Z251" s="326"/>
      <c r="AA251" s="12"/>
      <c r="AB251" s="12"/>
      <c r="AC251" s="808"/>
      <c r="AD251" s="407"/>
    </row>
    <row r="252" spans="2:30" ht="10.5" customHeight="1">
      <c r="B252" s="194"/>
      <c r="C252" s="283" t="s">
        <v>3631</v>
      </c>
      <c r="D252" s="340">
        <v>51200</v>
      </c>
      <c r="E252" s="194"/>
      <c r="F252" s="448"/>
      <c r="G252" s="878" t="s">
        <v>3632</v>
      </c>
      <c r="H252" s="878" t="s">
        <v>3065</v>
      </c>
      <c r="I252" s="879" t="s">
        <v>2194</v>
      </c>
      <c r="J252" s="879" t="s">
        <v>2944</v>
      </c>
      <c r="K252" s="880" t="s">
        <v>3151</v>
      </c>
      <c r="L252" s="881" t="s">
        <v>3090</v>
      </c>
      <c r="M252" s="2284" t="s">
        <v>184</v>
      </c>
      <c r="N252" s="2284" t="s">
        <v>2951</v>
      </c>
      <c r="O252" s="2285" t="s">
        <v>3633</v>
      </c>
      <c r="P252" s="447" t="s">
        <v>3634</v>
      </c>
      <c r="Q252" s="200"/>
      <c r="R252" s="122"/>
      <c r="S252" s="290"/>
      <c r="T252" s="399" t="s">
        <v>3303</v>
      </c>
      <c r="U252" s="399" t="s">
        <v>3203</v>
      </c>
      <c r="W252" s="326" t="s">
        <v>3440</v>
      </c>
      <c r="X252" s="326" t="s">
        <v>3073</v>
      </c>
      <c r="Z252" s="326"/>
      <c r="AA252" s="12"/>
      <c r="AB252" s="12"/>
      <c r="AC252" s="808"/>
      <c r="AD252" s="407"/>
    </row>
    <row r="253" spans="2:30" ht="10.5" customHeight="1">
      <c r="B253" s="194"/>
      <c r="C253" s="282" t="s">
        <v>3635</v>
      </c>
      <c r="D253" s="340">
        <v>44200</v>
      </c>
      <c r="E253" s="194"/>
      <c r="F253" s="448"/>
      <c r="G253" s="878" t="s">
        <v>3636</v>
      </c>
      <c r="H253" s="878" t="s">
        <v>3098</v>
      </c>
      <c r="I253" s="882" t="s">
        <v>3434</v>
      </c>
      <c r="J253" s="882" t="s">
        <v>2944</v>
      </c>
      <c r="K253" s="880" t="s">
        <v>3637</v>
      </c>
      <c r="L253" s="881" t="s">
        <v>3090</v>
      </c>
      <c r="M253" s="2284" t="s">
        <v>184</v>
      </c>
      <c r="N253" s="2284" t="s">
        <v>413</v>
      </c>
      <c r="O253" s="2285" t="s">
        <v>3638</v>
      </c>
      <c r="P253" s="447" t="s">
        <v>3639</v>
      </c>
      <c r="Q253" s="200"/>
      <c r="R253" s="122"/>
      <c r="S253" s="290"/>
      <c r="T253" s="399" t="s">
        <v>2202</v>
      </c>
      <c r="U253" s="399" t="s">
        <v>3087</v>
      </c>
      <c r="W253" s="326" t="s">
        <v>3640</v>
      </c>
      <c r="X253" s="326" t="s">
        <v>3073</v>
      </c>
      <c r="Z253" s="326"/>
      <c r="AA253" s="12"/>
      <c r="AB253" s="12"/>
      <c r="AC253" s="808"/>
      <c r="AD253" s="407"/>
    </row>
    <row r="254" spans="2:30" ht="10.5" customHeight="1">
      <c r="B254" s="194"/>
      <c r="C254" s="282" t="s">
        <v>43</v>
      </c>
      <c r="D254" s="340">
        <v>45900</v>
      </c>
      <c r="E254" s="194"/>
      <c r="F254" s="448"/>
      <c r="G254" s="878" t="s">
        <v>3641</v>
      </c>
      <c r="H254" s="878" t="s">
        <v>3065</v>
      </c>
      <c r="I254" s="879" t="s">
        <v>3439</v>
      </c>
      <c r="J254" s="879" t="s">
        <v>2957</v>
      </c>
      <c r="K254" s="880" t="s">
        <v>3642</v>
      </c>
      <c r="L254" s="881" t="s">
        <v>3068</v>
      </c>
      <c r="M254" s="2286" t="s">
        <v>184</v>
      </c>
      <c r="N254" s="2286" t="s">
        <v>2180</v>
      </c>
      <c r="O254" s="2285" t="s">
        <v>3643</v>
      </c>
      <c r="P254" s="447" t="s">
        <v>3644</v>
      </c>
      <c r="Q254" s="200"/>
      <c r="R254" s="122"/>
      <c r="S254" s="290"/>
      <c r="T254" s="399" t="s">
        <v>3312</v>
      </c>
      <c r="U254" s="399" t="s">
        <v>356</v>
      </c>
      <c r="W254" s="326" t="s">
        <v>2240</v>
      </c>
      <c r="X254" s="326" t="s">
        <v>3073</v>
      </c>
      <c r="Z254" s="326"/>
      <c r="AA254" s="12"/>
      <c r="AB254" s="12"/>
      <c r="AC254" s="808"/>
      <c r="AD254" s="407"/>
    </row>
    <row r="255" spans="2:30" ht="10.5" customHeight="1">
      <c r="B255" s="194"/>
      <c r="C255" s="283" t="s">
        <v>3645</v>
      </c>
      <c r="D255" s="340">
        <v>45000</v>
      </c>
      <c r="E255" s="194"/>
      <c r="F255" s="448"/>
      <c r="G255" s="878" t="s">
        <v>3294</v>
      </c>
      <c r="H255" s="878" t="s">
        <v>3065</v>
      </c>
      <c r="I255" s="879" t="s">
        <v>3446</v>
      </c>
      <c r="J255" s="879" t="s">
        <v>2957</v>
      </c>
      <c r="K255" s="880" t="s">
        <v>3646</v>
      </c>
      <c r="L255" s="881" t="s">
        <v>3068</v>
      </c>
      <c r="M255" s="2286" t="s">
        <v>184</v>
      </c>
      <c r="N255" s="2286" t="s">
        <v>2180</v>
      </c>
      <c r="O255" s="2285" t="s">
        <v>3647</v>
      </c>
      <c r="P255" s="447" t="s">
        <v>3648</v>
      </c>
      <c r="Q255" s="200"/>
      <c r="R255" s="122"/>
      <c r="S255" s="290"/>
      <c r="T255" s="399" t="s">
        <v>3649</v>
      </c>
      <c r="U255" s="399" t="s">
        <v>3094</v>
      </c>
      <c r="W255" s="326" t="s">
        <v>3650</v>
      </c>
      <c r="X255" s="326" t="s">
        <v>3073</v>
      </c>
      <c r="Z255" s="326"/>
      <c r="AA255" s="12"/>
      <c r="AB255" s="12"/>
      <c r="AC255" s="808"/>
      <c r="AD255" s="407"/>
    </row>
    <row r="256" spans="2:30" ht="10.5" customHeight="1">
      <c r="B256" s="194"/>
      <c r="C256" s="282" t="s">
        <v>3510</v>
      </c>
      <c r="D256" s="340">
        <v>57900</v>
      </c>
      <c r="E256" s="194"/>
      <c r="F256" s="448"/>
      <c r="G256" s="878" t="s">
        <v>2257</v>
      </c>
      <c r="H256" s="878" t="s">
        <v>3098</v>
      </c>
      <c r="I256" s="882" t="s">
        <v>3453</v>
      </c>
      <c r="J256" s="882" t="s">
        <v>2944</v>
      </c>
      <c r="K256" s="880" t="s">
        <v>3651</v>
      </c>
      <c r="L256" s="881" t="s">
        <v>3090</v>
      </c>
      <c r="M256" s="2284" t="s">
        <v>184</v>
      </c>
      <c r="N256" s="2284" t="s">
        <v>413</v>
      </c>
      <c r="O256" s="2285" t="s">
        <v>3652</v>
      </c>
      <c r="P256" s="447" t="s">
        <v>3653</v>
      </c>
      <c r="Q256" s="200"/>
      <c r="R256" s="122"/>
      <c r="S256" s="290"/>
      <c r="T256" s="399" t="s">
        <v>3654</v>
      </c>
      <c r="U256" s="399" t="s">
        <v>3354</v>
      </c>
      <c r="W256" s="326" t="s">
        <v>2242</v>
      </c>
      <c r="X256" s="326" t="s">
        <v>3073</v>
      </c>
      <c r="Z256" s="326"/>
      <c r="AA256" s="12"/>
      <c r="AB256" s="12"/>
      <c r="AC256" s="808"/>
      <c r="AD256" s="407"/>
    </row>
    <row r="257" spans="2:30" ht="10.5" customHeight="1">
      <c r="B257" s="194"/>
      <c r="C257" s="282" t="s">
        <v>3655</v>
      </c>
      <c r="D257" s="340">
        <v>40200</v>
      </c>
      <c r="F257" s="448"/>
      <c r="G257" s="878" t="s">
        <v>330</v>
      </c>
      <c r="H257" s="878" t="s">
        <v>3065</v>
      </c>
      <c r="I257" s="879" t="s">
        <v>3459</v>
      </c>
      <c r="J257" s="879" t="s">
        <v>2957</v>
      </c>
      <c r="K257" s="880" t="s">
        <v>3656</v>
      </c>
      <c r="L257" s="881" t="s">
        <v>3068</v>
      </c>
      <c r="M257" s="2286" t="s">
        <v>184</v>
      </c>
      <c r="N257" s="2286" t="s">
        <v>2951</v>
      </c>
      <c r="O257" s="2285" t="s">
        <v>3657</v>
      </c>
      <c r="P257" s="447" t="s">
        <v>3658</v>
      </c>
      <c r="Q257" s="200"/>
      <c r="R257" s="122"/>
      <c r="S257" s="290"/>
      <c r="T257" s="194" t="s">
        <v>2205</v>
      </c>
      <c r="U257" s="194" t="s">
        <v>3206</v>
      </c>
      <c r="W257" s="326" t="s">
        <v>3659</v>
      </c>
      <c r="X257" s="326" t="s">
        <v>3073</v>
      </c>
      <c r="Z257" s="326"/>
      <c r="AA257" s="12"/>
      <c r="AB257" s="12"/>
      <c r="AC257" s="808"/>
      <c r="AD257" s="407"/>
    </row>
    <row r="258" spans="2:30" ht="10.5" customHeight="1">
      <c r="B258" s="194"/>
      <c r="C258" s="282" t="s">
        <v>3660</v>
      </c>
      <c r="D258" s="340">
        <v>46900</v>
      </c>
      <c r="F258" s="448"/>
      <c r="G258" s="878" t="s">
        <v>3445</v>
      </c>
      <c r="H258" s="878" t="s">
        <v>3098</v>
      </c>
      <c r="I258" s="882" t="s">
        <v>3463</v>
      </c>
      <c r="J258" s="879" t="s">
        <v>2944</v>
      </c>
      <c r="K258" s="880" t="s">
        <v>3661</v>
      </c>
      <c r="L258" s="881" t="s">
        <v>3090</v>
      </c>
      <c r="M258" s="2286" t="s">
        <v>184</v>
      </c>
      <c r="N258" s="2286" t="s">
        <v>413</v>
      </c>
      <c r="O258" s="2285" t="s">
        <v>3662</v>
      </c>
      <c r="P258" s="447" t="s">
        <v>3663</v>
      </c>
      <c r="Q258" s="200"/>
      <c r="R258" s="122"/>
      <c r="S258" s="290"/>
      <c r="T258" s="399" t="s">
        <v>3664</v>
      </c>
      <c r="U258" s="399" t="s">
        <v>349</v>
      </c>
      <c r="W258" s="326" t="s">
        <v>3665</v>
      </c>
      <c r="X258" s="326" t="s">
        <v>3073</v>
      </c>
      <c r="Z258" s="326"/>
      <c r="AA258" s="12"/>
      <c r="AB258" s="12"/>
      <c r="AC258" s="407"/>
      <c r="AD258" s="407"/>
    </row>
    <row r="259" spans="2:30" ht="10.5" customHeight="1">
      <c r="B259" s="194"/>
      <c r="C259" s="282" t="s">
        <v>3666</v>
      </c>
      <c r="D259" s="340">
        <v>48800</v>
      </c>
      <c r="F259" s="448"/>
      <c r="G259" s="878" t="s">
        <v>3667</v>
      </c>
      <c r="H259" s="878" t="s">
        <v>3098</v>
      </c>
      <c r="I259" s="879" t="s">
        <v>3468</v>
      </c>
      <c r="J259" s="879" t="s">
        <v>2944</v>
      </c>
      <c r="K259" s="880" t="s">
        <v>3668</v>
      </c>
      <c r="L259" s="881" t="s">
        <v>3090</v>
      </c>
      <c r="M259" s="2284" t="s">
        <v>184</v>
      </c>
      <c r="N259" s="2284" t="s">
        <v>413</v>
      </c>
      <c r="O259" s="2285" t="s">
        <v>3669</v>
      </c>
      <c r="P259" s="447" t="s">
        <v>3670</v>
      </c>
      <c r="Q259" s="200"/>
      <c r="R259" s="122"/>
      <c r="S259" s="290"/>
      <c r="T259" s="399" t="s">
        <v>3671</v>
      </c>
      <c r="U259" s="399" t="s">
        <v>3500</v>
      </c>
      <c r="W259" s="326" t="s">
        <v>3672</v>
      </c>
      <c r="X259" s="326" t="s">
        <v>3073</v>
      </c>
      <c r="Z259" s="326"/>
      <c r="AA259" s="12"/>
      <c r="AB259" s="12"/>
      <c r="AC259" s="808"/>
      <c r="AD259" s="407"/>
    </row>
    <row r="260" spans="2:30" ht="10.5" customHeight="1">
      <c r="B260" s="194"/>
      <c r="C260" s="282" t="s">
        <v>3673</v>
      </c>
      <c r="D260" s="340">
        <v>45000</v>
      </c>
      <c r="F260" s="448"/>
      <c r="G260" s="878" t="s">
        <v>3371</v>
      </c>
      <c r="H260" s="878" t="s">
        <v>3098</v>
      </c>
      <c r="I260" s="882" t="s">
        <v>2949</v>
      </c>
      <c r="J260" s="882" t="s">
        <v>2944</v>
      </c>
      <c r="K260" s="880" t="s">
        <v>3228</v>
      </c>
      <c r="L260" s="881" t="s">
        <v>3090</v>
      </c>
      <c r="M260" s="2286" t="s">
        <v>2956</v>
      </c>
      <c r="N260" s="2286" t="s">
        <v>2949</v>
      </c>
      <c r="O260" s="2285" t="s">
        <v>3674</v>
      </c>
      <c r="P260" s="447" t="s">
        <v>3675</v>
      </c>
      <c r="Q260" s="200"/>
      <c r="R260" s="122"/>
      <c r="S260" s="290"/>
      <c r="T260" s="399" t="s">
        <v>3323</v>
      </c>
      <c r="U260" s="399" t="s">
        <v>276</v>
      </c>
      <c r="W260" s="326" t="s">
        <v>3676</v>
      </c>
      <c r="X260" s="326" t="s">
        <v>3073</v>
      </c>
      <c r="Z260" s="326"/>
      <c r="AA260" s="12"/>
      <c r="AB260" s="12"/>
      <c r="AC260" s="808"/>
      <c r="AD260" s="407"/>
    </row>
    <row r="261" spans="2:30" ht="10.5" customHeight="1">
      <c r="B261" s="194"/>
      <c r="C261" s="282" t="s">
        <v>3677</v>
      </c>
      <c r="D261" s="340">
        <v>36400</v>
      </c>
      <c r="F261" s="448"/>
      <c r="G261" s="878" t="s">
        <v>3678</v>
      </c>
      <c r="H261" s="878" t="s">
        <v>3098</v>
      </c>
      <c r="I261" s="882" t="s">
        <v>3096</v>
      </c>
      <c r="J261" s="882" t="s">
        <v>2944</v>
      </c>
      <c r="K261" s="880" t="s">
        <v>3112</v>
      </c>
      <c r="L261" s="881" t="s">
        <v>3090</v>
      </c>
      <c r="M261" s="2284" t="s">
        <v>2956</v>
      </c>
      <c r="N261" s="2284" t="s">
        <v>413</v>
      </c>
      <c r="O261" s="2285" t="s">
        <v>3679</v>
      </c>
      <c r="P261" s="447" t="s">
        <v>3680</v>
      </c>
      <c r="Q261" s="200"/>
      <c r="R261" s="122"/>
      <c r="S261" s="290"/>
      <c r="T261" s="399" t="s">
        <v>3329</v>
      </c>
      <c r="U261" s="399" t="s">
        <v>3667</v>
      </c>
      <c r="W261" s="326" t="s">
        <v>2246</v>
      </c>
      <c r="X261" s="326" t="s">
        <v>3073</v>
      </c>
      <c r="Z261" s="326"/>
      <c r="AA261" s="12"/>
      <c r="AB261" s="12"/>
      <c r="AC261" s="808"/>
      <c r="AD261" s="407"/>
    </row>
    <row r="262" spans="2:30" ht="10.5" customHeight="1">
      <c r="B262" s="194"/>
      <c r="C262" s="282" t="s">
        <v>3681</v>
      </c>
      <c r="D262" s="340">
        <v>53200</v>
      </c>
      <c r="F262" s="448"/>
      <c r="G262" s="878" t="s">
        <v>3379</v>
      </c>
      <c r="H262" s="878" t="s">
        <v>3098</v>
      </c>
      <c r="I262" s="879" t="s">
        <v>3247</v>
      </c>
      <c r="J262" s="879" t="s">
        <v>2944</v>
      </c>
      <c r="K262" s="880" t="s">
        <v>3248</v>
      </c>
      <c r="L262" s="881" t="s">
        <v>3090</v>
      </c>
      <c r="M262" s="2284" t="s">
        <v>184</v>
      </c>
      <c r="N262" s="2284" t="s">
        <v>2946</v>
      </c>
      <c r="O262" s="2285" t="s">
        <v>3682</v>
      </c>
      <c r="P262" s="447" t="s">
        <v>3683</v>
      </c>
      <c r="Q262" s="200"/>
      <c r="R262" s="122"/>
      <c r="S262" s="290"/>
      <c r="T262" s="399" t="s">
        <v>3684</v>
      </c>
      <c r="U262" s="399" t="s">
        <v>334</v>
      </c>
      <c r="W262" s="326" t="s">
        <v>3685</v>
      </c>
      <c r="X262" s="326" t="s">
        <v>3073</v>
      </c>
      <c r="Z262" s="326"/>
      <c r="AA262" s="12"/>
      <c r="AB262" s="12"/>
      <c r="AC262" s="808"/>
      <c r="AD262" s="407"/>
    </row>
    <row r="263" spans="2:30" ht="10.5" customHeight="1">
      <c r="B263" s="194"/>
      <c r="C263" s="282" t="s">
        <v>3686</v>
      </c>
      <c r="D263" s="340">
        <v>41400</v>
      </c>
      <c r="F263" s="448"/>
      <c r="G263" s="878" t="s">
        <v>3232</v>
      </c>
      <c r="H263" s="878" t="s">
        <v>3098</v>
      </c>
      <c r="I263" s="879" t="s">
        <v>3247</v>
      </c>
      <c r="J263" s="879" t="s">
        <v>2944</v>
      </c>
      <c r="K263" s="880" t="s">
        <v>3248</v>
      </c>
      <c r="L263" s="881" t="s">
        <v>3090</v>
      </c>
      <c r="M263" s="2284" t="s">
        <v>184</v>
      </c>
      <c r="N263" s="2284" t="s">
        <v>2946</v>
      </c>
      <c r="O263" s="2285" t="s">
        <v>3687</v>
      </c>
      <c r="P263" s="447" t="s">
        <v>3688</v>
      </c>
      <c r="Q263" s="200"/>
      <c r="R263" s="122"/>
      <c r="S263" s="290"/>
      <c r="T263" s="399" t="s">
        <v>283</v>
      </c>
      <c r="U263" s="399" t="s">
        <v>284</v>
      </c>
      <c r="W263" s="326" t="s">
        <v>2248</v>
      </c>
      <c r="X263" s="326" t="s">
        <v>3073</v>
      </c>
      <c r="Z263" s="326"/>
      <c r="AA263" s="12"/>
      <c r="AB263" s="12"/>
      <c r="AC263" s="808"/>
      <c r="AD263" s="407"/>
    </row>
    <row r="264" spans="2:30" ht="10.5" customHeight="1">
      <c r="B264" s="194"/>
      <c r="C264" s="282" t="s">
        <v>3689</v>
      </c>
      <c r="D264" s="340">
        <v>41000</v>
      </c>
      <c r="F264" s="448"/>
      <c r="G264" s="878" t="s">
        <v>3474</v>
      </c>
      <c r="H264" s="878" t="s">
        <v>3098</v>
      </c>
      <c r="I264" s="882" t="s">
        <v>3096</v>
      </c>
      <c r="J264" s="882" t="s">
        <v>2944</v>
      </c>
      <c r="K264" s="880" t="s">
        <v>3112</v>
      </c>
      <c r="L264" s="881" t="s">
        <v>3090</v>
      </c>
      <c r="M264" s="2284" t="s">
        <v>2956</v>
      </c>
      <c r="N264" s="2284" t="s">
        <v>413</v>
      </c>
      <c r="O264" s="2285" t="s">
        <v>3690</v>
      </c>
      <c r="P264" s="447" t="s">
        <v>3691</v>
      </c>
      <c r="Q264" s="200"/>
      <c r="R264" s="122"/>
      <c r="S264" s="290"/>
      <c r="T264" s="399" t="s">
        <v>3692</v>
      </c>
      <c r="U264" s="399" t="s">
        <v>3331</v>
      </c>
      <c r="W264" s="326" t="s">
        <v>3693</v>
      </c>
      <c r="X264" s="326" t="s">
        <v>3073</v>
      </c>
      <c r="Z264" s="326"/>
      <c r="AA264" s="12"/>
      <c r="AB264" s="12"/>
      <c r="AC264" s="808"/>
      <c r="AD264" s="407"/>
    </row>
    <row r="265" spans="2:30" ht="10.5" customHeight="1">
      <c r="B265" s="194"/>
      <c r="C265" s="282" t="s">
        <v>3694</v>
      </c>
      <c r="D265" s="340">
        <v>44800</v>
      </c>
      <c r="F265" s="448"/>
      <c r="G265" s="878" t="s">
        <v>3558</v>
      </c>
      <c r="H265" s="878" t="s">
        <v>3098</v>
      </c>
      <c r="I265" s="882" t="s">
        <v>3476</v>
      </c>
      <c r="J265" s="882" t="s">
        <v>2957</v>
      </c>
      <c r="K265" s="880" t="s">
        <v>3695</v>
      </c>
      <c r="L265" s="881" t="s">
        <v>3068</v>
      </c>
      <c r="M265" s="2286" t="s">
        <v>184</v>
      </c>
      <c r="N265" s="2286" t="s">
        <v>2950</v>
      </c>
      <c r="O265" s="2285" t="s">
        <v>3696</v>
      </c>
      <c r="P265" s="447" t="s">
        <v>3697</v>
      </c>
      <c r="Q265" s="200"/>
      <c r="R265" s="122"/>
      <c r="S265" s="290"/>
      <c r="T265" s="399" t="s">
        <v>3698</v>
      </c>
      <c r="U265" s="399" t="s">
        <v>3422</v>
      </c>
      <c r="W265" s="326" t="s">
        <v>3699</v>
      </c>
      <c r="X265" s="326" t="s">
        <v>3073</v>
      </c>
      <c r="Z265" s="326"/>
      <c r="AA265" s="12"/>
      <c r="AB265" s="12"/>
      <c r="AC265" s="808"/>
      <c r="AD265" s="407"/>
    </row>
    <row r="266" spans="2:30" ht="10.5" customHeight="1">
      <c r="F266" s="448"/>
      <c r="G266" s="878" t="s">
        <v>3700</v>
      </c>
      <c r="H266" s="878" t="s">
        <v>3098</v>
      </c>
      <c r="I266" s="882" t="s">
        <v>3096</v>
      </c>
      <c r="J266" s="882" t="s">
        <v>2944</v>
      </c>
      <c r="K266" s="880" t="s">
        <v>3112</v>
      </c>
      <c r="L266" s="881" t="s">
        <v>3090</v>
      </c>
      <c r="M266" s="2284" t="s">
        <v>2956</v>
      </c>
      <c r="N266" s="2284" t="s">
        <v>413</v>
      </c>
      <c r="O266" s="2285" t="s">
        <v>3701</v>
      </c>
      <c r="P266" s="447" t="s">
        <v>3702</v>
      </c>
      <c r="Q266" s="200"/>
      <c r="R266" s="122"/>
      <c r="S266" s="290"/>
      <c r="T266" s="399" t="s">
        <v>3703</v>
      </c>
      <c r="U266" s="399" t="s">
        <v>3331</v>
      </c>
      <c r="W266" s="326" t="s">
        <v>3704</v>
      </c>
      <c r="X266" s="326" t="s">
        <v>3073</v>
      </c>
      <c r="AA266" s="12"/>
      <c r="AB266" s="12"/>
      <c r="AC266" s="808"/>
      <c r="AD266" s="407"/>
    </row>
    <row r="267" spans="2:30" ht="10.5" customHeight="1">
      <c r="F267" s="448"/>
      <c r="G267" s="878" t="s">
        <v>3385</v>
      </c>
      <c r="H267" s="878" t="s">
        <v>3065</v>
      </c>
      <c r="I267" s="879" t="s">
        <v>3482</v>
      </c>
      <c r="J267" s="879" t="s">
        <v>2957</v>
      </c>
      <c r="K267" s="880" t="s">
        <v>3705</v>
      </c>
      <c r="L267" s="881" t="s">
        <v>3068</v>
      </c>
      <c r="M267" s="2286" t="s">
        <v>184</v>
      </c>
      <c r="N267" s="2286" t="s">
        <v>43</v>
      </c>
      <c r="O267" s="2285" t="s">
        <v>3706</v>
      </c>
      <c r="P267" s="447" t="s">
        <v>3707</v>
      </c>
      <c r="Q267" s="200"/>
      <c r="R267" s="122"/>
      <c r="S267" s="290"/>
      <c r="T267" s="399" t="s">
        <v>3336</v>
      </c>
      <c r="U267" s="399" t="s">
        <v>284</v>
      </c>
      <c r="W267" s="326" t="s">
        <v>3708</v>
      </c>
      <c r="X267" s="326" t="s">
        <v>3073</v>
      </c>
      <c r="AA267" s="12"/>
      <c r="AB267" s="12"/>
      <c r="AC267" s="808"/>
      <c r="AD267" s="407"/>
    </row>
    <row r="268" spans="2:30" ht="10.5" customHeight="1">
      <c r="F268" s="448"/>
      <c r="G268" s="878" t="s">
        <v>313</v>
      </c>
      <c r="H268" s="878" t="s">
        <v>3098</v>
      </c>
      <c r="I268" s="882" t="s">
        <v>3096</v>
      </c>
      <c r="J268" s="882" t="s">
        <v>2944</v>
      </c>
      <c r="K268" s="880" t="s">
        <v>3112</v>
      </c>
      <c r="L268" s="881" t="s">
        <v>3090</v>
      </c>
      <c r="M268" s="2284" t="s">
        <v>2956</v>
      </c>
      <c r="N268" s="2284" t="s">
        <v>413</v>
      </c>
      <c r="O268" s="2285" t="s">
        <v>3709</v>
      </c>
      <c r="P268" s="447" t="s">
        <v>3710</v>
      </c>
      <c r="Q268" s="200"/>
      <c r="R268" s="122"/>
      <c r="S268" s="290"/>
      <c r="T268" s="399" t="s">
        <v>3711</v>
      </c>
      <c r="U268" s="399" t="s">
        <v>344</v>
      </c>
      <c r="W268" s="326" t="s">
        <v>3712</v>
      </c>
      <c r="X268" s="326" t="s">
        <v>3073</v>
      </c>
      <c r="AA268" s="12"/>
      <c r="AB268" s="12"/>
      <c r="AC268" s="808"/>
      <c r="AD268" s="407"/>
    </row>
    <row r="269" spans="2:30" ht="10.5" customHeight="1">
      <c r="F269" s="448"/>
      <c r="G269" s="878" t="s">
        <v>3206</v>
      </c>
      <c r="H269" s="878" t="s">
        <v>3098</v>
      </c>
      <c r="I269" s="879" t="s">
        <v>3487</v>
      </c>
      <c r="J269" s="879" t="s">
        <v>2957</v>
      </c>
      <c r="K269" s="880" t="s">
        <v>3713</v>
      </c>
      <c r="L269" s="881" t="s">
        <v>3068</v>
      </c>
      <c r="M269" s="2286" t="s">
        <v>184</v>
      </c>
      <c r="N269" s="2286" t="s">
        <v>413</v>
      </c>
      <c r="O269" s="2285" t="s">
        <v>3714</v>
      </c>
      <c r="P269" s="447" t="s">
        <v>3715</v>
      </c>
      <c r="Q269" s="200"/>
      <c r="R269" s="122"/>
      <c r="S269" s="290"/>
      <c r="T269" s="399" t="s">
        <v>3342</v>
      </c>
      <c r="U269" s="399" t="s">
        <v>276</v>
      </c>
      <c r="W269" s="326" t="s">
        <v>3716</v>
      </c>
      <c r="X269" s="326" t="s">
        <v>3073</v>
      </c>
      <c r="AA269" s="12"/>
      <c r="AB269" s="12"/>
      <c r="AC269" s="808"/>
      <c r="AD269" s="407"/>
    </row>
    <row r="270" spans="2:30" ht="10.5" customHeight="1">
      <c r="F270" s="448"/>
      <c r="G270" s="878" t="s">
        <v>3717</v>
      </c>
      <c r="H270" s="878" t="s">
        <v>3065</v>
      </c>
      <c r="I270" s="882" t="s">
        <v>3493</v>
      </c>
      <c r="J270" s="882" t="s">
        <v>2957</v>
      </c>
      <c r="K270" s="880" t="s">
        <v>3718</v>
      </c>
      <c r="L270" s="881" t="s">
        <v>3068</v>
      </c>
      <c r="M270" s="2286" t="s">
        <v>184</v>
      </c>
      <c r="N270" s="2286" t="s">
        <v>2950</v>
      </c>
      <c r="O270" s="2285" t="s">
        <v>3719</v>
      </c>
      <c r="P270" s="447" t="s">
        <v>3720</v>
      </c>
      <c r="Q270" s="200"/>
      <c r="R270" s="122"/>
      <c r="S270" s="290"/>
      <c r="T270" s="399" t="s">
        <v>3348</v>
      </c>
      <c r="U270" s="399" t="s">
        <v>297</v>
      </c>
      <c r="W270" s="326" t="s">
        <v>3721</v>
      </c>
      <c r="X270" s="326" t="s">
        <v>3073</v>
      </c>
      <c r="AA270" s="12"/>
      <c r="AB270" s="12"/>
      <c r="AC270" s="808"/>
      <c r="AD270" s="407"/>
    </row>
    <row r="271" spans="2:30" ht="10.5" customHeight="1">
      <c r="F271" s="448"/>
      <c r="G271" s="878" t="s">
        <v>3722</v>
      </c>
      <c r="H271" s="878" t="s">
        <v>3098</v>
      </c>
      <c r="I271" s="882" t="s">
        <v>3499</v>
      </c>
      <c r="J271" s="882" t="s">
        <v>2957</v>
      </c>
      <c r="K271" s="880" t="s">
        <v>3723</v>
      </c>
      <c r="L271" s="881" t="s">
        <v>3068</v>
      </c>
      <c r="M271" s="2286" t="s">
        <v>184</v>
      </c>
      <c r="N271" s="2286" t="s">
        <v>413</v>
      </c>
      <c r="O271" s="2285" t="s">
        <v>3724</v>
      </c>
      <c r="P271" s="447" t="s">
        <v>3725</v>
      </c>
      <c r="Q271" s="200"/>
      <c r="R271" s="122"/>
      <c r="S271" s="290"/>
      <c r="T271" s="399" t="s">
        <v>281</v>
      </c>
      <c r="U271" s="399" t="s">
        <v>3726</v>
      </c>
      <c r="W271" s="326" t="s">
        <v>3727</v>
      </c>
      <c r="X271" s="326" t="s">
        <v>3073</v>
      </c>
      <c r="AA271" s="12"/>
      <c r="AB271" s="12"/>
      <c r="AC271" s="808"/>
      <c r="AD271" s="407"/>
    </row>
    <row r="272" spans="2:30" ht="10.5" customHeight="1">
      <c r="F272" s="448"/>
      <c r="G272" s="878" t="s">
        <v>306</v>
      </c>
      <c r="H272" s="878" t="s">
        <v>3065</v>
      </c>
      <c r="I272" s="879" t="s">
        <v>3505</v>
      </c>
      <c r="J272" s="879" t="s">
        <v>2957</v>
      </c>
      <c r="K272" s="880" t="s">
        <v>3728</v>
      </c>
      <c r="L272" s="881" t="s">
        <v>3068</v>
      </c>
      <c r="M272" s="2286" t="s">
        <v>184</v>
      </c>
      <c r="N272" s="2286" t="s">
        <v>2949</v>
      </c>
      <c r="O272" s="2285" t="s">
        <v>3729</v>
      </c>
      <c r="P272" s="447" t="s">
        <v>3730</v>
      </c>
      <c r="Q272" s="200"/>
      <c r="R272" s="122"/>
      <c r="S272" s="290"/>
      <c r="T272" s="399" t="s">
        <v>3731</v>
      </c>
      <c r="U272" s="399" t="s">
        <v>3469</v>
      </c>
      <c r="W272" s="326" t="s">
        <v>3213</v>
      </c>
      <c r="X272" s="326" t="s">
        <v>3073</v>
      </c>
      <c r="AA272" s="12"/>
      <c r="AB272" s="12"/>
      <c r="AC272" s="808"/>
      <c r="AD272" s="407"/>
    </row>
    <row r="273" spans="6:30" ht="10.5" customHeight="1">
      <c r="F273" s="448"/>
      <c r="G273" s="878" t="s">
        <v>3726</v>
      </c>
      <c r="H273" s="878" t="s">
        <v>3098</v>
      </c>
      <c r="I273" s="879" t="s">
        <v>3509</v>
      </c>
      <c r="J273" s="879" t="s">
        <v>2957</v>
      </c>
      <c r="K273" s="880" t="s">
        <v>3732</v>
      </c>
      <c r="L273" s="881" t="s">
        <v>3068</v>
      </c>
      <c r="M273" s="2286" t="s">
        <v>184</v>
      </c>
      <c r="N273" s="2286" t="s">
        <v>2946</v>
      </c>
      <c r="O273" s="2285" t="s">
        <v>3733</v>
      </c>
      <c r="P273" s="447" t="s">
        <v>3734</v>
      </c>
      <c r="Q273" s="200"/>
      <c r="R273" s="122"/>
      <c r="S273" s="290"/>
      <c r="T273" s="399" t="s">
        <v>3359</v>
      </c>
      <c r="U273" s="399" t="s">
        <v>3735</v>
      </c>
      <c r="W273" s="326" t="s">
        <v>3525</v>
      </c>
      <c r="X273" s="326" t="s">
        <v>3073</v>
      </c>
      <c r="AA273" s="12"/>
      <c r="AB273" s="12"/>
      <c r="AC273" s="808"/>
      <c r="AD273" s="407"/>
    </row>
    <row r="274" spans="6:30" ht="10.5" customHeight="1">
      <c r="F274" s="448"/>
      <c r="G274" s="878" t="s">
        <v>3736</v>
      </c>
      <c r="H274" s="878" t="s">
        <v>3065</v>
      </c>
      <c r="I274" s="879" t="s">
        <v>3516</v>
      </c>
      <c r="J274" s="879" t="s">
        <v>2957</v>
      </c>
      <c r="K274" s="880" t="s">
        <v>3737</v>
      </c>
      <c r="L274" s="881" t="s">
        <v>3068</v>
      </c>
      <c r="M274" s="2286" t="s">
        <v>184</v>
      </c>
      <c r="N274" s="2286" t="s">
        <v>2180</v>
      </c>
      <c r="O274" s="2285" t="s">
        <v>3738</v>
      </c>
      <c r="P274" s="447" t="s">
        <v>3739</v>
      </c>
      <c r="Q274" s="200"/>
      <c r="R274" s="122"/>
      <c r="S274" s="290"/>
      <c r="T274" s="399" t="s">
        <v>3740</v>
      </c>
      <c r="U274" s="399" t="s">
        <v>3257</v>
      </c>
      <c r="W274" s="326" t="s">
        <v>3284</v>
      </c>
      <c r="X274" s="326" t="s">
        <v>3073</v>
      </c>
      <c r="AA274" s="12"/>
      <c r="AB274" s="12"/>
      <c r="AC274" s="808"/>
      <c r="AD274" s="407"/>
    </row>
    <row r="275" spans="6:30" ht="10.5" customHeight="1">
      <c r="F275" s="448"/>
      <c r="G275" s="878" t="s">
        <v>3267</v>
      </c>
      <c r="H275" s="878" t="s">
        <v>230</v>
      </c>
      <c r="I275" s="882" t="s">
        <v>3105</v>
      </c>
      <c r="J275" s="882" t="s">
        <v>2944</v>
      </c>
      <c r="K275" s="880" t="s">
        <v>3172</v>
      </c>
      <c r="L275" s="881" t="s">
        <v>3090</v>
      </c>
      <c r="M275" s="2286" t="s">
        <v>2956</v>
      </c>
      <c r="N275" s="2286" t="s">
        <v>2947</v>
      </c>
      <c r="O275" s="2285" t="s">
        <v>3741</v>
      </c>
      <c r="P275" s="447" t="s">
        <v>3742</v>
      </c>
      <c r="Q275" s="200"/>
      <c r="R275" s="122"/>
      <c r="S275" s="290"/>
      <c r="T275" s="399" t="s">
        <v>3743</v>
      </c>
      <c r="U275" s="399" t="s">
        <v>3744</v>
      </c>
      <c r="W275" s="326" t="s">
        <v>3745</v>
      </c>
      <c r="X275" s="326" t="s">
        <v>3073</v>
      </c>
      <c r="AA275" s="12"/>
      <c r="AB275" s="12"/>
      <c r="AC275" s="808"/>
      <c r="AD275" s="407"/>
    </row>
    <row r="276" spans="6:30" ht="10.5" customHeight="1">
      <c r="F276" s="448"/>
      <c r="G276" s="878" t="s">
        <v>323</v>
      </c>
      <c r="H276" s="878" t="s">
        <v>3098</v>
      </c>
      <c r="I276" s="882" t="s">
        <v>3096</v>
      </c>
      <c r="J276" s="882" t="s">
        <v>2944</v>
      </c>
      <c r="K276" s="880" t="s">
        <v>3112</v>
      </c>
      <c r="L276" s="881" t="s">
        <v>3090</v>
      </c>
      <c r="M276" s="2284" t="s">
        <v>2956</v>
      </c>
      <c r="N276" s="2284" t="s">
        <v>413</v>
      </c>
      <c r="O276" s="2285" t="s">
        <v>3746</v>
      </c>
      <c r="P276" s="447" t="s">
        <v>3747</v>
      </c>
      <c r="Q276" s="200"/>
      <c r="R276" s="122"/>
      <c r="S276" s="290"/>
      <c r="T276" s="399" t="s">
        <v>2208</v>
      </c>
      <c r="U276" s="399" t="s">
        <v>3143</v>
      </c>
      <c r="W276" s="326" t="s">
        <v>3748</v>
      </c>
      <c r="X276" s="326" t="s">
        <v>3073</v>
      </c>
      <c r="AA276" s="12"/>
      <c r="AB276" s="12"/>
      <c r="AC276" s="808"/>
      <c r="AD276" s="407"/>
    </row>
    <row r="277" spans="6:30" ht="10.5" customHeight="1">
      <c r="F277" s="448"/>
      <c r="G277" s="878" t="s">
        <v>3749</v>
      </c>
      <c r="H277" s="878" t="s">
        <v>3098</v>
      </c>
      <c r="I277" s="879" t="s">
        <v>3530</v>
      </c>
      <c r="J277" s="879" t="s">
        <v>2957</v>
      </c>
      <c r="K277" s="880" t="s">
        <v>3750</v>
      </c>
      <c r="L277" s="881" t="s">
        <v>3068</v>
      </c>
      <c r="M277" s="2286" t="s">
        <v>184</v>
      </c>
      <c r="N277" s="2286" t="s">
        <v>2949</v>
      </c>
      <c r="O277" s="2285" t="s">
        <v>3751</v>
      </c>
      <c r="P277" s="447" t="s">
        <v>3752</v>
      </c>
      <c r="Q277" s="200"/>
      <c r="R277" s="122"/>
      <c r="S277" s="290"/>
      <c r="T277" s="399" t="s">
        <v>3753</v>
      </c>
      <c r="U277" s="399" t="s">
        <v>3754</v>
      </c>
      <c r="W277" s="326" t="s">
        <v>3755</v>
      </c>
      <c r="X277" s="326" t="s">
        <v>3073</v>
      </c>
      <c r="AA277" s="12"/>
      <c r="AB277" s="12"/>
      <c r="AC277" s="808"/>
      <c r="AD277" s="407"/>
    </row>
    <row r="278" spans="6:30" ht="10.5" customHeight="1">
      <c r="F278" s="448"/>
      <c r="G278" s="878" t="s">
        <v>3756</v>
      </c>
      <c r="H278" s="878" t="s">
        <v>3065</v>
      </c>
      <c r="I278" s="879" t="s">
        <v>3537</v>
      </c>
      <c r="J278" s="879" t="s">
        <v>2957</v>
      </c>
      <c r="K278" s="880" t="s">
        <v>3757</v>
      </c>
      <c r="L278" s="881" t="s">
        <v>3068</v>
      </c>
      <c r="M278" s="2286" t="s">
        <v>184</v>
      </c>
      <c r="N278" s="2286" t="s">
        <v>2951</v>
      </c>
      <c r="O278" s="2285" t="s">
        <v>3758</v>
      </c>
      <c r="P278" s="447" t="s">
        <v>3759</v>
      </c>
      <c r="Q278" s="200"/>
      <c r="R278" s="122"/>
      <c r="S278" s="290"/>
      <c r="T278" s="399" t="s">
        <v>3760</v>
      </c>
      <c r="U278" s="399" t="s">
        <v>2252</v>
      </c>
      <c r="W278" s="326" t="s">
        <v>3761</v>
      </c>
      <c r="X278" s="326" t="s">
        <v>3073</v>
      </c>
      <c r="AA278" s="12"/>
      <c r="AB278" s="12"/>
      <c r="AC278" s="808"/>
      <c r="AD278" s="407"/>
    </row>
    <row r="279" spans="6:30" ht="10.5" customHeight="1">
      <c r="F279" s="448"/>
      <c r="G279" s="878" t="s">
        <v>3762</v>
      </c>
      <c r="H279" s="878" t="s">
        <v>3762</v>
      </c>
      <c r="I279" s="878" t="s">
        <v>3762</v>
      </c>
      <c r="J279" s="879"/>
      <c r="K279" s="880"/>
      <c r="L279" s="881"/>
      <c r="M279" s="878" t="s">
        <v>3762</v>
      </c>
      <c r="N279" s="878" t="s">
        <v>3762</v>
      </c>
      <c r="O279" s="2285" t="s">
        <v>3763</v>
      </c>
      <c r="P279" s="447" t="s">
        <v>3764</v>
      </c>
      <c r="Q279" s="200"/>
      <c r="R279" s="122"/>
      <c r="S279" s="290"/>
      <c r="T279" s="399" t="s">
        <v>3765</v>
      </c>
      <c r="U279" s="399" t="s">
        <v>3736</v>
      </c>
      <c r="W279" s="326" t="s">
        <v>3766</v>
      </c>
      <c r="X279" s="326" t="s">
        <v>3073</v>
      </c>
      <c r="AA279" s="12"/>
      <c r="AB279" s="12"/>
      <c r="AC279" s="808"/>
      <c r="AD279" s="407"/>
    </row>
    <row r="280" spans="6:30" ht="10.5" customHeight="1">
      <c r="F280" s="448"/>
      <c r="G280" s="878" t="s">
        <v>3767</v>
      </c>
      <c r="H280" s="878" t="s">
        <v>3065</v>
      </c>
      <c r="I280" s="882" t="s">
        <v>3542</v>
      </c>
      <c r="J280" s="879" t="s">
        <v>2957</v>
      </c>
      <c r="K280" s="880" t="s">
        <v>3768</v>
      </c>
      <c r="L280" s="881" t="s">
        <v>3068</v>
      </c>
      <c r="M280" s="2286" t="s">
        <v>184</v>
      </c>
      <c r="N280" s="2286" t="s">
        <v>2180</v>
      </c>
      <c r="O280" s="2285" t="s">
        <v>3769</v>
      </c>
      <c r="P280" s="447" t="s">
        <v>3770</v>
      </c>
      <c r="Q280" s="200"/>
      <c r="R280" s="122"/>
      <c r="S280" s="290"/>
      <c r="T280" s="194" t="s">
        <v>3372</v>
      </c>
      <c r="U280" s="194" t="s">
        <v>334</v>
      </c>
      <c r="W280" s="326" t="s">
        <v>3771</v>
      </c>
      <c r="X280" s="326" t="s">
        <v>3073</v>
      </c>
      <c r="AA280" s="12"/>
      <c r="AB280" s="12"/>
      <c r="AC280" s="808"/>
      <c r="AD280" s="407"/>
    </row>
    <row r="281" spans="6:30" ht="10.5" customHeight="1">
      <c r="F281" s="448"/>
      <c r="G281" s="878" t="s">
        <v>294</v>
      </c>
      <c r="H281" s="878" t="s">
        <v>3098</v>
      </c>
      <c r="I281" s="882" t="s">
        <v>3096</v>
      </c>
      <c r="J281" s="882" t="s">
        <v>2944</v>
      </c>
      <c r="K281" s="880" t="s">
        <v>3112</v>
      </c>
      <c r="L281" s="881" t="s">
        <v>3090</v>
      </c>
      <c r="M281" s="2284" t="s">
        <v>2956</v>
      </c>
      <c r="N281" s="2286" t="s">
        <v>413</v>
      </c>
      <c r="O281" s="2285" t="s">
        <v>3772</v>
      </c>
      <c r="P281" s="447" t="s">
        <v>3773</v>
      </c>
      <c r="Q281" s="200"/>
      <c r="R281" s="122"/>
      <c r="S281" s="290"/>
      <c r="T281" s="399" t="s">
        <v>3774</v>
      </c>
      <c r="U281" s="399" t="s">
        <v>3744</v>
      </c>
      <c r="W281" s="326" t="s">
        <v>3775</v>
      </c>
      <c r="X281" s="326" t="s">
        <v>3073</v>
      </c>
      <c r="AA281" s="12"/>
      <c r="AB281" s="12"/>
      <c r="AC281" s="407"/>
      <c r="AD281" s="407"/>
    </row>
    <row r="282" spans="6:30" ht="10.5" customHeight="1">
      <c r="F282" s="448"/>
      <c r="G282" s="878" t="s">
        <v>3278</v>
      </c>
      <c r="H282" s="878" t="s">
        <v>3098</v>
      </c>
      <c r="I282" s="882" t="s">
        <v>3549</v>
      </c>
      <c r="J282" s="882" t="s">
        <v>2957</v>
      </c>
      <c r="K282" s="880" t="s">
        <v>3776</v>
      </c>
      <c r="L282" s="881" t="s">
        <v>3068</v>
      </c>
      <c r="M282" s="2286" t="s">
        <v>184</v>
      </c>
      <c r="N282" s="2284" t="s">
        <v>2946</v>
      </c>
      <c r="O282" s="2285" t="s">
        <v>3777</v>
      </c>
      <c r="P282" s="447" t="s">
        <v>3778</v>
      </c>
      <c r="Q282" s="200"/>
      <c r="R282" s="122"/>
      <c r="S282" s="290"/>
      <c r="T282" s="399" t="s">
        <v>2211</v>
      </c>
      <c r="U282" s="399" t="s">
        <v>3641</v>
      </c>
      <c r="W282" s="326" t="s">
        <v>3779</v>
      </c>
      <c r="X282" s="326" t="s">
        <v>3073</v>
      </c>
      <c r="AA282" s="12"/>
      <c r="AB282" s="12"/>
      <c r="AC282" s="808"/>
      <c r="AD282" s="407"/>
    </row>
    <row r="283" spans="6:30" ht="10.5" customHeight="1">
      <c r="F283" s="448"/>
      <c r="G283" s="878" t="s">
        <v>3780</v>
      </c>
      <c r="H283" s="878" t="s">
        <v>3065</v>
      </c>
      <c r="I283" s="879" t="s">
        <v>3554</v>
      </c>
      <c r="J283" s="882" t="s">
        <v>2957</v>
      </c>
      <c r="K283" s="880" t="s">
        <v>3781</v>
      </c>
      <c r="L283" s="881" t="s">
        <v>3068</v>
      </c>
      <c r="M283" s="2286" t="s">
        <v>184</v>
      </c>
      <c r="N283" s="2286" t="s">
        <v>2949</v>
      </c>
      <c r="O283" s="2285" t="s">
        <v>3782</v>
      </c>
      <c r="P283" s="447" t="s">
        <v>3783</v>
      </c>
      <c r="Q283" s="200"/>
      <c r="R283" s="122"/>
      <c r="S283" s="290"/>
      <c r="T283" s="399" t="s">
        <v>2949</v>
      </c>
      <c r="U283" s="399" t="s">
        <v>3371</v>
      </c>
      <c r="W283" s="326" t="s">
        <v>3784</v>
      </c>
      <c r="X283" s="326" t="s">
        <v>3073</v>
      </c>
      <c r="AA283" s="12"/>
      <c r="AB283" s="12"/>
      <c r="AC283" s="808"/>
      <c r="AD283" s="407"/>
    </row>
    <row r="284" spans="6:30" ht="10.5" customHeight="1">
      <c r="F284" s="448"/>
      <c r="G284" s="878" t="s">
        <v>3183</v>
      </c>
      <c r="H284" s="878" t="s">
        <v>3065</v>
      </c>
      <c r="I284" s="879" t="s">
        <v>3559</v>
      </c>
      <c r="J284" s="879" t="s">
        <v>2957</v>
      </c>
      <c r="K284" s="880" t="s">
        <v>3785</v>
      </c>
      <c r="L284" s="881" t="s">
        <v>3068</v>
      </c>
      <c r="M284" s="2286" t="s">
        <v>184</v>
      </c>
      <c r="N284" s="2286" t="s">
        <v>2180</v>
      </c>
      <c r="O284" s="2285" t="s">
        <v>3786</v>
      </c>
      <c r="P284" s="447" t="s">
        <v>3787</v>
      </c>
      <c r="Q284" s="200"/>
      <c r="R284" s="122"/>
      <c r="S284" s="290"/>
      <c r="T284" s="399" t="s">
        <v>3788</v>
      </c>
      <c r="U284" s="399" t="s">
        <v>2252</v>
      </c>
      <c r="W284" s="326" t="s">
        <v>3789</v>
      </c>
      <c r="X284" s="326" t="s">
        <v>3073</v>
      </c>
      <c r="AA284" s="12"/>
      <c r="AB284" s="12"/>
      <c r="AC284" s="808"/>
      <c r="AD284" s="407"/>
    </row>
    <row r="285" spans="6:30" ht="10.5" customHeight="1">
      <c r="F285" s="448"/>
      <c r="G285" s="878" t="s">
        <v>3790</v>
      </c>
      <c r="H285" s="878" t="s">
        <v>3098</v>
      </c>
      <c r="I285" s="879" t="s">
        <v>3566</v>
      </c>
      <c r="J285" s="879" t="s">
        <v>2957</v>
      </c>
      <c r="K285" s="880" t="s">
        <v>3791</v>
      </c>
      <c r="L285" s="881" t="s">
        <v>3068</v>
      </c>
      <c r="M285" s="2286" t="s">
        <v>184</v>
      </c>
      <c r="N285" s="2286" t="s">
        <v>2949</v>
      </c>
      <c r="O285" s="2285" t="s">
        <v>3792</v>
      </c>
      <c r="P285" s="447" t="s">
        <v>3793</v>
      </c>
      <c r="Q285" s="200"/>
      <c r="R285" s="122"/>
      <c r="S285" s="290"/>
      <c r="T285" s="399" t="s">
        <v>2213</v>
      </c>
      <c r="U285" s="399" t="s">
        <v>3213</v>
      </c>
      <c r="W285" s="326" t="s">
        <v>3794</v>
      </c>
      <c r="X285" s="326" t="s">
        <v>3073</v>
      </c>
      <c r="AA285" s="12"/>
      <c r="AB285" s="12"/>
      <c r="AC285" s="808"/>
      <c r="AD285" s="407"/>
    </row>
    <row r="286" spans="6:30" ht="10.5" customHeight="1">
      <c r="F286" s="448"/>
      <c r="G286" s="878" t="s">
        <v>3795</v>
      </c>
      <c r="H286" s="878" t="s">
        <v>3098</v>
      </c>
      <c r="I286" s="879" t="s">
        <v>3571</v>
      </c>
      <c r="J286" s="879" t="s">
        <v>2957</v>
      </c>
      <c r="K286" s="880" t="s">
        <v>3796</v>
      </c>
      <c r="L286" s="881" t="s">
        <v>3068</v>
      </c>
      <c r="M286" s="2286" t="s">
        <v>184</v>
      </c>
      <c r="N286" s="2286" t="s">
        <v>2946</v>
      </c>
      <c r="O286" s="2285" t="s">
        <v>3797</v>
      </c>
      <c r="P286" s="447" t="s">
        <v>3798</v>
      </c>
      <c r="Q286" s="200"/>
      <c r="R286" s="122"/>
      <c r="S286" s="290"/>
      <c r="T286" s="194" t="s">
        <v>3799</v>
      </c>
      <c r="U286" s="194" t="s">
        <v>313</v>
      </c>
      <c r="W286" s="326" t="s">
        <v>3800</v>
      </c>
      <c r="X286" s="326" t="s">
        <v>3073</v>
      </c>
      <c r="AA286" s="12"/>
      <c r="AB286" s="12"/>
      <c r="AC286" s="808"/>
      <c r="AD286" s="407"/>
    </row>
    <row r="287" spans="6:30" ht="10.5" customHeight="1">
      <c r="F287" s="448"/>
      <c r="G287" s="878" t="s">
        <v>3744</v>
      </c>
      <c r="H287" s="878" t="s">
        <v>3065</v>
      </c>
      <c r="I287" s="879" t="s">
        <v>3576</v>
      </c>
      <c r="J287" s="879" t="s">
        <v>2957</v>
      </c>
      <c r="K287" s="880" t="s">
        <v>3801</v>
      </c>
      <c r="L287" s="881" t="s">
        <v>3068</v>
      </c>
      <c r="M287" s="2286" t="s">
        <v>184</v>
      </c>
      <c r="N287" s="2286" t="s">
        <v>2951</v>
      </c>
      <c r="O287" s="2285" t="s">
        <v>3802</v>
      </c>
      <c r="P287" s="447" t="s">
        <v>3803</v>
      </c>
      <c r="Q287" s="200"/>
      <c r="R287" s="122"/>
      <c r="S287" s="290"/>
      <c r="T287" s="399" t="s">
        <v>285</v>
      </c>
      <c r="U287" s="399" t="s">
        <v>281</v>
      </c>
      <c r="W287" s="326" t="s">
        <v>2251</v>
      </c>
      <c r="X287" s="326" t="s">
        <v>3073</v>
      </c>
      <c r="AA287" s="12"/>
      <c r="AB287" s="12"/>
      <c r="AC287" s="407"/>
      <c r="AD287" s="407"/>
    </row>
    <row r="288" spans="6:30" ht="10.5" customHeight="1">
      <c r="F288" s="448"/>
      <c r="G288" s="878" t="s">
        <v>3547</v>
      </c>
      <c r="H288" s="878" t="s">
        <v>3098</v>
      </c>
      <c r="I288" s="879" t="s">
        <v>3582</v>
      </c>
      <c r="J288" s="879" t="s">
        <v>2957</v>
      </c>
      <c r="K288" s="880" t="s">
        <v>3804</v>
      </c>
      <c r="L288" s="881" t="s">
        <v>3068</v>
      </c>
      <c r="M288" s="2286" t="s">
        <v>184</v>
      </c>
      <c r="N288" s="2286" t="s">
        <v>2949</v>
      </c>
      <c r="O288" s="2285" t="s">
        <v>3805</v>
      </c>
      <c r="P288" s="447" t="s">
        <v>3806</v>
      </c>
      <c r="Q288" s="200"/>
      <c r="R288" s="122"/>
      <c r="S288" s="290"/>
      <c r="T288" s="399" t="s">
        <v>3390</v>
      </c>
      <c r="U288" s="399" t="s">
        <v>323</v>
      </c>
      <c r="W288" s="326" t="s">
        <v>3807</v>
      </c>
      <c r="X288" s="326" t="s">
        <v>3073</v>
      </c>
      <c r="AA288" s="12"/>
      <c r="AB288" s="12"/>
      <c r="AC288" s="808"/>
      <c r="AD288" s="407"/>
    </row>
    <row r="289" spans="6:30" ht="10.5" customHeight="1">
      <c r="F289" s="448"/>
      <c r="G289" s="878" t="s">
        <v>3808</v>
      </c>
      <c r="H289" s="878" t="s">
        <v>3065</v>
      </c>
      <c r="I289" s="879" t="s">
        <v>3590</v>
      </c>
      <c r="J289" s="879" t="s">
        <v>2957</v>
      </c>
      <c r="K289" s="880" t="s">
        <v>3809</v>
      </c>
      <c r="L289" s="881" t="s">
        <v>3068</v>
      </c>
      <c r="M289" s="2286" t="s">
        <v>184</v>
      </c>
      <c r="N289" s="2286" t="s">
        <v>2180</v>
      </c>
      <c r="O289" s="2285" t="s">
        <v>3810</v>
      </c>
      <c r="P289" s="447" t="s">
        <v>3811</v>
      </c>
      <c r="Q289" s="200"/>
      <c r="R289" s="122"/>
      <c r="S289" s="290"/>
      <c r="T289" s="399" t="s">
        <v>3812</v>
      </c>
      <c r="U289" s="399" t="s">
        <v>3322</v>
      </c>
      <c r="W289" s="326" t="s">
        <v>3813</v>
      </c>
      <c r="X289" s="326" t="s">
        <v>3073</v>
      </c>
      <c r="AA289" s="12"/>
      <c r="AB289" s="12"/>
      <c r="AC289" s="808"/>
      <c r="AD289" s="407"/>
    </row>
    <row r="290" spans="6:30" ht="10.5" customHeight="1">
      <c r="F290" s="448"/>
      <c r="G290" s="878" t="s">
        <v>3492</v>
      </c>
      <c r="H290" s="878" t="s">
        <v>3065</v>
      </c>
      <c r="I290" s="882" t="s">
        <v>2180</v>
      </c>
      <c r="J290" s="879" t="s">
        <v>2944</v>
      </c>
      <c r="K290" s="880" t="s">
        <v>3089</v>
      </c>
      <c r="L290" s="881" t="s">
        <v>3090</v>
      </c>
      <c r="M290" s="2284" t="s">
        <v>184</v>
      </c>
      <c r="N290" s="2286" t="s">
        <v>2180</v>
      </c>
      <c r="O290" s="2285" t="s">
        <v>3814</v>
      </c>
      <c r="P290" s="447" t="s">
        <v>3815</v>
      </c>
      <c r="Q290" s="200"/>
      <c r="R290" s="122"/>
      <c r="S290" s="290"/>
      <c r="T290" s="399" t="s">
        <v>2215</v>
      </c>
      <c r="U290" s="399" t="s">
        <v>3200</v>
      </c>
      <c r="W290" s="326" t="s">
        <v>3816</v>
      </c>
      <c r="X290" s="326" t="s">
        <v>3073</v>
      </c>
      <c r="AA290" s="12"/>
      <c r="AB290" s="12"/>
      <c r="AC290" s="808"/>
      <c r="AD290" s="407"/>
    </row>
    <row r="291" spans="6:30" ht="10.5" customHeight="1">
      <c r="F291" s="448"/>
      <c r="G291" s="878" t="s">
        <v>3322</v>
      </c>
      <c r="H291" s="878" t="s">
        <v>3065</v>
      </c>
      <c r="I291" s="882" t="s">
        <v>3595</v>
      </c>
      <c r="J291" s="882" t="s">
        <v>2957</v>
      </c>
      <c r="K291" s="880" t="s">
        <v>3817</v>
      </c>
      <c r="L291" s="881" t="s">
        <v>3068</v>
      </c>
      <c r="M291" s="2286" t="s">
        <v>184</v>
      </c>
      <c r="N291" s="2284" t="s">
        <v>43</v>
      </c>
      <c r="O291" s="2285" t="s">
        <v>3818</v>
      </c>
      <c r="P291" s="447" t="s">
        <v>3819</v>
      </c>
      <c r="Q291" s="200"/>
      <c r="R291" s="122"/>
      <c r="S291" s="290"/>
      <c r="T291" s="399" t="s">
        <v>3820</v>
      </c>
      <c r="U291" s="399" t="s">
        <v>3500</v>
      </c>
      <c r="W291" s="326" t="s">
        <v>3821</v>
      </c>
      <c r="X291" s="326" t="s">
        <v>3073</v>
      </c>
      <c r="AA291" s="12"/>
      <c r="AB291" s="12"/>
      <c r="AC291" s="808"/>
      <c r="AD291" s="407"/>
    </row>
    <row r="292" spans="6:30" ht="10.5" customHeight="1">
      <c r="F292" s="448"/>
      <c r="G292" s="878" t="s">
        <v>340</v>
      </c>
      <c r="H292" s="878" t="s">
        <v>3065</v>
      </c>
      <c r="I292" s="882" t="s">
        <v>3600</v>
      </c>
      <c r="J292" s="882" t="s">
        <v>2957</v>
      </c>
      <c r="K292" s="880" t="s">
        <v>3822</v>
      </c>
      <c r="L292" s="881" t="s">
        <v>3068</v>
      </c>
      <c r="M292" s="2286" t="s">
        <v>184</v>
      </c>
      <c r="N292" s="2286" t="s">
        <v>2180</v>
      </c>
      <c r="O292" s="2285" t="s">
        <v>3823</v>
      </c>
      <c r="P292" s="447" t="s">
        <v>3824</v>
      </c>
      <c r="Q292" s="200"/>
      <c r="R292" s="122"/>
      <c r="S292" s="290"/>
      <c r="T292" s="399" t="s">
        <v>3401</v>
      </c>
      <c r="U292" s="399" t="s">
        <v>344</v>
      </c>
      <c r="W292" s="326" t="s">
        <v>3825</v>
      </c>
      <c r="X292" s="326" t="s">
        <v>3073</v>
      </c>
      <c r="AA292" s="12"/>
      <c r="AB292" s="12"/>
      <c r="AC292" s="808"/>
      <c r="AD292" s="811"/>
    </row>
    <row r="293" spans="6:30" ht="10.5" customHeight="1">
      <c r="F293" s="448"/>
      <c r="G293" s="878" t="s">
        <v>3826</v>
      </c>
      <c r="H293" s="878" t="s">
        <v>3065</v>
      </c>
      <c r="I293" s="882" t="s">
        <v>3604</v>
      </c>
      <c r="J293" s="882" t="s">
        <v>2957</v>
      </c>
      <c r="K293" s="880" t="s">
        <v>3827</v>
      </c>
      <c r="L293" s="881" t="s">
        <v>3068</v>
      </c>
      <c r="M293" s="2286" t="s">
        <v>184</v>
      </c>
      <c r="N293" s="2286" t="s">
        <v>2951</v>
      </c>
      <c r="O293" s="2285" t="s">
        <v>3828</v>
      </c>
      <c r="P293" s="447" t="s">
        <v>3829</v>
      </c>
      <c r="Q293" s="200"/>
      <c r="R293" s="122"/>
      <c r="S293" s="290"/>
      <c r="T293" s="399" t="s">
        <v>286</v>
      </c>
      <c r="U293" s="399" t="s">
        <v>287</v>
      </c>
      <c r="W293" s="326" t="s">
        <v>3830</v>
      </c>
      <c r="X293" s="326" t="s">
        <v>3073</v>
      </c>
      <c r="AA293" s="12"/>
      <c r="AB293" s="12"/>
      <c r="AC293" s="808"/>
      <c r="AD293" s="407"/>
    </row>
    <row r="294" spans="6:30" ht="10.5" customHeight="1">
      <c r="F294" s="448"/>
      <c r="G294" s="878" t="s">
        <v>309</v>
      </c>
      <c r="H294" s="878" t="s">
        <v>3098</v>
      </c>
      <c r="I294" s="882" t="s">
        <v>3611</v>
      </c>
      <c r="J294" s="882" t="s">
        <v>2957</v>
      </c>
      <c r="K294" s="880" t="s">
        <v>3831</v>
      </c>
      <c r="L294" s="881" t="s">
        <v>3068</v>
      </c>
      <c r="M294" s="2286" t="s">
        <v>184</v>
      </c>
      <c r="N294" s="2286" t="s">
        <v>2946</v>
      </c>
      <c r="O294" s="2285" t="s">
        <v>3832</v>
      </c>
      <c r="P294" s="447" t="s">
        <v>3833</v>
      </c>
      <c r="Q294" s="200"/>
      <c r="R294" s="122"/>
      <c r="S294" s="290"/>
      <c r="T294" s="399" t="s">
        <v>2218</v>
      </c>
      <c r="U294" s="399" t="s">
        <v>3678</v>
      </c>
      <c r="W294" s="326" t="s">
        <v>327</v>
      </c>
      <c r="X294" s="326" t="s">
        <v>3073</v>
      </c>
      <c r="AA294" s="12"/>
      <c r="AB294" s="12"/>
      <c r="AC294" s="808"/>
      <c r="AD294" s="407"/>
    </row>
    <row r="295" spans="6:30" ht="10.5" customHeight="1">
      <c r="F295" s="448"/>
      <c r="G295" s="878" t="s">
        <v>3834</v>
      </c>
      <c r="H295" s="878" t="s">
        <v>3065</v>
      </c>
      <c r="I295" s="882" t="s">
        <v>3616</v>
      </c>
      <c r="J295" s="882" t="s">
        <v>2957</v>
      </c>
      <c r="K295" s="880" t="s">
        <v>3835</v>
      </c>
      <c r="L295" s="881" t="s">
        <v>3068</v>
      </c>
      <c r="M295" s="2286" t="s">
        <v>184</v>
      </c>
      <c r="N295" s="2286" t="s">
        <v>2950</v>
      </c>
      <c r="O295" s="2285" t="s">
        <v>3836</v>
      </c>
      <c r="P295" s="447" t="s">
        <v>3837</v>
      </c>
      <c r="Q295" s="200"/>
      <c r="R295" s="122"/>
      <c r="S295" s="290"/>
      <c r="T295" s="399" t="s">
        <v>3300</v>
      </c>
      <c r="U295" s="399" t="s">
        <v>3232</v>
      </c>
      <c r="W295" s="326" t="s">
        <v>2950</v>
      </c>
      <c r="X295" s="326" t="s">
        <v>3073</v>
      </c>
      <c r="AA295" s="12"/>
      <c r="AB295" s="12"/>
      <c r="AC295" s="808"/>
      <c r="AD295" s="407"/>
    </row>
    <row r="296" spans="6:30" ht="10.5" customHeight="1">
      <c r="F296" s="448"/>
      <c r="G296" s="878" t="s">
        <v>3838</v>
      </c>
      <c r="H296" s="878" t="s">
        <v>3098</v>
      </c>
      <c r="I296" s="879" t="s">
        <v>3621</v>
      </c>
      <c r="J296" s="882" t="s">
        <v>2957</v>
      </c>
      <c r="K296" s="880" t="s">
        <v>3839</v>
      </c>
      <c r="L296" s="881" t="s">
        <v>3068</v>
      </c>
      <c r="M296" s="2286" t="s">
        <v>184</v>
      </c>
      <c r="N296" s="2286" t="s">
        <v>413</v>
      </c>
      <c r="O296" s="2285" t="s">
        <v>3840</v>
      </c>
      <c r="P296" s="447" t="s">
        <v>3841</v>
      </c>
      <c r="Q296" s="200"/>
      <c r="R296" s="122"/>
      <c r="S296" s="290"/>
      <c r="T296" s="399" t="s">
        <v>3416</v>
      </c>
      <c r="U296" s="399" t="s">
        <v>3795</v>
      </c>
      <c r="W296" s="326" t="s">
        <v>2252</v>
      </c>
      <c r="X296" s="326" t="s">
        <v>3073</v>
      </c>
      <c r="AA296" s="12"/>
      <c r="AB296" s="12"/>
      <c r="AC296" s="808"/>
      <c r="AD296" s="407"/>
    </row>
    <row r="297" spans="6:30" ht="10.5" customHeight="1">
      <c r="F297" s="448"/>
      <c r="G297" s="878" t="s">
        <v>3239</v>
      </c>
      <c r="H297" s="878" t="s">
        <v>3065</v>
      </c>
      <c r="I297" s="882" t="s">
        <v>3625</v>
      </c>
      <c r="J297" s="879" t="s">
        <v>2957</v>
      </c>
      <c r="K297" s="880" t="s">
        <v>3842</v>
      </c>
      <c r="L297" s="881" t="s">
        <v>3068</v>
      </c>
      <c r="M297" s="2286" t="s">
        <v>184</v>
      </c>
      <c r="N297" s="2286" t="s">
        <v>2180</v>
      </c>
      <c r="O297" s="2285" t="s">
        <v>3843</v>
      </c>
      <c r="P297" s="447" t="s">
        <v>3844</v>
      </c>
      <c r="Q297" s="200"/>
      <c r="R297" s="122"/>
      <c r="S297" s="290"/>
      <c r="T297" s="399" t="s">
        <v>3845</v>
      </c>
      <c r="U297" s="399" t="s">
        <v>3722</v>
      </c>
      <c r="W297" s="326" t="s">
        <v>3846</v>
      </c>
      <c r="X297" s="326" t="s">
        <v>3073</v>
      </c>
      <c r="AA297" s="12"/>
      <c r="AB297" s="12"/>
      <c r="AC297" s="808"/>
      <c r="AD297" s="407"/>
    </row>
    <row r="298" spans="6:30" ht="10.5" customHeight="1">
      <c r="F298" s="448"/>
      <c r="G298" s="878" t="s">
        <v>3847</v>
      </c>
      <c r="H298" s="878" t="s">
        <v>3098</v>
      </c>
      <c r="I298" s="882" t="s">
        <v>2950</v>
      </c>
      <c r="J298" s="882" t="s">
        <v>2944</v>
      </c>
      <c r="K298" s="880" t="s">
        <v>3137</v>
      </c>
      <c r="L298" s="881" t="s">
        <v>3090</v>
      </c>
      <c r="M298" s="2284" t="s">
        <v>184</v>
      </c>
      <c r="N298" s="2286" t="s">
        <v>2950</v>
      </c>
      <c r="O298" s="2285" t="s">
        <v>3848</v>
      </c>
      <c r="P298" s="447" t="s">
        <v>3849</v>
      </c>
      <c r="Q298" s="200"/>
      <c r="R298" s="122"/>
      <c r="S298" s="290"/>
      <c r="T298" s="399" t="s">
        <v>3850</v>
      </c>
      <c r="U298" s="399" t="s">
        <v>2257</v>
      </c>
      <c r="W298" s="326" t="s">
        <v>3851</v>
      </c>
      <c r="X298" s="326" t="s">
        <v>3073</v>
      </c>
      <c r="AA298" s="12"/>
      <c r="AB298" s="12"/>
      <c r="AC298" s="808"/>
      <c r="AD298" s="407"/>
    </row>
    <row r="299" spans="6:30" ht="10.5" customHeight="1">
      <c r="F299" s="448"/>
      <c r="G299" s="878" t="s">
        <v>3396</v>
      </c>
      <c r="H299" s="878" t="s">
        <v>3098</v>
      </c>
      <c r="I299" s="882" t="s">
        <v>3631</v>
      </c>
      <c r="J299" s="882" t="s">
        <v>2957</v>
      </c>
      <c r="K299" s="880" t="s">
        <v>3852</v>
      </c>
      <c r="L299" s="881" t="s">
        <v>3068</v>
      </c>
      <c r="M299" s="2286" t="s">
        <v>184</v>
      </c>
      <c r="N299" s="2284" t="s">
        <v>2946</v>
      </c>
      <c r="O299" s="2285" t="s">
        <v>3853</v>
      </c>
      <c r="P299" s="447" t="s">
        <v>3854</v>
      </c>
      <c r="Q299" s="200"/>
      <c r="R299" s="122"/>
      <c r="S299" s="290"/>
      <c r="T299" s="399" t="s">
        <v>3421</v>
      </c>
      <c r="U299" s="399" t="s">
        <v>3407</v>
      </c>
      <c r="W299" s="326" t="s">
        <v>3855</v>
      </c>
      <c r="X299" s="326" t="s">
        <v>3073</v>
      </c>
      <c r="AA299" s="12"/>
      <c r="AB299" s="12"/>
      <c r="AC299" s="808"/>
      <c r="AD299" s="407"/>
    </row>
    <row r="300" spans="6:30" ht="10.5" customHeight="1">
      <c r="F300" s="448"/>
      <c r="G300" s="878" t="s">
        <v>311</v>
      </c>
      <c r="H300" s="878" t="s">
        <v>3098</v>
      </c>
      <c r="I300" s="879" t="s">
        <v>3635</v>
      </c>
      <c r="J300" s="882" t="s">
        <v>2957</v>
      </c>
      <c r="K300" s="880" t="s">
        <v>3856</v>
      </c>
      <c r="L300" s="881" t="s">
        <v>3068</v>
      </c>
      <c r="M300" s="2286" t="s">
        <v>184</v>
      </c>
      <c r="N300" s="2286" t="s">
        <v>413</v>
      </c>
      <c r="O300" s="2285" t="s">
        <v>3857</v>
      </c>
      <c r="P300" s="447" t="s">
        <v>3858</v>
      </c>
      <c r="Q300" s="200"/>
      <c r="R300" s="122"/>
      <c r="S300" s="290"/>
      <c r="T300" s="399" t="s">
        <v>3859</v>
      </c>
      <c r="U300" s="399" t="s">
        <v>3227</v>
      </c>
      <c r="W300" s="326" t="s">
        <v>328</v>
      </c>
      <c r="X300" s="326" t="s">
        <v>3073</v>
      </c>
      <c r="AA300" s="12"/>
      <c r="AB300" s="12"/>
      <c r="AC300" s="808"/>
      <c r="AD300" s="407"/>
    </row>
    <row r="301" spans="6:30" ht="10.5" customHeight="1">
      <c r="F301" s="448"/>
      <c r="G301" s="878" t="s">
        <v>284</v>
      </c>
      <c r="H301" s="878" t="s">
        <v>3098</v>
      </c>
      <c r="I301" s="882" t="s">
        <v>2948</v>
      </c>
      <c r="J301" s="879" t="s">
        <v>2944</v>
      </c>
      <c r="K301" s="880" t="s">
        <v>3209</v>
      </c>
      <c r="L301" s="881" t="s">
        <v>3090</v>
      </c>
      <c r="M301" s="2284" t="s">
        <v>184</v>
      </c>
      <c r="N301" s="2286" t="s">
        <v>2948</v>
      </c>
      <c r="O301" s="2285" t="s">
        <v>3860</v>
      </c>
      <c r="P301" s="447" t="s">
        <v>3861</v>
      </c>
      <c r="Q301" s="200"/>
      <c r="R301" s="122"/>
      <c r="S301" s="290"/>
      <c r="T301" s="399" t="s">
        <v>3427</v>
      </c>
      <c r="U301" s="399" t="s">
        <v>3736</v>
      </c>
      <c r="W301" s="326" t="s">
        <v>3862</v>
      </c>
      <c r="X301" s="326" t="s">
        <v>3073</v>
      </c>
      <c r="AA301" s="12"/>
      <c r="AB301" s="12"/>
      <c r="AC301" s="808"/>
      <c r="AD301" s="407"/>
    </row>
    <row r="302" spans="6:30" ht="10.5" customHeight="1">
      <c r="F302" s="448"/>
      <c r="G302" s="878" t="s">
        <v>3365</v>
      </c>
      <c r="H302" s="878" t="s">
        <v>3098</v>
      </c>
      <c r="I302" s="882" t="s">
        <v>3096</v>
      </c>
      <c r="J302" s="882" t="s">
        <v>2944</v>
      </c>
      <c r="K302" s="880" t="s">
        <v>3112</v>
      </c>
      <c r="L302" s="881" t="s">
        <v>3090</v>
      </c>
      <c r="M302" s="2284" t="s">
        <v>2956</v>
      </c>
      <c r="N302" s="2284" t="s">
        <v>413</v>
      </c>
      <c r="O302" s="2285" t="s">
        <v>3863</v>
      </c>
      <c r="P302" s="447" t="s">
        <v>3864</v>
      </c>
      <c r="Q302" s="200"/>
      <c r="R302" s="122"/>
      <c r="S302" s="290"/>
      <c r="T302" s="399" t="s">
        <v>3865</v>
      </c>
      <c r="U302" s="399" t="s">
        <v>3347</v>
      </c>
      <c r="W302" s="326" t="s">
        <v>3866</v>
      </c>
      <c r="X302" s="326" t="s">
        <v>3073</v>
      </c>
      <c r="AA302" s="12"/>
      <c r="AB302" s="12"/>
      <c r="AC302" s="808"/>
      <c r="AD302" s="407"/>
    </row>
    <row r="303" spans="6:30" ht="10.5" customHeight="1">
      <c r="F303" s="448"/>
      <c r="G303" s="878" t="s">
        <v>289</v>
      </c>
      <c r="H303" s="878" t="s">
        <v>3065</v>
      </c>
      <c r="I303" s="882" t="s">
        <v>3645</v>
      </c>
      <c r="J303" s="882" t="s">
        <v>2957</v>
      </c>
      <c r="K303" s="880" t="s">
        <v>3867</v>
      </c>
      <c r="L303" s="881" t="s">
        <v>3068</v>
      </c>
      <c r="M303" s="2286" t="s">
        <v>184</v>
      </c>
      <c r="N303" s="2284" t="s">
        <v>43</v>
      </c>
      <c r="O303" s="2285" t="s">
        <v>3868</v>
      </c>
      <c r="P303" s="447" t="s">
        <v>3869</v>
      </c>
      <c r="Q303" s="200"/>
      <c r="R303" s="122"/>
      <c r="S303" s="290"/>
      <c r="T303" s="399" t="s">
        <v>3433</v>
      </c>
      <c r="U303" s="399" t="s">
        <v>3605</v>
      </c>
      <c r="W303" s="326" t="s">
        <v>3870</v>
      </c>
      <c r="X303" s="326" t="s">
        <v>3073</v>
      </c>
      <c r="AA303" s="12"/>
      <c r="AB303" s="12"/>
      <c r="AC303" s="808"/>
      <c r="AD303" s="407"/>
    </row>
    <row r="304" spans="6:30" ht="10.5" customHeight="1">
      <c r="F304" s="448"/>
      <c r="G304" s="878" t="s">
        <v>3588</v>
      </c>
      <c r="H304" s="878" t="s">
        <v>3098</v>
      </c>
      <c r="I304" s="882" t="s">
        <v>3655</v>
      </c>
      <c r="J304" s="882" t="s">
        <v>2957</v>
      </c>
      <c r="K304" s="880" t="s">
        <v>3871</v>
      </c>
      <c r="L304" s="881" t="s">
        <v>3068</v>
      </c>
      <c r="M304" s="2286" t="s">
        <v>184</v>
      </c>
      <c r="N304" s="2286" t="s">
        <v>2947</v>
      </c>
      <c r="O304" s="2285" t="s">
        <v>3872</v>
      </c>
      <c r="P304" s="447" t="s">
        <v>3873</v>
      </c>
      <c r="Q304" s="200"/>
      <c r="R304" s="122"/>
      <c r="S304" s="290"/>
      <c r="T304" s="399" t="s">
        <v>3874</v>
      </c>
      <c r="U304" s="399" t="s">
        <v>297</v>
      </c>
      <c r="W304" s="326" t="s">
        <v>2254</v>
      </c>
      <c r="X304" s="326" t="s">
        <v>3073</v>
      </c>
      <c r="AA304" s="12"/>
      <c r="AB304" s="12"/>
      <c r="AC304" s="808"/>
      <c r="AD304" s="407"/>
    </row>
    <row r="305" spans="6:30" ht="10.5" customHeight="1">
      <c r="F305" s="448"/>
      <c r="G305" s="878" t="s">
        <v>3875</v>
      </c>
      <c r="H305" s="878" t="s">
        <v>3098</v>
      </c>
      <c r="I305" s="882" t="s">
        <v>3660</v>
      </c>
      <c r="J305" s="882" t="s">
        <v>2957</v>
      </c>
      <c r="K305" s="880" t="s">
        <v>3876</v>
      </c>
      <c r="L305" s="881" t="s">
        <v>3068</v>
      </c>
      <c r="M305" s="2286" t="s">
        <v>184</v>
      </c>
      <c r="N305" s="2286" t="s">
        <v>2950</v>
      </c>
      <c r="O305" s="2285" t="s">
        <v>3877</v>
      </c>
      <c r="P305" s="447" t="s">
        <v>3878</v>
      </c>
      <c r="Q305" s="200"/>
      <c r="R305" s="122"/>
      <c r="S305" s="290"/>
      <c r="T305" s="399" t="s">
        <v>3438</v>
      </c>
      <c r="U305" s="399" t="s">
        <v>3474</v>
      </c>
      <c r="W305" s="326" t="s">
        <v>3879</v>
      </c>
      <c r="X305" s="326" t="s">
        <v>3073</v>
      </c>
      <c r="AA305" s="12"/>
      <c r="AB305" s="12"/>
      <c r="AC305" s="808"/>
      <c r="AD305" s="407"/>
    </row>
    <row r="306" spans="6:30" ht="10.5" customHeight="1">
      <c r="F306" s="448"/>
      <c r="G306" s="878" t="s">
        <v>3880</v>
      </c>
      <c r="H306" s="878" t="s">
        <v>3065</v>
      </c>
      <c r="I306" s="882" t="s">
        <v>3666</v>
      </c>
      <c r="J306" s="882" t="s">
        <v>2957</v>
      </c>
      <c r="K306" s="880" t="s">
        <v>3881</v>
      </c>
      <c r="L306" s="881" t="s">
        <v>3068</v>
      </c>
      <c r="M306" s="2286" t="s">
        <v>184</v>
      </c>
      <c r="N306" s="2286" t="s">
        <v>2951</v>
      </c>
      <c r="O306" s="2285" t="s">
        <v>3882</v>
      </c>
      <c r="P306" s="447" t="s">
        <v>3883</v>
      </c>
      <c r="Q306" s="200"/>
      <c r="R306" s="122"/>
      <c r="S306" s="290"/>
      <c r="T306" s="399" t="s">
        <v>2219</v>
      </c>
      <c r="U306" s="399" t="s">
        <v>3754</v>
      </c>
      <c r="W306" s="326" t="s">
        <v>2255</v>
      </c>
      <c r="X306" s="326" t="s">
        <v>3073</v>
      </c>
      <c r="AA306" s="12"/>
      <c r="AB306" s="12"/>
      <c r="AC306" s="808"/>
      <c r="AD306" s="407"/>
    </row>
    <row r="307" spans="6:30" ht="10.5" customHeight="1">
      <c r="F307" s="448"/>
      <c r="G307" s="878" t="s">
        <v>3884</v>
      </c>
      <c r="H307" s="878" t="s">
        <v>3065</v>
      </c>
      <c r="I307" s="882" t="s">
        <v>3673</v>
      </c>
      <c r="J307" s="882" t="s">
        <v>2957</v>
      </c>
      <c r="K307" s="880" t="s">
        <v>3885</v>
      </c>
      <c r="L307" s="881" t="s">
        <v>3068</v>
      </c>
      <c r="M307" s="2286" t="s">
        <v>184</v>
      </c>
      <c r="N307" s="2286" t="s">
        <v>2949</v>
      </c>
      <c r="O307" s="2285" t="s">
        <v>3886</v>
      </c>
      <c r="P307" s="447" t="s">
        <v>3887</v>
      </c>
      <c r="Q307" s="200"/>
      <c r="R307" s="122"/>
      <c r="S307" s="290"/>
      <c r="T307" s="399" t="s">
        <v>3888</v>
      </c>
      <c r="U307" s="399" t="s">
        <v>3354</v>
      </c>
      <c r="W307" s="326" t="s">
        <v>2256</v>
      </c>
      <c r="X307" s="326" t="s">
        <v>3073</v>
      </c>
      <c r="AA307" s="12"/>
      <c r="AB307" s="12"/>
      <c r="AC307" s="808"/>
      <c r="AD307" s="407"/>
    </row>
    <row r="308" spans="6:30" ht="10.5" customHeight="1">
      <c r="F308" s="448"/>
      <c r="G308" s="878" t="s">
        <v>3115</v>
      </c>
      <c r="H308" s="878" t="s">
        <v>3065</v>
      </c>
      <c r="I308" s="882" t="s">
        <v>3677</v>
      </c>
      <c r="J308" s="882" t="s">
        <v>2957</v>
      </c>
      <c r="K308" s="880" t="s">
        <v>3889</v>
      </c>
      <c r="L308" s="881" t="s">
        <v>3068</v>
      </c>
      <c r="M308" s="2286" t="s">
        <v>184</v>
      </c>
      <c r="N308" s="2286" t="s">
        <v>2950</v>
      </c>
      <c r="O308" s="2285" t="s">
        <v>3890</v>
      </c>
      <c r="P308" s="447" t="s">
        <v>3891</v>
      </c>
      <c r="Q308" s="200"/>
      <c r="R308" s="122"/>
      <c r="S308" s="290"/>
      <c r="T308" s="399" t="s">
        <v>3892</v>
      </c>
      <c r="U308" s="399" t="s">
        <v>2252</v>
      </c>
      <c r="W308" s="326" t="s">
        <v>2257</v>
      </c>
      <c r="X308" s="326" t="s">
        <v>3073</v>
      </c>
      <c r="AA308" s="12"/>
      <c r="AB308" s="12"/>
      <c r="AC308" s="808"/>
      <c r="AD308" s="407"/>
    </row>
    <row r="309" spans="6:30" ht="10.5" customHeight="1">
      <c r="F309" s="448"/>
      <c r="G309" s="878" t="s">
        <v>3735</v>
      </c>
      <c r="H309" s="878" t="s">
        <v>3098</v>
      </c>
      <c r="I309" s="882" t="s">
        <v>3681</v>
      </c>
      <c r="J309" s="882" t="s">
        <v>2957</v>
      </c>
      <c r="K309" s="880" t="s">
        <v>3893</v>
      </c>
      <c r="L309" s="881" t="s">
        <v>3068</v>
      </c>
      <c r="M309" s="2286" t="s">
        <v>184</v>
      </c>
      <c r="N309" s="2286" t="s">
        <v>2946</v>
      </c>
      <c r="O309" s="2285" t="s">
        <v>3894</v>
      </c>
      <c r="P309" s="447" t="s">
        <v>3895</v>
      </c>
      <c r="Q309" s="200"/>
      <c r="R309" s="122"/>
      <c r="S309" s="290"/>
      <c r="T309" s="399" t="s">
        <v>3896</v>
      </c>
      <c r="U309" s="399" t="s">
        <v>3148</v>
      </c>
      <c r="W309" s="326" t="s">
        <v>2258</v>
      </c>
      <c r="X309" s="326" t="s">
        <v>3073</v>
      </c>
      <c r="AA309" s="12"/>
      <c r="AB309" s="12"/>
      <c r="AC309" s="808"/>
      <c r="AD309" s="407"/>
    </row>
    <row r="310" spans="6:30" ht="10.5" customHeight="1">
      <c r="F310" s="448"/>
      <c r="G310" s="878" t="s">
        <v>3754</v>
      </c>
      <c r="H310" s="878" t="s">
        <v>3098</v>
      </c>
      <c r="I310" s="879" t="s">
        <v>2219</v>
      </c>
      <c r="J310" s="882" t="s">
        <v>2944</v>
      </c>
      <c r="K310" s="880" t="s">
        <v>3897</v>
      </c>
      <c r="L310" s="881" t="s">
        <v>3090</v>
      </c>
      <c r="M310" s="2286" t="s">
        <v>2956</v>
      </c>
      <c r="N310" s="2286" t="s">
        <v>2948</v>
      </c>
      <c r="O310" s="2285" t="s">
        <v>3898</v>
      </c>
      <c r="P310" s="447" t="s">
        <v>3899</v>
      </c>
      <c r="Q310" s="200"/>
      <c r="R310" s="122"/>
      <c r="S310" s="290"/>
      <c r="T310" s="194" t="s">
        <v>3452</v>
      </c>
      <c r="U310" s="194" t="s">
        <v>3632</v>
      </c>
      <c r="W310" s="326" t="s">
        <v>3900</v>
      </c>
      <c r="X310" s="326" t="s">
        <v>3073</v>
      </c>
      <c r="AA310" s="12"/>
      <c r="AB310" s="12"/>
      <c r="AC310" s="808"/>
      <c r="AD310" s="407"/>
    </row>
    <row r="311" spans="6:30" ht="10.5" customHeight="1">
      <c r="F311" s="448"/>
      <c r="G311" s="878" t="s">
        <v>3072</v>
      </c>
      <c r="H311" s="878" t="s">
        <v>3065</v>
      </c>
      <c r="I311" s="882" t="s">
        <v>3686</v>
      </c>
      <c r="J311" s="879" t="s">
        <v>2957</v>
      </c>
      <c r="K311" s="880" t="s">
        <v>3901</v>
      </c>
      <c r="L311" s="881" t="s">
        <v>3068</v>
      </c>
      <c r="M311" s="2286" t="s">
        <v>184</v>
      </c>
      <c r="N311" s="2286" t="s">
        <v>2180</v>
      </c>
      <c r="O311" s="2285" t="s">
        <v>3902</v>
      </c>
      <c r="P311" s="447" t="s">
        <v>3903</v>
      </c>
      <c r="Q311" s="200"/>
      <c r="R311" s="122"/>
      <c r="S311" s="290"/>
      <c r="T311" s="399" t="s">
        <v>3904</v>
      </c>
      <c r="U311" s="399" t="s">
        <v>332</v>
      </c>
      <c r="W311" s="326" t="s">
        <v>2259</v>
      </c>
      <c r="X311" s="326" t="s">
        <v>3073</v>
      </c>
      <c r="AA311" s="12"/>
      <c r="AB311" s="12"/>
      <c r="AC311" s="407"/>
      <c r="AD311" s="407"/>
    </row>
    <row r="312" spans="6:30" ht="10.5" customHeight="1">
      <c r="F312" s="448"/>
      <c r="G312" s="878" t="s">
        <v>3905</v>
      </c>
      <c r="H312" s="878" t="s">
        <v>3098</v>
      </c>
      <c r="I312" s="882" t="s">
        <v>3689</v>
      </c>
      <c r="J312" s="882" t="s">
        <v>2957</v>
      </c>
      <c r="K312" s="880" t="s">
        <v>3906</v>
      </c>
      <c r="L312" s="881" t="s">
        <v>3068</v>
      </c>
      <c r="M312" s="2286" t="s">
        <v>184</v>
      </c>
      <c r="N312" s="2286" t="s">
        <v>2947</v>
      </c>
      <c r="O312" s="2285" t="s">
        <v>3907</v>
      </c>
      <c r="P312" s="447" t="s">
        <v>3908</v>
      </c>
      <c r="Q312" s="200"/>
      <c r="R312" s="122"/>
      <c r="S312" s="290"/>
      <c r="T312" s="399" t="s">
        <v>3909</v>
      </c>
      <c r="U312" s="399" t="s">
        <v>3875</v>
      </c>
      <c r="W312" s="326" t="s">
        <v>2260</v>
      </c>
      <c r="X312" s="326" t="s">
        <v>3073</v>
      </c>
      <c r="AA312" s="12"/>
      <c r="AB312" s="12"/>
      <c r="AC312" s="808"/>
      <c r="AD312" s="407"/>
    </row>
    <row r="313" spans="6:30" ht="10.5" customHeight="1">
      <c r="F313" s="448"/>
      <c r="G313" s="878" t="s">
        <v>3148</v>
      </c>
      <c r="H313" s="878" t="s">
        <v>3098</v>
      </c>
      <c r="I313" s="882" t="s">
        <v>3694</v>
      </c>
      <c r="J313" s="882" t="s">
        <v>2957</v>
      </c>
      <c r="K313" s="880" t="s">
        <v>3910</v>
      </c>
      <c r="L313" s="881" t="s">
        <v>3068</v>
      </c>
      <c r="M313" s="2286" t="s">
        <v>184</v>
      </c>
      <c r="N313" s="2286" t="s">
        <v>2950</v>
      </c>
      <c r="O313" s="2285" t="s">
        <v>3911</v>
      </c>
      <c r="P313" s="447" t="s">
        <v>3912</v>
      </c>
      <c r="Q313" s="200"/>
      <c r="R313" s="122"/>
      <c r="S313" s="290"/>
      <c r="T313" s="399" t="s">
        <v>3314</v>
      </c>
      <c r="U313" s="399" t="s">
        <v>3492</v>
      </c>
      <c r="W313" s="326" t="s">
        <v>3913</v>
      </c>
      <c r="X313" s="326" t="s">
        <v>3073</v>
      </c>
      <c r="AA313" s="12"/>
      <c r="AB313" s="12"/>
      <c r="AC313" s="808"/>
      <c r="AD313" s="407"/>
    </row>
    <row r="314" spans="6:30" ht="10.5" customHeight="1">
      <c r="F314" s="238"/>
      <c r="G314" s="878" t="s">
        <v>3914</v>
      </c>
      <c r="H314" s="878" t="s">
        <v>3065</v>
      </c>
      <c r="I314" s="882" t="s">
        <v>2180</v>
      </c>
      <c r="J314" s="882" t="s">
        <v>2944</v>
      </c>
      <c r="K314" s="880" t="s">
        <v>3089</v>
      </c>
      <c r="L314" s="881" t="s">
        <v>3090</v>
      </c>
      <c r="M314" s="2284" t="s">
        <v>184</v>
      </c>
      <c r="N314" s="2286" t="s">
        <v>2180</v>
      </c>
      <c r="O314" s="2285" t="s">
        <v>3915</v>
      </c>
      <c r="P314" s="447" t="s">
        <v>3916</v>
      </c>
      <c r="Q314" s="200"/>
      <c r="R314" s="122"/>
      <c r="S314" s="290"/>
      <c r="T314" s="399" t="s">
        <v>3462</v>
      </c>
      <c r="U314" s="399" t="s">
        <v>3314</v>
      </c>
      <c r="W314" s="326" t="s">
        <v>3917</v>
      </c>
      <c r="X314" s="326" t="s">
        <v>3073</v>
      </c>
      <c r="AA314" s="12"/>
      <c r="AB314" s="12"/>
      <c r="AC314" s="808"/>
      <c r="AD314" s="407"/>
    </row>
    <row r="315" spans="6:30" ht="10.5" customHeight="1">
      <c r="F315" s="238"/>
      <c r="G315" s="221"/>
      <c r="H315" s="221"/>
      <c r="I315" s="221"/>
      <c r="J315" s="282"/>
      <c r="K315" s="221"/>
      <c r="L315" s="221"/>
      <c r="M315" s="272"/>
      <c r="N315" s="272"/>
      <c r="O315" s="272"/>
      <c r="P315" s="447" t="s">
        <v>3918</v>
      </c>
      <c r="Q315" s="200"/>
      <c r="R315" s="122"/>
      <c r="S315" s="290"/>
      <c r="T315" s="399" t="s">
        <v>3919</v>
      </c>
      <c r="U315" s="399" t="s">
        <v>3183</v>
      </c>
      <c r="W315" s="326" t="s">
        <v>3920</v>
      </c>
      <c r="X315" s="326" t="s">
        <v>3073</v>
      </c>
      <c r="AA315" s="12"/>
      <c r="AB315" s="12"/>
      <c r="AC315" s="808"/>
      <c r="AD315" s="407"/>
    </row>
    <row r="316" spans="6:30" ht="10.5" customHeight="1">
      <c r="F316" s="238"/>
      <c r="G316" s="221"/>
      <c r="H316" s="221"/>
      <c r="I316" s="221"/>
      <c r="J316" s="221"/>
      <c r="K316" s="221"/>
      <c r="L316" s="221"/>
      <c r="M316" s="221"/>
      <c r="N316" s="272"/>
      <c r="O316" s="272"/>
      <c r="P316" s="447" t="s">
        <v>3921</v>
      </c>
      <c r="Q316" s="200"/>
      <c r="R316" s="122"/>
      <c r="S316" s="290"/>
      <c r="T316" s="194" t="s">
        <v>3922</v>
      </c>
      <c r="U316" s="194" t="s">
        <v>3626</v>
      </c>
      <c r="W316" s="326" t="s">
        <v>3923</v>
      </c>
      <c r="X316" s="326" t="s">
        <v>3073</v>
      </c>
      <c r="AA316" s="12"/>
      <c r="AB316" s="12"/>
      <c r="AC316" s="808"/>
      <c r="AD316" s="407"/>
    </row>
    <row r="317" spans="6:30" ht="10.5" customHeight="1">
      <c r="F317" s="238"/>
      <c r="G317" s="221"/>
      <c r="H317" s="221"/>
      <c r="I317" s="221"/>
      <c r="J317" s="221"/>
      <c r="K317" s="221"/>
      <c r="L317" s="221"/>
      <c r="M317" s="221"/>
      <c r="N317" s="221"/>
      <c r="O317" s="221"/>
      <c r="P317" s="447" t="s">
        <v>3924</v>
      </c>
      <c r="Q317" s="200"/>
      <c r="R317" s="122"/>
      <c r="S317" s="290"/>
      <c r="T317" s="399" t="s">
        <v>3257</v>
      </c>
      <c r="U317" s="399" t="s">
        <v>276</v>
      </c>
      <c r="W317" s="326" t="s">
        <v>3925</v>
      </c>
      <c r="X317" s="326" t="s">
        <v>3073</v>
      </c>
      <c r="AA317" s="12"/>
      <c r="AB317" s="12"/>
      <c r="AC317" s="407"/>
      <c r="AD317" s="407"/>
    </row>
    <row r="318" spans="6:30" ht="10.5" customHeight="1">
      <c r="F318" s="238"/>
      <c r="G318" s="221"/>
      <c r="H318" s="221"/>
      <c r="I318" s="221"/>
      <c r="J318" s="221"/>
      <c r="K318" s="221"/>
      <c r="L318" s="221"/>
      <c r="M318" s="221"/>
      <c r="N318" s="221"/>
      <c r="O318" s="221"/>
      <c r="P318" s="447" t="s">
        <v>3926</v>
      </c>
      <c r="Q318" s="200"/>
      <c r="R318" s="122"/>
      <c r="S318" s="290"/>
      <c r="T318" s="399" t="s">
        <v>288</v>
      </c>
      <c r="U318" s="399" t="s">
        <v>289</v>
      </c>
      <c r="W318" s="326" t="s">
        <v>3927</v>
      </c>
      <c r="X318" s="326" t="s">
        <v>3073</v>
      </c>
      <c r="AA318" s="12"/>
      <c r="AB318" s="12"/>
      <c r="AC318" s="808"/>
      <c r="AD318" s="407"/>
    </row>
    <row r="319" spans="6:30" ht="10.5" customHeight="1">
      <c r="F319" s="238"/>
      <c r="G319" s="221"/>
      <c r="H319" s="221"/>
      <c r="I319" s="221"/>
      <c r="J319" s="221"/>
      <c r="K319" s="221"/>
      <c r="L319" s="221"/>
      <c r="M319" s="221"/>
      <c r="N319" s="221"/>
      <c r="O319" s="221"/>
      <c r="P319" s="447" t="s">
        <v>3928</v>
      </c>
      <c r="Q319" s="200"/>
      <c r="R319" s="122"/>
      <c r="S319" s="290"/>
      <c r="T319" s="399" t="s">
        <v>3929</v>
      </c>
      <c r="U319" s="399" t="s">
        <v>3875</v>
      </c>
      <c r="W319" s="326" t="s">
        <v>2262</v>
      </c>
      <c r="X319" s="326" t="s">
        <v>3073</v>
      </c>
      <c r="AA319" s="12"/>
      <c r="AB319" s="12"/>
      <c r="AC319" s="808"/>
      <c r="AD319" s="407"/>
    </row>
    <row r="320" spans="6:30" ht="10.5" customHeight="1">
      <c r="F320" s="238"/>
      <c r="G320" s="221"/>
      <c r="H320" s="221"/>
      <c r="I320" s="221"/>
      <c r="J320" s="221"/>
      <c r="K320" s="221"/>
      <c r="L320" s="221"/>
      <c r="M320" s="221"/>
      <c r="N320" s="221"/>
      <c r="O320" s="221"/>
      <c r="P320" s="447" t="s">
        <v>3930</v>
      </c>
      <c r="Q320" s="200"/>
      <c r="R320" s="122"/>
      <c r="S320" s="290"/>
      <c r="T320" s="399" t="s">
        <v>3931</v>
      </c>
      <c r="U320" s="399" t="s">
        <v>344</v>
      </c>
      <c r="W320" s="326" t="s">
        <v>2263</v>
      </c>
      <c r="X320" s="326" t="s">
        <v>3073</v>
      </c>
      <c r="AA320" s="12"/>
      <c r="AB320" s="12"/>
      <c r="AC320" s="808"/>
      <c r="AD320" s="407"/>
    </row>
    <row r="321" spans="6:30" ht="10.5" customHeight="1">
      <c r="F321" s="238"/>
      <c r="G321" s="221"/>
      <c r="H321" s="221"/>
      <c r="I321" s="221"/>
      <c r="J321" s="221"/>
      <c r="K321" s="221"/>
      <c r="L321" s="221"/>
      <c r="M321" s="221"/>
      <c r="N321" s="221"/>
      <c r="O321" s="221"/>
      <c r="P321" s="447" t="s">
        <v>3932</v>
      </c>
      <c r="Q321" s="200"/>
      <c r="R321" s="122"/>
      <c r="S321" s="290"/>
      <c r="T321" s="399" t="s">
        <v>3933</v>
      </c>
      <c r="U321" s="399" t="s">
        <v>3531</v>
      </c>
      <c r="W321" s="326" t="s">
        <v>2264</v>
      </c>
      <c r="X321" s="326" t="s">
        <v>3073</v>
      </c>
      <c r="AA321" s="12"/>
      <c r="AB321" s="12"/>
      <c r="AC321" s="808"/>
      <c r="AD321" s="407"/>
    </row>
    <row r="322" spans="6:30" ht="10.5" customHeight="1">
      <c r="F322" s="238"/>
      <c r="G322" s="221"/>
      <c r="H322" s="221"/>
      <c r="I322" s="221"/>
      <c r="J322" s="221"/>
      <c r="K322" s="221"/>
      <c r="L322" s="221"/>
      <c r="M322" s="221"/>
      <c r="N322" s="221"/>
      <c r="O322" s="221"/>
      <c r="P322" s="447" t="s">
        <v>3934</v>
      </c>
      <c r="Q322" s="200"/>
      <c r="R322" s="122"/>
      <c r="S322" s="290"/>
      <c r="T322" s="399" t="s">
        <v>3935</v>
      </c>
      <c r="U322" s="399" t="s">
        <v>3374</v>
      </c>
      <c r="W322" s="326" t="s">
        <v>3936</v>
      </c>
      <c r="X322" s="326" t="s">
        <v>3073</v>
      </c>
      <c r="AA322" s="12"/>
      <c r="AB322" s="12"/>
      <c r="AC322" s="808"/>
      <c r="AD322" s="407"/>
    </row>
    <row r="323" spans="6:30" ht="10.5" customHeight="1">
      <c r="F323" s="238"/>
      <c r="G323" s="221"/>
      <c r="H323" s="221"/>
      <c r="I323" s="221"/>
      <c r="J323" s="221"/>
      <c r="K323" s="221"/>
      <c r="L323" s="221"/>
      <c r="M323" s="221"/>
      <c r="N323" s="221"/>
      <c r="O323" s="221"/>
      <c r="P323" s="447" t="s">
        <v>3937</v>
      </c>
      <c r="Q323" s="200"/>
      <c r="R323" s="122"/>
      <c r="S323" s="290"/>
      <c r="T323" s="194" t="s">
        <v>3938</v>
      </c>
      <c r="U323" s="194" t="s">
        <v>3564</v>
      </c>
      <c r="W323" s="326" t="s">
        <v>3939</v>
      </c>
      <c r="X323" s="326" t="s">
        <v>3073</v>
      </c>
      <c r="AA323" s="12"/>
      <c r="AB323" s="12"/>
      <c r="AC323" s="808"/>
      <c r="AD323" s="407"/>
    </row>
    <row r="324" spans="6:30" ht="10.5" customHeight="1">
      <c r="F324" s="238"/>
      <c r="G324" s="221"/>
      <c r="H324" s="221"/>
      <c r="I324" s="221"/>
      <c r="J324" s="221"/>
      <c r="K324" s="221"/>
      <c r="L324" s="221"/>
      <c r="M324" s="221"/>
      <c r="N324" s="221"/>
      <c r="O324" s="221"/>
      <c r="P324" s="447" t="s">
        <v>3940</v>
      </c>
      <c r="Q324" s="200"/>
      <c r="R324" s="122"/>
      <c r="S324" s="290"/>
      <c r="T324" s="399" t="s">
        <v>3941</v>
      </c>
      <c r="U324" s="399" t="s">
        <v>3726</v>
      </c>
      <c r="W324" s="326" t="s">
        <v>3942</v>
      </c>
      <c r="X324" s="326" t="s">
        <v>3073</v>
      </c>
      <c r="AA324" s="12"/>
      <c r="AB324" s="12"/>
      <c r="AC324" s="407"/>
      <c r="AD324" s="407"/>
    </row>
    <row r="325" spans="6:30" ht="10.5" customHeight="1">
      <c r="F325" s="238"/>
      <c r="G325" s="221"/>
      <c r="H325" s="221"/>
      <c r="I325" s="221"/>
      <c r="J325" s="221"/>
      <c r="K325" s="221"/>
      <c r="L325" s="221"/>
      <c r="M325" s="221"/>
      <c r="N325" s="221"/>
      <c r="O325" s="221"/>
      <c r="P325" s="447" t="s">
        <v>3943</v>
      </c>
      <c r="Q325" s="200"/>
      <c r="R325" s="122"/>
      <c r="S325" s="290"/>
      <c r="T325" s="399" t="s">
        <v>290</v>
      </c>
      <c r="U325" s="399" t="s">
        <v>291</v>
      </c>
      <c r="W325" s="326" t="s">
        <v>306</v>
      </c>
      <c r="X325" s="326" t="s">
        <v>3073</v>
      </c>
      <c r="AA325" s="12"/>
      <c r="AB325" s="12"/>
      <c r="AC325" s="808"/>
      <c r="AD325" s="407"/>
    </row>
    <row r="326" spans="6:30" ht="10.5" customHeight="1">
      <c r="F326" s="238"/>
      <c r="G326" s="221"/>
      <c r="H326" s="221"/>
      <c r="I326" s="221"/>
      <c r="J326" s="221"/>
      <c r="K326" s="221"/>
      <c r="L326" s="221"/>
      <c r="M326" s="221"/>
      <c r="N326" s="221"/>
      <c r="O326" s="221"/>
      <c r="P326" s="447" t="s">
        <v>3944</v>
      </c>
      <c r="Q326" s="200"/>
      <c r="R326" s="122"/>
      <c r="S326" s="290"/>
      <c r="T326" s="399" t="s">
        <v>3945</v>
      </c>
      <c r="U326" s="399" t="s">
        <v>2211</v>
      </c>
      <c r="W326" s="326" t="s">
        <v>3946</v>
      </c>
      <c r="X326" s="326" t="s">
        <v>3073</v>
      </c>
      <c r="AA326" s="12"/>
      <c r="AB326" s="12"/>
      <c r="AC326" s="808"/>
      <c r="AD326" s="407"/>
    </row>
    <row r="327" spans="6:30" ht="10.5" customHeight="1">
      <c r="F327" s="238"/>
      <c r="G327" s="221"/>
      <c r="H327" s="221"/>
      <c r="I327" s="221"/>
      <c r="J327" s="221"/>
      <c r="K327" s="221"/>
      <c r="L327" s="221"/>
      <c r="M327" s="221"/>
      <c r="N327" s="221"/>
      <c r="O327" s="221"/>
      <c r="P327" s="447" t="s">
        <v>3947</v>
      </c>
      <c r="Q327" s="200"/>
      <c r="R327" s="122"/>
      <c r="S327" s="290"/>
      <c r="T327" s="449" t="s">
        <v>3475</v>
      </c>
      <c r="U327" s="399" t="s">
        <v>3767</v>
      </c>
      <c r="W327" s="326" t="s">
        <v>3948</v>
      </c>
      <c r="X327" s="326" t="s">
        <v>3073</v>
      </c>
      <c r="AA327" s="12"/>
      <c r="AB327" s="12"/>
      <c r="AC327" s="808"/>
      <c r="AD327" s="407"/>
    </row>
    <row r="328" spans="6:30" ht="10.5" customHeight="1">
      <c r="F328" s="238"/>
      <c r="G328" s="221"/>
      <c r="H328" s="221"/>
      <c r="I328" s="221"/>
      <c r="J328" s="221"/>
      <c r="K328" s="221"/>
      <c r="L328" s="221"/>
      <c r="M328" s="221"/>
      <c r="N328" s="221"/>
      <c r="O328" s="221"/>
      <c r="P328" s="447" t="s">
        <v>3949</v>
      </c>
      <c r="Q328" s="200"/>
      <c r="R328" s="122"/>
      <c r="S328" s="290"/>
      <c r="T328" s="399" t="s">
        <v>3950</v>
      </c>
      <c r="U328" s="399" t="s">
        <v>3338</v>
      </c>
      <c r="W328" s="326" t="s">
        <v>3951</v>
      </c>
      <c r="X328" s="326" t="s">
        <v>3073</v>
      </c>
      <c r="AA328" s="12"/>
      <c r="AB328" s="12"/>
      <c r="AC328" s="809"/>
      <c r="AD328" s="407"/>
    </row>
    <row r="329" spans="6:30" ht="10.5" customHeight="1">
      <c r="F329" s="238"/>
      <c r="G329" s="221"/>
      <c r="H329" s="221"/>
      <c r="I329" s="221"/>
      <c r="J329" s="221"/>
      <c r="K329" s="221"/>
      <c r="L329" s="221"/>
      <c r="M329" s="221"/>
      <c r="N329" s="221"/>
      <c r="O329" s="221"/>
      <c r="P329" s="447" t="s">
        <v>3952</v>
      </c>
      <c r="Q329" s="200"/>
      <c r="R329" s="122"/>
      <c r="S329" s="290"/>
      <c r="T329" s="399" t="s">
        <v>3953</v>
      </c>
      <c r="U329" s="399" t="s">
        <v>276</v>
      </c>
      <c r="W329" s="326" t="s">
        <v>3954</v>
      </c>
      <c r="X329" s="326" t="s">
        <v>3073</v>
      </c>
      <c r="AA329" s="12"/>
      <c r="AB329" s="12"/>
      <c r="AC329" s="808"/>
      <c r="AD329" s="407"/>
    </row>
    <row r="330" spans="6:30" ht="10.5" customHeight="1">
      <c r="F330" s="238"/>
      <c r="G330" s="221"/>
      <c r="H330" s="221"/>
      <c r="I330" s="221"/>
      <c r="J330" s="221"/>
      <c r="K330" s="221"/>
      <c r="L330" s="221"/>
      <c r="M330" s="221"/>
      <c r="N330" s="221"/>
      <c r="O330" s="221"/>
      <c r="P330" s="447" t="s">
        <v>3955</v>
      </c>
      <c r="Q330" s="200"/>
      <c r="R330" s="122"/>
      <c r="S330" s="290"/>
      <c r="T330" s="399" t="s">
        <v>326</v>
      </c>
      <c r="U330" s="399" t="s">
        <v>3176</v>
      </c>
      <c r="W330" s="326" t="s">
        <v>2266</v>
      </c>
      <c r="X330" s="326" t="s">
        <v>3073</v>
      </c>
      <c r="AA330" s="12"/>
      <c r="AB330" s="12"/>
      <c r="AC330" s="808"/>
      <c r="AD330" s="407"/>
    </row>
    <row r="331" spans="6:30" ht="10.5" customHeight="1">
      <c r="F331" s="238"/>
      <c r="G331" s="221"/>
      <c r="H331" s="221"/>
      <c r="I331" s="221"/>
      <c r="J331" s="221"/>
      <c r="K331" s="221"/>
      <c r="L331" s="221"/>
      <c r="M331" s="221"/>
      <c r="N331" s="221"/>
      <c r="O331" s="221"/>
      <c r="P331" s="447" t="s">
        <v>3956</v>
      </c>
      <c r="Q331" s="200"/>
      <c r="R331" s="122"/>
      <c r="S331" s="290"/>
      <c r="T331" s="194" t="s">
        <v>2222</v>
      </c>
      <c r="U331" s="194" t="s">
        <v>326</v>
      </c>
      <c r="W331" s="326" t="s">
        <v>3957</v>
      </c>
      <c r="X331" s="326" t="s">
        <v>3073</v>
      </c>
      <c r="AA331" s="12"/>
      <c r="AB331" s="12"/>
      <c r="AC331" s="808"/>
      <c r="AD331" s="407"/>
    </row>
    <row r="332" spans="6:30" ht="10.5" customHeight="1">
      <c r="F332" s="238"/>
      <c r="G332" s="221"/>
      <c r="H332" s="221"/>
      <c r="I332" s="221"/>
      <c r="J332" s="221"/>
      <c r="K332" s="221"/>
      <c r="L332" s="221"/>
      <c r="M332" s="221"/>
      <c r="N332" s="221"/>
      <c r="O332" s="221"/>
      <c r="P332" s="447" t="s">
        <v>3958</v>
      </c>
      <c r="Q332" s="200"/>
      <c r="R332" s="122"/>
      <c r="S332" s="290"/>
      <c r="T332" s="194" t="s">
        <v>292</v>
      </c>
      <c r="U332" s="194" t="s">
        <v>276</v>
      </c>
      <c r="W332" s="326" t="s">
        <v>3959</v>
      </c>
      <c r="X332" s="326" t="s">
        <v>3073</v>
      </c>
      <c r="AA332" s="12"/>
      <c r="AB332" s="12"/>
      <c r="AC332" s="407"/>
      <c r="AD332" s="407"/>
    </row>
    <row r="333" spans="6:30" ht="10.5" customHeight="1">
      <c r="F333" s="238"/>
      <c r="G333" s="221"/>
      <c r="H333" s="221"/>
      <c r="I333" s="221"/>
      <c r="J333" s="221"/>
      <c r="K333" s="221"/>
      <c r="L333" s="221"/>
      <c r="M333" s="221"/>
      <c r="N333" s="221"/>
      <c r="O333" s="221"/>
      <c r="P333" s="447" t="s">
        <v>3960</v>
      </c>
      <c r="Q333" s="200"/>
      <c r="R333" s="122"/>
      <c r="S333" s="290"/>
      <c r="T333" s="399" t="s">
        <v>3961</v>
      </c>
      <c r="U333" s="399" t="s">
        <v>3221</v>
      </c>
      <c r="W333" s="326" t="s">
        <v>3962</v>
      </c>
      <c r="X333" s="326" t="s">
        <v>3073</v>
      </c>
      <c r="AA333" s="12"/>
      <c r="AB333" s="12"/>
      <c r="AC333" s="407"/>
      <c r="AD333" s="407"/>
    </row>
    <row r="334" spans="6:30" ht="10.5" customHeight="1">
      <c r="F334" s="238"/>
      <c r="G334" s="221"/>
      <c r="H334" s="221"/>
      <c r="I334" s="221"/>
      <c r="J334" s="221"/>
      <c r="K334" s="221"/>
      <c r="L334" s="221"/>
      <c r="M334" s="221"/>
      <c r="N334" s="221"/>
      <c r="O334" s="221"/>
      <c r="P334" s="447" t="s">
        <v>3963</v>
      </c>
      <c r="Q334" s="200"/>
      <c r="R334" s="122"/>
      <c r="S334" s="290"/>
      <c r="T334" s="399" t="s">
        <v>2224</v>
      </c>
      <c r="U334" s="399" t="s">
        <v>3564</v>
      </c>
      <c r="W334" s="326" t="s">
        <v>2267</v>
      </c>
      <c r="X334" s="326" t="s">
        <v>3073</v>
      </c>
      <c r="AA334" s="12"/>
      <c r="AB334" s="12"/>
      <c r="AC334" s="808"/>
      <c r="AD334" s="407"/>
    </row>
    <row r="335" spans="6:30" ht="10.5" customHeight="1">
      <c r="F335" s="238"/>
      <c r="G335" s="221"/>
      <c r="H335" s="221"/>
      <c r="I335" s="221"/>
      <c r="J335" s="221"/>
      <c r="K335" s="221"/>
      <c r="L335" s="221"/>
      <c r="M335" s="221"/>
      <c r="N335" s="221"/>
      <c r="O335" s="221"/>
      <c r="P335" s="447" t="s">
        <v>3964</v>
      </c>
      <c r="Q335" s="200"/>
      <c r="R335" s="122"/>
      <c r="S335" s="290"/>
      <c r="T335" s="399" t="s">
        <v>3965</v>
      </c>
      <c r="U335" s="399" t="s">
        <v>3564</v>
      </c>
      <c r="W335" s="326" t="s">
        <v>2268</v>
      </c>
      <c r="X335" s="326" t="s">
        <v>3073</v>
      </c>
      <c r="AA335" s="12"/>
      <c r="AB335" s="12"/>
      <c r="AC335" s="808"/>
      <c r="AD335" s="407"/>
    </row>
    <row r="336" spans="6:30" ht="10.5" customHeight="1">
      <c r="F336" s="238"/>
      <c r="G336" s="221"/>
      <c r="H336" s="221"/>
      <c r="I336" s="221"/>
      <c r="J336" s="221"/>
      <c r="K336" s="221"/>
      <c r="L336" s="221"/>
      <c r="M336" s="221"/>
      <c r="N336" s="221"/>
      <c r="O336" s="221"/>
      <c r="P336" s="447" t="s">
        <v>3966</v>
      </c>
      <c r="Q336" s="200"/>
      <c r="R336" s="122"/>
      <c r="S336" s="290"/>
      <c r="T336" s="399" t="s">
        <v>3498</v>
      </c>
      <c r="U336" s="399" t="s">
        <v>3347</v>
      </c>
      <c r="W336" s="326" t="s">
        <v>3967</v>
      </c>
      <c r="X336" s="326" t="s">
        <v>3073</v>
      </c>
      <c r="AA336" s="12"/>
      <c r="AB336" s="12"/>
      <c r="AC336" s="808"/>
      <c r="AD336" s="407"/>
    </row>
    <row r="337" spans="6:30" ht="10.5" customHeight="1">
      <c r="F337" s="238"/>
      <c r="G337" s="221"/>
      <c r="H337" s="221"/>
      <c r="I337" s="221"/>
      <c r="J337" s="221"/>
      <c r="K337" s="221"/>
      <c r="L337" s="221"/>
      <c r="M337" s="221"/>
      <c r="N337" s="221"/>
      <c r="O337" s="221"/>
      <c r="P337" s="447" t="s">
        <v>3968</v>
      </c>
      <c r="Q337" s="200"/>
      <c r="R337" s="122"/>
      <c r="S337" s="290"/>
      <c r="T337" s="399" t="s">
        <v>3969</v>
      </c>
      <c r="U337" s="399" t="s">
        <v>276</v>
      </c>
      <c r="W337" s="326" t="s">
        <v>2269</v>
      </c>
      <c r="X337" s="326" t="s">
        <v>3073</v>
      </c>
      <c r="AA337" s="12"/>
      <c r="AB337" s="12"/>
      <c r="AC337" s="808"/>
      <c r="AD337" s="407"/>
    </row>
    <row r="338" spans="6:30" ht="10.5" customHeight="1">
      <c r="F338" s="238"/>
      <c r="G338" s="221"/>
      <c r="H338" s="221"/>
      <c r="I338" s="221"/>
      <c r="J338" s="221"/>
      <c r="K338" s="221"/>
      <c r="L338" s="221"/>
      <c r="M338" s="221"/>
      <c r="N338" s="221"/>
      <c r="O338" s="221"/>
      <c r="P338" s="447" t="s">
        <v>3970</v>
      </c>
      <c r="Q338" s="200"/>
      <c r="R338" s="122"/>
      <c r="S338" s="290"/>
      <c r="T338" s="399" t="s">
        <v>3971</v>
      </c>
      <c r="U338" s="399" t="s">
        <v>318</v>
      </c>
      <c r="W338" s="326" t="s">
        <v>3972</v>
      </c>
      <c r="X338" s="326" t="s">
        <v>3073</v>
      </c>
      <c r="AA338" s="12"/>
      <c r="AB338" s="12"/>
      <c r="AC338" s="808"/>
      <c r="AD338" s="407"/>
    </row>
    <row r="339" spans="6:30" ht="10.5" customHeight="1">
      <c r="F339" s="238"/>
      <c r="G339" s="221"/>
      <c r="H339" s="221"/>
      <c r="I339" s="221"/>
      <c r="J339" s="221"/>
      <c r="K339" s="221"/>
      <c r="L339" s="221"/>
      <c r="M339" s="221"/>
      <c r="N339" s="221"/>
      <c r="O339" s="221"/>
      <c r="P339" s="447" t="s">
        <v>3973</v>
      </c>
      <c r="Q339" s="200"/>
      <c r="R339" s="122"/>
      <c r="S339" s="290"/>
      <c r="T339" s="399" t="s">
        <v>3974</v>
      </c>
      <c r="U339" s="399" t="s">
        <v>347</v>
      </c>
      <c r="W339" s="326" t="s">
        <v>3975</v>
      </c>
      <c r="X339" s="326" t="s">
        <v>3073</v>
      </c>
      <c r="AA339" s="12"/>
      <c r="AB339" s="12"/>
      <c r="AC339" s="808"/>
      <c r="AD339" s="407"/>
    </row>
    <row r="340" spans="6:30" ht="10.5" customHeight="1">
      <c r="F340" s="238"/>
      <c r="G340" s="221"/>
      <c r="H340" s="221"/>
      <c r="I340" s="221"/>
      <c r="J340" s="221"/>
      <c r="K340" s="221"/>
      <c r="L340" s="221"/>
      <c r="M340" s="221"/>
      <c r="N340" s="221"/>
      <c r="O340" s="221"/>
      <c r="P340" s="447" t="s">
        <v>3976</v>
      </c>
      <c r="Q340" s="200"/>
      <c r="R340" s="122"/>
      <c r="S340" s="290"/>
      <c r="T340" s="399" t="s">
        <v>3504</v>
      </c>
      <c r="U340" s="399" t="s">
        <v>3564</v>
      </c>
      <c r="W340" s="326" t="s">
        <v>3977</v>
      </c>
      <c r="X340" s="326" t="s">
        <v>3073</v>
      </c>
      <c r="AA340" s="12"/>
      <c r="AB340" s="12"/>
      <c r="AC340" s="808"/>
      <c r="AD340" s="407"/>
    </row>
    <row r="341" spans="6:30" ht="10.5" customHeight="1">
      <c r="F341" s="238"/>
      <c r="G341" s="221"/>
      <c r="H341" s="221"/>
      <c r="I341" s="221"/>
      <c r="J341" s="221"/>
      <c r="K341" s="221"/>
      <c r="L341" s="221"/>
      <c r="M341" s="221"/>
      <c r="N341" s="221"/>
      <c r="O341" s="221"/>
      <c r="P341" s="447" t="s">
        <v>3978</v>
      </c>
      <c r="Q341" s="200"/>
      <c r="R341" s="122"/>
      <c r="S341" s="290"/>
      <c r="T341" s="399" t="s">
        <v>3508</v>
      </c>
      <c r="U341" s="399" t="s">
        <v>3422</v>
      </c>
      <c r="W341" s="326" t="s">
        <v>3979</v>
      </c>
      <c r="X341" s="326" t="s">
        <v>3073</v>
      </c>
      <c r="AA341" s="12"/>
      <c r="AB341" s="12"/>
      <c r="AC341" s="808"/>
      <c r="AD341" s="407"/>
    </row>
    <row r="342" spans="6:30" ht="10.5" customHeight="1">
      <c r="F342" s="238"/>
      <c r="G342" s="221"/>
      <c r="H342" s="221"/>
      <c r="I342" s="221"/>
      <c r="J342" s="221"/>
      <c r="K342" s="221"/>
      <c r="L342" s="221"/>
      <c r="M342" s="221"/>
      <c r="N342" s="221"/>
      <c r="O342" s="221"/>
      <c r="P342" s="447" t="s">
        <v>3980</v>
      </c>
      <c r="Q342" s="200"/>
      <c r="R342" s="122"/>
      <c r="S342" s="290"/>
      <c r="T342" s="399" t="s">
        <v>293</v>
      </c>
      <c r="U342" s="399" t="s">
        <v>294</v>
      </c>
      <c r="W342" s="326" t="s">
        <v>2951</v>
      </c>
      <c r="X342" s="326" t="s">
        <v>3073</v>
      </c>
      <c r="AA342" s="12"/>
      <c r="AB342" s="12"/>
      <c r="AC342" s="808"/>
      <c r="AD342" s="407"/>
    </row>
    <row r="343" spans="6:30" ht="10.5" customHeight="1">
      <c r="F343" s="238"/>
      <c r="G343" s="221"/>
      <c r="H343" s="221"/>
      <c r="I343" s="221"/>
      <c r="J343" s="221"/>
      <c r="K343" s="221"/>
      <c r="L343" s="221"/>
      <c r="M343" s="221"/>
      <c r="N343" s="221"/>
      <c r="O343" s="221"/>
      <c r="P343" s="447" t="s">
        <v>3981</v>
      </c>
      <c r="Q343" s="200"/>
      <c r="R343" s="122"/>
      <c r="S343" s="290"/>
      <c r="T343" s="399" t="s">
        <v>295</v>
      </c>
      <c r="U343" s="399" t="s">
        <v>296</v>
      </c>
      <c r="W343" s="326" t="s">
        <v>354</v>
      </c>
      <c r="X343" s="326" t="s">
        <v>3073</v>
      </c>
      <c r="AA343" s="12"/>
      <c r="AB343" s="12"/>
      <c r="AC343" s="808"/>
      <c r="AD343" s="407"/>
    </row>
    <row r="344" spans="6:30" ht="10.5" customHeight="1">
      <c r="F344" s="238"/>
      <c r="G344" s="221"/>
      <c r="H344" s="221"/>
      <c r="I344" s="221"/>
      <c r="J344" s="221"/>
      <c r="K344" s="221"/>
      <c r="L344" s="221"/>
      <c r="M344" s="221"/>
      <c r="N344" s="221"/>
      <c r="O344" s="221"/>
      <c r="P344" s="447" t="s">
        <v>3982</v>
      </c>
      <c r="Q344" s="200"/>
      <c r="R344" s="122"/>
      <c r="S344" s="290"/>
      <c r="T344" s="399" t="s">
        <v>3515</v>
      </c>
      <c r="U344" s="399" t="s">
        <v>334</v>
      </c>
      <c r="W344" s="326" t="s">
        <v>3983</v>
      </c>
      <c r="X344" s="326" t="s">
        <v>3073</v>
      </c>
      <c r="AA344" s="12"/>
      <c r="AB344" s="12"/>
      <c r="AC344" s="808"/>
      <c r="AD344" s="407"/>
    </row>
    <row r="345" spans="6:30" ht="10.5" customHeight="1">
      <c r="F345" s="238"/>
      <c r="G345" s="221"/>
      <c r="H345" s="221"/>
      <c r="I345" s="221"/>
      <c r="J345" s="221"/>
      <c r="K345" s="221"/>
      <c r="L345" s="221"/>
      <c r="M345" s="221"/>
      <c r="N345" s="221"/>
      <c r="O345" s="221"/>
      <c r="P345" s="447" t="s">
        <v>3984</v>
      </c>
      <c r="Q345" s="200"/>
      <c r="R345" s="122"/>
      <c r="S345" s="290"/>
      <c r="T345" s="399" t="s">
        <v>3521</v>
      </c>
      <c r="U345" s="399" t="s">
        <v>3331</v>
      </c>
      <c r="W345" s="326" t="s">
        <v>3985</v>
      </c>
      <c r="X345" s="326" t="s">
        <v>3073</v>
      </c>
      <c r="AA345" s="12"/>
      <c r="AB345" s="12"/>
      <c r="AC345" s="808"/>
      <c r="AD345" s="407"/>
    </row>
    <row r="346" spans="6:30" ht="10.5" customHeight="1">
      <c r="F346" s="238"/>
      <c r="G346" s="221"/>
      <c r="H346" s="221"/>
      <c r="I346" s="221"/>
      <c r="J346" s="221"/>
      <c r="K346" s="221"/>
      <c r="L346" s="221"/>
      <c r="M346" s="221"/>
      <c r="N346" s="221"/>
      <c r="O346" s="221"/>
      <c r="P346" s="447" t="s">
        <v>3986</v>
      </c>
      <c r="Q346" s="200"/>
      <c r="R346" s="122"/>
      <c r="S346" s="290"/>
      <c r="T346" s="399" t="s">
        <v>2226</v>
      </c>
      <c r="U346" s="399" t="s">
        <v>3722</v>
      </c>
      <c r="W346" s="326" t="s">
        <v>3987</v>
      </c>
      <c r="X346" s="326" t="s">
        <v>3073</v>
      </c>
      <c r="AA346" s="12"/>
      <c r="AB346" s="12"/>
      <c r="AC346" s="808"/>
      <c r="AD346" s="407"/>
    </row>
    <row r="347" spans="6:30" ht="10.5" customHeight="1">
      <c r="F347" s="238"/>
      <c r="G347" s="221"/>
      <c r="H347" s="221"/>
      <c r="I347" s="221"/>
      <c r="J347" s="221"/>
      <c r="K347" s="221"/>
      <c r="L347" s="221"/>
      <c r="M347" s="221"/>
      <c r="N347" s="221"/>
      <c r="O347" s="221"/>
      <c r="P347" s="447" t="s">
        <v>3988</v>
      </c>
      <c r="Q347" s="200"/>
      <c r="R347" s="122"/>
      <c r="S347" s="290"/>
      <c r="T347" s="194" t="s">
        <v>3989</v>
      </c>
      <c r="U347" s="194" t="s">
        <v>3429</v>
      </c>
      <c r="W347" s="326" t="s">
        <v>3990</v>
      </c>
      <c r="X347" s="326" t="s">
        <v>3073</v>
      </c>
      <c r="AA347" s="12"/>
      <c r="AB347" s="12"/>
      <c r="AC347" s="808"/>
      <c r="AD347" s="407"/>
    </row>
    <row r="348" spans="6:30" ht="10.5" customHeight="1">
      <c r="F348" s="238"/>
      <c r="G348" s="221"/>
      <c r="H348" s="221"/>
      <c r="I348" s="221"/>
      <c r="J348" s="221"/>
      <c r="K348" s="221"/>
      <c r="L348" s="221"/>
      <c r="M348" s="221"/>
      <c r="N348" s="221"/>
      <c r="O348" s="221"/>
      <c r="P348" s="447" t="s">
        <v>3991</v>
      </c>
      <c r="Q348" s="200"/>
      <c r="R348" s="122"/>
      <c r="S348" s="290"/>
      <c r="T348" s="194" t="s">
        <v>3529</v>
      </c>
      <c r="U348" s="194" t="s">
        <v>2198</v>
      </c>
      <c r="W348" s="326" t="s">
        <v>3992</v>
      </c>
      <c r="X348" s="326" t="s">
        <v>3073</v>
      </c>
      <c r="AA348" s="12"/>
      <c r="AB348" s="12"/>
      <c r="AC348" s="407"/>
      <c r="AD348" s="407"/>
    </row>
    <row r="349" spans="6:30" ht="10.5" customHeight="1">
      <c r="F349" s="238"/>
      <c r="G349" s="221"/>
      <c r="H349" s="221"/>
      <c r="I349" s="221"/>
      <c r="J349" s="221"/>
      <c r="K349" s="221"/>
      <c r="L349" s="221"/>
      <c r="M349" s="221"/>
      <c r="N349" s="221"/>
      <c r="O349" s="221"/>
      <c r="P349" s="447" t="s">
        <v>3993</v>
      </c>
      <c r="Q349" s="200"/>
      <c r="R349" s="122"/>
      <c r="S349" s="290"/>
      <c r="T349" s="194" t="s">
        <v>3536</v>
      </c>
      <c r="U349" s="194" t="s">
        <v>3374</v>
      </c>
      <c r="W349" s="326" t="s">
        <v>3994</v>
      </c>
      <c r="X349" s="326" t="s">
        <v>3073</v>
      </c>
      <c r="AA349" s="12"/>
      <c r="AB349" s="12"/>
      <c r="AC349" s="407"/>
      <c r="AD349" s="407"/>
    </row>
    <row r="350" spans="6:30" ht="10.5" customHeight="1">
      <c r="F350" s="238"/>
      <c r="G350" s="221"/>
      <c r="H350" s="221"/>
      <c r="I350" s="221"/>
      <c r="J350" s="221"/>
      <c r="K350" s="221"/>
      <c r="L350" s="221"/>
      <c r="M350" s="221"/>
      <c r="N350" s="221"/>
      <c r="O350" s="221"/>
      <c r="P350" s="447" t="s">
        <v>3995</v>
      </c>
      <c r="Q350" s="200"/>
      <c r="R350" s="122"/>
      <c r="S350" s="290"/>
      <c r="T350" s="399" t="s">
        <v>3541</v>
      </c>
      <c r="U350" s="399" t="s">
        <v>3749</v>
      </c>
      <c r="W350" s="326" t="s">
        <v>3996</v>
      </c>
      <c r="X350" s="326" t="s">
        <v>3073</v>
      </c>
      <c r="AA350" s="12"/>
      <c r="AB350" s="12"/>
      <c r="AC350" s="407"/>
      <c r="AD350" s="407"/>
    </row>
    <row r="351" spans="6:30" ht="10.5" customHeight="1">
      <c r="F351" s="238"/>
      <c r="G351" s="221"/>
      <c r="H351" s="221"/>
      <c r="I351" s="221"/>
      <c r="J351" s="221"/>
      <c r="K351" s="221"/>
      <c r="L351" s="221"/>
      <c r="M351" s="221"/>
      <c r="N351" s="221"/>
      <c r="O351" s="221"/>
      <c r="P351" s="447" t="s">
        <v>3997</v>
      </c>
      <c r="Q351" s="200"/>
      <c r="R351" s="122"/>
      <c r="S351" s="290"/>
      <c r="T351" s="399" t="s">
        <v>3998</v>
      </c>
      <c r="U351" s="399" t="s">
        <v>2211</v>
      </c>
      <c r="W351" s="326" t="s">
        <v>3999</v>
      </c>
      <c r="X351" s="326" t="s">
        <v>3073</v>
      </c>
      <c r="AA351" s="12"/>
      <c r="AB351" s="12"/>
      <c r="AC351" s="808"/>
      <c r="AD351" s="407"/>
    </row>
    <row r="352" spans="6:30" ht="10.5" customHeight="1">
      <c r="F352" s="238"/>
      <c r="G352" s="221"/>
      <c r="H352" s="221"/>
      <c r="I352" s="221"/>
      <c r="J352" s="221"/>
      <c r="K352" s="221"/>
      <c r="L352" s="221"/>
      <c r="M352" s="221"/>
      <c r="N352" s="221"/>
      <c r="O352" s="221"/>
      <c r="P352" s="447" t="s">
        <v>4000</v>
      </c>
      <c r="Q352" s="200"/>
      <c r="R352" s="122"/>
      <c r="S352" s="290"/>
      <c r="T352" s="194" t="s">
        <v>3548</v>
      </c>
      <c r="U352" s="194" t="s">
        <v>3422</v>
      </c>
      <c r="W352" s="326" t="s">
        <v>4001</v>
      </c>
      <c r="X352" s="326" t="s">
        <v>3073</v>
      </c>
      <c r="AA352" s="12"/>
      <c r="AB352" s="12"/>
      <c r="AC352" s="808"/>
      <c r="AD352" s="407"/>
    </row>
    <row r="353" spans="6:30" ht="10.5" customHeight="1">
      <c r="F353" s="238"/>
      <c r="G353" s="221"/>
      <c r="H353" s="221"/>
      <c r="I353" s="221"/>
      <c r="J353" s="221"/>
      <c r="K353" s="221"/>
      <c r="L353" s="221"/>
      <c r="M353" s="221"/>
      <c r="N353" s="221"/>
      <c r="O353" s="221"/>
      <c r="P353" s="447" t="s">
        <v>4002</v>
      </c>
      <c r="Q353" s="200"/>
      <c r="R353" s="122"/>
      <c r="S353" s="290"/>
      <c r="T353" s="399" t="s">
        <v>4003</v>
      </c>
      <c r="U353" s="399" t="s">
        <v>3087</v>
      </c>
      <c r="W353" s="326" t="s">
        <v>4004</v>
      </c>
      <c r="X353" s="326" t="s">
        <v>3073</v>
      </c>
      <c r="AA353" s="12"/>
      <c r="AB353" s="12"/>
      <c r="AC353" s="407"/>
      <c r="AD353" s="407"/>
    </row>
    <row r="354" spans="6:30" ht="10.5" customHeight="1">
      <c r="F354" s="238"/>
      <c r="G354" s="221"/>
      <c r="H354" s="221"/>
      <c r="I354" s="221"/>
      <c r="J354" s="221"/>
      <c r="K354" s="221"/>
      <c r="L354" s="221"/>
      <c r="M354" s="221"/>
      <c r="N354" s="221"/>
      <c r="O354" s="221"/>
      <c r="P354" s="447" t="s">
        <v>4005</v>
      </c>
      <c r="Q354" s="200"/>
      <c r="R354" s="122"/>
      <c r="S354" s="290"/>
      <c r="T354" s="399" t="s">
        <v>4006</v>
      </c>
      <c r="U354" s="399" t="s">
        <v>3331</v>
      </c>
      <c r="W354" s="326" t="s">
        <v>4007</v>
      </c>
      <c r="X354" s="326" t="s">
        <v>3073</v>
      </c>
      <c r="AA354" s="12"/>
      <c r="AB354" s="12"/>
      <c r="AC354" s="808"/>
      <c r="AD354" s="407"/>
    </row>
    <row r="355" spans="6:30" ht="10.5" customHeight="1">
      <c r="F355" s="238"/>
      <c r="G355" s="221"/>
      <c r="H355" s="221"/>
      <c r="I355" s="221"/>
      <c r="J355" s="221"/>
      <c r="K355" s="221"/>
      <c r="L355" s="221"/>
      <c r="M355" s="221"/>
      <c r="N355" s="221"/>
      <c r="O355" s="221"/>
      <c r="P355" s="447" t="s">
        <v>4008</v>
      </c>
      <c r="Q355" s="200"/>
      <c r="R355" s="122"/>
      <c r="S355" s="290"/>
      <c r="T355" s="399" t="s">
        <v>4009</v>
      </c>
      <c r="U355" s="399" t="s">
        <v>3120</v>
      </c>
      <c r="W355" s="326" t="s">
        <v>4010</v>
      </c>
      <c r="X355" s="326" t="s">
        <v>3073</v>
      </c>
      <c r="AA355" s="12"/>
      <c r="AB355" s="12"/>
      <c r="AC355" s="808"/>
      <c r="AD355" s="407"/>
    </row>
    <row r="356" spans="6:30" ht="10.5" customHeight="1">
      <c r="F356" s="238"/>
      <c r="G356" s="221"/>
      <c r="H356" s="221"/>
      <c r="I356" s="221"/>
      <c r="J356" s="221"/>
      <c r="K356" s="221"/>
      <c r="L356" s="221"/>
      <c r="M356" s="221"/>
      <c r="N356" s="221"/>
      <c r="O356" s="221"/>
      <c r="P356" s="447" t="s">
        <v>4011</v>
      </c>
      <c r="Q356" s="200"/>
      <c r="R356" s="122"/>
      <c r="S356" s="290"/>
      <c r="T356" s="399" t="s">
        <v>4012</v>
      </c>
      <c r="U356" s="399" t="s">
        <v>3500</v>
      </c>
      <c r="W356" s="326" t="s">
        <v>2271</v>
      </c>
      <c r="X356" s="326" t="s">
        <v>3073</v>
      </c>
      <c r="AA356" s="12"/>
      <c r="AB356" s="12"/>
      <c r="AC356" s="808"/>
      <c r="AD356" s="407"/>
    </row>
    <row r="357" spans="6:30" ht="10.5" customHeight="1">
      <c r="F357" s="238"/>
      <c r="G357" s="221"/>
      <c r="H357" s="221"/>
      <c r="I357" s="221"/>
      <c r="J357" s="221"/>
      <c r="K357" s="221"/>
      <c r="L357" s="221"/>
      <c r="M357" s="221"/>
      <c r="N357" s="221"/>
      <c r="O357" s="221"/>
      <c r="P357" s="447" t="s">
        <v>4013</v>
      </c>
      <c r="Q357" s="200"/>
      <c r="R357" s="122"/>
      <c r="S357" s="290"/>
      <c r="T357" s="399" t="s">
        <v>4014</v>
      </c>
      <c r="U357" s="399" t="s">
        <v>3392</v>
      </c>
      <c r="W357" s="326" t="s">
        <v>4015</v>
      </c>
      <c r="X357" s="326" t="s">
        <v>3073</v>
      </c>
      <c r="AA357" s="12"/>
      <c r="AB357" s="12"/>
      <c r="AC357" s="808"/>
      <c r="AD357" s="407"/>
    </row>
    <row r="358" spans="6:30" ht="10.5" customHeight="1">
      <c r="F358" s="238"/>
      <c r="G358" s="221"/>
      <c r="H358" s="221"/>
      <c r="I358" s="221"/>
      <c r="J358" s="221"/>
      <c r="K358" s="221"/>
      <c r="L358" s="221"/>
      <c r="M358" s="221"/>
      <c r="N358" s="221"/>
      <c r="O358" s="221"/>
      <c r="P358" s="447" t="s">
        <v>4016</v>
      </c>
      <c r="Q358" s="200"/>
      <c r="R358" s="122"/>
      <c r="S358" s="290"/>
      <c r="T358" s="399" t="s">
        <v>4017</v>
      </c>
      <c r="U358" s="399" t="s">
        <v>3667</v>
      </c>
      <c r="W358" s="326" t="s">
        <v>4018</v>
      </c>
      <c r="X358" s="326" t="s">
        <v>3073</v>
      </c>
      <c r="AA358" s="12"/>
      <c r="AB358" s="12"/>
      <c r="AC358" s="808"/>
      <c r="AD358" s="407"/>
    </row>
    <row r="359" spans="6:30" ht="10.5" customHeight="1">
      <c r="F359" s="238"/>
      <c r="G359" s="221"/>
      <c r="H359" s="221"/>
      <c r="I359" s="221"/>
      <c r="J359" s="221"/>
      <c r="K359" s="221"/>
      <c r="L359" s="221"/>
      <c r="M359" s="221"/>
      <c r="N359" s="221"/>
      <c r="O359" s="221"/>
      <c r="P359" s="447" t="s">
        <v>4019</v>
      </c>
      <c r="Q359" s="200"/>
      <c r="R359" s="122"/>
      <c r="S359" s="290"/>
      <c r="T359" s="399" t="s">
        <v>4020</v>
      </c>
      <c r="U359" s="399" t="s">
        <v>3087</v>
      </c>
      <c r="W359" s="326" t="s">
        <v>4021</v>
      </c>
      <c r="X359" s="326" t="s">
        <v>3073</v>
      </c>
      <c r="AA359" s="12"/>
      <c r="AB359" s="12"/>
      <c r="AC359" s="808"/>
      <c r="AD359" s="407"/>
    </row>
    <row r="360" spans="6:30" ht="10.5" customHeight="1">
      <c r="F360" s="238"/>
      <c r="G360" s="221"/>
      <c r="H360" s="221"/>
      <c r="I360" s="221"/>
      <c r="J360" s="221"/>
      <c r="K360" s="221"/>
      <c r="L360" s="221"/>
      <c r="M360" s="221"/>
      <c r="N360" s="221"/>
      <c r="O360" s="221"/>
      <c r="P360" s="447" t="s">
        <v>4022</v>
      </c>
      <c r="Q360" s="200"/>
      <c r="R360" s="122"/>
      <c r="S360" s="290"/>
      <c r="T360" s="399" t="s">
        <v>297</v>
      </c>
      <c r="U360" s="399" t="s">
        <v>298</v>
      </c>
      <c r="W360" s="326" t="s">
        <v>2272</v>
      </c>
      <c r="X360" s="326" t="s">
        <v>3073</v>
      </c>
      <c r="AA360" s="12"/>
      <c r="AB360" s="12"/>
      <c r="AC360" s="808"/>
      <c r="AD360" s="407"/>
    </row>
    <row r="361" spans="6:30" ht="10.5" customHeight="1">
      <c r="F361" s="238"/>
      <c r="G361" s="221"/>
      <c r="H361" s="221"/>
      <c r="I361" s="221"/>
      <c r="J361" s="221"/>
      <c r="K361" s="221"/>
      <c r="L361" s="221"/>
      <c r="M361" s="221"/>
      <c r="N361" s="221"/>
      <c r="O361" s="221"/>
      <c r="P361" s="447" t="s">
        <v>4023</v>
      </c>
      <c r="Q361" s="200"/>
      <c r="R361" s="122"/>
      <c r="S361" s="290"/>
      <c r="T361" s="399" t="s">
        <v>299</v>
      </c>
      <c r="U361" s="399" t="s">
        <v>294</v>
      </c>
      <c r="W361" s="326" t="s">
        <v>4024</v>
      </c>
      <c r="X361" s="326" t="s">
        <v>3073</v>
      </c>
      <c r="AA361" s="12"/>
      <c r="AB361" s="12"/>
      <c r="AC361" s="808"/>
      <c r="AD361" s="407"/>
    </row>
    <row r="362" spans="6:30" ht="10.5" customHeight="1">
      <c r="F362" s="238"/>
      <c r="G362" s="221"/>
      <c r="H362" s="221"/>
      <c r="I362" s="221"/>
      <c r="J362" s="221"/>
      <c r="K362" s="221"/>
      <c r="L362" s="221"/>
      <c r="M362" s="221"/>
      <c r="N362" s="221"/>
      <c r="O362" s="221"/>
      <c r="P362" s="447" t="s">
        <v>4025</v>
      </c>
      <c r="Q362" s="200"/>
      <c r="R362" s="122"/>
      <c r="S362" s="290"/>
      <c r="T362" s="399" t="s">
        <v>300</v>
      </c>
      <c r="U362" s="399" t="s">
        <v>301</v>
      </c>
      <c r="W362" s="326" t="s">
        <v>2274</v>
      </c>
      <c r="X362" s="326" t="s">
        <v>3073</v>
      </c>
      <c r="AA362" s="12"/>
      <c r="AB362" s="12"/>
      <c r="AC362" s="808"/>
      <c r="AD362" s="407"/>
    </row>
    <row r="363" spans="6:30" ht="10.5" customHeight="1">
      <c r="F363" s="238"/>
      <c r="G363" s="221"/>
      <c r="H363" s="221"/>
      <c r="I363" s="221"/>
      <c r="J363" s="221"/>
      <c r="K363" s="221"/>
      <c r="L363" s="221"/>
      <c r="M363" s="221"/>
      <c r="N363" s="221"/>
      <c r="O363" s="221"/>
      <c r="P363" s="447" t="s">
        <v>4026</v>
      </c>
      <c r="Q363" s="200"/>
      <c r="R363" s="122"/>
      <c r="S363" s="290"/>
      <c r="T363" s="399" t="s">
        <v>2230</v>
      </c>
      <c r="U363" s="399" t="s">
        <v>334</v>
      </c>
      <c r="W363" s="326" t="s">
        <v>2277</v>
      </c>
      <c r="X363" s="326" t="s">
        <v>3073</v>
      </c>
      <c r="AA363" s="12"/>
      <c r="AB363" s="12"/>
      <c r="AC363" s="808"/>
      <c r="AD363" s="407"/>
    </row>
    <row r="364" spans="6:30" ht="10.5" customHeight="1">
      <c r="F364" s="238"/>
      <c r="G364" s="221"/>
      <c r="H364" s="221"/>
      <c r="I364" s="221"/>
      <c r="J364" s="221"/>
      <c r="K364" s="221"/>
      <c r="L364" s="221"/>
      <c r="M364" s="221"/>
      <c r="N364" s="221"/>
      <c r="O364" s="221"/>
      <c r="P364" s="447" t="s">
        <v>4027</v>
      </c>
      <c r="Q364" s="200"/>
      <c r="R364" s="122"/>
      <c r="S364" s="290"/>
      <c r="T364" s="194" t="s">
        <v>4028</v>
      </c>
      <c r="U364" s="194" t="s">
        <v>3440</v>
      </c>
      <c r="W364" s="326" t="s">
        <v>4029</v>
      </c>
      <c r="X364" s="326" t="s">
        <v>3073</v>
      </c>
      <c r="AA364" s="12"/>
      <c r="AB364" s="12"/>
      <c r="AC364" s="808"/>
      <c r="AD364" s="407"/>
    </row>
    <row r="365" spans="6:30" ht="10.5" customHeight="1">
      <c r="F365" s="238"/>
      <c r="G365" s="221"/>
      <c r="H365" s="221"/>
      <c r="I365" s="221"/>
      <c r="J365" s="221"/>
      <c r="K365" s="221"/>
      <c r="L365" s="221"/>
      <c r="M365" s="221"/>
      <c r="N365" s="221"/>
      <c r="O365" s="221"/>
      <c r="P365" s="447" t="s">
        <v>4030</v>
      </c>
      <c r="Q365" s="200"/>
      <c r="R365" s="122"/>
      <c r="S365" s="290"/>
      <c r="T365" s="399" t="s">
        <v>302</v>
      </c>
      <c r="U365" s="399" t="s">
        <v>284</v>
      </c>
      <c r="W365" s="326" t="s">
        <v>2275</v>
      </c>
      <c r="X365" s="326" t="s">
        <v>3073</v>
      </c>
      <c r="AA365" s="12"/>
      <c r="AB365" s="12"/>
      <c r="AC365" s="407"/>
      <c r="AD365" s="407"/>
    </row>
    <row r="366" spans="6:30" ht="10.5" customHeight="1">
      <c r="F366" s="238"/>
      <c r="G366" s="221"/>
      <c r="H366" s="221"/>
      <c r="I366" s="221"/>
      <c r="J366" s="221"/>
      <c r="K366" s="221"/>
      <c r="L366" s="221"/>
      <c r="M366" s="221"/>
      <c r="N366" s="221"/>
      <c r="O366" s="221"/>
      <c r="P366" s="447" t="s">
        <v>4031</v>
      </c>
      <c r="Q366" s="200"/>
      <c r="R366" s="122"/>
      <c r="S366" s="290"/>
      <c r="T366" s="399" t="s">
        <v>4032</v>
      </c>
      <c r="U366" s="399" t="s">
        <v>3221</v>
      </c>
      <c r="W366" s="326" t="s">
        <v>360</v>
      </c>
      <c r="X366" s="326" t="s">
        <v>3073</v>
      </c>
      <c r="AA366" s="12"/>
      <c r="AB366" s="12"/>
      <c r="AC366" s="808"/>
      <c r="AD366" s="407"/>
    </row>
    <row r="367" spans="6:30" ht="10.5" customHeight="1">
      <c r="F367" s="238"/>
      <c r="G367" s="221"/>
      <c r="H367" s="221"/>
      <c r="I367" s="221"/>
      <c r="J367" s="221"/>
      <c r="K367" s="221"/>
      <c r="L367" s="221"/>
      <c r="M367" s="221"/>
      <c r="N367" s="221"/>
      <c r="O367" s="221"/>
      <c r="P367" s="447" t="s">
        <v>4033</v>
      </c>
      <c r="Q367" s="200"/>
      <c r="R367" s="122"/>
      <c r="S367" s="290"/>
      <c r="T367" s="399" t="s">
        <v>4034</v>
      </c>
      <c r="U367" s="399" t="s">
        <v>3398</v>
      </c>
      <c r="W367" s="326" t="s">
        <v>2278</v>
      </c>
      <c r="X367" s="326" t="s">
        <v>3073</v>
      </c>
      <c r="AA367" s="12"/>
      <c r="AB367" s="12"/>
      <c r="AC367" s="808"/>
      <c r="AD367" s="407"/>
    </row>
    <row r="368" spans="6:30" ht="10.5" customHeight="1">
      <c r="F368" s="238"/>
      <c r="G368" s="221"/>
      <c r="H368" s="221"/>
      <c r="I368" s="221"/>
      <c r="J368" s="221"/>
      <c r="K368" s="221"/>
      <c r="L368" s="221"/>
      <c r="M368" s="221"/>
      <c r="N368" s="221"/>
      <c r="O368" s="221"/>
      <c r="P368" s="447" t="s">
        <v>4035</v>
      </c>
      <c r="Q368" s="200"/>
      <c r="R368" s="122"/>
      <c r="S368" s="290"/>
      <c r="T368" s="399" t="s">
        <v>3565</v>
      </c>
      <c r="U368" s="399" t="s">
        <v>3122</v>
      </c>
      <c r="W368" s="326" t="s">
        <v>4036</v>
      </c>
      <c r="X368" s="326" t="s">
        <v>3073</v>
      </c>
      <c r="AA368" s="12"/>
      <c r="AB368" s="12"/>
      <c r="AC368" s="808"/>
      <c r="AD368" s="407"/>
    </row>
    <row r="369" spans="6:30" ht="10.5" customHeight="1">
      <c r="F369" s="238"/>
      <c r="G369" s="221"/>
      <c r="H369" s="221"/>
      <c r="I369" s="221"/>
      <c r="J369" s="221"/>
      <c r="K369" s="221"/>
      <c r="L369" s="221"/>
      <c r="M369" s="221"/>
      <c r="N369" s="221"/>
      <c r="O369" s="221"/>
      <c r="P369" s="447" t="s">
        <v>4037</v>
      </c>
      <c r="Q369" s="200"/>
      <c r="R369" s="122"/>
      <c r="S369" s="290"/>
      <c r="T369" s="399" t="s">
        <v>4038</v>
      </c>
      <c r="U369" s="399" t="s">
        <v>304</v>
      </c>
      <c r="W369" s="326" t="s">
        <v>43</v>
      </c>
      <c r="X369" s="326" t="s">
        <v>3073</v>
      </c>
      <c r="AA369" s="12"/>
      <c r="AB369" s="12"/>
      <c r="AC369" s="808"/>
      <c r="AD369" s="407"/>
    </row>
    <row r="370" spans="6:30" ht="10.5" customHeight="1">
      <c r="F370" s="238"/>
      <c r="G370" s="221"/>
      <c r="H370" s="221"/>
      <c r="I370" s="221"/>
      <c r="J370" s="221"/>
      <c r="K370" s="221"/>
      <c r="L370" s="221"/>
      <c r="M370" s="221"/>
      <c r="N370" s="221"/>
      <c r="O370" s="221"/>
      <c r="P370" s="447" t="s">
        <v>4039</v>
      </c>
      <c r="Q370" s="200"/>
      <c r="R370" s="122"/>
      <c r="S370" s="290"/>
      <c r="T370" s="399" t="s">
        <v>4040</v>
      </c>
      <c r="U370" s="399" t="s">
        <v>3179</v>
      </c>
      <c r="W370" s="326" t="s">
        <v>4041</v>
      </c>
      <c r="X370" s="326" t="s">
        <v>3073</v>
      </c>
      <c r="AA370" s="12"/>
      <c r="AB370" s="12"/>
      <c r="AC370" s="808"/>
      <c r="AD370" s="407"/>
    </row>
    <row r="371" spans="6:30" ht="10.5" customHeight="1">
      <c r="F371" s="238"/>
      <c r="G371" s="221"/>
      <c r="H371" s="221"/>
      <c r="I371" s="221"/>
      <c r="J371" s="221"/>
      <c r="K371" s="221"/>
      <c r="L371" s="221"/>
      <c r="M371" s="221"/>
      <c r="N371" s="221"/>
      <c r="O371" s="221"/>
      <c r="P371" s="447" t="s">
        <v>4042</v>
      </c>
      <c r="Q371" s="200"/>
      <c r="R371" s="122"/>
      <c r="S371" s="290"/>
      <c r="T371" s="399" t="s">
        <v>3575</v>
      </c>
      <c r="U371" s="399" t="s">
        <v>3469</v>
      </c>
      <c r="W371" s="326" t="s">
        <v>4043</v>
      </c>
      <c r="X371" s="326" t="s">
        <v>3073</v>
      </c>
      <c r="AA371" s="12"/>
      <c r="AB371" s="12"/>
      <c r="AC371" s="808"/>
      <c r="AD371" s="407"/>
    </row>
    <row r="372" spans="6:30" ht="10.5" customHeight="1">
      <c r="F372" s="238"/>
      <c r="G372" s="221"/>
      <c r="H372" s="221"/>
      <c r="I372" s="221"/>
      <c r="J372" s="221"/>
      <c r="K372" s="221"/>
      <c r="L372" s="221"/>
      <c r="M372" s="221"/>
      <c r="N372" s="221"/>
      <c r="O372" s="221"/>
      <c r="P372" s="447" t="s">
        <v>4044</v>
      </c>
      <c r="Q372" s="200"/>
      <c r="R372" s="122"/>
      <c r="S372" s="290"/>
      <c r="T372" s="399" t="s">
        <v>3581</v>
      </c>
      <c r="U372" s="399" t="s">
        <v>3216</v>
      </c>
      <c r="W372" s="326" t="s">
        <v>4045</v>
      </c>
      <c r="X372" s="326" t="s">
        <v>3073</v>
      </c>
      <c r="AA372" s="12"/>
      <c r="AB372" s="12"/>
      <c r="AC372" s="808"/>
      <c r="AD372" s="407"/>
    </row>
    <row r="373" spans="6:30" ht="10.5" customHeight="1">
      <c r="F373" s="238"/>
      <c r="G373" s="221"/>
      <c r="H373" s="221"/>
      <c r="I373" s="221"/>
      <c r="J373" s="221"/>
      <c r="K373" s="221"/>
      <c r="L373" s="221"/>
      <c r="M373" s="221"/>
      <c r="N373" s="221"/>
      <c r="O373" s="221"/>
      <c r="P373" s="447" t="s">
        <v>4046</v>
      </c>
      <c r="Q373" s="200"/>
      <c r="R373" s="122"/>
      <c r="S373" s="290"/>
      <c r="T373" s="399" t="s">
        <v>3589</v>
      </c>
      <c r="U373" s="399" t="s">
        <v>281</v>
      </c>
      <c r="W373" s="326" t="s">
        <v>4047</v>
      </c>
      <c r="X373" s="326" t="s">
        <v>3073</v>
      </c>
      <c r="AA373" s="12"/>
      <c r="AB373" s="12"/>
      <c r="AC373" s="808"/>
      <c r="AD373" s="407"/>
    </row>
    <row r="374" spans="6:30" ht="10.5" customHeight="1">
      <c r="F374" s="238"/>
      <c r="G374" s="221"/>
      <c r="H374" s="221"/>
      <c r="I374" s="221"/>
      <c r="J374" s="221"/>
      <c r="K374" s="221"/>
      <c r="L374" s="221"/>
      <c r="M374" s="221"/>
      <c r="N374" s="221"/>
      <c r="O374" s="221"/>
      <c r="P374" s="447" t="s">
        <v>4048</v>
      </c>
      <c r="Q374" s="200"/>
      <c r="R374" s="122"/>
      <c r="S374" s="290"/>
      <c r="T374" s="399" t="s">
        <v>3407</v>
      </c>
      <c r="U374" s="399" t="s">
        <v>2257</v>
      </c>
      <c r="W374" s="326" t="s">
        <v>4049</v>
      </c>
      <c r="X374" s="326" t="s">
        <v>3073</v>
      </c>
      <c r="AA374" s="12"/>
      <c r="AB374" s="12"/>
      <c r="AC374" s="808"/>
      <c r="AD374" s="407"/>
    </row>
    <row r="375" spans="6:30" ht="10.5" customHeight="1">
      <c r="F375" s="238"/>
      <c r="G375" s="221"/>
      <c r="H375" s="221"/>
      <c r="I375" s="221"/>
      <c r="J375" s="221"/>
      <c r="K375" s="221"/>
      <c r="L375" s="221"/>
      <c r="M375" s="221"/>
      <c r="N375" s="221"/>
      <c r="O375" s="221"/>
      <c r="P375" s="447" t="s">
        <v>4050</v>
      </c>
      <c r="Q375" s="200"/>
      <c r="R375" s="122"/>
      <c r="S375" s="290"/>
      <c r="T375" s="399" t="s">
        <v>4051</v>
      </c>
      <c r="U375" s="399" t="s">
        <v>3252</v>
      </c>
      <c r="W375" s="326" t="s">
        <v>3510</v>
      </c>
      <c r="X375" s="326" t="s">
        <v>3073</v>
      </c>
      <c r="AA375" s="12"/>
      <c r="AB375" s="12"/>
      <c r="AC375" s="808"/>
      <c r="AD375" s="407"/>
    </row>
    <row r="376" spans="6:30" ht="10.5" customHeight="1">
      <c r="F376" s="238"/>
      <c r="G376" s="221"/>
      <c r="H376" s="221"/>
      <c r="I376" s="221"/>
      <c r="J376" s="221"/>
      <c r="K376" s="221"/>
      <c r="L376" s="221"/>
      <c r="M376" s="221"/>
      <c r="N376" s="221"/>
      <c r="O376" s="221"/>
      <c r="P376" s="447" t="s">
        <v>4052</v>
      </c>
      <c r="Q376" s="200"/>
      <c r="R376" s="122"/>
      <c r="S376" s="290"/>
      <c r="T376" s="399" t="s">
        <v>4053</v>
      </c>
      <c r="U376" s="399" t="s">
        <v>315</v>
      </c>
      <c r="W376" s="326" t="s">
        <v>4054</v>
      </c>
      <c r="X376" s="326" t="s">
        <v>3073</v>
      </c>
      <c r="AA376" s="12"/>
      <c r="AB376" s="12"/>
      <c r="AC376" s="808"/>
      <c r="AD376" s="407"/>
    </row>
    <row r="377" spans="6:30" ht="10.5" customHeight="1">
      <c r="F377" s="238"/>
      <c r="G377" s="221"/>
      <c r="H377" s="221"/>
      <c r="I377" s="221"/>
      <c r="J377" s="221"/>
      <c r="K377" s="221"/>
      <c r="L377" s="221"/>
      <c r="M377" s="221"/>
      <c r="N377" s="221"/>
      <c r="O377" s="221"/>
      <c r="P377" s="447" t="s">
        <v>4055</v>
      </c>
      <c r="Q377" s="200"/>
      <c r="R377" s="122"/>
      <c r="S377" s="290"/>
      <c r="T377" s="399" t="s">
        <v>303</v>
      </c>
      <c r="U377" s="399" t="s">
        <v>304</v>
      </c>
      <c r="W377" s="326" t="s">
        <v>3875</v>
      </c>
      <c r="X377" s="326" t="s">
        <v>3073</v>
      </c>
      <c r="AA377" s="12"/>
      <c r="AB377" s="12"/>
      <c r="AC377" s="808"/>
      <c r="AD377" s="407"/>
    </row>
    <row r="378" spans="6:30" ht="10.5" customHeight="1">
      <c r="F378" s="238"/>
      <c r="G378" s="221"/>
      <c r="H378" s="221"/>
      <c r="I378" s="221"/>
      <c r="J378" s="221"/>
      <c r="K378" s="221"/>
      <c r="L378" s="221"/>
      <c r="M378" s="221"/>
      <c r="N378" s="221"/>
      <c r="O378" s="221"/>
      <c r="P378" s="447" t="s">
        <v>4056</v>
      </c>
      <c r="Q378" s="200"/>
      <c r="R378" s="122"/>
      <c r="S378" s="290"/>
      <c r="T378" s="399" t="s">
        <v>2232</v>
      </c>
      <c r="U378" s="399" t="s">
        <v>3558</v>
      </c>
      <c r="W378" s="326" t="s">
        <v>4057</v>
      </c>
      <c r="X378" s="326" t="s">
        <v>3073</v>
      </c>
      <c r="AA378" s="12"/>
      <c r="AB378" s="12"/>
      <c r="AC378" s="808"/>
      <c r="AD378" s="407"/>
    </row>
    <row r="379" spans="6:30" ht="10.5" customHeight="1">
      <c r="F379" s="238"/>
      <c r="G379" s="221"/>
      <c r="H379" s="221"/>
      <c r="I379" s="221"/>
      <c r="J379" s="221"/>
      <c r="K379" s="221"/>
      <c r="L379" s="221"/>
      <c r="M379" s="221"/>
      <c r="N379" s="221"/>
      <c r="O379" s="221"/>
      <c r="P379" s="447" t="s">
        <v>4058</v>
      </c>
      <c r="Q379" s="200"/>
      <c r="R379" s="122"/>
      <c r="S379" s="290"/>
      <c r="T379" s="399" t="s">
        <v>3411</v>
      </c>
      <c r="U379" s="399" t="s">
        <v>3500</v>
      </c>
      <c r="W379" s="326" t="s">
        <v>4059</v>
      </c>
      <c r="X379" s="326" t="s">
        <v>3073</v>
      </c>
      <c r="AA379" s="12"/>
      <c r="AB379" s="12"/>
      <c r="AC379" s="808"/>
      <c r="AD379" s="407"/>
    </row>
    <row r="380" spans="6:30" ht="10.5" customHeight="1">
      <c r="F380" s="238"/>
      <c r="G380" s="221"/>
      <c r="H380" s="221"/>
      <c r="I380" s="221"/>
      <c r="J380" s="221"/>
      <c r="K380" s="221"/>
      <c r="L380" s="221"/>
      <c r="M380" s="221"/>
      <c r="N380" s="221"/>
      <c r="O380" s="221"/>
      <c r="P380" s="447" t="s">
        <v>4060</v>
      </c>
      <c r="Q380" s="200"/>
      <c r="R380" s="122"/>
      <c r="S380" s="290"/>
      <c r="T380" s="399" t="s">
        <v>3610</v>
      </c>
      <c r="U380" s="399" t="s">
        <v>3411</v>
      </c>
      <c r="W380" s="326" t="s">
        <v>4061</v>
      </c>
      <c r="X380" s="326" t="s">
        <v>3073</v>
      </c>
      <c r="AA380" s="12"/>
      <c r="AB380" s="12"/>
      <c r="AC380" s="808"/>
      <c r="AD380" s="407"/>
    </row>
    <row r="381" spans="6:30" ht="10.5" customHeight="1">
      <c r="F381" s="238"/>
      <c r="G381" s="221"/>
      <c r="H381" s="221"/>
      <c r="I381" s="221"/>
      <c r="J381" s="221"/>
      <c r="K381" s="221"/>
      <c r="L381" s="221"/>
      <c r="M381" s="221"/>
      <c r="N381" s="221"/>
      <c r="O381" s="221"/>
      <c r="P381" s="447" t="s">
        <v>4062</v>
      </c>
      <c r="Q381" s="200"/>
      <c r="R381" s="122"/>
      <c r="S381" s="290"/>
      <c r="T381" s="399" t="s">
        <v>4063</v>
      </c>
      <c r="U381" s="399" t="s">
        <v>2211</v>
      </c>
      <c r="W381" s="326" t="s">
        <v>4064</v>
      </c>
      <c r="X381" s="326" t="s">
        <v>3073</v>
      </c>
      <c r="AA381" s="12"/>
      <c r="AB381" s="12"/>
      <c r="AC381" s="808"/>
      <c r="AD381" s="407"/>
    </row>
    <row r="382" spans="6:30" ht="10.5" customHeight="1">
      <c r="F382" s="238"/>
      <c r="G382" s="221"/>
      <c r="H382" s="221"/>
      <c r="I382" s="221"/>
      <c r="J382" s="221"/>
      <c r="K382" s="221"/>
      <c r="L382" s="221"/>
      <c r="M382" s="221"/>
      <c r="N382" s="221"/>
      <c r="O382" s="221"/>
      <c r="P382" s="447" t="s">
        <v>4065</v>
      </c>
      <c r="Q382" s="200"/>
      <c r="R382" s="122"/>
      <c r="S382" s="290"/>
      <c r="T382" s="399" t="s">
        <v>2234</v>
      </c>
      <c r="U382" s="399" t="s">
        <v>3469</v>
      </c>
      <c r="W382" s="326" t="s">
        <v>4066</v>
      </c>
      <c r="X382" s="326" t="s">
        <v>3073</v>
      </c>
      <c r="AA382" s="12"/>
      <c r="AB382" s="12"/>
      <c r="AC382" s="808"/>
      <c r="AD382" s="407"/>
    </row>
    <row r="383" spans="6:30" ht="10.5" customHeight="1">
      <c r="F383" s="238"/>
      <c r="G383" s="221"/>
      <c r="H383" s="221"/>
      <c r="I383" s="221"/>
      <c r="J383" s="221"/>
      <c r="K383" s="221"/>
      <c r="L383" s="221"/>
      <c r="M383" s="221"/>
      <c r="N383" s="221"/>
      <c r="O383" s="221"/>
      <c r="P383" s="447" t="s">
        <v>4067</v>
      </c>
      <c r="Q383" s="200"/>
      <c r="R383" s="122"/>
      <c r="S383" s="290"/>
      <c r="T383" s="399" t="s">
        <v>2236</v>
      </c>
      <c r="U383" s="399" t="s">
        <v>318</v>
      </c>
      <c r="W383" s="326" t="s">
        <v>4068</v>
      </c>
      <c r="X383" s="326" t="s">
        <v>3073</v>
      </c>
      <c r="AA383" s="12"/>
      <c r="AB383" s="12"/>
      <c r="AC383" s="808"/>
      <c r="AD383" s="407"/>
    </row>
    <row r="384" spans="6:30" ht="10.5" customHeight="1">
      <c r="F384" s="238"/>
      <c r="G384" s="221"/>
      <c r="H384" s="221"/>
      <c r="I384" s="221"/>
      <c r="J384" s="221"/>
      <c r="K384" s="221"/>
      <c r="L384" s="221"/>
      <c r="M384" s="221"/>
      <c r="N384" s="221"/>
      <c r="O384" s="221"/>
      <c r="P384" s="447" t="s">
        <v>4069</v>
      </c>
      <c r="Q384" s="200"/>
      <c r="R384" s="122"/>
      <c r="S384" s="290"/>
      <c r="T384" s="399" t="s">
        <v>4070</v>
      </c>
      <c r="U384" s="399" t="s">
        <v>3381</v>
      </c>
      <c r="W384" s="326" t="s">
        <v>4071</v>
      </c>
      <c r="X384" s="326" t="s">
        <v>3073</v>
      </c>
      <c r="AA384" s="12"/>
      <c r="AB384" s="12"/>
      <c r="AC384" s="808"/>
      <c r="AD384" s="407"/>
    </row>
    <row r="385" spans="6:30" ht="10.5" customHeight="1">
      <c r="F385" s="238"/>
      <c r="G385" s="221"/>
      <c r="H385" s="221"/>
      <c r="I385" s="221"/>
      <c r="J385" s="221"/>
      <c r="K385" s="221"/>
      <c r="L385" s="221"/>
      <c r="M385" s="221"/>
      <c r="N385" s="221"/>
      <c r="O385" s="221"/>
      <c r="P385" s="447" t="s">
        <v>4072</v>
      </c>
      <c r="Q385" s="200"/>
      <c r="R385" s="122"/>
      <c r="S385" s="290"/>
      <c r="T385" s="399" t="s">
        <v>4073</v>
      </c>
      <c r="U385" s="399" t="s">
        <v>3636</v>
      </c>
      <c r="W385" s="326" t="s">
        <v>4074</v>
      </c>
      <c r="X385" s="326" t="s">
        <v>3073</v>
      </c>
      <c r="AA385" s="12"/>
      <c r="AB385" s="12"/>
      <c r="AC385" s="808"/>
      <c r="AD385" s="407"/>
    </row>
    <row r="386" spans="6:30" ht="10.5" customHeight="1">
      <c r="F386" s="238"/>
      <c r="G386" s="221"/>
      <c r="H386" s="221"/>
      <c r="I386" s="221"/>
      <c r="J386" s="221"/>
      <c r="K386" s="221"/>
      <c r="L386" s="221"/>
      <c r="M386" s="221"/>
      <c r="N386" s="221"/>
      <c r="O386" s="221"/>
      <c r="P386" s="447" t="s">
        <v>4075</v>
      </c>
      <c r="Q386" s="200"/>
      <c r="R386" s="122"/>
      <c r="S386" s="290"/>
      <c r="T386" s="399" t="s">
        <v>4076</v>
      </c>
      <c r="U386" s="399" t="s">
        <v>3790</v>
      </c>
      <c r="W386" s="326" t="s">
        <v>4077</v>
      </c>
      <c r="X386" s="326" t="s">
        <v>3073</v>
      </c>
      <c r="AA386" s="12"/>
      <c r="AB386" s="12"/>
      <c r="AC386" s="808"/>
      <c r="AD386" s="407"/>
    </row>
    <row r="387" spans="6:30" ht="10.5" customHeight="1">
      <c r="F387" s="238"/>
      <c r="G387" s="221"/>
      <c r="H387" s="221"/>
      <c r="I387" s="221"/>
      <c r="J387" s="221"/>
      <c r="K387" s="221"/>
      <c r="L387" s="221"/>
      <c r="M387" s="221"/>
      <c r="N387" s="221"/>
      <c r="O387" s="221"/>
      <c r="P387" s="447" t="s">
        <v>4078</v>
      </c>
      <c r="Q387" s="200"/>
      <c r="R387" s="122"/>
      <c r="S387" s="290"/>
      <c r="T387" s="194" t="s">
        <v>305</v>
      </c>
      <c r="U387" s="194" t="s">
        <v>306</v>
      </c>
      <c r="W387" s="326" t="s">
        <v>4079</v>
      </c>
      <c r="X387" s="326" t="s">
        <v>3073</v>
      </c>
      <c r="AA387" s="12"/>
      <c r="AB387" s="12"/>
      <c r="AC387" s="808"/>
      <c r="AD387" s="407"/>
    </row>
    <row r="388" spans="6:30" ht="10.5" customHeight="1">
      <c r="F388" s="238"/>
      <c r="G388" s="221"/>
      <c r="H388" s="221"/>
      <c r="I388" s="221"/>
      <c r="J388" s="221"/>
      <c r="K388" s="221"/>
      <c r="L388" s="221"/>
      <c r="M388" s="221"/>
      <c r="N388" s="221"/>
      <c r="O388" s="221"/>
      <c r="P388" s="447" t="s">
        <v>4080</v>
      </c>
      <c r="Q388" s="200"/>
      <c r="R388" s="122"/>
      <c r="S388" s="290"/>
      <c r="T388" s="399" t="s">
        <v>4081</v>
      </c>
      <c r="U388" s="399" t="s">
        <v>3429</v>
      </c>
      <c r="AA388" s="12"/>
      <c r="AB388" s="12"/>
      <c r="AC388" s="407"/>
      <c r="AD388" s="407"/>
    </row>
    <row r="389" spans="6:30" ht="10.5" customHeight="1">
      <c r="F389" s="238"/>
      <c r="G389" s="221"/>
      <c r="H389" s="221"/>
      <c r="I389" s="221"/>
      <c r="J389" s="221"/>
      <c r="K389" s="221"/>
      <c r="L389" s="221"/>
      <c r="M389" s="221"/>
      <c r="N389" s="221"/>
      <c r="O389" s="221"/>
      <c r="P389" s="447" t="s">
        <v>4082</v>
      </c>
      <c r="Q389" s="200"/>
      <c r="R389" s="122"/>
      <c r="S389" s="290"/>
      <c r="T389" s="399" t="s">
        <v>4083</v>
      </c>
      <c r="U389" s="399" t="s">
        <v>3469</v>
      </c>
      <c r="AA389" s="12"/>
      <c r="AB389" s="12"/>
      <c r="AC389" s="808"/>
      <c r="AD389" s="407"/>
    </row>
    <row r="390" spans="6:30" ht="10.5" customHeight="1">
      <c r="F390" s="238"/>
      <c r="G390" s="221"/>
      <c r="H390" s="221"/>
      <c r="I390" s="221"/>
      <c r="J390" s="221"/>
      <c r="K390" s="221"/>
      <c r="L390" s="221"/>
      <c r="M390" s="221"/>
      <c r="N390" s="221"/>
      <c r="O390" s="221"/>
      <c r="P390" s="447" t="s">
        <v>4084</v>
      </c>
      <c r="Q390" s="200"/>
      <c r="R390" s="122"/>
      <c r="S390" s="290"/>
      <c r="T390" s="399" t="s">
        <v>4085</v>
      </c>
      <c r="U390" s="399" t="s">
        <v>3171</v>
      </c>
      <c r="AA390" s="12"/>
      <c r="AB390" s="12"/>
      <c r="AC390" s="808"/>
      <c r="AD390" s="407"/>
    </row>
    <row r="391" spans="6:30" ht="10.5" customHeight="1">
      <c r="F391" s="238"/>
      <c r="G391" s="221"/>
      <c r="H391" s="221"/>
      <c r="I391" s="221"/>
      <c r="J391" s="221"/>
      <c r="K391" s="221"/>
      <c r="L391" s="221"/>
      <c r="M391" s="221"/>
      <c r="N391" s="221"/>
      <c r="O391" s="221"/>
      <c r="P391" s="447" t="s">
        <v>4086</v>
      </c>
      <c r="Q391" s="200"/>
      <c r="R391" s="122"/>
      <c r="S391" s="290"/>
      <c r="T391" s="194" t="s">
        <v>3630</v>
      </c>
      <c r="U391" s="194" t="s">
        <v>3744</v>
      </c>
      <c r="AA391" s="12"/>
      <c r="AB391" s="12"/>
      <c r="AC391" s="808"/>
      <c r="AD391" s="407"/>
    </row>
    <row r="392" spans="6:30" ht="10.5" customHeight="1">
      <c r="F392" s="238"/>
      <c r="G392" s="221"/>
      <c r="H392" s="221"/>
      <c r="I392" s="221"/>
      <c r="J392" s="221"/>
      <c r="K392" s="221"/>
      <c r="L392" s="221"/>
      <c r="M392" s="221"/>
      <c r="N392" s="221"/>
      <c r="O392" s="221"/>
      <c r="P392" s="447" t="s">
        <v>4087</v>
      </c>
      <c r="Q392" s="200"/>
      <c r="R392" s="122"/>
      <c r="S392" s="290"/>
      <c r="T392" s="399" t="s">
        <v>4088</v>
      </c>
      <c r="U392" s="399" t="s">
        <v>3115</v>
      </c>
      <c r="AA392" s="12"/>
      <c r="AB392" s="12"/>
      <c r="AC392" s="407"/>
      <c r="AD392" s="407"/>
    </row>
    <row r="393" spans="6:30" ht="10.5" customHeight="1">
      <c r="F393" s="238"/>
      <c r="G393" s="221"/>
      <c r="H393" s="221"/>
      <c r="I393" s="221"/>
      <c r="J393" s="221"/>
      <c r="K393" s="221"/>
      <c r="L393" s="221"/>
      <c r="M393" s="221"/>
      <c r="N393" s="221"/>
      <c r="O393" s="221"/>
      <c r="P393" s="447" t="s">
        <v>4089</v>
      </c>
      <c r="Q393" s="200"/>
      <c r="R393" s="122"/>
      <c r="S393" s="290"/>
      <c r="T393" s="399" t="s">
        <v>4090</v>
      </c>
      <c r="U393" s="399" t="s">
        <v>3365</v>
      </c>
      <c r="AA393" s="12"/>
      <c r="AB393" s="12"/>
      <c r="AC393" s="808"/>
      <c r="AD393" s="407"/>
    </row>
    <row r="394" spans="6:30" ht="10.5" customHeight="1">
      <c r="F394" s="238"/>
      <c r="G394" s="221"/>
      <c r="H394" s="221"/>
      <c r="I394" s="221"/>
      <c r="J394" s="221"/>
      <c r="K394" s="221"/>
      <c r="L394" s="221"/>
      <c r="M394" s="221"/>
      <c r="N394" s="221"/>
      <c r="O394" s="221"/>
      <c r="P394" s="447" t="s">
        <v>4091</v>
      </c>
      <c r="Q394" s="200"/>
      <c r="R394" s="122"/>
      <c r="S394" s="290"/>
      <c r="T394" s="399" t="s">
        <v>3440</v>
      </c>
      <c r="U394" s="399" t="s">
        <v>3148</v>
      </c>
      <c r="AA394" s="12"/>
      <c r="AB394" s="12"/>
      <c r="AC394" s="808"/>
      <c r="AD394" s="407"/>
    </row>
    <row r="395" spans="6:30" ht="10.5" customHeight="1">
      <c r="F395" s="238"/>
      <c r="G395" s="221"/>
      <c r="H395" s="221"/>
      <c r="I395" s="221"/>
      <c r="J395" s="221"/>
      <c r="K395" s="221"/>
      <c r="L395" s="221"/>
      <c r="M395" s="221"/>
      <c r="N395" s="221"/>
      <c r="O395" s="221"/>
      <c r="P395" s="447" t="s">
        <v>4092</v>
      </c>
      <c r="Q395" s="200"/>
      <c r="R395" s="122"/>
      <c r="S395" s="290"/>
      <c r="T395" s="399" t="s">
        <v>4093</v>
      </c>
      <c r="U395" s="399" t="s">
        <v>3064</v>
      </c>
      <c r="AA395" s="12"/>
      <c r="AB395" s="12"/>
      <c r="AC395" s="808"/>
      <c r="AD395" s="407"/>
    </row>
    <row r="396" spans="6:30" ht="10.5" customHeight="1">
      <c r="F396" s="238"/>
      <c r="G396" s="221"/>
      <c r="H396" s="221"/>
      <c r="I396" s="221"/>
      <c r="J396" s="221"/>
      <c r="K396" s="221"/>
      <c r="L396" s="221"/>
      <c r="M396" s="221"/>
      <c r="N396" s="221"/>
      <c r="O396" s="221"/>
      <c r="P396" s="447" t="s">
        <v>4094</v>
      </c>
      <c r="Q396" s="200"/>
      <c r="R396" s="122"/>
      <c r="S396" s="290"/>
      <c r="T396" s="399" t="s">
        <v>4095</v>
      </c>
      <c r="U396" s="399" t="s">
        <v>296</v>
      </c>
      <c r="AA396" s="12"/>
      <c r="AB396" s="12"/>
      <c r="AC396" s="808"/>
      <c r="AD396" s="407"/>
    </row>
    <row r="397" spans="6:30" ht="10.5" customHeight="1">
      <c r="F397" s="238"/>
      <c r="G397" s="221"/>
      <c r="H397" s="221"/>
      <c r="I397" s="221"/>
      <c r="J397" s="221"/>
      <c r="K397" s="221"/>
      <c r="L397" s="221"/>
      <c r="M397" s="221"/>
      <c r="N397" s="221"/>
      <c r="O397" s="221"/>
      <c r="P397" s="447" t="s">
        <v>4096</v>
      </c>
      <c r="Q397" s="200"/>
      <c r="R397" s="122"/>
      <c r="S397" s="290"/>
      <c r="T397" s="194" t="s">
        <v>3640</v>
      </c>
      <c r="U397" s="194" t="s">
        <v>3555</v>
      </c>
      <c r="AA397" s="12"/>
      <c r="AB397" s="12"/>
      <c r="AC397" s="808"/>
      <c r="AD397" s="407"/>
    </row>
    <row r="398" spans="6:30" ht="10.5" customHeight="1">
      <c r="F398" s="238"/>
      <c r="G398" s="221"/>
      <c r="H398" s="221"/>
      <c r="I398" s="221"/>
      <c r="J398" s="221"/>
      <c r="K398" s="221"/>
      <c r="L398" s="221"/>
      <c r="M398" s="221"/>
      <c r="N398" s="221"/>
      <c r="O398" s="221"/>
      <c r="P398" s="447" t="s">
        <v>4097</v>
      </c>
      <c r="Q398" s="200"/>
      <c r="R398" s="122"/>
      <c r="S398" s="290"/>
      <c r="T398" s="399" t="s">
        <v>4098</v>
      </c>
      <c r="U398" s="399" t="s">
        <v>3347</v>
      </c>
      <c r="AA398" s="12"/>
      <c r="AB398" s="12"/>
      <c r="AC398" s="407"/>
      <c r="AD398" s="407"/>
    </row>
    <row r="399" spans="6:30" ht="10.5" customHeight="1">
      <c r="F399" s="238"/>
      <c r="G399" s="221"/>
      <c r="H399" s="221"/>
      <c r="I399" s="221"/>
      <c r="J399" s="221"/>
      <c r="K399" s="221"/>
      <c r="L399" s="221"/>
      <c r="M399" s="221"/>
      <c r="N399" s="221"/>
      <c r="O399" s="221"/>
      <c r="P399" s="447" t="s">
        <v>4099</v>
      </c>
      <c r="Q399" s="200"/>
      <c r="R399" s="122"/>
      <c r="S399" s="290"/>
      <c r="T399" s="399" t="s">
        <v>2240</v>
      </c>
      <c r="U399" s="399" t="s">
        <v>3454</v>
      </c>
      <c r="AA399" s="12"/>
      <c r="AB399" s="12"/>
      <c r="AC399" s="808"/>
      <c r="AD399" s="407"/>
    </row>
    <row r="400" spans="6:30" ht="10.5" customHeight="1">
      <c r="F400" s="238"/>
      <c r="G400" s="221"/>
      <c r="H400" s="221"/>
      <c r="I400" s="221"/>
      <c r="J400" s="221"/>
      <c r="K400" s="221"/>
      <c r="L400" s="221"/>
      <c r="M400" s="221"/>
      <c r="N400" s="221"/>
      <c r="O400" s="221"/>
      <c r="P400" s="447" t="s">
        <v>4100</v>
      </c>
      <c r="Q400" s="200"/>
      <c r="R400" s="122"/>
      <c r="S400" s="290"/>
      <c r="T400" s="399" t="s">
        <v>3650</v>
      </c>
      <c r="U400" s="399" t="s">
        <v>3636</v>
      </c>
      <c r="AA400" s="12"/>
      <c r="AB400" s="12"/>
      <c r="AC400" s="808"/>
      <c r="AD400" s="407"/>
    </row>
    <row r="401" spans="6:30" ht="10.5" customHeight="1">
      <c r="F401" s="238"/>
      <c r="G401" s="221"/>
      <c r="H401" s="221"/>
      <c r="I401" s="221"/>
      <c r="J401" s="221"/>
      <c r="K401" s="221"/>
      <c r="L401" s="221"/>
      <c r="M401" s="221"/>
      <c r="N401" s="221"/>
      <c r="O401" s="221"/>
      <c r="P401" s="447" t="s">
        <v>4101</v>
      </c>
      <c r="Q401" s="200"/>
      <c r="R401" s="122"/>
      <c r="S401" s="290"/>
      <c r="T401" s="399" t="s">
        <v>307</v>
      </c>
      <c r="U401" s="399" t="s">
        <v>276</v>
      </c>
      <c r="AA401" s="12"/>
      <c r="AB401" s="12"/>
      <c r="AC401" s="808"/>
      <c r="AD401" s="407"/>
    </row>
    <row r="402" spans="6:30" ht="10.5" customHeight="1">
      <c r="F402" s="238"/>
      <c r="G402" s="221"/>
      <c r="H402" s="221"/>
      <c r="I402" s="221"/>
      <c r="J402" s="221"/>
      <c r="K402" s="221"/>
      <c r="L402" s="221"/>
      <c r="M402" s="221"/>
      <c r="N402" s="221"/>
      <c r="O402" s="221"/>
      <c r="P402" s="447" t="s">
        <v>4102</v>
      </c>
      <c r="Q402" s="200"/>
      <c r="R402" s="122"/>
      <c r="S402" s="290"/>
      <c r="T402" s="399" t="s">
        <v>2242</v>
      </c>
      <c r="U402" s="399" t="s">
        <v>294</v>
      </c>
      <c r="AA402" s="12"/>
      <c r="AB402" s="12"/>
      <c r="AC402" s="808"/>
      <c r="AD402" s="407"/>
    </row>
    <row r="403" spans="6:30" ht="10.5" customHeight="1">
      <c r="F403" s="238"/>
      <c r="G403" s="221"/>
      <c r="H403" s="221"/>
      <c r="I403" s="221"/>
      <c r="J403" s="221"/>
      <c r="K403" s="221"/>
      <c r="L403" s="221"/>
      <c r="M403" s="221"/>
      <c r="N403" s="221"/>
      <c r="O403" s="221"/>
      <c r="P403" s="447" t="s">
        <v>4103</v>
      </c>
      <c r="Q403" s="200"/>
      <c r="R403" s="122"/>
      <c r="S403" s="290"/>
      <c r="T403" s="399" t="s">
        <v>3659</v>
      </c>
      <c r="U403" s="399" t="s">
        <v>298</v>
      </c>
      <c r="AA403" s="12"/>
      <c r="AB403" s="12"/>
      <c r="AC403" s="808"/>
      <c r="AD403" s="407"/>
    </row>
    <row r="404" spans="6:30" ht="10.5" customHeight="1">
      <c r="F404" s="238"/>
      <c r="G404" s="221"/>
      <c r="H404" s="221"/>
      <c r="I404" s="221"/>
      <c r="J404" s="221"/>
      <c r="K404" s="221"/>
      <c r="L404" s="221"/>
      <c r="M404" s="221"/>
      <c r="N404" s="221"/>
      <c r="O404" s="221"/>
      <c r="P404" s="447" t="s">
        <v>4104</v>
      </c>
      <c r="Q404" s="200"/>
      <c r="R404" s="122"/>
      <c r="S404" s="290"/>
      <c r="T404" s="399" t="s">
        <v>4105</v>
      </c>
      <c r="U404" s="399" t="s">
        <v>304</v>
      </c>
      <c r="AA404" s="12"/>
      <c r="AB404" s="12"/>
      <c r="AC404" s="808"/>
      <c r="AD404" s="407"/>
    </row>
    <row r="405" spans="6:30" ht="10.5" customHeight="1">
      <c r="F405" s="238"/>
      <c r="G405" s="221"/>
      <c r="H405" s="221"/>
      <c r="I405" s="221"/>
      <c r="J405" s="221"/>
      <c r="K405" s="221"/>
      <c r="L405" s="221"/>
      <c r="M405" s="221"/>
      <c r="N405" s="221"/>
      <c r="O405" s="221"/>
      <c r="P405" s="447" t="s">
        <v>4106</v>
      </c>
      <c r="Q405" s="200"/>
      <c r="R405" s="122"/>
      <c r="S405" s="290"/>
      <c r="T405" s="399" t="s">
        <v>308</v>
      </c>
      <c r="U405" s="399" t="s">
        <v>309</v>
      </c>
      <c r="AA405" s="12"/>
      <c r="AB405" s="12"/>
      <c r="AC405" s="808"/>
      <c r="AD405" s="407"/>
    </row>
    <row r="406" spans="6:30" ht="10.5" customHeight="1">
      <c r="F406" s="238"/>
      <c r="G406" s="221"/>
      <c r="H406" s="221"/>
      <c r="I406" s="221"/>
      <c r="J406" s="221"/>
      <c r="K406" s="221"/>
      <c r="L406" s="221"/>
      <c r="M406" s="221"/>
      <c r="N406" s="221"/>
      <c r="O406" s="221"/>
      <c r="P406" s="447" t="s">
        <v>4107</v>
      </c>
      <c r="Q406" s="200"/>
      <c r="R406" s="122"/>
      <c r="S406" s="290"/>
      <c r="T406" s="399" t="s">
        <v>4108</v>
      </c>
      <c r="U406" s="399" t="s">
        <v>3367</v>
      </c>
      <c r="AA406" s="12"/>
      <c r="AB406" s="12"/>
      <c r="AC406" s="808"/>
      <c r="AD406" s="407"/>
    </row>
    <row r="407" spans="6:30" ht="10.5" customHeight="1">
      <c r="F407" s="238"/>
      <c r="G407" s="221"/>
      <c r="H407" s="221"/>
      <c r="I407" s="221"/>
      <c r="J407" s="221"/>
      <c r="K407" s="221"/>
      <c r="L407" s="221"/>
      <c r="M407" s="221"/>
      <c r="N407" s="221"/>
      <c r="O407" s="221"/>
      <c r="P407" s="447" t="s">
        <v>4109</v>
      </c>
      <c r="Q407" s="200"/>
      <c r="R407" s="122"/>
      <c r="S407" s="290"/>
      <c r="T407" s="399" t="s">
        <v>4110</v>
      </c>
      <c r="U407" s="399" t="s">
        <v>297</v>
      </c>
      <c r="AA407" s="12"/>
      <c r="AB407" s="12"/>
      <c r="AC407" s="808"/>
      <c r="AD407" s="407"/>
    </row>
    <row r="408" spans="6:30" ht="10.5" customHeight="1">
      <c r="F408" s="238"/>
      <c r="G408" s="221"/>
      <c r="H408" s="221"/>
      <c r="I408" s="221"/>
      <c r="J408" s="221"/>
      <c r="K408" s="221"/>
      <c r="L408" s="221"/>
      <c r="M408" s="221"/>
      <c r="N408" s="221"/>
      <c r="O408" s="221"/>
      <c r="P408" s="447" t="s">
        <v>4111</v>
      </c>
      <c r="Q408" s="200"/>
      <c r="R408" s="122"/>
      <c r="S408" s="290"/>
      <c r="T408" s="399" t="s">
        <v>3665</v>
      </c>
      <c r="U408" s="399" t="s">
        <v>332</v>
      </c>
      <c r="AA408" s="12"/>
      <c r="AB408" s="12"/>
      <c r="AC408" s="808"/>
      <c r="AD408" s="407"/>
    </row>
    <row r="409" spans="6:30" ht="10.5" customHeight="1">
      <c r="F409" s="238"/>
      <c r="G409" s="221"/>
      <c r="H409" s="221"/>
      <c r="I409" s="221"/>
      <c r="J409" s="221"/>
      <c r="K409" s="221"/>
      <c r="L409" s="221"/>
      <c r="M409" s="221"/>
      <c r="N409" s="221"/>
      <c r="O409" s="221"/>
      <c r="P409" s="447" t="s">
        <v>4112</v>
      </c>
      <c r="Q409" s="200"/>
      <c r="R409" s="122"/>
      <c r="S409" s="290"/>
      <c r="T409" s="399" t="s">
        <v>3672</v>
      </c>
      <c r="U409" s="399" t="s">
        <v>3488</v>
      </c>
      <c r="AA409" s="12"/>
      <c r="AB409" s="12"/>
      <c r="AC409" s="808"/>
      <c r="AD409" s="407"/>
    </row>
    <row r="410" spans="6:30" ht="10.5" customHeight="1">
      <c r="F410" s="238"/>
      <c r="G410" s="221"/>
      <c r="H410" s="221"/>
      <c r="I410" s="221"/>
      <c r="J410" s="221"/>
      <c r="K410" s="221"/>
      <c r="L410" s="221"/>
      <c r="M410" s="221"/>
      <c r="N410" s="221"/>
      <c r="O410" s="221"/>
      <c r="P410" s="447" t="s">
        <v>4113</v>
      </c>
      <c r="Q410" s="200"/>
      <c r="R410" s="122"/>
      <c r="S410" s="290"/>
      <c r="T410" s="194" t="s">
        <v>3676</v>
      </c>
      <c r="U410" s="194" t="s">
        <v>279</v>
      </c>
      <c r="AA410" s="12"/>
      <c r="AB410" s="12"/>
      <c r="AC410" s="808"/>
      <c r="AD410" s="407"/>
    </row>
    <row r="411" spans="6:30" ht="10.5" customHeight="1">
      <c r="F411" s="238"/>
      <c r="G411" s="221"/>
      <c r="H411" s="221"/>
      <c r="I411" s="221"/>
      <c r="J411" s="221"/>
      <c r="K411" s="221"/>
      <c r="L411" s="221"/>
      <c r="M411" s="221"/>
      <c r="N411" s="221"/>
      <c r="O411" s="221"/>
      <c r="P411" s="447" t="s">
        <v>4114</v>
      </c>
      <c r="Q411" s="200"/>
      <c r="R411" s="122"/>
      <c r="S411" s="290"/>
      <c r="T411" s="399" t="s">
        <v>310</v>
      </c>
      <c r="U411" s="399" t="s">
        <v>311</v>
      </c>
      <c r="AA411" s="12"/>
      <c r="AB411" s="12"/>
      <c r="AC411" s="407"/>
      <c r="AD411" s="407"/>
    </row>
    <row r="412" spans="6:30" ht="10.5" customHeight="1">
      <c r="F412" s="238"/>
      <c r="G412" s="221"/>
      <c r="H412" s="221"/>
      <c r="I412" s="221"/>
      <c r="J412" s="221"/>
      <c r="K412" s="221"/>
      <c r="L412" s="221"/>
      <c r="M412" s="221"/>
      <c r="N412" s="221"/>
      <c r="O412" s="221"/>
      <c r="P412" s="447" t="s">
        <v>4115</v>
      </c>
      <c r="Q412" s="200"/>
      <c r="R412" s="122"/>
      <c r="S412" s="290"/>
      <c r="T412" s="399" t="s">
        <v>4116</v>
      </c>
      <c r="U412" s="399" t="s">
        <v>334</v>
      </c>
      <c r="AA412" s="12"/>
      <c r="AB412" s="12"/>
      <c r="AC412" s="808"/>
      <c r="AD412" s="407"/>
    </row>
    <row r="413" spans="6:30" ht="10.5" customHeight="1">
      <c r="F413" s="238"/>
      <c r="G413" s="221"/>
      <c r="H413" s="221"/>
      <c r="I413" s="221"/>
      <c r="J413" s="221"/>
      <c r="K413" s="221"/>
      <c r="L413" s="221"/>
      <c r="M413" s="221"/>
      <c r="N413" s="221"/>
      <c r="O413" s="221"/>
      <c r="P413" s="447" t="s">
        <v>4117</v>
      </c>
      <c r="Q413" s="200"/>
      <c r="R413" s="122"/>
      <c r="S413" s="290"/>
      <c r="T413" s="399" t="s">
        <v>3481</v>
      </c>
      <c r="U413" s="399" t="s">
        <v>296</v>
      </c>
      <c r="AA413" s="12"/>
      <c r="AB413" s="12"/>
      <c r="AC413" s="808"/>
      <c r="AD413" s="407"/>
    </row>
    <row r="414" spans="6:30" ht="10.5" customHeight="1">
      <c r="F414" s="238"/>
      <c r="G414" s="221"/>
      <c r="H414" s="221"/>
      <c r="I414" s="221"/>
      <c r="J414" s="221"/>
      <c r="K414" s="221"/>
      <c r="L414" s="221"/>
      <c r="M414" s="221"/>
      <c r="N414" s="221"/>
      <c r="O414" s="221"/>
      <c r="P414" s="447" t="s">
        <v>4118</v>
      </c>
      <c r="Q414" s="200"/>
      <c r="R414" s="122"/>
      <c r="S414" s="290"/>
      <c r="T414" s="399" t="s">
        <v>4119</v>
      </c>
      <c r="U414" s="399" t="s">
        <v>3097</v>
      </c>
      <c r="AA414" s="12"/>
      <c r="AB414" s="12"/>
      <c r="AC414" s="808"/>
      <c r="AD414" s="407"/>
    </row>
    <row r="415" spans="6:30" ht="10.5" customHeight="1">
      <c r="F415" s="238"/>
      <c r="G415" s="221"/>
      <c r="H415" s="221"/>
      <c r="I415" s="221"/>
      <c r="J415" s="221"/>
      <c r="K415" s="221"/>
      <c r="L415" s="221"/>
      <c r="M415" s="221"/>
      <c r="N415" s="221"/>
      <c r="O415" s="221"/>
      <c r="P415" s="447" t="s">
        <v>4120</v>
      </c>
      <c r="Q415" s="200"/>
      <c r="R415" s="122"/>
      <c r="S415" s="290"/>
      <c r="T415" s="399" t="s">
        <v>2246</v>
      </c>
      <c r="U415" s="399" t="s">
        <v>298</v>
      </c>
      <c r="AA415" s="12"/>
      <c r="AB415" s="12"/>
      <c r="AC415" s="808"/>
      <c r="AD415" s="407"/>
    </row>
    <row r="416" spans="6:30" ht="10.5" customHeight="1">
      <c r="F416" s="238"/>
      <c r="G416" s="221"/>
      <c r="H416" s="221"/>
      <c r="I416" s="221"/>
      <c r="J416" s="221"/>
      <c r="K416" s="221"/>
      <c r="L416" s="221"/>
      <c r="M416" s="221"/>
      <c r="N416" s="221"/>
      <c r="O416" s="221"/>
      <c r="P416" s="447" t="s">
        <v>4121</v>
      </c>
      <c r="Q416" s="200"/>
      <c r="R416" s="122"/>
      <c r="S416" s="290"/>
      <c r="T416" s="399" t="s">
        <v>4122</v>
      </c>
      <c r="U416" s="399" t="s">
        <v>3875</v>
      </c>
      <c r="AA416" s="12"/>
      <c r="AB416" s="12"/>
      <c r="AC416" s="808"/>
      <c r="AD416" s="407"/>
    </row>
    <row r="417" spans="6:30" ht="10.5" customHeight="1">
      <c r="F417" s="238"/>
      <c r="G417" s="221"/>
      <c r="H417" s="221"/>
      <c r="I417" s="221"/>
      <c r="J417" s="221"/>
      <c r="K417" s="221"/>
      <c r="L417" s="221"/>
      <c r="M417" s="221"/>
      <c r="N417" s="221"/>
      <c r="O417" s="221"/>
      <c r="P417" s="447" t="s">
        <v>4123</v>
      </c>
      <c r="Q417" s="200"/>
      <c r="R417" s="122"/>
      <c r="S417" s="290"/>
      <c r="T417" s="399" t="s">
        <v>3685</v>
      </c>
      <c r="U417" s="399" t="s">
        <v>347</v>
      </c>
      <c r="AA417" s="12"/>
      <c r="AB417" s="12"/>
      <c r="AC417" s="808"/>
      <c r="AD417" s="407"/>
    </row>
    <row r="418" spans="6:30" ht="10.5" customHeight="1">
      <c r="F418" s="238"/>
      <c r="G418" s="221"/>
      <c r="H418" s="221"/>
      <c r="I418" s="221"/>
      <c r="J418" s="221"/>
      <c r="K418" s="221"/>
      <c r="L418" s="221"/>
      <c r="M418" s="221"/>
      <c r="N418" s="221"/>
      <c r="O418" s="221"/>
      <c r="P418" s="447" t="s">
        <v>4124</v>
      </c>
      <c r="Q418" s="200"/>
      <c r="R418" s="122"/>
      <c r="S418" s="290"/>
      <c r="T418" s="399" t="s">
        <v>2248</v>
      </c>
      <c r="U418" s="399" t="s">
        <v>3717</v>
      </c>
      <c r="AA418" s="12"/>
      <c r="AB418" s="12"/>
      <c r="AC418" s="808"/>
      <c r="AD418" s="407"/>
    </row>
    <row r="419" spans="6:30" ht="10.5" customHeight="1">
      <c r="F419" s="238"/>
      <c r="G419" s="221"/>
      <c r="H419" s="221"/>
      <c r="I419" s="221"/>
      <c r="J419" s="221"/>
      <c r="K419" s="221"/>
      <c r="L419" s="221"/>
      <c r="M419" s="221"/>
      <c r="N419" s="221"/>
      <c r="O419" s="221"/>
      <c r="P419" s="447" t="s">
        <v>4125</v>
      </c>
      <c r="Q419" s="200"/>
      <c r="R419" s="122"/>
      <c r="S419" s="290"/>
      <c r="T419" s="399" t="s">
        <v>3693</v>
      </c>
      <c r="U419" s="399" t="s">
        <v>3531</v>
      </c>
      <c r="AA419" s="12"/>
      <c r="AB419" s="12"/>
      <c r="AC419" s="808"/>
      <c r="AD419" s="407"/>
    </row>
    <row r="420" spans="6:30" ht="10.5" customHeight="1">
      <c r="F420" s="238"/>
      <c r="G420" s="221"/>
      <c r="H420" s="221"/>
      <c r="I420" s="221"/>
      <c r="J420" s="221"/>
      <c r="K420" s="221"/>
      <c r="L420" s="221"/>
      <c r="M420" s="221"/>
      <c r="N420" s="221"/>
      <c r="O420" s="221"/>
      <c r="P420" s="447" t="s">
        <v>4126</v>
      </c>
      <c r="Q420" s="200"/>
      <c r="R420" s="122"/>
      <c r="S420" s="290"/>
      <c r="T420" s="399" t="s">
        <v>4127</v>
      </c>
      <c r="U420" s="399" t="s">
        <v>3735</v>
      </c>
      <c r="AA420" s="12"/>
      <c r="AB420" s="12"/>
      <c r="AC420" s="808"/>
      <c r="AD420" s="407"/>
    </row>
    <row r="421" spans="6:30" ht="10.5" customHeight="1">
      <c r="F421" s="238"/>
      <c r="G421" s="221"/>
      <c r="H421" s="221"/>
      <c r="I421" s="221"/>
      <c r="J421" s="221"/>
      <c r="K421" s="221"/>
      <c r="L421" s="221"/>
      <c r="M421" s="221"/>
      <c r="N421" s="221"/>
      <c r="O421" s="221"/>
      <c r="P421" s="447" t="s">
        <v>4128</v>
      </c>
      <c r="Q421" s="200"/>
      <c r="R421" s="122"/>
      <c r="S421" s="290"/>
      <c r="T421" s="399" t="s">
        <v>3699</v>
      </c>
      <c r="U421" s="399" t="s">
        <v>3808</v>
      </c>
      <c r="AA421" s="12"/>
      <c r="AB421" s="12"/>
      <c r="AC421" s="808"/>
      <c r="AD421" s="407"/>
    </row>
    <row r="422" spans="6:30" ht="10.5" customHeight="1">
      <c r="F422" s="238"/>
      <c r="G422" s="221"/>
      <c r="H422" s="221"/>
      <c r="I422" s="221"/>
      <c r="J422" s="221"/>
      <c r="K422" s="221"/>
      <c r="L422" s="221"/>
      <c r="M422" s="221"/>
      <c r="N422" s="221"/>
      <c r="O422" s="221"/>
      <c r="P422" s="447" t="s">
        <v>4129</v>
      </c>
      <c r="Q422" s="200"/>
      <c r="R422" s="122"/>
      <c r="S422" s="290"/>
      <c r="T422" s="399" t="s">
        <v>4130</v>
      </c>
      <c r="U422" s="399" t="s">
        <v>318</v>
      </c>
      <c r="AA422" s="12"/>
      <c r="AB422" s="12"/>
      <c r="AC422" s="808"/>
      <c r="AD422" s="407"/>
    </row>
    <row r="423" spans="6:30" ht="10.5" customHeight="1">
      <c r="F423" s="238"/>
      <c r="G423" s="221"/>
      <c r="H423" s="221"/>
      <c r="I423" s="221"/>
      <c r="J423" s="221"/>
      <c r="K423" s="221"/>
      <c r="L423" s="221"/>
      <c r="M423" s="221"/>
      <c r="N423" s="221"/>
      <c r="O423" s="221"/>
      <c r="P423" s="447" t="s">
        <v>4131</v>
      </c>
      <c r="Q423" s="200"/>
      <c r="R423" s="122"/>
      <c r="S423" s="290"/>
      <c r="T423" s="399" t="s">
        <v>4132</v>
      </c>
      <c r="U423" s="399" t="s">
        <v>3267</v>
      </c>
      <c r="AA423" s="12"/>
      <c r="AB423" s="12"/>
      <c r="AC423" s="808"/>
      <c r="AD423" s="407"/>
    </row>
    <row r="424" spans="6:30" ht="10.5" customHeight="1">
      <c r="F424" s="238"/>
      <c r="G424" s="221"/>
      <c r="H424" s="221"/>
      <c r="I424" s="221"/>
      <c r="J424" s="221"/>
      <c r="K424" s="221"/>
      <c r="L424" s="221"/>
      <c r="M424" s="221"/>
      <c r="N424" s="221"/>
      <c r="O424" s="221"/>
      <c r="P424" s="447" t="s">
        <v>4133</v>
      </c>
      <c r="Q424" s="200"/>
      <c r="R424" s="122"/>
      <c r="S424" s="290"/>
      <c r="T424" s="194" t="s">
        <v>4134</v>
      </c>
      <c r="U424" s="194" t="s">
        <v>279</v>
      </c>
      <c r="AA424" s="12"/>
      <c r="AB424" s="12"/>
      <c r="AC424" s="808"/>
      <c r="AD424" s="407"/>
    </row>
    <row r="425" spans="6:30" ht="10.5" customHeight="1">
      <c r="F425" s="238"/>
      <c r="G425" s="221"/>
      <c r="H425" s="221"/>
      <c r="I425" s="221"/>
      <c r="J425" s="221"/>
      <c r="K425" s="221"/>
      <c r="L425" s="221"/>
      <c r="M425" s="221"/>
      <c r="N425" s="221"/>
      <c r="O425" s="221"/>
      <c r="P425" s="447" t="s">
        <v>4135</v>
      </c>
      <c r="Q425" s="200"/>
      <c r="R425" s="122"/>
      <c r="S425" s="290"/>
      <c r="T425" s="399" t="s">
        <v>3704</v>
      </c>
      <c r="U425" s="399" t="s">
        <v>309</v>
      </c>
      <c r="AA425" s="12"/>
      <c r="AB425" s="12"/>
      <c r="AC425" s="407"/>
      <c r="AD425" s="407"/>
    </row>
    <row r="426" spans="6:30" ht="10.5" customHeight="1">
      <c r="F426" s="238"/>
      <c r="G426" s="221"/>
      <c r="H426" s="221"/>
      <c r="I426" s="221"/>
      <c r="J426" s="221"/>
      <c r="K426" s="221"/>
      <c r="L426" s="221"/>
      <c r="M426" s="221"/>
      <c r="N426" s="221"/>
      <c r="O426" s="221"/>
      <c r="P426" s="447" t="s">
        <v>4136</v>
      </c>
      <c r="Q426" s="200"/>
      <c r="R426" s="122"/>
      <c r="S426" s="290"/>
      <c r="T426" s="194" t="s">
        <v>4137</v>
      </c>
      <c r="U426" s="194" t="s">
        <v>330</v>
      </c>
      <c r="AA426" s="12"/>
      <c r="AB426" s="12"/>
      <c r="AC426" s="808"/>
      <c r="AD426" s="407"/>
    </row>
    <row r="427" spans="6:30" ht="10.5" customHeight="1">
      <c r="F427" s="238"/>
      <c r="G427" s="221"/>
      <c r="H427" s="221"/>
      <c r="I427" s="221"/>
      <c r="J427" s="221"/>
      <c r="K427" s="221"/>
      <c r="L427" s="221"/>
      <c r="M427" s="221"/>
      <c r="N427" s="221"/>
      <c r="O427" s="221"/>
      <c r="P427" s="447" t="s">
        <v>4138</v>
      </c>
      <c r="Q427" s="200"/>
      <c r="R427" s="122"/>
      <c r="S427" s="290"/>
      <c r="T427" s="399" t="s">
        <v>312</v>
      </c>
      <c r="U427" s="399" t="s">
        <v>313</v>
      </c>
      <c r="AA427" s="12"/>
      <c r="AB427" s="12"/>
      <c r="AC427" s="407"/>
      <c r="AD427" s="407"/>
    </row>
    <row r="428" spans="6:30" ht="10.5" customHeight="1">
      <c r="F428" s="238"/>
      <c r="G428" s="221"/>
      <c r="H428" s="221"/>
      <c r="I428" s="221"/>
      <c r="J428" s="221"/>
      <c r="K428" s="221"/>
      <c r="L428" s="221"/>
      <c r="M428" s="221"/>
      <c r="N428" s="221"/>
      <c r="O428" s="221"/>
      <c r="P428" s="447" t="s">
        <v>4139</v>
      </c>
      <c r="Q428" s="200"/>
      <c r="R428" s="122"/>
      <c r="S428" s="290"/>
      <c r="T428" s="194" t="s">
        <v>4140</v>
      </c>
      <c r="U428" s="194" t="s">
        <v>3756</v>
      </c>
      <c r="AA428" s="12"/>
      <c r="AB428" s="12"/>
      <c r="AC428" s="808"/>
      <c r="AD428" s="407"/>
    </row>
    <row r="429" spans="6:30" ht="10.5" customHeight="1">
      <c r="F429" s="238"/>
      <c r="G429" s="221"/>
      <c r="H429" s="221"/>
      <c r="I429" s="221"/>
      <c r="J429" s="221"/>
      <c r="K429" s="221"/>
      <c r="L429" s="221"/>
      <c r="M429" s="221"/>
      <c r="N429" s="221"/>
      <c r="O429" s="221"/>
      <c r="P429" s="447" t="s">
        <v>4141</v>
      </c>
      <c r="Q429" s="200"/>
      <c r="R429" s="122"/>
      <c r="S429" s="290"/>
      <c r="T429" s="399" t="s">
        <v>3708</v>
      </c>
      <c r="U429" s="399" t="s">
        <v>304</v>
      </c>
      <c r="AA429" s="12"/>
      <c r="AB429" s="12"/>
      <c r="AC429" s="407"/>
      <c r="AD429" s="407"/>
    </row>
    <row r="430" spans="6:30" ht="10.5" customHeight="1">
      <c r="F430" s="238"/>
      <c r="G430" s="221"/>
      <c r="H430" s="221"/>
      <c r="I430" s="221"/>
      <c r="J430" s="221"/>
      <c r="K430" s="221"/>
      <c r="L430" s="221"/>
      <c r="M430" s="221"/>
      <c r="N430" s="221"/>
      <c r="O430" s="221"/>
      <c r="P430" s="447" t="s">
        <v>4142</v>
      </c>
      <c r="Q430" s="200"/>
      <c r="R430" s="122"/>
      <c r="S430" s="290"/>
      <c r="T430" s="399" t="s">
        <v>3712</v>
      </c>
      <c r="U430" s="399" t="s">
        <v>3474</v>
      </c>
      <c r="AA430" s="12"/>
      <c r="AB430" s="12"/>
      <c r="AC430" s="808"/>
      <c r="AD430" s="407"/>
    </row>
    <row r="431" spans="6:30" ht="10.5" customHeight="1">
      <c r="F431" s="238"/>
      <c r="G431" s="221"/>
      <c r="H431" s="221"/>
      <c r="I431" s="221"/>
      <c r="J431" s="221"/>
      <c r="K431" s="221"/>
      <c r="L431" s="221"/>
      <c r="M431" s="221"/>
      <c r="N431" s="221"/>
      <c r="O431" s="221"/>
      <c r="P431" s="447" t="s">
        <v>4143</v>
      </c>
      <c r="Q431" s="200"/>
      <c r="R431" s="122"/>
      <c r="S431" s="290"/>
      <c r="T431" s="399" t="s">
        <v>4144</v>
      </c>
      <c r="U431" s="399" t="s">
        <v>3150</v>
      </c>
      <c r="AA431" s="12"/>
      <c r="AB431" s="12"/>
      <c r="AC431" s="808"/>
      <c r="AD431" s="407"/>
    </row>
    <row r="432" spans="6:30" ht="10.5" customHeight="1">
      <c r="F432" s="238"/>
      <c r="G432" s="221"/>
      <c r="H432" s="221"/>
      <c r="I432" s="221"/>
      <c r="J432" s="221"/>
      <c r="K432" s="221"/>
      <c r="L432" s="221"/>
      <c r="M432" s="221"/>
      <c r="N432" s="221"/>
      <c r="O432" s="221"/>
      <c r="P432" s="447" t="s">
        <v>4145</v>
      </c>
      <c r="Q432" s="200"/>
      <c r="R432" s="122"/>
      <c r="S432" s="290"/>
      <c r="T432" s="399" t="s">
        <v>3716</v>
      </c>
      <c r="U432" s="399" t="s">
        <v>3838</v>
      </c>
      <c r="AA432" s="12"/>
      <c r="AB432" s="12"/>
      <c r="AC432" s="808"/>
      <c r="AD432" s="407"/>
    </row>
    <row r="433" spans="6:30" ht="10.5" customHeight="1">
      <c r="F433" s="238"/>
      <c r="G433" s="221"/>
      <c r="H433" s="221"/>
      <c r="I433" s="221"/>
      <c r="J433" s="221"/>
      <c r="K433" s="221"/>
      <c r="L433" s="221"/>
      <c r="M433" s="221"/>
      <c r="N433" s="221"/>
      <c r="O433" s="221"/>
      <c r="P433" s="447" t="s">
        <v>4146</v>
      </c>
      <c r="Q433" s="200"/>
      <c r="R433" s="122"/>
      <c r="S433" s="290"/>
      <c r="T433" s="399" t="s">
        <v>4147</v>
      </c>
      <c r="U433" s="399" t="s">
        <v>3242</v>
      </c>
      <c r="AA433" s="12"/>
      <c r="AB433" s="12"/>
      <c r="AC433" s="808"/>
      <c r="AD433" s="407"/>
    </row>
    <row r="434" spans="6:30" ht="10.5" customHeight="1">
      <c r="F434" s="238"/>
      <c r="G434" s="221"/>
      <c r="H434" s="221"/>
      <c r="I434" s="221"/>
      <c r="J434" s="221"/>
      <c r="K434" s="221"/>
      <c r="L434" s="221"/>
      <c r="M434" s="221"/>
      <c r="N434" s="221"/>
      <c r="O434" s="221"/>
      <c r="P434" s="447" t="s">
        <v>4148</v>
      </c>
      <c r="Q434" s="200"/>
      <c r="R434" s="122"/>
      <c r="S434" s="290"/>
      <c r="T434" s="399" t="s">
        <v>4149</v>
      </c>
      <c r="U434" s="399" t="s">
        <v>3216</v>
      </c>
      <c r="AA434" s="12"/>
      <c r="AB434" s="12"/>
      <c r="AC434" s="808"/>
      <c r="AD434" s="407"/>
    </row>
    <row r="435" spans="6:30" ht="10.5" customHeight="1">
      <c r="F435" s="238"/>
      <c r="G435" s="221"/>
      <c r="H435" s="221"/>
      <c r="I435" s="221"/>
      <c r="J435" s="221"/>
      <c r="K435" s="221"/>
      <c r="L435" s="221"/>
      <c r="M435" s="221"/>
      <c r="N435" s="221"/>
      <c r="O435" s="221"/>
      <c r="P435" s="447" t="s">
        <v>4150</v>
      </c>
      <c r="Q435" s="200"/>
      <c r="R435" s="122"/>
      <c r="S435" s="290"/>
      <c r="T435" s="399" t="s">
        <v>4151</v>
      </c>
      <c r="U435" s="399" t="s">
        <v>3106</v>
      </c>
      <c r="AA435" s="12"/>
      <c r="AB435" s="12"/>
      <c r="AC435" s="808"/>
      <c r="AD435" s="407"/>
    </row>
    <row r="436" spans="6:30" ht="10.5" customHeight="1">
      <c r="F436" s="238"/>
      <c r="G436" s="221"/>
      <c r="H436" s="221"/>
      <c r="I436" s="221"/>
      <c r="J436" s="221"/>
      <c r="K436" s="221"/>
      <c r="L436" s="221"/>
      <c r="M436" s="221"/>
      <c r="N436" s="221"/>
      <c r="O436" s="221"/>
      <c r="P436" s="447" t="s">
        <v>4152</v>
      </c>
      <c r="Q436" s="200"/>
      <c r="R436" s="122"/>
      <c r="S436" s="290"/>
      <c r="T436" s="399" t="s">
        <v>3721</v>
      </c>
      <c r="U436" s="399" t="s">
        <v>3221</v>
      </c>
      <c r="AA436" s="12"/>
      <c r="AB436" s="12"/>
      <c r="AC436" s="808"/>
      <c r="AD436" s="407"/>
    </row>
    <row r="437" spans="6:30" ht="10.5" customHeight="1">
      <c r="F437" s="238"/>
      <c r="G437" s="221"/>
      <c r="H437" s="221"/>
      <c r="I437" s="221"/>
      <c r="J437" s="221"/>
      <c r="K437" s="221"/>
      <c r="L437" s="221"/>
      <c r="M437" s="221"/>
      <c r="N437" s="221"/>
      <c r="O437" s="221"/>
      <c r="P437" s="447" t="s">
        <v>4153</v>
      </c>
      <c r="Q437" s="200"/>
      <c r="R437" s="122"/>
      <c r="S437" s="290"/>
      <c r="T437" s="399" t="s">
        <v>4154</v>
      </c>
      <c r="U437" s="399" t="s">
        <v>3213</v>
      </c>
      <c r="AA437" s="12"/>
      <c r="AB437" s="12"/>
      <c r="AC437" s="808"/>
      <c r="AD437" s="407"/>
    </row>
    <row r="438" spans="6:30" ht="10.5" customHeight="1">
      <c r="F438" s="238"/>
      <c r="G438" s="221"/>
      <c r="H438" s="221"/>
      <c r="I438" s="221"/>
      <c r="J438" s="221"/>
      <c r="K438" s="221"/>
      <c r="L438" s="221"/>
      <c r="M438" s="221"/>
      <c r="N438" s="221"/>
      <c r="O438" s="221"/>
      <c r="P438" s="447" t="s">
        <v>4155</v>
      </c>
      <c r="Q438" s="200"/>
      <c r="R438" s="122"/>
      <c r="S438" s="290"/>
      <c r="T438" s="399" t="s">
        <v>4156</v>
      </c>
      <c r="U438" s="399" t="s">
        <v>3547</v>
      </c>
      <c r="AA438" s="12"/>
      <c r="AB438" s="12"/>
      <c r="AC438" s="808"/>
      <c r="AD438" s="407"/>
    </row>
    <row r="439" spans="6:30" ht="10.5" customHeight="1">
      <c r="F439" s="238"/>
      <c r="G439" s="221"/>
      <c r="H439" s="221"/>
      <c r="I439" s="221"/>
      <c r="J439" s="221"/>
      <c r="K439" s="221"/>
      <c r="L439" s="221"/>
      <c r="M439" s="221"/>
      <c r="N439" s="221"/>
      <c r="O439" s="221"/>
      <c r="P439" s="447" t="s">
        <v>4157</v>
      </c>
      <c r="Q439" s="200"/>
      <c r="R439" s="122"/>
      <c r="S439" s="290"/>
      <c r="T439" s="449" t="s">
        <v>4158</v>
      </c>
      <c r="U439" s="399" t="s">
        <v>2252</v>
      </c>
      <c r="AA439" s="12"/>
      <c r="AB439" s="12"/>
      <c r="AC439" s="808"/>
      <c r="AD439" s="407"/>
    </row>
    <row r="440" spans="6:30" ht="10.5" customHeight="1">
      <c r="F440" s="238"/>
      <c r="G440" s="221"/>
      <c r="H440" s="221"/>
      <c r="I440" s="221"/>
      <c r="J440" s="221"/>
      <c r="K440" s="221"/>
      <c r="L440" s="221"/>
      <c r="M440" s="221"/>
      <c r="N440" s="221"/>
      <c r="O440" s="221"/>
      <c r="P440" s="447" t="s">
        <v>4159</v>
      </c>
      <c r="Q440" s="200"/>
      <c r="R440" s="122"/>
      <c r="S440" s="290"/>
      <c r="T440" s="399" t="s">
        <v>3727</v>
      </c>
      <c r="U440" s="399" t="s">
        <v>2950</v>
      </c>
      <c r="AA440" s="12"/>
      <c r="AB440" s="12"/>
      <c r="AC440" s="809"/>
      <c r="AD440" s="407"/>
    </row>
    <row r="441" spans="6:30" ht="10.5" customHeight="1">
      <c r="F441" s="238"/>
      <c r="G441" s="221"/>
      <c r="H441" s="221"/>
      <c r="I441" s="221"/>
      <c r="J441" s="221"/>
      <c r="K441" s="221"/>
      <c r="L441" s="221"/>
      <c r="M441" s="221"/>
      <c r="N441" s="221"/>
      <c r="O441" s="221"/>
      <c r="P441" s="447" t="s">
        <v>4160</v>
      </c>
      <c r="Q441" s="200"/>
      <c r="R441" s="122"/>
      <c r="S441" s="290"/>
      <c r="T441" s="399" t="s">
        <v>4161</v>
      </c>
      <c r="U441" s="399" t="s">
        <v>2252</v>
      </c>
      <c r="AA441" s="12"/>
      <c r="AB441" s="12"/>
      <c r="AC441" s="808"/>
      <c r="AD441" s="407"/>
    </row>
    <row r="442" spans="6:30" ht="10.5" customHeight="1">
      <c r="F442" s="238"/>
      <c r="G442" s="221"/>
      <c r="H442" s="221"/>
      <c r="I442" s="221"/>
      <c r="J442" s="221"/>
      <c r="K442" s="221"/>
      <c r="L442" s="221"/>
      <c r="M442" s="221"/>
      <c r="N442" s="221"/>
      <c r="O442" s="221"/>
      <c r="P442" s="447" t="s">
        <v>4162</v>
      </c>
      <c r="Q442" s="200"/>
      <c r="R442" s="122"/>
      <c r="S442" s="290"/>
      <c r="T442" s="399" t="s">
        <v>314</v>
      </c>
      <c r="U442" s="399" t="s">
        <v>315</v>
      </c>
      <c r="AA442" s="12"/>
      <c r="AB442" s="12"/>
      <c r="AC442" s="808"/>
      <c r="AD442" s="407"/>
    </row>
    <row r="443" spans="6:30" ht="10.5" customHeight="1">
      <c r="F443" s="238"/>
      <c r="G443" s="221"/>
      <c r="H443" s="221"/>
      <c r="I443" s="221"/>
      <c r="J443" s="221"/>
      <c r="K443" s="221"/>
      <c r="L443" s="221"/>
      <c r="M443" s="221"/>
      <c r="N443" s="221"/>
      <c r="O443" s="221"/>
      <c r="P443" s="447" t="s">
        <v>4163</v>
      </c>
      <c r="Q443" s="200"/>
      <c r="R443" s="122"/>
      <c r="S443" s="290"/>
      <c r="T443" s="399" t="s">
        <v>4164</v>
      </c>
      <c r="U443" s="399" t="s">
        <v>3767</v>
      </c>
      <c r="AA443" s="12"/>
      <c r="AB443" s="12"/>
      <c r="AC443" s="808"/>
      <c r="AD443" s="407"/>
    </row>
    <row r="444" spans="6:30" ht="10.5" customHeight="1">
      <c r="F444" s="238"/>
      <c r="G444" s="221"/>
      <c r="H444" s="221"/>
      <c r="I444" s="221"/>
      <c r="J444" s="221"/>
      <c r="K444" s="221"/>
      <c r="L444" s="221"/>
      <c r="M444" s="221"/>
      <c r="N444" s="221"/>
      <c r="O444" s="221"/>
      <c r="P444" s="447" t="s">
        <v>4165</v>
      </c>
      <c r="Q444" s="200"/>
      <c r="R444" s="122"/>
      <c r="S444" s="290"/>
      <c r="T444" s="194" t="s">
        <v>316</v>
      </c>
      <c r="U444" s="194" t="s">
        <v>281</v>
      </c>
      <c r="AA444" s="12"/>
      <c r="AB444" s="12"/>
      <c r="AC444" s="808"/>
      <c r="AD444" s="407"/>
    </row>
    <row r="445" spans="6:30" ht="10.5" customHeight="1">
      <c r="F445" s="238"/>
      <c r="G445" s="221"/>
      <c r="H445" s="221"/>
      <c r="I445" s="221"/>
      <c r="J445" s="221"/>
      <c r="K445" s="221"/>
      <c r="L445" s="221"/>
      <c r="M445" s="221"/>
      <c r="N445" s="221"/>
      <c r="O445" s="221"/>
      <c r="P445" s="447" t="s">
        <v>4166</v>
      </c>
      <c r="Q445" s="200"/>
      <c r="R445" s="122"/>
      <c r="S445" s="290"/>
      <c r="T445" s="399" t="s">
        <v>4167</v>
      </c>
      <c r="U445" s="399" t="s">
        <v>3148</v>
      </c>
      <c r="AA445" s="12"/>
      <c r="AB445" s="12"/>
      <c r="AC445" s="407"/>
      <c r="AD445" s="407"/>
    </row>
    <row r="446" spans="6:30" ht="10.5" customHeight="1">
      <c r="F446" s="238"/>
      <c r="G446" s="221"/>
      <c r="H446" s="221"/>
      <c r="I446" s="221"/>
      <c r="J446" s="221"/>
      <c r="K446" s="221"/>
      <c r="L446" s="221"/>
      <c r="M446" s="221"/>
      <c r="N446" s="221"/>
      <c r="O446" s="221"/>
      <c r="P446" s="447" t="s">
        <v>4168</v>
      </c>
      <c r="Q446" s="200"/>
      <c r="R446" s="122"/>
      <c r="S446" s="290"/>
      <c r="T446" s="399" t="s">
        <v>317</v>
      </c>
      <c r="U446" s="399" t="s">
        <v>318</v>
      </c>
      <c r="AA446" s="12"/>
      <c r="AB446" s="12"/>
      <c r="AC446" s="808"/>
      <c r="AD446" s="407"/>
    </row>
    <row r="447" spans="6:30" ht="10.5" customHeight="1">
      <c r="F447" s="238"/>
      <c r="G447" s="221"/>
      <c r="H447" s="221"/>
      <c r="I447" s="221"/>
      <c r="J447" s="221"/>
      <c r="K447" s="221"/>
      <c r="L447" s="221"/>
      <c r="M447" s="221"/>
      <c r="N447" s="221"/>
      <c r="O447" s="221"/>
      <c r="P447" s="447" t="s">
        <v>4169</v>
      </c>
      <c r="Q447" s="200"/>
      <c r="R447" s="122"/>
      <c r="S447" s="290"/>
      <c r="T447" s="399" t="s">
        <v>4170</v>
      </c>
      <c r="U447" s="399" t="s">
        <v>3148</v>
      </c>
      <c r="AA447" s="12"/>
      <c r="AB447" s="12"/>
      <c r="AC447" s="808"/>
      <c r="AD447" s="407"/>
    </row>
    <row r="448" spans="6:30" ht="10.5" customHeight="1">
      <c r="F448" s="238"/>
      <c r="G448" s="221"/>
      <c r="H448" s="221"/>
      <c r="I448" s="221"/>
      <c r="J448" s="221"/>
      <c r="K448" s="221"/>
      <c r="L448" s="221"/>
      <c r="M448" s="221"/>
      <c r="N448" s="221"/>
      <c r="O448" s="221"/>
      <c r="P448" s="447" t="s">
        <v>4171</v>
      </c>
      <c r="Q448" s="200"/>
      <c r="R448" s="122"/>
      <c r="S448" s="290"/>
      <c r="T448" s="399" t="s">
        <v>3213</v>
      </c>
      <c r="U448" s="399" t="s">
        <v>3179</v>
      </c>
      <c r="AA448" s="12"/>
      <c r="AB448" s="12"/>
      <c r="AC448" s="808"/>
      <c r="AD448" s="407"/>
    </row>
    <row r="449" spans="6:30" ht="10.5" customHeight="1">
      <c r="F449" s="238"/>
      <c r="G449" s="221"/>
      <c r="H449" s="221"/>
      <c r="I449" s="221"/>
      <c r="J449" s="221"/>
      <c r="K449" s="221"/>
      <c r="L449" s="221"/>
      <c r="M449" s="221"/>
      <c r="N449" s="221"/>
      <c r="O449" s="221"/>
      <c r="P449" s="447" t="s">
        <v>4172</v>
      </c>
      <c r="Q449" s="200"/>
      <c r="R449" s="122"/>
      <c r="S449" s="290"/>
      <c r="T449" s="399" t="s">
        <v>4173</v>
      </c>
      <c r="U449" s="399" t="s">
        <v>3808</v>
      </c>
      <c r="AA449" s="12"/>
      <c r="AB449" s="12"/>
      <c r="AC449" s="808"/>
      <c r="AD449" s="407"/>
    </row>
    <row r="450" spans="6:30" ht="10.5" customHeight="1">
      <c r="F450" s="238"/>
      <c r="G450" s="221"/>
      <c r="H450" s="221"/>
      <c r="I450" s="221"/>
      <c r="J450" s="221"/>
      <c r="K450" s="221"/>
      <c r="L450" s="221"/>
      <c r="M450" s="221"/>
      <c r="N450" s="221"/>
      <c r="O450" s="221"/>
      <c r="P450" s="447" t="s">
        <v>4174</v>
      </c>
      <c r="Q450" s="200"/>
      <c r="R450" s="122"/>
      <c r="S450" s="290"/>
      <c r="T450" s="399" t="s">
        <v>4175</v>
      </c>
      <c r="U450" s="399" t="s">
        <v>3354</v>
      </c>
      <c r="AA450" s="12"/>
      <c r="AB450" s="12"/>
      <c r="AC450" s="808"/>
      <c r="AD450" s="407"/>
    </row>
    <row r="451" spans="6:30" ht="10.5" customHeight="1">
      <c r="F451" s="238"/>
      <c r="G451" s="221"/>
      <c r="H451" s="221"/>
      <c r="I451" s="221"/>
      <c r="J451" s="221"/>
      <c r="K451" s="221"/>
      <c r="L451" s="221"/>
      <c r="M451" s="221"/>
      <c r="N451" s="221"/>
      <c r="O451" s="221"/>
      <c r="P451" s="447" t="s">
        <v>4176</v>
      </c>
      <c r="Q451" s="200"/>
      <c r="R451" s="122"/>
      <c r="S451" s="290"/>
      <c r="T451" s="399" t="s">
        <v>3525</v>
      </c>
      <c r="U451" s="399" t="s">
        <v>3700</v>
      </c>
      <c r="AA451" s="12"/>
      <c r="AB451" s="12"/>
      <c r="AC451" s="808"/>
      <c r="AD451" s="407"/>
    </row>
    <row r="452" spans="6:30" ht="10.5" customHeight="1">
      <c r="F452" s="238"/>
      <c r="G452" s="221"/>
      <c r="H452" s="221"/>
      <c r="I452" s="221"/>
      <c r="J452" s="221"/>
      <c r="K452" s="221"/>
      <c r="L452" s="221"/>
      <c r="M452" s="221"/>
      <c r="N452" s="221"/>
      <c r="O452" s="221"/>
      <c r="P452" s="447" t="s">
        <v>4177</v>
      </c>
      <c r="Q452" s="200"/>
      <c r="R452" s="122"/>
      <c r="S452" s="290"/>
      <c r="T452" s="399" t="s">
        <v>3284</v>
      </c>
      <c r="U452" s="399" t="s">
        <v>3213</v>
      </c>
      <c r="AA452" s="12"/>
      <c r="AB452" s="12"/>
      <c r="AC452" s="808"/>
      <c r="AD452" s="407"/>
    </row>
    <row r="453" spans="6:30" ht="10.5" customHeight="1">
      <c r="F453" s="238"/>
      <c r="G453" s="221"/>
      <c r="H453" s="221"/>
      <c r="I453" s="221"/>
      <c r="J453" s="221"/>
      <c r="K453" s="221"/>
      <c r="L453" s="221"/>
      <c r="M453" s="221"/>
      <c r="N453" s="221"/>
      <c r="O453" s="221"/>
      <c r="P453" s="447" t="s">
        <v>4178</v>
      </c>
      <c r="Q453" s="200"/>
      <c r="R453" s="122"/>
      <c r="S453" s="290"/>
      <c r="T453" s="194" t="s">
        <v>4179</v>
      </c>
      <c r="U453" s="194" t="s">
        <v>3847</v>
      </c>
      <c r="AA453" s="12"/>
      <c r="AB453" s="12"/>
      <c r="AC453" s="808"/>
      <c r="AD453" s="407"/>
    </row>
    <row r="454" spans="6:30" ht="10.5" customHeight="1">
      <c r="F454" s="238"/>
      <c r="G454" s="221"/>
      <c r="H454" s="221"/>
      <c r="I454" s="221"/>
      <c r="J454" s="221"/>
      <c r="K454" s="221"/>
      <c r="L454" s="221"/>
      <c r="M454" s="221"/>
      <c r="N454" s="221"/>
      <c r="O454" s="221"/>
      <c r="P454" s="447" t="s">
        <v>4180</v>
      </c>
      <c r="Q454" s="200"/>
      <c r="R454" s="122"/>
      <c r="S454" s="290"/>
      <c r="T454" s="194" t="s">
        <v>4181</v>
      </c>
      <c r="U454" s="194" t="s">
        <v>3179</v>
      </c>
      <c r="AA454" s="12"/>
      <c r="AB454" s="12"/>
      <c r="AC454" s="407"/>
      <c r="AD454" s="407"/>
    </row>
    <row r="455" spans="6:30" ht="10.5" customHeight="1">
      <c r="F455" s="238"/>
      <c r="G455" s="221"/>
      <c r="H455" s="221"/>
      <c r="I455" s="221"/>
      <c r="J455" s="221"/>
      <c r="K455" s="221"/>
      <c r="L455" s="221"/>
      <c r="M455" s="221"/>
      <c r="N455" s="221"/>
      <c r="O455" s="221"/>
      <c r="P455" s="447" t="s">
        <v>4182</v>
      </c>
      <c r="Q455" s="200"/>
      <c r="R455" s="122"/>
      <c r="S455" s="290"/>
      <c r="T455" s="399" t="s">
        <v>4183</v>
      </c>
      <c r="U455" s="399" t="s">
        <v>3365</v>
      </c>
      <c r="AA455" s="12"/>
      <c r="AB455" s="12"/>
      <c r="AC455" s="407"/>
      <c r="AD455" s="407"/>
    </row>
    <row r="456" spans="6:30" ht="10.5" customHeight="1">
      <c r="F456" s="238"/>
      <c r="G456" s="221"/>
      <c r="H456" s="221"/>
      <c r="I456" s="221"/>
      <c r="J456" s="221"/>
      <c r="K456" s="221"/>
      <c r="L456" s="221"/>
      <c r="M456" s="221"/>
      <c r="N456" s="221"/>
      <c r="O456" s="221"/>
      <c r="P456" s="447" t="s">
        <v>4184</v>
      </c>
      <c r="Q456" s="200"/>
      <c r="R456" s="122"/>
      <c r="S456" s="290"/>
      <c r="T456" s="399" t="s">
        <v>3745</v>
      </c>
      <c r="U456" s="399" t="s">
        <v>3880</v>
      </c>
      <c r="AA456" s="12"/>
      <c r="AB456" s="12"/>
      <c r="AC456" s="808"/>
      <c r="AD456" s="407"/>
    </row>
    <row r="457" spans="6:30" ht="10.5" customHeight="1">
      <c r="F457" s="238"/>
      <c r="G457" s="221"/>
      <c r="H457" s="221"/>
      <c r="I457" s="221"/>
      <c r="J457" s="221"/>
      <c r="K457" s="221"/>
      <c r="L457" s="221"/>
      <c r="M457" s="221"/>
      <c r="N457" s="221"/>
      <c r="O457" s="221"/>
      <c r="P457" s="447" t="s">
        <v>4185</v>
      </c>
      <c r="Q457" s="200"/>
      <c r="R457" s="122"/>
      <c r="S457" s="290"/>
      <c r="T457" s="399" t="s">
        <v>3748</v>
      </c>
      <c r="U457" s="399" t="s">
        <v>334</v>
      </c>
      <c r="AA457" s="12"/>
      <c r="AB457" s="12"/>
      <c r="AC457" s="808"/>
      <c r="AD457" s="407"/>
    </row>
    <row r="458" spans="6:30" ht="10.5" customHeight="1">
      <c r="F458" s="238"/>
      <c r="G458" s="221"/>
      <c r="H458" s="221"/>
      <c r="I458" s="221"/>
      <c r="J458" s="221"/>
      <c r="K458" s="221"/>
      <c r="L458" s="221"/>
      <c r="M458" s="221"/>
      <c r="N458" s="221"/>
      <c r="O458" s="221"/>
      <c r="P458" s="447" t="s">
        <v>4186</v>
      </c>
      <c r="Q458" s="200"/>
      <c r="R458" s="122"/>
      <c r="S458" s="290"/>
      <c r="T458" s="399" t="s">
        <v>3755</v>
      </c>
      <c r="U458" s="399" t="s">
        <v>281</v>
      </c>
      <c r="AA458" s="12"/>
      <c r="AB458" s="12"/>
      <c r="AC458" s="808"/>
      <c r="AD458" s="407"/>
    </row>
    <row r="459" spans="6:30" ht="10.5" customHeight="1">
      <c r="F459" s="238"/>
      <c r="G459" s="221"/>
      <c r="H459" s="221"/>
      <c r="I459" s="221"/>
      <c r="J459" s="221"/>
      <c r="K459" s="221"/>
      <c r="L459" s="221"/>
      <c r="M459" s="221"/>
      <c r="N459" s="221"/>
      <c r="O459" s="221"/>
      <c r="P459" s="447" t="s">
        <v>4187</v>
      </c>
      <c r="Q459" s="200"/>
      <c r="R459" s="122"/>
      <c r="S459" s="290"/>
      <c r="T459" s="399" t="s">
        <v>4188</v>
      </c>
      <c r="U459" s="399" t="s">
        <v>3790</v>
      </c>
      <c r="AA459" s="12"/>
      <c r="AB459" s="12"/>
      <c r="AC459" s="808"/>
      <c r="AD459" s="407"/>
    </row>
    <row r="460" spans="6:30" ht="10.5" customHeight="1">
      <c r="F460" s="238"/>
      <c r="G460" s="221"/>
      <c r="H460" s="221"/>
      <c r="I460" s="221"/>
      <c r="J460" s="221"/>
      <c r="K460" s="221"/>
      <c r="L460" s="221"/>
      <c r="M460" s="221"/>
      <c r="N460" s="221"/>
      <c r="O460" s="221"/>
      <c r="P460" s="447" t="s">
        <v>4189</v>
      </c>
      <c r="Q460" s="200"/>
      <c r="R460" s="122"/>
      <c r="S460" s="290"/>
      <c r="T460" s="399" t="s">
        <v>4190</v>
      </c>
      <c r="U460" s="399" t="s">
        <v>301</v>
      </c>
      <c r="AA460" s="12"/>
      <c r="AB460" s="12"/>
      <c r="AC460" s="808"/>
      <c r="AD460" s="407"/>
    </row>
    <row r="461" spans="6:30" ht="10.5" customHeight="1">
      <c r="F461" s="238"/>
      <c r="G461" s="221"/>
      <c r="H461" s="221"/>
      <c r="I461" s="221"/>
      <c r="J461" s="221"/>
      <c r="K461" s="221"/>
      <c r="L461" s="221"/>
      <c r="M461" s="221"/>
      <c r="N461" s="221"/>
      <c r="O461" s="221"/>
      <c r="P461" s="447" t="s">
        <v>4191</v>
      </c>
      <c r="Q461" s="200"/>
      <c r="R461" s="122"/>
      <c r="S461" s="290"/>
      <c r="T461" s="399" t="s">
        <v>4192</v>
      </c>
      <c r="U461" s="399" t="s">
        <v>3171</v>
      </c>
      <c r="AA461" s="12"/>
      <c r="AB461" s="12"/>
      <c r="AC461" s="808"/>
      <c r="AD461" s="407"/>
    </row>
    <row r="462" spans="6:30" ht="10.5" customHeight="1">
      <c r="F462" s="238"/>
      <c r="G462" s="221"/>
      <c r="H462" s="221"/>
      <c r="I462" s="221"/>
      <c r="J462" s="221"/>
      <c r="K462" s="221"/>
      <c r="L462" s="221"/>
      <c r="M462" s="221"/>
      <c r="N462" s="221"/>
      <c r="O462" s="221"/>
      <c r="P462" s="447" t="s">
        <v>4193</v>
      </c>
      <c r="Q462" s="200"/>
      <c r="R462" s="122"/>
      <c r="S462" s="290"/>
      <c r="T462" s="399" t="s">
        <v>319</v>
      </c>
      <c r="U462" s="399" t="s">
        <v>320</v>
      </c>
      <c r="AA462" s="12"/>
      <c r="AB462" s="12"/>
      <c r="AC462" s="808"/>
      <c r="AD462" s="407"/>
    </row>
    <row r="463" spans="6:30" ht="10.5" customHeight="1">
      <c r="F463" s="238"/>
      <c r="G463" s="221"/>
      <c r="H463" s="221"/>
      <c r="I463" s="221"/>
      <c r="J463" s="221"/>
      <c r="K463" s="221"/>
      <c r="L463" s="221"/>
      <c r="M463" s="221"/>
      <c r="N463" s="221"/>
      <c r="O463" s="221"/>
      <c r="P463" s="447" t="s">
        <v>4194</v>
      </c>
      <c r="Q463" s="200"/>
      <c r="R463" s="122"/>
      <c r="S463" s="290"/>
      <c r="T463" s="399" t="s">
        <v>3761</v>
      </c>
      <c r="U463" s="399" t="s">
        <v>320</v>
      </c>
      <c r="AA463" s="12"/>
      <c r="AB463" s="12"/>
      <c r="AC463" s="808"/>
      <c r="AD463" s="407"/>
    </row>
    <row r="464" spans="6:30" ht="10.5" customHeight="1">
      <c r="F464" s="238"/>
      <c r="G464" s="221"/>
      <c r="H464" s="221"/>
      <c r="I464" s="221"/>
      <c r="J464" s="221"/>
      <c r="K464" s="221"/>
      <c r="L464" s="221"/>
      <c r="M464" s="221"/>
      <c r="N464" s="221"/>
      <c r="O464" s="221"/>
      <c r="P464" s="447" t="s">
        <v>4195</v>
      </c>
      <c r="Q464" s="200"/>
      <c r="R464" s="122"/>
      <c r="S464" s="290"/>
      <c r="T464" s="194" t="s">
        <v>4196</v>
      </c>
      <c r="U464" s="194" t="s">
        <v>3087</v>
      </c>
      <c r="AA464" s="12"/>
      <c r="AB464" s="12"/>
      <c r="AC464" s="808"/>
      <c r="AD464" s="407"/>
    </row>
    <row r="465" spans="6:30" ht="10.5" customHeight="1">
      <c r="F465" s="238"/>
      <c r="G465" s="221"/>
      <c r="H465" s="221"/>
      <c r="I465" s="221"/>
      <c r="J465" s="221"/>
      <c r="K465" s="221"/>
      <c r="L465" s="221"/>
      <c r="M465" s="221"/>
      <c r="N465" s="221"/>
      <c r="O465" s="221"/>
      <c r="P465" s="447" t="s">
        <v>4197</v>
      </c>
      <c r="Q465" s="200"/>
      <c r="R465" s="122"/>
      <c r="S465" s="290"/>
      <c r="T465" s="399" t="s">
        <v>4198</v>
      </c>
      <c r="U465" s="399" t="s">
        <v>3103</v>
      </c>
      <c r="AA465" s="12"/>
      <c r="AB465" s="12"/>
      <c r="AC465" s="407"/>
      <c r="AD465" s="407"/>
    </row>
    <row r="466" spans="6:30" ht="10.5" customHeight="1">
      <c r="F466" s="238"/>
      <c r="G466" s="221"/>
      <c r="H466" s="221"/>
      <c r="I466" s="221"/>
      <c r="J466" s="221"/>
      <c r="K466" s="221"/>
      <c r="L466" s="221"/>
      <c r="M466" s="221"/>
      <c r="N466" s="221"/>
      <c r="O466" s="221"/>
      <c r="P466" s="447" t="s">
        <v>4199</v>
      </c>
      <c r="Q466" s="200"/>
      <c r="R466" s="122"/>
      <c r="S466" s="290"/>
      <c r="T466" s="399" t="s">
        <v>4200</v>
      </c>
      <c r="U466" s="399" t="s">
        <v>3300</v>
      </c>
      <c r="AA466" s="12"/>
      <c r="AB466" s="12"/>
      <c r="AC466" s="808"/>
      <c r="AD466" s="407"/>
    </row>
    <row r="467" spans="6:30" ht="10.5" customHeight="1">
      <c r="F467" s="238"/>
      <c r="G467" s="221"/>
      <c r="H467" s="221"/>
      <c r="I467" s="221"/>
      <c r="J467" s="221"/>
      <c r="K467" s="221"/>
      <c r="L467" s="221"/>
      <c r="M467" s="221"/>
      <c r="N467" s="221"/>
      <c r="O467" s="221"/>
      <c r="P467" s="447" t="s">
        <v>4201</v>
      </c>
      <c r="Q467" s="200"/>
      <c r="R467" s="122"/>
      <c r="S467" s="290"/>
      <c r="T467" s="399" t="s">
        <v>4202</v>
      </c>
      <c r="U467" s="399" t="s">
        <v>284</v>
      </c>
      <c r="AA467" s="12"/>
      <c r="AB467" s="12"/>
      <c r="AC467" s="808"/>
      <c r="AD467" s="407"/>
    </row>
    <row r="468" spans="6:30" ht="10.5" customHeight="1">
      <c r="F468" s="238"/>
      <c r="G468" s="221"/>
      <c r="H468" s="221"/>
      <c r="I468" s="221"/>
      <c r="J468" s="221"/>
      <c r="K468" s="221"/>
      <c r="L468" s="221"/>
      <c r="M468" s="221"/>
      <c r="N468" s="221"/>
      <c r="O468" s="221"/>
      <c r="P468" s="447" t="s">
        <v>4203</v>
      </c>
      <c r="Q468" s="200"/>
      <c r="R468" s="122"/>
      <c r="S468" s="290"/>
      <c r="T468" s="399" t="s">
        <v>4204</v>
      </c>
      <c r="U468" s="399" t="s">
        <v>3838</v>
      </c>
      <c r="AA468" s="12"/>
      <c r="AB468" s="12"/>
      <c r="AC468" s="808"/>
      <c r="AD468" s="407"/>
    </row>
    <row r="469" spans="6:30" ht="10.5" customHeight="1">
      <c r="F469" s="238"/>
      <c r="G469" s="221"/>
      <c r="H469" s="221"/>
      <c r="I469" s="221"/>
      <c r="J469" s="221"/>
      <c r="K469" s="221"/>
      <c r="L469" s="221"/>
      <c r="M469" s="221"/>
      <c r="N469" s="221"/>
      <c r="O469" s="221"/>
      <c r="P469" s="447" t="s">
        <v>4205</v>
      </c>
      <c r="Q469" s="200"/>
      <c r="R469" s="122"/>
      <c r="S469" s="290"/>
      <c r="T469" s="399" t="s">
        <v>4206</v>
      </c>
      <c r="U469" s="399" t="s">
        <v>281</v>
      </c>
      <c r="AA469" s="12"/>
      <c r="AB469" s="12"/>
      <c r="AC469" s="808"/>
      <c r="AD469" s="407"/>
    </row>
    <row r="470" spans="6:30" ht="10.5" customHeight="1">
      <c r="F470" s="238"/>
      <c r="G470" s="221"/>
      <c r="H470" s="221"/>
      <c r="I470" s="221"/>
      <c r="J470" s="221"/>
      <c r="K470" s="221"/>
      <c r="L470" s="221"/>
      <c r="M470" s="221"/>
      <c r="N470" s="221"/>
      <c r="O470" s="221"/>
      <c r="P470" s="447" t="s">
        <v>4207</v>
      </c>
      <c r="Q470" s="200"/>
      <c r="R470" s="122"/>
      <c r="S470" s="290"/>
      <c r="T470" s="399" t="s">
        <v>3775</v>
      </c>
      <c r="U470" s="399" t="s">
        <v>332</v>
      </c>
      <c r="AA470" s="12"/>
      <c r="AB470" s="12"/>
      <c r="AC470" s="808"/>
      <c r="AD470" s="407"/>
    </row>
    <row r="471" spans="6:30" ht="10.5" customHeight="1">
      <c r="F471" s="238"/>
      <c r="G471" s="221"/>
      <c r="H471" s="221"/>
      <c r="I471" s="221"/>
      <c r="J471" s="221"/>
      <c r="K471" s="221"/>
      <c r="L471" s="221"/>
      <c r="M471" s="221"/>
      <c r="N471" s="221"/>
      <c r="O471" s="221"/>
      <c r="P471" s="447" t="s">
        <v>4208</v>
      </c>
      <c r="Q471" s="200"/>
      <c r="R471" s="122"/>
      <c r="S471" s="290"/>
      <c r="T471" s="399" t="s">
        <v>3779</v>
      </c>
      <c r="U471" s="399" t="s">
        <v>3567</v>
      </c>
      <c r="AA471" s="12"/>
      <c r="AB471" s="12"/>
      <c r="AC471" s="808"/>
      <c r="AD471" s="407"/>
    </row>
    <row r="472" spans="6:30" ht="10.5" customHeight="1">
      <c r="F472" s="238"/>
      <c r="G472" s="221"/>
      <c r="H472" s="221"/>
      <c r="I472" s="221"/>
      <c r="J472" s="221"/>
      <c r="K472" s="221"/>
      <c r="L472" s="221"/>
      <c r="M472" s="221"/>
      <c r="N472" s="221"/>
      <c r="O472" s="221"/>
      <c r="P472" s="447" t="s">
        <v>4209</v>
      </c>
      <c r="Q472" s="200"/>
      <c r="R472" s="122"/>
      <c r="S472" s="290"/>
      <c r="T472" s="399" t="s">
        <v>321</v>
      </c>
      <c r="U472" s="399" t="s">
        <v>315</v>
      </c>
      <c r="AA472" s="12"/>
      <c r="AB472" s="12"/>
      <c r="AC472" s="808"/>
      <c r="AD472" s="407"/>
    </row>
    <row r="473" spans="6:30" ht="10.5" customHeight="1">
      <c r="F473" s="238"/>
      <c r="G473" s="221"/>
      <c r="H473" s="221"/>
      <c r="I473" s="221"/>
      <c r="J473" s="221"/>
      <c r="K473" s="221"/>
      <c r="L473" s="221"/>
      <c r="M473" s="221"/>
      <c r="N473" s="221"/>
      <c r="O473" s="221"/>
      <c r="P473" s="447" t="s">
        <v>4210</v>
      </c>
      <c r="Q473" s="200"/>
      <c r="R473" s="122"/>
      <c r="S473" s="290"/>
      <c r="T473" s="399" t="s">
        <v>322</v>
      </c>
      <c r="U473" s="399" t="s">
        <v>323</v>
      </c>
      <c r="AA473" s="12"/>
      <c r="AB473" s="12"/>
      <c r="AC473" s="808"/>
      <c r="AD473" s="407"/>
    </row>
    <row r="474" spans="6:30" ht="10.5" customHeight="1">
      <c r="F474" s="238"/>
      <c r="G474" s="221"/>
      <c r="H474" s="221"/>
      <c r="I474" s="221"/>
      <c r="J474" s="221"/>
      <c r="K474" s="221"/>
      <c r="L474" s="221"/>
      <c r="M474" s="221"/>
      <c r="N474" s="221"/>
      <c r="O474" s="221"/>
      <c r="P474" s="447" t="s">
        <v>4211</v>
      </c>
      <c r="Q474" s="200"/>
      <c r="R474" s="122"/>
      <c r="S474" s="290"/>
      <c r="T474" s="399" t="s">
        <v>3784</v>
      </c>
      <c r="U474" s="399" t="s">
        <v>3411</v>
      </c>
      <c r="AA474" s="12"/>
      <c r="AB474" s="12"/>
      <c r="AC474" s="808"/>
      <c r="AD474" s="407"/>
    </row>
    <row r="475" spans="6:30" ht="10.5" customHeight="1">
      <c r="F475" s="238"/>
      <c r="G475" s="221"/>
      <c r="H475" s="221"/>
      <c r="I475" s="221"/>
      <c r="J475" s="221"/>
      <c r="K475" s="221"/>
      <c r="L475" s="221"/>
      <c r="M475" s="221"/>
      <c r="N475" s="221"/>
      <c r="O475" s="221"/>
      <c r="P475" s="447" t="s">
        <v>4212</v>
      </c>
      <c r="Q475" s="200"/>
      <c r="R475" s="122"/>
      <c r="S475" s="290"/>
      <c r="T475" s="399" t="s">
        <v>3789</v>
      </c>
      <c r="U475" s="399" t="s">
        <v>3347</v>
      </c>
      <c r="AA475" s="12"/>
      <c r="AB475" s="12"/>
      <c r="AC475" s="808"/>
      <c r="AD475" s="407"/>
    </row>
    <row r="476" spans="6:30" ht="10.5" customHeight="1">
      <c r="F476" s="238"/>
      <c r="G476" s="221"/>
      <c r="H476" s="221"/>
      <c r="I476" s="221"/>
      <c r="J476" s="221"/>
      <c r="K476" s="221"/>
      <c r="L476" s="221"/>
      <c r="M476" s="221"/>
      <c r="N476" s="221"/>
      <c r="O476" s="221"/>
      <c r="P476" s="447" t="s">
        <v>4213</v>
      </c>
      <c r="Q476" s="200"/>
      <c r="R476" s="122"/>
      <c r="S476" s="290"/>
      <c r="T476" s="399" t="s">
        <v>4214</v>
      </c>
      <c r="U476" s="399" t="s">
        <v>2198</v>
      </c>
      <c r="AA476" s="12"/>
      <c r="AB476" s="12"/>
      <c r="AC476" s="808"/>
      <c r="AD476" s="407"/>
    </row>
    <row r="477" spans="6:30" ht="10.5" customHeight="1">
      <c r="F477" s="238"/>
      <c r="G477" s="221"/>
      <c r="H477" s="221"/>
      <c r="I477" s="221"/>
      <c r="J477" s="221"/>
      <c r="K477" s="221"/>
      <c r="L477" s="221"/>
      <c r="M477" s="221"/>
      <c r="N477" s="221"/>
      <c r="O477" s="221"/>
      <c r="P477" s="447" t="s">
        <v>4215</v>
      </c>
      <c r="Q477" s="200"/>
      <c r="R477" s="122"/>
      <c r="S477" s="290"/>
      <c r="T477" s="399" t="s">
        <v>3794</v>
      </c>
      <c r="U477" s="399" t="s">
        <v>3577</v>
      </c>
      <c r="AA477" s="12"/>
      <c r="AB477" s="12"/>
      <c r="AC477" s="808"/>
      <c r="AD477" s="407"/>
    </row>
    <row r="478" spans="6:30" ht="10.5" customHeight="1">
      <c r="F478" s="238"/>
      <c r="G478" s="221"/>
      <c r="H478" s="221"/>
      <c r="I478" s="221"/>
      <c r="J478" s="221"/>
      <c r="K478" s="221"/>
      <c r="L478" s="221"/>
      <c r="M478" s="221"/>
      <c r="N478" s="221"/>
      <c r="O478" s="221"/>
      <c r="P478" s="447" t="s">
        <v>4216</v>
      </c>
      <c r="Q478" s="200"/>
      <c r="R478" s="122"/>
      <c r="S478" s="290"/>
      <c r="T478" s="399" t="s">
        <v>4217</v>
      </c>
      <c r="U478" s="399" t="s">
        <v>3094</v>
      </c>
      <c r="AA478" s="12"/>
      <c r="AB478" s="12"/>
      <c r="AC478" s="808"/>
      <c r="AD478" s="407"/>
    </row>
    <row r="479" spans="6:30" ht="10.5" customHeight="1">
      <c r="F479" s="238"/>
      <c r="G479" s="221"/>
      <c r="H479" s="221"/>
      <c r="I479" s="221"/>
      <c r="J479" s="221"/>
      <c r="K479" s="221"/>
      <c r="L479" s="221"/>
      <c r="M479" s="221"/>
      <c r="N479" s="221"/>
      <c r="O479" s="221"/>
      <c r="P479" s="447" t="s">
        <v>4218</v>
      </c>
      <c r="Q479" s="200"/>
      <c r="R479" s="122"/>
      <c r="S479" s="290"/>
      <c r="T479" s="399" t="s">
        <v>4219</v>
      </c>
      <c r="U479" s="399" t="s">
        <v>3183</v>
      </c>
      <c r="AA479" s="12"/>
      <c r="AB479" s="12"/>
      <c r="AC479" s="808"/>
      <c r="AD479" s="407"/>
    </row>
    <row r="480" spans="6:30" ht="10.5" customHeight="1">
      <c r="F480" s="238"/>
      <c r="G480" s="221"/>
      <c r="H480" s="221"/>
      <c r="I480" s="221"/>
      <c r="J480" s="221"/>
      <c r="K480" s="221"/>
      <c r="L480" s="221"/>
      <c r="M480" s="221"/>
      <c r="N480" s="221"/>
      <c r="O480" s="221"/>
      <c r="P480" s="447" t="s">
        <v>4220</v>
      </c>
      <c r="Q480" s="200"/>
      <c r="R480" s="122"/>
      <c r="S480" s="290"/>
      <c r="T480" s="399" t="s">
        <v>3800</v>
      </c>
      <c r="U480" s="399" t="s">
        <v>3232</v>
      </c>
      <c r="AA480" s="12"/>
      <c r="AB480" s="12"/>
      <c r="AC480" s="808"/>
      <c r="AD480" s="407"/>
    </row>
    <row r="481" spans="6:30" ht="10.5" customHeight="1">
      <c r="F481" s="238"/>
      <c r="G481" s="221"/>
      <c r="H481" s="221"/>
      <c r="I481" s="221"/>
      <c r="J481" s="221"/>
      <c r="K481" s="221"/>
      <c r="L481" s="221"/>
      <c r="M481" s="221"/>
      <c r="N481" s="221"/>
      <c r="O481" s="221"/>
      <c r="P481" s="447" t="s">
        <v>4221</v>
      </c>
      <c r="Q481" s="200"/>
      <c r="R481" s="122"/>
      <c r="S481" s="290"/>
      <c r="T481" s="399" t="s">
        <v>4222</v>
      </c>
      <c r="U481" s="399" t="s">
        <v>3347</v>
      </c>
      <c r="AA481" s="12"/>
      <c r="AB481" s="12"/>
      <c r="AC481" s="808"/>
      <c r="AD481" s="407"/>
    </row>
    <row r="482" spans="6:30" ht="10.5" customHeight="1">
      <c r="F482" s="238"/>
      <c r="G482" s="221"/>
      <c r="H482" s="221"/>
      <c r="I482" s="221"/>
      <c r="J482" s="221"/>
      <c r="K482" s="221"/>
      <c r="L482" s="221"/>
      <c r="M482" s="221"/>
      <c r="N482" s="221"/>
      <c r="O482" s="221"/>
      <c r="P482" s="447" t="s">
        <v>4223</v>
      </c>
      <c r="Q482" s="200"/>
      <c r="R482" s="122"/>
      <c r="S482" s="290"/>
      <c r="T482" s="194" t="s">
        <v>4224</v>
      </c>
      <c r="U482" s="194" t="s">
        <v>3338</v>
      </c>
      <c r="AA482" s="12"/>
      <c r="AB482" s="12"/>
      <c r="AC482" s="808"/>
      <c r="AD482" s="407"/>
    </row>
    <row r="483" spans="6:30" ht="10.5" customHeight="1">
      <c r="F483" s="238"/>
      <c r="G483" s="221"/>
      <c r="H483" s="221"/>
      <c r="I483" s="221"/>
      <c r="J483" s="221"/>
      <c r="K483" s="221"/>
      <c r="L483" s="221"/>
      <c r="M483" s="221"/>
      <c r="N483" s="221"/>
      <c r="O483" s="221"/>
      <c r="P483" s="447" t="s">
        <v>4225</v>
      </c>
      <c r="Q483" s="200"/>
      <c r="R483" s="122"/>
      <c r="S483" s="290"/>
      <c r="T483" s="399" t="s">
        <v>324</v>
      </c>
      <c r="U483" s="399" t="s">
        <v>311</v>
      </c>
      <c r="AA483" s="12"/>
      <c r="AB483" s="12"/>
      <c r="AC483" s="407"/>
      <c r="AD483" s="407"/>
    </row>
    <row r="484" spans="6:30" ht="10.5" customHeight="1">
      <c r="F484" s="238"/>
      <c r="G484" s="221"/>
      <c r="H484" s="221"/>
      <c r="I484" s="221"/>
      <c r="J484" s="221"/>
      <c r="K484" s="221"/>
      <c r="L484" s="221"/>
      <c r="M484" s="221"/>
      <c r="N484" s="221"/>
      <c r="O484" s="221"/>
      <c r="P484" s="447" t="s">
        <v>4226</v>
      </c>
      <c r="Q484" s="200"/>
      <c r="R484" s="122"/>
      <c r="S484" s="290"/>
      <c r="T484" s="399" t="s">
        <v>4227</v>
      </c>
      <c r="U484" s="399" t="s">
        <v>3591</v>
      </c>
      <c r="AA484" s="12"/>
      <c r="AB484" s="12"/>
      <c r="AC484" s="808"/>
      <c r="AD484" s="407"/>
    </row>
    <row r="485" spans="6:30" ht="10.5" customHeight="1">
      <c r="F485" s="238"/>
      <c r="G485" s="221"/>
      <c r="H485" s="221"/>
      <c r="I485" s="221"/>
      <c r="J485" s="221"/>
      <c r="K485" s="221"/>
      <c r="L485" s="221"/>
      <c r="M485" s="221"/>
      <c r="N485" s="221"/>
      <c r="O485" s="221"/>
      <c r="P485" s="447" t="s">
        <v>4228</v>
      </c>
      <c r="Q485" s="200"/>
      <c r="R485" s="122"/>
      <c r="S485" s="290"/>
      <c r="T485" s="399" t="s">
        <v>4229</v>
      </c>
      <c r="U485" s="399" t="s">
        <v>284</v>
      </c>
      <c r="AA485" s="12"/>
      <c r="AB485" s="12"/>
      <c r="AC485" s="808"/>
      <c r="AD485" s="407"/>
    </row>
    <row r="486" spans="6:30" ht="10.5" customHeight="1">
      <c r="F486" s="238"/>
      <c r="G486" s="221"/>
      <c r="H486" s="221"/>
      <c r="I486" s="221"/>
      <c r="J486" s="221"/>
      <c r="K486" s="221"/>
      <c r="L486" s="221"/>
      <c r="M486" s="221"/>
      <c r="N486" s="221"/>
      <c r="O486" s="221"/>
      <c r="P486" s="447" t="s">
        <v>4230</v>
      </c>
      <c r="Q486" s="200"/>
      <c r="R486" s="122"/>
      <c r="S486" s="290"/>
      <c r="T486" s="399" t="s">
        <v>325</v>
      </c>
      <c r="U486" s="399" t="s">
        <v>326</v>
      </c>
      <c r="AA486" s="12"/>
      <c r="AB486" s="12"/>
      <c r="AC486" s="808"/>
      <c r="AD486" s="407"/>
    </row>
    <row r="487" spans="6:30" ht="10.5" customHeight="1">
      <c r="F487" s="238"/>
      <c r="G487" s="221"/>
      <c r="H487" s="221"/>
      <c r="I487" s="221"/>
      <c r="J487" s="221"/>
      <c r="K487" s="221"/>
      <c r="L487" s="221"/>
      <c r="M487" s="221"/>
      <c r="N487" s="221"/>
      <c r="O487" s="221"/>
      <c r="P487" s="447" t="s">
        <v>4231</v>
      </c>
      <c r="Q487" s="200"/>
      <c r="R487" s="122"/>
      <c r="S487" s="290"/>
      <c r="T487" s="399" t="s">
        <v>2251</v>
      </c>
      <c r="U487" s="399" t="s">
        <v>276</v>
      </c>
      <c r="AA487" s="12"/>
      <c r="AB487" s="12"/>
      <c r="AC487" s="808"/>
      <c r="AD487" s="407"/>
    </row>
    <row r="488" spans="6:30" ht="10.5" customHeight="1">
      <c r="F488" s="238"/>
      <c r="G488" s="221"/>
      <c r="H488" s="221"/>
      <c r="I488" s="221"/>
      <c r="J488" s="221"/>
      <c r="K488" s="221"/>
      <c r="L488" s="221"/>
      <c r="M488" s="221"/>
      <c r="N488" s="221"/>
      <c r="O488" s="221"/>
      <c r="P488" s="447" t="s">
        <v>4232</v>
      </c>
      <c r="Q488" s="200"/>
      <c r="R488" s="122"/>
      <c r="S488" s="290"/>
      <c r="T488" s="399" t="s">
        <v>3807</v>
      </c>
      <c r="U488" s="399" t="s">
        <v>279</v>
      </c>
      <c r="AA488" s="12"/>
      <c r="AB488" s="12"/>
      <c r="AC488" s="808"/>
      <c r="AD488" s="407"/>
    </row>
    <row r="489" spans="6:30" ht="10.5" customHeight="1">
      <c r="F489" s="238"/>
      <c r="G489" s="221"/>
      <c r="H489" s="221"/>
      <c r="I489" s="221"/>
      <c r="J489" s="221"/>
      <c r="K489" s="221"/>
      <c r="L489" s="221"/>
      <c r="M489" s="221"/>
      <c r="N489" s="221"/>
      <c r="O489" s="221"/>
      <c r="P489" s="447" t="s">
        <v>4233</v>
      </c>
      <c r="Q489" s="200"/>
      <c r="R489" s="122"/>
      <c r="S489" s="290"/>
      <c r="T489" s="399" t="s">
        <v>4234</v>
      </c>
      <c r="U489" s="399" t="s">
        <v>3365</v>
      </c>
      <c r="AA489" s="12"/>
      <c r="AB489" s="12"/>
      <c r="AC489" s="808"/>
      <c r="AD489" s="407"/>
    </row>
    <row r="490" spans="6:30" ht="10.5" customHeight="1">
      <c r="F490" s="238"/>
      <c r="G490" s="221"/>
      <c r="H490" s="221"/>
      <c r="I490" s="221"/>
      <c r="J490" s="221"/>
      <c r="K490" s="221"/>
      <c r="L490" s="221"/>
      <c r="M490" s="221"/>
      <c r="N490" s="221"/>
      <c r="O490" s="221"/>
      <c r="P490" s="447" t="s">
        <v>4235</v>
      </c>
      <c r="Q490" s="200"/>
      <c r="R490" s="122"/>
      <c r="S490" s="290"/>
      <c r="T490" s="399" t="s">
        <v>4236</v>
      </c>
      <c r="U490" s="399" t="s">
        <v>3636</v>
      </c>
      <c r="AA490" s="12"/>
      <c r="AB490" s="12"/>
      <c r="AC490" s="808"/>
      <c r="AD490" s="407"/>
    </row>
    <row r="491" spans="6:30" ht="10.5" customHeight="1">
      <c r="F491" s="238"/>
      <c r="G491" s="221"/>
      <c r="H491" s="221"/>
      <c r="I491" s="221"/>
      <c r="J491" s="221"/>
      <c r="K491" s="221"/>
      <c r="L491" s="221"/>
      <c r="M491" s="221"/>
      <c r="N491" s="221"/>
      <c r="O491" s="221"/>
      <c r="P491" s="447" t="s">
        <v>4237</v>
      </c>
      <c r="Q491" s="200"/>
      <c r="R491" s="122"/>
      <c r="S491" s="290"/>
      <c r="T491" s="194" t="s">
        <v>4238</v>
      </c>
      <c r="U491" s="194" t="s">
        <v>284</v>
      </c>
      <c r="AA491" s="12"/>
      <c r="AB491" s="12"/>
      <c r="AC491" s="808"/>
      <c r="AD491" s="407"/>
    </row>
    <row r="492" spans="6:30" ht="10.5" customHeight="1">
      <c r="F492" s="238"/>
      <c r="G492" s="221"/>
      <c r="H492" s="221"/>
      <c r="I492" s="221"/>
      <c r="J492" s="221"/>
      <c r="K492" s="221"/>
      <c r="L492" s="221"/>
      <c r="M492" s="221"/>
      <c r="N492" s="221"/>
      <c r="O492" s="221"/>
      <c r="P492" s="447" t="s">
        <v>4239</v>
      </c>
      <c r="Q492" s="200"/>
      <c r="R492" s="122"/>
      <c r="S492" s="290"/>
      <c r="T492" s="399" t="s">
        <v>3813</v>
      </c>
      <c r="U492" s="399" t="s">
        <v>3284</v>
      </c>
      <c r="AA492" s="12"/>
      <c r="AB492" s="12"/>
      <c r="AC492" s="407"/>
      <c r="AD492" s="407"/>
    </row>
    <row r="493" spans="6:30" ht="10.5" customHeight="1">
      <c r="F493" s="238"/>
      <c r="G493" s="221"/>
      <c r="H493" s="221"/>
      <c r="I493" s="221"/>
      <c r="J493" s="221"/>
      <c r="K493" s="221"/>
      <c r="L493" s="221"/>
      <c r="M493" s="221"/>
      <c r="N493" s="221"/>
      <c r="O493" s="221"/>
      <c r="P493" s="447" t="s">
        <v>4240</v>
      </c>
      <c r="Q493" s="200"/>
      <c r="R493" s="122"/>
      <c r="S493" s="290"/>
      <c r="T493" s="399" t="s">
        <v>4241</v>
      </c>
      <c r="U493" s="399" t="s">
        <v>281</v>
      </c>
      <c r="AA493" s="12"/>
      <c r="AB493" s="12"/>
      <c r="AC493" s="808"/>
      <c r="AD493" s="407"/>
    </row>
    <row r="494" spans="6:30" ht="10.5" customHeight="1">
      <c r="F494" s="238"/>
      <c r="G494" s="221"/>
      <c r="H494" s="221"/>
      <c r="I494" s="221"/>
      <c r="J494" s="221"/>
      <c r="K494" s="221"/>
      <c r="L494" s="221"/>
      <c r="M494" s="221"/>
      <c r="N494" s="221"/>
      <c r="O494" s="221"/>
      <c r="P494" s="447" t="s">
        <v>4242</v>
      </c>
      <c r="Q494" s="200"/>
      <c r="R494" s="122"/>
      <c r="S494" s="290"/>
      <c r="T494" s="399" t="s">
        <v>3816</v>
      </c>
      <c r="U494" s="399" t="s">
        <v>3596</v>
      </c>
      <c r="AA494" s="12"/>
      <c r="AB494" s="12"/>
      <c r="AC494" s="808"/>
      <c r="AD494" s="407"/>
    </row>
    <row r="495" spans="6:30" ht="10.5" customHeight="1">
      <c r="F495" s="238"/>
      <c r="G495" s="221"/>
      <c r="H495" s="221"/>
      <c r="I495" s="221"/>
      <c r="J495" s="221"/>
      <c r="K495" s="221"/>
      <c r="L495" s="221"/>
      <c r="M495" s="221"/>
      <c r="N495" s="221"/>
      <c r="O495" s="221"/>
      <c r="P495" s="447" t="s">
        <v>4243</v>
      </c>
      <c r="Q495" s="200"/>
      <c r="R495" s="122"/>
      <c r="S495" s="290"/>
      <c r="T495" s="399" t="s">
        <v>3821</v>
      </c>
      <c r="U495" s="399" t="s">
        <v>3469</v>
      </c>
      <c r="AA495" s="12"/>
      <c r="AB495" s="12"/>
      <c r="AC495" s="808"/>
      <c r="AD495" s="407"/>
    </row>
    <row r="496" spans="6:30" ht="10.5" customHeight="1">
      <c r="F496" s="238"/>
      <c r="G496" s="221"/>
      <c r="H496" s="221"/>
      <c r="I496" s="221"/>
      <c r="J496" s="221"/>
      <c r="K496" s="221"/>
      <c r="L496" s="221"/>
      <c r="M496" s="221"/>
      <c r="N496" s="221"/>
      <c r="O496" s="221"/>
      <c r="P496" s="447" t="s">
        <v>4244</v>
      </c>
      <c r="Q496" s="200"/>
      <c r="R496" s="122"/>
      <c r="S496" s="290"/>
      <c r="T496" s="399" t="s">
        <v>3825</v>
      </c>
      <c r="U496" s="399" t="s">
        <v>3808</v>
      </c>
      <c r="AA496" s="12"/>
      <c r="AB496" s="12"/>
      <c r="AC496" s="808"/>
      <c r="AD496" s="407"/>
    </row>
    <row r="497" spans="6:30" ht="10.5" customHeight="1">
      <c r="F497" s="238"/>
      <c r="G497" s="221"/>
      <c r="H497" s="221"/>
      <c r="I497" s="221"/>
      <c r="J497" s="221"/>
      <c r="K497" s="221"/>
      <c r="L497" s="221"/>
      <c r="M497" s="221"/>
      <c r="N497" s="221"/>
      <c r="O497" s="221"/>
      <c r="P497" s="447" t="s">
        <v>4245</v>
      </c>
      <c r="Q497" s="200"/>
      <c r="R497" s="122"/>
      <c r="S497" s="290"/>
      <c r="T497" s="399" t="s">
        <v>3605</v>
      </c>
      <c r="U497" s="399" t="s">
        <v>3780</v>
      </c>
      <c r="AA497" s="12"/>
      <c r="AB497" s="12"/>
      <c r="AC497" s="808"/>
      <c r="AD497" s="407"/>
    </row>
    <row r="498" spans="6:30" ht="10.5" customHeight="1">
      <c r="F498" s="238"/>
      <c r="G498" s="221"/>
      <c r="H498" s="221"/>
      <c r="I498" s="221"/>
      <c r="J498" s="221"/>
      <c r="K498" s="221"/>
      <c r="L498" s="221"/>
      <c r="M498" s="221"/>
      <c r="N498" s="221"/>
      <c r="O498" s="221"/>
      <c r="P498" s="447" t="s">
        <v>4246</v>
      </c>
      <c r="Q498" s="200"/>
      <c r="R498" s="122"/>
      <c r="S498" s="290"/>
      <c r="T498" s="399" t="s">
        <v>4247</v>
      </c>
      <c r="U498" s="399" t="s">
        <v>3636</v>
      </c>
      <c r="AA498" s="12"/>
      <c r="AB498" s="12"/>
      <c r="AC498" s="808"/>
      <c r="AD498" s="407"/>
    </row>
    <row r="499" spans="6:30" ht="10.5" customHeight="1">
      <c r="F499" s="238"/>
      <c r="G499" s="221"/>
      <c r="H499" s="221"/>
      <c r="I499" s="221"/>
      <c r="J499" s="221"/>
      <c r="K499" s="221"/>
      <c r="L499" s="221"/>
      <c r="M499" s="221"/>
      <c r="N499" s="221"/>
      <c r="O499" s="221"/>
      <c r="P499" s="447" t="s">
        <v>4248</v>
      </c>
      <c r="Q499" s="200"/>
      <c r="R499" s="122"/>
      <c r="S499" s="290"/>
      <c r="T499" s="399" t="s">
        <v>4249</v>
      </c>
      <c r="U499" s="399" t="s">
        <v>3235</v>
      </c>
      <c r="AA499" s="12"/>
      <c r="AB499" s="12"/>
      <c r="AC499" s="808"/>
      <c r="AD499" s="407"/>
    </row>
    <row r="500" spans="6:30" ht="10.5" customHeight="1">
      <c r="F500" s="238"/>
      <c r="G500" s="221"/>
      <c r="H500" s="221"/>
      <c r="I500" s="221"/>
      <c r="J500" s="221"/>
      <c r="K500" s="221"/>
      <c r="L500" s="221"/>
      <c r="M500" s="221"/>
      <c r="N500" s="221"/>
      <c r="O500" s="221"/>
      <c r="P500" s="447" t="s">
        <v>4250</v>
      </c>
      <c r="Q500" s="200"/>
      <c r="R500" s="122"/>
      <c r="S500" s="290"/>
      <c r="T500" s="399" t="s">
        <v>3830</v>
      </c>
      <c r="U500" s="399" t="s">
        <v>3826</v>
      </c>
      <c r="AA500" s="12"/>
      <c r="AB500" s="12"/>
      <c r="AC500" s="808"/>
      <c r="AD500" s="407"/>
    </row>
    <row r="501" spans="6:30" ht="10.5" customHeight="1">
      <c r="F501" s="238"/>
      <c r="G501" s="221"/>
      <c r="H501" s="221"/>
      <c r="I501" s="221"/>
      <c r="J501" s="221"/>
      <c r="K501" s="221"/>
      <c r="L501" s="221"/>
      <c r="M501" s="221"/>
      <c r="N501" s="221"/>
      <c r="O501" s="221"/>
      <c r="P501" s="447" t="s">
        <v>4251</v>
      </c>
      <c r="Q501" s="200"/>
      <c r="R501" s="122"/>
      <c r="S501" s="290"/>
      <c r="T501" s="399" t="s">
        <v>327</v>
      </c>
      <c r="U501" s="399" t="s">
        <v>301</v>
      </c>
      <c r="AA501" s="12"/>
      <c r="AB501" s="12"/>
      <c r="AC501" s="808"/>
      <c r="AD501" s="407"/>
    </row>
    <row r="502" spans="6:30" ht="10.5" customHeight="1">
      <c r="F502" s="238"/>
      <c r="G502" s="221"/>
      <c r="H502" s="221"/>
      <c r="I502" s="221"/>
      <c r="J502" s="221"/>
      <c r="K502" s="221"/>
      <c r="L502" s="221"/>
      <c r="M502" s="221"/>
      <c r="N502" s="221"/>
      <c r="O502" s="221"/>
      <c r="P502" s="447" t="s">
        <v>4252</v>
      </c>
      <c r="Q502" s="200"/>
      <c r="R502" s="122"/>
      <c r="S502" s="290"/>
      <c r="T502" s="399" t="s">
        <v>2950</v>
      </c>
      <c r="U502" s="399" t="s">
        <v>3136</v>
      </c>
      <c r="AA502" s="12"/>
      <c r="AB502" s="12"/>
      <c r="AC502" s="808"/>
      <c r="AD502" s="407"/>
    </row>
    <row r="503" spans="6:30" ht="10.5" customHeight="1">
      <c r="F503" s="238"/>
      <c r="G503" s="221"/>
      <c r="H503" s="221"/>
      <c r="I503" s="221"/>
      <c r="J503" s="221"/>
      <c r="K503" s="221"/>
      <c r="L503" s="221"/>
      <c r="M503" s="221"/>
      <c r="N503" s="221"/>
      <c r="O503" s="221"/>
      <c r="P503" s="447" t="s">
        <v>4253</v>
      </c>
      <c r="Q503" s="200"/>
      <c r="R503" s="122"/>
      <c r="S503" s="290"/>
      <c r="T503" s="399" t="s">
        <v>2252</v>
      </c>
      <c r="U503" s="399" t="s">
        <v>3445</v>
      </c>
      <c r="AA503" s="12"/>
      <c r="AB503" s="12"/>
      <c r="AC503" s="808"/>
      <c r="AD503" s="407"/>
    </row>
    <row r="504" spans="6:30" ht="10.5" customHeight="1">
      <c r="F504" s="238"/>
      <c r="G504" s="221"/>
      <c r="H504" s="221"/>
      <c r="I504" s="221"/>
      <c r="J504" s="221"/>
      <c r="K504" s="221"/>
      <c r="L504" s="221"/>
      <c r="M504" s="221"/>
      <c r="N504" s="221"/>
      <c r="O504" s="221"/>
      <c r="P504" s="447" t="s">
        <v>4254</v>
      </c>
      <c r="Q504" s="200"/>
      <c r="R504" s="122"/>
      <c r="S504" s="290"/>
      <c r="T504" s="399" t="s">
        <v>4255</v>
      </c>
      <c r="U504" s="399" t="s">
        <v>3744</v>
      </c>
      <c r="AA504" s="12"/>
      <c r="AB504" s="12"/>
      <c r="AC504" s="808"/>
      <c r="AD504" s="407"/>
    </row>
    <row r="505" spans="6:30" ht="10.5" customHeight="1">
      <c r="F505" s="238"/>
      <c r="G505" s="221"/>
      <c r="H505" s="221"/>
      <c r="I505" s="221"/>
      <c r="J505" s="221"/>
      <c r="K505" s="221"/>
      <c r="L505" s="221"/>
      <c r="M505" s="221"/>
      <c r="N505" s="221"/>
      <c r="O505" s="221"/>
      <c r="P505" s="447" t="s">
        <v>4256</v>
      </c>
      <c r="Q505" s="200"/>
      <c r="R505" s="122"/>
      <c r="S505" s="290"/>
      <c r="T505" s="399" t="s">
        <v>3846</v>
      </c>
      <c r="U505" s="399" t="s">
        <v>3636</v>
      </c>
      <c r="AA505" s="12"/>
      <c r="AB505" s="12"/>
      <c r="AC505" s="808"/>
      <c r="AD505" s="407"/>
    </row>
    <row r="506" spans="6:30" ht="10.5" customHeight="1">
      <c r="F506" s="238"/>
      <c r="G506" s="221"/>
      <c r="H506" s="221"/>
      <c r="I506" s="221"/>
      <c r="J506" s="221"/>
      <c r="K506" s="221"/>
      <c r="L506" s="221"/>
      <c r="M506" s="221"/>
      <c r="N506" s="221"/>
      <c r="O506" s="221"/>
      <c r="P506" s="447" t="s">
        <v>4257</v>
      </c>
      <c r="Q506" s="200"/>
      <c r="R506" s="122"/>
      <c r="S506" s="290"/>
      <c r="T506" s="399" t="s">
        <v>4258</v>
      </c>
      <c r="U506" s="399" t="s">
        <v>3678</v>
      </c>
      <c r="AA506" s="12"/>
      <c r="AB506" s="12"/>
      <c r="AC506" s="808"/>
      <c r="AD506" s="407"/>
    </row>
    <row r="507" spans="6:30" ht="10.5" customHeight="1">
      <c r="F507" s="238"/>
      <c r="G507" s="221"/>
      <c r="H507" s="221"/>
      <c r="I507" s="221"/>
      <c r="J507" s="221"/>
      <c r="K507" s="221"/>
      <c r="L507" s="221"/>
      <c r="M507" s="221"/>
      <c r="N507" s="221"/>
      <c r="O507" s="221"/>
      <c r="P507" s="447" t="s">
        <v>4259</v>
      </c>
      <c r="Q507" s="200"/>
      <c r="R507" s="122"/>
      <c r="S507" s="290"/>
      <c r="T507" s="399" t="s">
        <v>3851</v>
      </c>
      <c r="U507" s="399" t="s">
        <v>301</v>
      </c>
      <c r="AA507" s="12"/>
      <c r="AB507" s="12"/>
      <c r="AC507" s="808"/>
      <c r="AD507" s="407"/>
    </row>
    <row r="508" spans="6:30" ht="10.5" customHeight="1">
      <c r="F508" s="238"/>
      <c r="G508" s="221"/>
      <c r="H508" s="221"/>
      <c r="I508" s="221"/>
      <c r="J508" s="221"/>
      <c r="K508" s="221"/>
      <c r="L508" s="221"/>
      <c r="M508" s="221"/>
      <c r="N508" s="221"/>
      <c r="O508" s="221"/>
      <c r="P508" s="447" t="s">
        <v>4260</v>
      </c>
      <c r="Q508" s="200"/>
      <c r="R508" s="122"/>
      <c r="S508" s="290"/>
      <c r="T508" s="449" t="s">
        <v>3855</v>
      </c>
      <c r="U508" s="399" t="s">
        <v>2950</v>
      </c>
      <c r="AA508" s="12"/>
      <c r="AB508" s="12"/>
      <c r="AC508" s="808"/>
      <c r="AD508" s="407"/>
    </row>
    <row r="509" spans="6:30" ht="10.5" customHeight="1">
      <c r="F509" s="238"/>
      <c r="G509" s="221"/>
      <c r="H509" s="221"/>
      <c r="I509" s="221"/>
      <c r="J509" s="221"/>
      <c r="K509" s="221"/>
      <c r="L509" s="221"/>
      <c r="M509" s="221"/>
      <c r="N509" s="221"/>
      <c r="O509" s="221"/>
      <c r="P509" s="447" t="s">
        <v>4261</v>
      </c>
      <c r="Q509" s="200"/>
      <c r="R509" s="122"/>
      <c r="S509" s="290"/>
      <c r="T509" s="449" t="s">
        <v>4262</v>
      </c>
      <c r="U509" s="399" t="s">
        <v>3278</v>
      </c>
      <c r="AA509" s="12"/>
      <c r="AB509" s="12"/>
      <c r="AC509" s="809"/>
      <c r="AD509" s="407"/>
    </row>
    <row r="510" spans="6:30" ht="10.5" customHeight="1">
      <c r="F510" s="238"/>
      <c r="G510" s="221"/>
      <c r="H510" s="221"/>
      <c r="I510" s="221"/>
      <c r="J510" s="221"/>
      <c r="K510" s="221"/>
      <c r="L510" s="221"/>
      <c r="M510" s="221"/>
      <c r="N510" s="221"/>
      <c r="O510" s="221"/>
      <c r="P510" s="447" t="s">
        <v>4263</v>
      </c>
      <c r="Q510" s="200"/>
      <c r="R510" s="122"/>
      <c r="S510" s="290"/>
      <c r="T510" s="399" t="s">
        <v>328</v>
      </c>
      <c r="U510" s="399" t="s">
        <v>298</v>
      </c>
      <c r="AA510" s="12"/>
      <c r="AB510" s="12"/>
      <c r="AC510" s="809"/>
      <c r="AD510" s="407"/>
    </row>
    <row r="511" spans="6:30" ht="10.5" customHeight="1">
      <c r="F511" s="238"/>
      <c r="G511" s="221"/>
      <c r="H511" s="221"/>
      <c r="I511" s="221"/>
      <c r="J511" s="221"/>
      <c r="K511" s="221"/>
      <c r="L511" s="221"/>
      <c r="M511" s="221"/>
      <c r="N511" s="221"/>
      <c r="O511" s="221"/>
      <c r="P511" s="447" t="s">
        <v>4264</v>
      </c>
      <c r="Q511" s="200"/>
      <c r="R511" s="122"/>
      <c r="S511" s="290"/>
      <c r="T511" s="399" t="s">
        <v>4265</v>
      </c>
      <c r="U511" s="399" t="s">
        <v>3284</v>
      </c>
      <c r="AA511" s="12"/>
      <c r="AB511" s="12"/>
      <c r="AC511" s="808"/>
      <c r="AD511" s="407"/>
    </row>
    <row r="512" spans="6:30" ht="10.5" customHeight="1">
      <c r="F512" s="238"/>
      <c r="G512" s="221"/>
      <c r="H512" s="221"/>
      <c r="I512" s="221"/>
      <c r="J512" s="221"/>
      <c r="K512" s="221"/>
      <c r="L512" s="221"/>
      <c r="M512" s="221"/>
      <c r="N512" s="221"/>
      <c r="O512" s="221"/>
      <c r="P512" s="447" t="s">
        <v>4266</v>
      </c>
      <c r="Q512" s="200"/>
      <c r="R512" s="122"/>
      <c r="S512" s="290"/>
      <c r="T512" s="399" t="s">
        <v>4267</v>
      </c>
      <c r="U512" s="399" t="s">
        <v>3232</v>
      </c>
      <c r="AA512" s="12"/>
      <c r="AB512" s="12"/>
      <c r="AC512" s="808"/>
      <c r="AD512" s="407"/>
    </row>
    <row r="513" spans="6:30" ht="10.5" customHeight="1">
      <c r="F513" s="238"/>
      <c r="G513" s="221"/>
      <c r="H513" s="221"/>
      <c r="I513" s="221"/>
      <c r="J513" s="221"/>
      <c r="K513" s="221"/>
      <c r="L513" s="221"/>
      <c r="M513" s="221"/>
      <c r="N513" s="221"/>
      <c r="O513" s="221"/>
      <c r="P513" s="447" t="s">
        <v>4268</v>
      </c>
      <c r="Q513" s="200"/>
      <c r="R513" s="122"/>
      <c r="S513" s="290"/>
      <c r="T513" s="399" t="s">
        <v>3862</v>
      </c>
      <c r="U513" s="399" t="s">
        <v>3106</v>
      </c>
      <c r="AA513" s="12"/>
      <c r="AB513" s="12"/>
      <c r="AC513" s="808"/>
      <c r="AD513" s="407"/>
    </row>
    <row r="514" spans="6:30" ht="10.5" customHeight="1">
      <c r="F514" s="238"/>
      <c r="G514" s="221"/>
      <c r="H514" s="221"/>
      <c r="I514" s="221"/>
      <c r="J514" s="221"/>
      <c r="K514" s="221"/>
      <c r="L514" s="221"/>
      <c r="M514" s="221"/>
      <c r="N514" s="221"/>
      <c r="O514" s="221"/>
      <c r="P514" s="447" t="s">
        <v>4269</v>
      </c>
      <c r="Q514" s="200"/>
      <c r="R514" s="122"/>
      <c r="S514" s="290"/>
      <c r="T514" s="194" t="s">
        <v>4270</v>
      </c>
      <c r="U514" s="194" t="s">
        <v>3392</v>
      </c>
      <c r="AA514" s="12"/>
      <c r="AB514" s="12"/>
      <c r="AC514" s="808"/>
      <c r="AD514" s="407"/>
    </row>
    <row r="515" spans="6:30" ht="10.5" customHeight="1">
      <c r="F515" s="238"/>
      <c r="G515" s="221"/>
      <c r="H515" s="221"/>
      <c r="I515" s="221"/>
      <c r="J515" s="221"/>
      <c r="K515" s="221"/>
      <c r="L515" s="221"/>
      <c r="M515" s="221"/>
      <c r="N515" s="221"/>
      <c r="O515" s="221"/>
      <c r="P515" s="447" t="s">
        <v>4271</v>
      </c>
      <c r="Q515" s="200"/>
      <c r="R515" s="122"/>
      <c r="S515" s="290"/>
      <c r="T515" s="399" t="s">
        <v>4272</v>
      </c>
      <c r="U515" s="399" t="s">
        <v>279</v>
      </c>
      <c r="AA515" s="12"/>
      <c r="AB515" s="12"/>
      <c r="AC515" s="407"/>
      <c r="AD515" s="407"/>
    </row>
    <row r="516" spans="6:30" ht="10.5" customHeight="1">
      <c r="F516" s="238"/>
      <c r="G516" s="221"/>
      <c r="H516" s="221"/>
      <c r="I516" s="221"/>
      <c r="J516" s="221"/>
      <c r="K516" s="221"/>
      <c r="L516" s="221"/>
      <c r="M516" s="221"/>
      <c r="N516" s="221"/>
      <c r="O516" s="221"/>
      <c r="P516" s="447" t="s">
        <v>4273</v>
      </c>
      <c r="Q516" s="200"/>
      <c r="R516" s="122"/>
      <c r="S516" s="290"/>
      <c r="T516" s="399" t="s">
        <v>4274</v>
      </c>
      <c r="U516" s="399" t="s">
        <v>3148</v>
      </c>
      <c r="AA516" s="12"/>
      <c r="AB516" s="12"/>
      <c r="AC516" s="808"/>
      <c r="AD516" s="407"/>
    </row>
    <row r="517" spans="6:30" ht="10.5" customHeight="1">
      <c r="F517" s="238"/>
      <c r="G517" s="221"/>
      <c r="H517" s="221"/>
      <c r="I517" s="221"/>
      <c r="J517" s="221"/>
      <c r="K517" s="221"/>
      <c r="L517" s="221"/>
      <c r="M517" s="221"/>
      <c r="N517" s="221"/>
      <c r="O517" s="221"/>
      <c r="P517" s="447" t="s">
        <v>4275</v>
      </c>
      <c r="Q517" s="200"/>
      <c r="R517" s="122"/>
      <c r="S517" s="290"/>
      <c r="T517" s="194" t="s">
        <v>4276</v>
      </c>
      <c r="U517" s="194" t="s">
        <v>3808</v>
      </c>
      <c r="AA517" s="12"/>
      <c r="AB517" s="12"/>
      <c r="AC517" s="808"/>
      <c r="AD517" s="407"/>
    </row>
    <row r="518" spans="6:30" ht="10.5" customHeight="1">
      <c r="F518" s="238"/>
      <c r="G518" s="221"/>
      <c r="H518" s="221"/>
      <c r="I518" s="221"/>
      <c r="J518" s="221"/>
      <c r="K518" s="221"/>
      <c r="L518" s="221"/>
      <c r="M518" s="221"/>
      <c r="N518" s="221"/>
      <c r="O518" s="221"/>
      <c r="P518" s="447" t="s">
        <v>4277</v>
      </c>
      <c r="Q518" s="200"/>
      <c r="R518" s="122"/>
      <c r="S518" s="290"/>
      <c r="T518" s="399" t="s">
        <v>4278</v>
      </c>
      <c r="U518" s="399" t="s">
        <v>313</v>
      </c>
      <c r="AA518" s="12"/>
      <c r="AB518" s="12"/>
      <c r="AC518" s="407"/>
      <c r="AD518" s="407"/>
    </row>
    <row r="519" spans="6:30" ht="10.5" customHeight="1">
      <c r="F519" s="238"/>
      <c r="G519" s="221"/>
      <c r="H519" s="221"/>
      <c r="I519" s="221"/>
      <c r="J519" s="221"/>
      <c r="K519" s="221"/>
      <c r="L519" s="221"/>
      <c r="M519" s="221"/>
      <c r="N519" s="221"/>
      <c r="O519" s="221"/>
      <c r="P519" s="447" t="s">
        <v>4279</v>
      </c>
      <c r="Q519" s="200"/>
      <c r="R519" s="122"/>
      <c r="S519" s="290"/>
      <c r="T519" s="399" t="s">
        <v>4280</v>
      </c>
      <c r="U519" s="399" t="s">
        <v>3322</v>
      </c>
      <c r="AA519" s="12"/>
      <c r="AB519" s="12"/>
      <c r="AC519" s="808"/>
      <c r="AD519" s="407"/>
    </row>
    <row r="520" spans="6:30" ht="10.5" customHeight="1">
      <c r="F520" s="238"/>
      <c r="G520" s="221"/>
      <c r="H520" s="221"/>
      <c r="I520" s="221"/>
      <c r="J520" s="221"/>
      <c r="K520" s="221"/>
      <c r="L520" s="221"/>
      <c r="M520" s="221"/>
      <c r="N520" s="221"/>
      <c r="O520" s="221"/>
      <c r="P520" s="447" t="s">
        <v>4281</v>
      </c>
      <c r="Q520" s="200"/>
      <c r="R520" s="122"/>
      <c r="S520" s="290"/>
      <c r="T520" s="399" t="s">
        <v>4282</v>
      </c>
      <c r="U520" s="399" t="s">
        <v>3744</v>
      </c>
      <c r="AA520" s="12"/>
      <c r="AB520" s="12"/>
      <c r="AC520" s="808"/>
      <c r="AD520" s="407"/>
    </row>
    <row r="521" spans="6:30" ht="10.5" customHeight="1">
      <c r="F521" s="238"/>
      <c r="G521" s="221"/>
      <c r="H521" s="221"/>
      <c r="I521" s="221"/>
      <c r="J521" s="221"/>
      <c r="K521" s="221"/>
      <c r="L521" s="221"/>
      <c r="M521" s="221"/>
      <c r="N521" s="221"/>
      <c r="O521" s="221"/>
      <c r="P521" s="447" t="s">
        <v>4283</v>
      </c>
      <c r="Q521" s="200"/>
      <c r="R521" s="122"/>
      <c r="S521" s="290"/>
      <c r="T521" s="399" t="s">
        <v>4284</v>
      </c>
      <c r="U521" s="399" t="s">
        <v>3235</v>
      </c>
      <c r="AA521" s="12"/>
      <c r="AB521" s="12"/>
      <c r="AC521" s="808"/>
      <c r="AD521" s="407"/>
    </row>
    <row r="522" spans="6:30" ht="10.5" customHeight="1">
      <c r="F522" s="238"/>
      <c r="G522" s="221"/>
      <c r="H522" s="221"/>
      <c r="I522" s="221"/>
      <c r="J522" s="221"/>
      <c r="K522" s="221"/>
      <c r="L522" s="221"/>
      <c r="M522" s="221"/>
      <c r="N522" s="221"/>
      <c r="O522" s="221"/>
      <c r="P522" s="447" t="s">
        <v>4285</v>
      </c>
      <c r="Q522" s="200"/>
      <c r="R522" s="122"/>
      <c r="S522" s="290"/>
      <c r="T522" s="399" t="s">
        <v>2254</v>
      </c>
      <c r="U522" s="399" t="s">
        <v>3195</v>
      </c>
      <c r="AA522" s="12"/>
      <c r="AB522" s="12"/>
      <c r="AC522" s="808"/>
      <c r="AD522" s="407"/>
    </row>
    <row r="523" spans="6:30" ht="10.5" customHeight="1">
      <c r="F523" s="238"/>
      <c r="G523" s="221"/>
      <c r="H523" s="221"/>
      <c r="I523" s="221"/>
      <c r="J523" s="221"/>
      <c r="K523" s="221"/>
      <c r="L523" s="221"/>
      <c r="M523" s="221"/>
      <c r="N523" s="221"/>
      <c r="O523" s="221"/>
      <c r="P523" s="447" t="s">
        <v>4286</v>
      </c>
      <c r="Q523" s="200"/>
      <c r="R523" s="122"/>
      <c r="S523" s="290"/>
      <c r="T523" s="399" t="s">
        <v>3879</v>
      </c>
      <c r="U523" s="399" t="s">
        <v>3171</v>
      </c>
      <c r="AA523" s="12"/>
      <c r="AB523" s="12"/>
      <c r="AC523" s="808"/>
      <c r="AD523" s="407"/>
    </row>
    <row r="524" spans="6:30" ht="10.5" customHeight="1">
      <c r="F524" s="238"/>
      <c r="G524" s="221"/>
      <c r="H524" s="221"/>
      <c r="I524" s="221"/>
      <c r="J524" s="221"/>
      <c r="K524" s="221"/>
      <c r="L524" s="221"/>
      <c r="M524" s="221"/>
      <c r="N524" s="221"/>
      <c r="O524" s="221"/>
      <c r="P524" s="447" t="s">
        <v>4287</v>
      </c>
      <c r="Q524" s="200"/>
      <c r="R524" s="122"/>
      <c r="S524" s="290"/>
      <c r="T524" s="399" t="s">
        <v>4288</v>
      </c>
      <c r="U524" s="399" t="s">
        <v>304</v>
      </c>
      <c r="AA524" s="12"/>
      <c r="AB524" s="12"/>
      <c r="AC524" s="808"/>
      <c r="AD524" s="407"/>
    </row>
    <row r="525" spans="6:30" ht="10.5" customHeight="1">
      <c r="F525" s="238"/>
      <c r="G525" s="221"/>
      <c r="H525" s="221"/>
      <c r="I525" s="221"/>
      <c r="J525" s="221"/>
      <c r="K525" s="221"/>
      <c r="L525" s="221"/>
      <c r="M525" s="221"/>
      <c r="N525" s="221"/>
      <c r="O525" s="221"/>
      <c r="P525" s="447" t="s">
        <v>4289</v>
      </c>
      <c r="Q525" s="200"/>
      <c r="R525" s="122"/>
      <c r="S525" s="290"/>
      <c r="T525" s="399" t="s">
        <v>4290</v>
      </c>
      <c r="U525" s="399" t="s">
        <v>3808</v>
      </c>
      <c r="AA525" s="12"/>
      <c r="AB525" s="12"/>
      <c r="AC525" s="808"/>
      <c r="AD525" s="407"/>
    </row>
    <row r="526" spans="6:30" ht="10.5" customHeight="1">
      <c r="F526" s="238"/>
      <c r="G526" s="221"/>
      <c r="H526" s="221"/>
      <c r="I526" s="221"/>
      <c r="J526" s="221"/>
      <c r="K526" s="221"/>
      <c r="L526" s="221"/>
      <c r="M526" s="221"/>
      <c r="N526" s="221"/>
      <c r="O526" s="221"/>
      <c r="P526" s="447" t="s">
        <v>4291</v>
      </c>
      <c r="Q526" s="200"/>
      <c r="R526" s="122"/>
      <c r="S526" s="290"/>
      <c r="T526" s="399" t="s">
        <v>2255</v>
      </c>
      <c r="U526" s="399" t="s">
        <v>3097</v>
      </c>
      <c r="AA526" s="12"/>
      <c r="AB526" s="12"/>
      <c r="AC526" s="808"/>
      <c r="AD526" s="407"/>
    </row>
    <row r="527" spans="6:30" ht="10.5" customHeight="1">
      <c r="F527" s="238"/>
      <c r="G527" s="221"/>
      <c r="H527" s="221"/>
      <c r="I527" s="221"/>
      <c r="J527" s="221"/>
      <c r="K527" s="221"/>
      <c r="L527" s="221"/>
      <c r="M527" s="221"/>
      <c r="N527" s="221"/>
      <c r="O527" s="221"/>
      <c r="P527" s="447" t="s">
        <v>4292</v>
      </c>
      <c r="Q527" s="200"/>
      <c r="R527" s="122"/>
      <c r="S527" s="290"/>
      <c r="T527" s="399" t="s">
        <v>2256</v>
      </c>
      <c r="U527" s="399" t="s">
        <v>3543</v>
      </c>
      <c r="AA527" s="12"/>
      <c r="AB527" s="12"/>
      <c r="AC527" s="808"/>
      <c r="AD527" s="407"/>
    </row>
    <row r="528" spans="6:30" ht="10.5" customHeight="1">
      <c r="F528" s="238"/>
      <c r="G528" s="221"/>
      <c r="H528" s="221"/>
      <c r="I528" s="221"/>
      <c r="J528" s="221"/>
      <c r="K528" s="221"/>
      <c r="L528" s="221"/>
      <c r="M528" s="221"/>
      <c r="N528" s="221"/>
      <c r="O528" s="221"/>
      <c r="P528" s="447" t="s">
        <v>4293</v>
      </c>
      <c r="Q528" s="200"/>
      <c r="R528" s="122"/>
      <c r="S528" s="290"/>
      <c r="T528" s="399" t="s">
        <v>4294</v>
      </c>
      <c r="U528" s="399" t="s">
        <v>3134</v>
      </c>
      <c r="AA528" s="12"/>
      <c r="AB528" s="12"/>
      <c r="AC528" s="808"/>
      <c r="AD528" s="407"/>
    </row>
    <row r="529" spans="6:30" ht="10.5" customHeight="1">
      <c r="F529" s="238"/>
      <c r="G529" s="221"/>
      <c r="H529" s="221"/>
      <c r="I529" s="221"/>
      <c r="J529" s="221"/>
      <c r="K529" s="221"/>
      <c r="L529" s="221"/>
      <c r="M529" s="221"/>
      <c r="N529" s="221"/>
      <c r="O529" s="221"/>
      <c r="P529" s="447" t="s">
        <v>4295</v>
      </c>
      <c r="Q529" s="200"/>
      <c r="R529" s="122"/>
      <c r="S529" s="290"/>
      <c r="T529" s="194" t="s">
        <v>4296</v>
      </c>
      <c r="U529" s="194" t="s">
        <v>334</v>
      </c>
      <c r="AA529" s="12"/>
      <c r="AB529" s="12"/>
      <c r="AC529" s="808"/>
      <c r="AD529" s="407"/>
    </row>
    <row r="530" spans="6:30" ht="10.5" customHeight="1">
      <c r="F530" s="238"/>
      <c r="G530" s="221"/>
      <c r="H530" s="221"/>
      <c r="I530" s="221"/>
      <c r="J530" s="221"/>
      <c r="K530" s="221"/>
      <c r="L530" s="221"/>
      <c r="M530" s="221"/>
      <c r="N530" s="221"/>
      <c r="O530" s="221"/>
      <c r="P530" s="447" t="s">
        <v>4297</v>
      </c>
      <c r="Q530" s="200"/>
      <c r="R530" s="122"/>
      <c r="S530" s="290"/>
      <c r="T530" s="399" t="s">
        <v>4298</v>
      </c>
      <c r="U530" s="399" t="s">
        <v>3392</v>
      </c>
      <c r="AA530" s="12"/>
      <c r="AB530" s="12"/>
      <c r="AC530" s="407"/>
      <c r="AD530" s="407"/>
    </row>
    <row r="531" spans="6:30" ht="10.5" customHeight="1">
      <c r="F531" s="238"/>
      <c r="G531" s="221"/>
      <c r="H531" s="221"/>
      <c r="I531" s="221"/>
      <c r="J531" s="221"/>
      <c r="K531" s="221"/>
      <c r="L531" s="221"/>
      <c r="M531" s="221"/>
      <c r="N531" s="221"/>
      <c r="O531" s="221"/>
      <c r="P531" s="447" t="s">
        <v>4299</v>
      </c>
      <c r="Q531" s="200"/>
      <c r="R531" s="122"/>
      <c r="S531" s="290"/>
      <c r="T531" s="399" t="s">
        <v>3294</v>
      </c>
      <c r="U531" s="399" t="s">
        <v>3429</v>
      </c>
      <c r="AA531" s="12"/>
      <c r="AB531" s="12"/>
      <c r="AC531" s="808"/>
      <c r="AD531" s="407"/>
    </row>
    <row r="532" spans="6:30" ht="10.5" customHeight="1">
      <c r="F532" s="238"/>
      <c r="G532" s="221"/>
      <c r="H532" s="221"/>
      <c r="I532" s="221"/>
      <c r="J532" s="221"/>
      <c r="K532" s="221"/>
      <c r="L532" s="221"/>
      <c r="M532" s="221"/>
      <c r="N532" s="221"/>
      <c r="O532" s="221"/>
      <c r="P532" s="447" t="s">
        <v>4300</v>
      </c>
      <c r="Q532" s="200"/>
      <c r="R532" s="122"/>
      <c r="S532" s="290"/>
      <c r="T532" s="399" t="s">
        <v>4301</v>
      </c>
      <c r="U532" s="399" t="s">
        <v>313</v>
      </c>
      <c r="AA532" s="12"/>
      <c r="AB532" s="12"/>
      <c r="AC532" s="808"/>
      <c r="AD532" s="407"/>
    </row>
    <row r="533" spans="6:30" ht="10.5" customHeight="1">
      <c r="F533" s="238"/>
      <c r="G533" s="221"/>
      <c r="H533" s="221"/>
      <c r="I533" s="221"/>
      <c r="J533" s="221"/>
      <c r="K533" s="221"/>
      <c r="L533" s="221"/>
      <c r="M533" s="221"/>
      <c r="N533" s="221"/>
      <c r="O533" s="221"/>
      <c r="P533" s="447" t="s">
        <v>4302</v>
      </c>
      <c r="Q533" s="200"/>
      <c r="R533" s="122"/>
      <c r="S533" s="290"/>
      <c r="T533" s="399" t="s">
        <v>2257</v>
      </c>
      <c r="U533" s="399" t="s">
        <v>3365</v>
      </c>
      <c r="AA533" s="12"/>
      <c r="AB533" s="12"/>
      <c r="AC533" s="808"/>
      <c r="AD533" s="407"/>
    </row>
    <row r="534" spans="6:30" ht="10.5" customHeight="1">
      <c r="F534" s="238"/>
      <c r="G534" s="221"/>
      <c r="H534" s="221"/>
      <c r="I534" s="221"/>
      <c r="J534" s="221"/>
      <c r="K534" s="221"/>
      <c r="L534" s="221"/>
      <c r="M534" s="221"/>
      <c r="N534" s="221"/>
      <c r="O534" s="221"/>
      <c r="P534" s="447" t="s">
        <v>4303</v>
      </c>
      <c r="Q534" s="200"/>
      <c r="R534" s="122"/>
      <c r="S534" s="290"/>
      <c r="T534" s="399" t="s">
        <v>4304</v>
      </c>
      <c r="U534" s="399" t="s">
        <v>2950</v>
      </c>
      <c r="AA534" s="12"/>
      <c r="AB534" s="12"/>
      <c r="AC534" s="808"/>
      <c r="AD534" s="407"/>
    </row>
    <row r="535" spans="6:30" ht="10.5" customHeight="1">
      <c r="F535" s="238"/>
      <c r="G535" s="221"/>
      <c r="H535" s="221"/>
      <c r="I535" s="221"/>
      <c r="J535" s="221"/>
      <c r="K535" s="221"/>
      <c r="L535" s="221"/>
      <c r="M535" s="221"/>
      <c r="N535" s="221"/>
      <c r="O535" s="221"/>
      <c r="P535" s="447" t="s">
        <v>4305</v>
      </c>
      <c r="Q535" s="200"/>
      <c r="R535" s="122"/>
      <c r="S535" s="290"/>
      <c r="T535" s="399" t="s">
        <v>330</v>
      </c>
      <c r="U535" s="399" t="s">
        <v>318</v>
      </c>
      <c r="AA535" s="12"/>
      <c r="AB535" s="12"/>
      <c r="AC535" s="808"/>
      <c r="AD535" s="407"/>
    </row>
    <row r="536" spans="6:30" ht="10.5" customHeight="1">
      <c r="F536" s="238"/>
      <c r="G536" s="221"/>
      <c r="H536" s="221"/>
      <c r="I536" s="221"/>
      <c r="J536" s="221"/>
      <c r="K536" s="221"/>
      <c r="L536" s="221"/>
      <c r="M536" s="221"/>
      <c r="N536" s="221"/>
      <c r="O536" s="221"/>
      <c r="P536" s="447" t="s">
        <v>4306</v>
      </c>
      <c r="Q536" s="200"/>
      <c r="R536" s="122"/>
      <c r="S536" s="290"/>
      <c r="T536" s="399" t="s">
        <v>4307</v>
      </c>
      <c r="U536" s="399" t="s">
        <v>3525</v>
      </c>
      <c r="AA536" s="12"/>
      <c r="AB536" s="12"/>
      <c r="AC536" s="808"/>
      <c r="AD536" s="407"/>
    </row>
    <row r="537" spans="6:30" ht="10.5" customHeight="1">
      <c r="F537" s="238"/>
      <c r="G537" s="221"/>
      <c r="H537" s="221"/>
      <c r="I537" s="221"/>
      <c r="J537" s="221"/>
      <c r="K537" s="221"/>
      <c r="L537" s="221"/>
      <c r="M537" s="221"/>
      <c r="N537" s="221"/>
      <c r="O537" s="221"/>
      <c r="P537" s="447" t="s">
        <v>4308</v>
      </c>
      <c r="Q537" s="200"/>
      <c r="R537" s="122"/>
      <c r="S537" s="290"/>
      <c r="T537" s="399" t="s">
        <v>4309</v>
      </c>
      <c r="U537" s="399" t="s">
        <v>3564</v>
      </c>
      <c r="AA537" s="12"/>
      <c r="AB537" s="12"/>
      <c r="AC537" s="808"/>
      <c r="AD537" s="407"/>
    </row>
    <row r="538" spans="6:30" ht="10.5" customHeight="1">
      <c r="F538" s="238"/>
      <c r="G538" s="221"/>
      <c r="H538" s="221"/>
      <c r="I538" s="221"/>
      <c r="J538" s="221"/>
      <c r="K538" s="221"/>
      <c r="L538" s="221"/>
      <c r="M538" s="221"/>
      <c r="N538" s="221"/>
      <c r="O538" s="221"/>
      <c r="P538" s="447" t="s">
        <v>4310</v>
      </c>
      <c r="Q538" s="200"/>
      <c r="R538" s="122"/>
      <c r="S538" s="290"/>
      <c r="T538" s="399" t="s">
        <v>331</v>
      </c>
      <c r="U538" s="399" t="s">
        <v>332</v>
      </c>
      <c r="AA538" s="12"/>
      <c r="AB538" s="12"/>
      <c r="AC538" s="808"/>
      <c r="AD538" s="407"/>
    </row>
    <row r="539" spans="6:30" ht="10.5" customHeight="1">
      <c r="F539" s="238"/>
      <c r="G539" s="221"/>
      <c r="H539" s="221"/>
      <c r="I539" s="221"/>
      <c r="J539" s="221"/>
      <c r="K539" s="221"/>
      <c r="L539" s="221"/>
      <c r="M539" s="221"/>
      <c r="N539" s="221"/>
      <c r="O539" s="221"/>
      <c r="P539" s="447" t="s">
        <v>4311</v>
      </c>
      <c r="Q539" s="200"/>
      <c r="R539" s="122"/>
      <c r="S539" s="290"/>
      <c r="T539" s="399" t="s">
        <v>4312</v>
      </c>
      <c r="U539" s="399" t="s">
        <v>296</v>
      </c>
      <c r="AA539" s="12"/>
      <c r="AB539" s="12"/>
      <c r="AC539" s="808"/>
      <c r="AD539" s="407"/>
    </row>
    <row r="540" spans="6:30" ht="10.5" customHeight="1">
      <c r="F540" s="238"/>
      <c r="G540" s="221"/>
      <c r="H540" s="221"/>
      <c r="I540" s="221"/>
      <c r="J540" s="221"/>
      <c r="K540" s="221"/>
      <c r="L540" s="221"/>
      <c r="M540" s="221"/>
      <c r="N540" s="221"/>
      <c r="O540" s="221"/>
      <c r="P540" s="447" t="s">
        <v>4313</v>
      </c>
      <c r="Q540" s="200"/>
      <c r="R540" s="122"/>
      <c r="S540" s="290"/>
      <c r="T540" s="399" t="s">
        <v>3445</v>
      </c>
      <c r="U540" s="399" t="s">
        <v>2198</v>
      </c>
      <c r="AA540" s="12"/>
      <c r="AB540" s="12"/>
      <c r="AC540" s="808"/>
      <c r="AD540" s="407"/>
    </row>
    <row r="541" spans="6:30" ht="10.5" customHeight="1">
      <c r="F541" s="238"/>
      <c r="G541" s="221"/>
      <c r="H541" s="221"/>
      <c r="I541" s="221"/>
      <c r="J541" s="221"/>
      <c r="K541" s="221"/>
      <c r="L541" s="221"/>
      <c r="M541" s="221"/>
      <c r="N541" s="221"/>
      <c r="O541" s="221"/>
      <c r="P541" s="447" t="s">
        <v>4314</v>
      </c>
      <c r="Q541" s="200"/>
      <c r="R541" s="122"/>
      <c r="S541" s="290"/>
      <c r="T541" s="399" t="s">
        <v>4315</v>
      </c>
      <c r="U541" s="399" t="s">
        <v>3392</v>
      </c>
      <c r="AA541" s="12"/>
      <c r="AB541" s="12"/>
      <c r="AC541" s="808"/>
      <c r="AD541" s="407"/>
    </row>
    <row r="542" spans="6:30" ht="10.5" customHeight="1">
      <c r="F542" s="238"/>
      <c r="G542" s="221"/>
      <c r="H542" s="221"/>
      <c r="I542" s="221"/>
      <c r="J542" s="221"/>
      <c r="K542" s="221"/>
      <c r="L542" s="221"/>
      <c r="M542" s="221"/>
      <c r="N542" s="221"/>
      <c r="O542" s="221"/>
      <c r="P542" s="447" t="s">
        <v>4316</v>
      </c>
      <c r="Q542" s="200"/>
      <c r="R542" s="122"/>
      <c r="S542" s="290"/>
      <c r="T542" s="194" t="s">
        <v>4317</v>
      </c>
      <c r="U542" s="194" t="s">
        <v>281</v>
      </c>
      <c r="AA542" s="12"/>
      <c r="AB542" s="12"/>
      <c r="AC542" s="808"/>
      <c r="AD542" s="407"/>
    </row>
    <row r="543" spans="6:30" ht="10.5" customHeight="1">
      <c r="F543" s="238"/>
      <c r="G543" s="221"/>
      <c r="H543" s="221"/>
      <c r="I543" s="221"/>
      <c r="J543" s="221"/>
      <c r="K543" s="221"/>
      <c r="L543" s="221"/>
      <c r="M543" s="221"/>
      <c r="N543" s="221"/>
      <c r="O543" s="221"/>
      <c r="P543" s="447" t="s">
        <v>4318</v>
      </c>
      <c r="Q543" s="200"/>
      <c r="R543" s="122"/>
      <c r="S543" s="290"/>
      <c r="T543" s="194" t="s">
        <v>4319</v>
      </c>
      <c r="U543" s="194" t="s">
        <v>3155</v>
      </c>
      <c r="AA543" s="12"/>
      <c r="AB543" s="12"/>
      <c r="AC543" s="407"/>
      <c r="AD543" s="407"/>
    </row>
    <row r="544" spans="6:30" ht="10.5" customHeight="1">
      <c r="F544" s="238"/>
      <c r="G544" s="221"/>
      <c r="H544" s="221"/>
      <c r="I544" s="221"/>
      <c r="J544" s="221"/>
      <c r="K544" s="221"/>
      <c r="L544" s="221"/>
      <c r="M544" s="221"/>
      <c r="N544" s="221"/>
      <c r="O544" s="221"/>
      <c r="P544" s="447" t="s">
        <v>4320</v>
      </c>
      <c r="Q544" s="200"/>
      <c r="R544" s="122"/>
      <c r="S544" s="290"/>
      <c r="T544" s="194" t="s">
        <v>2258</v>
      </c>
      <c r="U544" s="194" t="s">
        <v>2211</v>
      </c>
      <c r="AA544" s="12"/>
      <c r="AB544" s="12"/>
      <c r="AC544" s="407"/>
      <c r="AD544" s="407"/>
    </row>
    <row r="545" spans="6:30" ht="10.5" customHeight="1">
      <c r="F545" s="238"/>
      <c r="G545" s="221"/>
      <c r="H545" s="221"/>
      <c r="I545" s="221"/>
      <c r="J545" s="221"/>
      <c r="K545" s="221"/>
      <c r="L545" s="221"/>
      <c r="M545" s="221"/>
      <c r="N545" s="221"/>
      <c r="O545" s="221"/>
      <c r="P545" s="447" t="s">
        <v>4321</v>
      </c>
      <c r="Q545" s="200"/>
      <c r="R545" s="122"/>
      <c r="S545" s="290"/>
      <c r="T545" s="399" t="s">
        <v>4322</v>
      </c>
      <c r="U545" s="399" t="s">
        <v>344</v>
      </c>
      <c r="AA545" s="12"/>
      <c r="AB545" s="12"/>
      <c r="AC545" s="407"/>
      <c r="AD545" s="407"/>
    </row>
    <row r="546" spans="6:30" ht="10.5" customHeight="1">
      <c r="F546" s="238"/>
      <c r="G546" s="221"/>
      <c r="H546" s="221"/>
      <c r="I546" s="221"/>
      <c r="J546" s="221"/>
      <c r="K546" s="221"/>
      <c r="L546" s="221"/>
      <c r="M546" s="221"/>
      <c r="N546" s="221"/>
      <c r="O546" s="221"/>
      <c r="P546" s="447" t="s">
        <v>4323</v>
      </c>
      <c r="Q546" s="200"/>
      <c r="R546" s="122"/>
      <c r="S546" s="290"/>
      <c r="T546" s="399" t="s">
        <v>4324</v>
      </c>
      <c r="U546" s="399" t="s">
        <v>330</v>
      </c>
      <c r="AA546" s="12"/>
      <c r="AB546" s="12"/>
      <c r="AC546" s="808"/>
      <c r="AD546" s="407"/>
    </row>
    <row r="547" spans="6:30" ht="10.5" customHeight="1">
      <c r="F547" s="238"/>
      <c r="G547" s="221"/>
      <c r="H547" s="221"/>
      <c r="I547" s="221"/>
      <c r="J547" s="221"/>
      <c r="K547" s="221"/>
      <c r="L547" s="221"/>
      <c r="M547" s="221"/>
      <c r="N547" s="221"/>
      <c r="O547" s="221"/>
      <c r="P547" s="447" t="s">
        <v>4325</v>
      </c>
      <c r="Q547" s="200"/>
      <c r="R547" s="122"/>
      <c r="S547" s="290"/>
      <c r="T547" s="399" t="s">
        <v>4326</v>
      </c>
      <c r="U547" s="399" t="s">
        <v>3203</v>
      </c>
      <c r="AA547" s="12"/>
      <c r="AB547" s="12"/>
      <c r="AC547" s="808"/>
      <c r="AD547" s="407"/>
    </row>
    <row r="548" spans="6:30" ht="10.5" customHeight="1">
      <c r="F548" s="238"/>
      <c r="G548" s="221"/>
      <c r="H548" s="221"/>
      <c r="I548" s="221"/>
      <c r="J548" s="221"/>
      <c r="K548" s="221"/>
      <c r="L548" s="221"/>
      <c r="M548" s="221"/>
      <c r="N548" s="221"/>
      <c r="O548" s="221"/>
      <c r="P548" s="447" t="s">
        <v>4327</v>
      </c>
      <c r="Q548" s="200"/>
      <c r="R548" s="122"/>
      <c r="S548" s="290"/>
      <c r="T548" s="399" t="s">
        <v>4328</v>
      </c>
      <c r="U548" s="399" t="s">
        <v>3726</v>
      </c>
      <c r="AA548" s="12"/>
      <c r="AB548" s="12"/>
      <c r="AC548" s="808"/>
      <c r="AD548" s="407"/>
    </row>
    <row r="549" spans="6:30" ht="10.5" customHeight="1">
      <c r="F549" s="238"/>
      <c r="G549" s="221"/>
      <c r="H549" s="221"/>
      <c r="I549" s="221"/>
      <c r="J549" s="221"/>
      <c r="K549" s="221"/>
      <c r="L549" s="221"/>
      <c r="M549" s="221"/>
      <c r="N549" s="221"/>
      <c r="O549" s="221"/>
      <c r="P549" s="447" t="s">
        <v>4329</v>
      </c>
      <c r="Q549" s="200"/>
      <c r="R549" s="122"/>
      <c r="S549" s="290"/>
      <c r="T549" s="399" t="s">
        <v>333</v>
      </c>
      <c r="U549" s="399" t="s">
        <v>334</v>
      </c>
      <c r="AA549" s="12"/>
      <c r="AB549" s="12"/>
      <c r="AC549" s="808"/>
      <c r="AD549" s="407"/>
    </row>
    <row r="550" spans="6:30" ht="10.5" customHeight="1">
      <c r="F550" s="238"/>
      <c r="G550" s="221"/>
      <c r="H550" s="221"/>
      <c r="I550" s="221"/>
      <c r="J550" s="221"/>
      <c r="K550" s="221"/>
      <c r="L550" s="221"/>
      <c r="M550" s="221"/>
      <c r="N550" s="221"/>
      <c r="O550" s="221"/>
      <c r="P550" s="447" t="s">
        <v>4330</v>
      </c>
      <c r="Q550" s="200"/>
      <c r="R550" s="122"/>
      <c r="S550" s="290"/>
      <c r="T550" s="399" t="s">
        <v>333</v>
      </c>
      <c r="U550" s="399" t="s">
        <v>334</v>
      </c>
      <c r="AA550" s="12"/>
      <c r="AB550" s="12"/>
      <c r="AC550" s="808"/>
      <c r="AD550" s="407"/>
    </row>
    <row r="551" spans="6:30" ht="10.5" customHeight="1">
      <c r="F551" s="238"/>
      <c r="G551" s="221"/>
      <c r="H551" s="221"/>
      <c r="I551" s="221"/>
      <c r="J551" s="221"/>
      <c r="K551" s="221"/>
      <c r="L551" s="221"/>
      <c r="M551" s="221"/>
      <c r="N551" s="221"/>
      <c r="O551" s="221"/>
      <c r="P551" s="447" t="s">
        <v>4331</v>
      </c>
      <c r="Q551" s="200"/>
      <c r="R551" s="122"/>
      <c r="S551" s="290"/>
      <c r="T551" s="399" t="s">
        <v>4332</v>
      </c>
      <c r="U551" s="399" t="s">
        <v>3150</v>
      </c>
      <c r="AA551" s="12"/>
      <c r="AB551" s="12"/>
      <c r="AC551" s="808"/>
      <c r="AD551" s="407"/>
    </row>
    <row r="552" spans="6:30" ht="10.5" customHeight="1">
      <c r="F552" s="238"/>
      <c r="G552" s="221"/>
      <c r="H552" s="221"/>
      <c r="I552" s="221"/>
      <c r="J552" s="221"/>
      <c r="K552" s="221"/>
      <c r="L552" s="221"/>
      <c r="M552" s="221"/>
      <c r="N552" s="221"/>
      <c r="O552" s="221"/>
      <c r="P552" s="447" t="s">
        <v>4333</v>
      </c>
      <c r="Q552" s="200"/>
      <c r="R552" s="122"/>
      <c r="S552" s="290"/>
      <c r="T552" s="399" t="s">
        <v>2259</v>
      </c>
      <c r="U552" s="399" t="s">
        <v>3120</v>
      </c>
      <c r="AA552" s="12"/>
      <c r="AB552" s="12"/>
      <c r="AC552" s="808"/>
      <c r="AD552" s="407"/>
    </row>
    <row r="553" spans="6:30" ht="10.5" customHeight="1">
      <c r="F553" s="238"/>
      <c r="G553" s="221"/>
      <c r="H553" s="221"/>
      <c r="I553" s="221"/>
      <c r="J553" s="221"/>
      <c r="K553" s="221"/>
      <c r="L553" s="221"/>
      <c r="M553" s="221"/>
      <c r="N553" s="221"/>
      <c r="O553" s="221"/>
      <c r="P553" s="447" t="s">
        <v>4334</v>
      </c>
      <c r="Q553" s="200"/>
      <c r="R553" s="122"/>
      <c r="S553" s="290"/>
      <c r="T553" s="399" t="s">
        <v>4335</v>
      </c>
      <c r="U553" s="399" t="s">
        <v>332</v>
      </c>
      <c r="AA553" s="12"/>
      <c r="AB553" s="12"/>
      <c r="AC553" s="808"/>
      <c r="AD553" s="407"/>
    </row>
    <row r="554" spans="6:30" ht="10.5" customHeight="1">
      <c r="F554" s="238"/>
      <c r="G554" s="221"/>
      <c r="H554" s="221"/>
      <c r="I554" s="221"/>
      <c r="J554" s="221"/>
      <c r="K554" s="221"/>
      <c r="L554" s="221"/>
      <c r="M554" s="221"/>
      <c r="N554" s="221"/>
      <c r="O554" s="221"/>
      <c r="P554" s="447" t="s">
        <v>4336</v>
      </c>
      <c r="Q554" s="200"/>
      <c r="R554" s="122"/>
      <c r="S554" s="290"/>
      <c r="T554" s="399" t="s">
        <v>4337</v>
      </c>
      <c r="U554" s="399" t="s">
        <v>3700</v>
      </c>
      <c r="AA554" s="12"/>
      <c r="AB554" s="12"/>
      <c r="AC554" s="808"/>
      <c r="AD554" s="407"/>
    </row>
    <row r="555" spans="6:30" ht="10.5" customHeight="1">
      <c r="F555" s="238"/>
      <c r="G555" s="221"/>
      <c r="H555" s="221"/>
      <c r="I555" s="221"/>
      <c r="J555" s="221"/>
      <c r="K555" s="221"/>
      <c r="L555" s="221"/>
      <c r="M555" s="221"/>
      <c r="N555" s="221"/>
      <c r="O555" s="221"/>
      <c r="P555" s="447" t="s">
        <v>4338</v>
      </c>
      <c r="Q555" s="200"/>
      <c r="R555" s="122"/>
      <c r="S555" s="290"/>
      <c r="T555" s="399" t="s">
        <v>4339</v>
      </c>
      <c r="U555" s="399" t="s">
        <v>3678</v>
      </c>
      <c r="AA555" s="12"/>
      <c r="AB555" s="12"/>
      <c r="AC555" s="808"/>
      <c r="AD555" s="407"/>
    </row>
    <row r="556" spans="6:30" ht="10.5" customHeight="1">
      <c r="F556" s="238"/>
      <c r="G556" s="221"/>
      <c r="H556" s="221"/>
      <c r="I556" s="221"/>
      <c r="J556" s="221"/>
      <c r="K556" s="221"/>
      <c r="L556" s="221"/>
      <c r="M556" s="221"/>
      <c r="N556" s="221"/>
      <c r="O556" s="221"/>
      <c r="P556" s="447" t="s">
        <v>4340</v>
      </c>
      <c r="Q556" s="200"/>
      <c r="R556" s="122"/>
      <c r="S556" s="290"/>
      <c r="T556" s="399" t="s">
        <v>4341</v>
      </c>
      <c r="U556" s="399" t="s">
        <v>3756</v>
      </c>
      <c r="AA556" s="12"/>
      <c r="AB556" s="12"/>
      <c r="AC556" s="808"/>
      <c r="AD556" s="407"/>
    </row>
    <row r="557" spans="6:30" ht="10.5" customHeight="1">
      <c r="F557" s="238"/>
      <c r="G557" s="221"/>
      <c r="H557" s="221"/>
      <c r="I557" s="221"/>
      <c r="J557" s="221"/>
      <c r="K557" s="221"/>
      <c r="L557" s="221"/>
      <c r="M557" s="221"/>
      <c r="N557" s="221"/>
      <c r="O557" s="221"/>
      <c r="P557" s="447" t="s">
        <v>4342</v>
      </c>
      <c r="Q557" s="200"/>
      <c r="R557" s="122"/>
      <c r="S557" s="290"/>
      <c r="T557" s="399" t="s">
        <v>2260</v>
      </c>
      <c r="U557" s="399" t="s">
        <v>296</v>
      </c>
      <c r="AA557" s="12"/>
      <c r="AB557" s="12"/>
      <c r="AC557" s="808"/>
      <c r="AD557" s="407"/>
    </row>
    <row r="558" spans="6:30" ht="10.5" customHeight="1">
      <c r="F558" s="238"/>
      <c r="G558" s="221"/>
      <c r="H558" s="221"/>
      <c r="I558" s="221"/>
      <c r="J558" s="221"/>
      <c r="K558" s="221"/>
      <c r="L558" s="221"/>
      <c r="M558" s="221"/>
      <c r="N558" s="221"/>
      <c r="O558" s="221"/>
      <c r="P558" s="447" t="s">
        <v>4343</v>
      </c>
      <c r="Q558" s="200"/>
      <c r="R558" s="122"/>
      <c r="S558" s="290"/>
      <c r="T558" s="399" t="s">
        <v>3678</v>
      </c>
      <c r="U558" s="399" t="s">
        <v>3088</v>
      </c>
      <c r="AA558" s="12"/>
      <c r="AB558" s="12"/>
      <c r="AC558" s="808"/>
      <c r="AD558" s="407"/>
    </row>
    <row r="559" spans="6:30" ht="10.5" customHeight="1">
      <c r="F559" s="238"/>
      <c r="G559" s="221"/>
      <c r="H559" s="221"/>
      <c r="I559" s="221"/>
      <c r="J559" s="221"/>
      <c r="K559" s="221"/>
      <c r="L559" s="221"/>
      <c r="M559" s="221"/>
      <c r="N559" s="221"/>
      <c r="O559" s="221"/>
      <c r="P559" s="447" t="s">
        <v>4344</v>
      </c>
      <c r="Q559" s="200"/>
      <c r="R559" s="122"/>
      <c r="S559" s="290"/>
      <c r="T559" s="399" t="s">
        <v>4345</v>
      </c>
      <c r="U559" s="399" t="s">
        <v>3176</v>
      </c>
      <c r="AA559" s="12"/>
      <c r="AB559" s="12"/>
      <c r="AC559" s="808"/>
      <c r="AD559" s="407"/>
    </row>
    <row r="560" spans="6:30" ht="10.5" customHeight="1">
      <c r="F560" s="238"/>
      <c r="G560" s="221"/>
      <c r="H560" s="221"/>
      <c r="I560" s="221"/>
      <c r="J560" s="221"/>
      <c r="K560" s="221"/>
      <c r="L560" s="221"/>
      <c r="M560" s="221"/>
      <c r="N560" s="221"/>
      <c r="O560" s="221"/>
      <c r="P560" s="447" t="s">
        <v>4346</v>
      </c>
      <c r="Q560" s="200"/>
      <c r="R560" s="122"/>
      <c r="S560" s="290"/>
      <c r="T560" s="399" t="s">
        <v>4347</v>
      </c>
      <c r="U560" s="399" t="s">
        <v>3213</v>
      </c>
      <c r="AA560" s="12"/>
      <c r="AB560" s="12"/>
      <c r="AC560" s="808"/>
      <c r="AD560" s="407"/>
    </row>
    <row r="561" spans="6:30" ht="10.5" customHeight="1">
      <c r="F561" s="238"/>
      <c r="G561" s="221"/>
      <c r="H561" s="221"/>
      <c r="I561" s="221"/>
      <c r="J561" s="221"/>
      <c r="K561" s="221"/>
      <c r="L561" s="221"/>
      <c r="M561" s="221"/>
      <c r="N561" s="221"/>
      <c r="O561" s="221"/>
      <c r="P561" s="447" t="s">
        <v>4348</v>
      </c>
      <c r="Q561" s="200"/>
      <c r="R561" s="122"/>
      <c r="S561" s="290"/>
      <c r="T561" s="399" t="s">
        <v>2261</v>
      </c>
      <c r="U561" s="399" t="s">
        <v>3347</v>
      </c>
      <c r="AA561" s="12"/>
      <c r="AB561" s="12"/>
      <c r="AC561" s="808"/>
      <c r="AD561" s="407"/>
    </row>
    <row r="562" spans="6:30" ht="10.5" customHeight="1">
      <c r="F562" s="238"/>
      <c r="G562" s="221"/>
      <c r="H562" s="221"/>
      <c r="I562" s="221"/>
      <c r="J562" s="221"/>
      <c r="K562" s="221"/>
      <c r="L562" s="221"/>
      <c r="M562" s="221"/>
      <c r="N562" s="221"/>
      <c r="O562" s="221"/>
      <c r="P562" s="447" t="s">
        <v>4349</v>
      </c>
      <c r="Q562" s="200"/>
      <c r="R562" s="122"/>
      <c r="S562" s="290"/>
      <c r="T562" s="194" t="s">
        <v>4350</v>
      </c>
      <c r="U562" s="194" t="s">
        <v>2211</v>
      </c>
      <c r="AA562" s="12"/>
      <c r="AB562" s="12"/>
      <c r="AC562" s="808"/>
      <c r="AD562" s="407"/>
    </row>
    <row r="563" spans="6:30" ht="10.5" customHeight="1">
      <c r="F563" s="238"/>
      <c r="G563" s="221"/>
      <c r="H563" s="221"/>
      <c r="I563" s="221"/>
      <c r="J563" s="221"/>
      <c r="K563" s="221"/>
      <c r="L563" s="221"/>
      <c r="M563" s="221"/>
      <c r="N563" s="221"/>
      <c r="O563" s="221"/>
      <c r="P563" s="447" t="s">
        <v>4351</v>
      </c>
      <c r="Q563" s="200"/>
      <c r="R563" s="122"/>
      <c r="S563" s="290"/>
      <c r="T563" s="399" t="s">
        <v>335</v>
      </c>
      <c r="U563" s="399" t="s">
        <v>276</v>
      </c>
      <c r="AA563" s="12"/>
      <c r="AB563" s="12"/>
      <c r="AC563" s="407"/>
      <c r="AD563" s="407"/>
    </row>
    <row r="564" spans="6:30" ht="10.5" customHeight="1">
      <c r="F564" s="238"/>
      <c r="G564" s="221"/>
      <c r="H564" s="221"/>
      <c r="I564" s="221"/>
      <c r="J564" s="221"/>
      <c r="K564" s="221"/>
      <c r="L564" s="221"/>
      <c r="M564" s="221"/>
      <c r="N564" s="221"/>
      <c r="O564" s="221"/>
      <c r="P564" s="447" t="s">
        <v>4352</v>
      </c>
      <c r="Q564" s="200"/>
      <c r="R564" s="122"/>
      <c r="S564" s="290"/>
      <c r="T564" s="399" t="s">
        <v>336</v>
      </c>
      <c r="U564" s="399" t="s">
        <v>276</v>
      </c>
      <c r="AA564" s="12"/>
      <c r="AB564" s="12"/>
      <c r="AC564" s="808"/>
      <c r="AD564" s="407"/>
    </row>
    <row r="565" spans="6:30" ht="10.5" customHeight="1">
      <c r="F565" s="238"/>
      <c r="G565" s="221"/>
      <c r="H565" s="221"/>
      <c r="I565" s="221"/>
      <c r="J565" s="221"/>
      <c r="K565" s="221"/>
      <c r="L565" s="221"/>
      <c r="M565" s="221"/>
      <c r="N565" s="221"/>
      <c r="O565" s="221"/>
      <c r="P565" s="447" t="s">
        <v>4353</v>
      </c>
      <c r="Q565" s="200"/>
      <c r="R565" s="122"/>
      <c r="S565" s="290"/>
      <c r="T565" s="399" t="s">
        <v>337</v>
      </c>
      <c r="U565" s="399" t="s">
        <v>276</v>
      </c>
      <c r="AA565" s="12"/>
      <c r="AB565" s="12"/>
      <c r="AC565" s="808"/>
      <c r="AD565" s="407"/>
    </row>
    <row r="566" spans="6:30" ht="10.5" customHeight="1">
      <c r="F566" s="238"/>
      <c r="G566" s="221"/>
      <c r="H566" s="221"/>
      <c r="I566" s="221"/>
      <c r="J566" s="221"/>
      <c r="K566" s="221"/>
      <c r="L566" s="221"/>
      <c r="M566" s="221"/>
      <c r="N566" s="221"/>
      <c r="O566" s="221"/>
      <c r="P566" s="447" t="s">
        <v>4354</v>
      </c>
      <c r="Q566" s="200"/>
      <c r="R566" s="122"/>
      <c r="S566" s="290"/>
      <c r="T566" s="399" t="s">
        <v>4355</v>
      </c>
      <c r="U566" s="399" t="s">
        <v>3379</v>
      </c>
      <c r="AA566" s="12"/>
      <c r="AB566" s="12"/>
      <c r="AC566" s="808"/>
      <c r="AD566" s="407"/>
    </row>
    <row r="567" spans="6:30" ht="10.5" customHeight="1">
      <c r="F567" s="238"/>
      <c r="G567" s="221"/>
      <c r="H567" s="221"/>
      <c r="I567" s="221"/>
      <c r="J567" s="221"/>
      <c r="K567" s="221"/>
      <c r="L567" s="221"/>
      <c r="M567" s="221"/>
      <c r="N567" s="221"/>
      <c r="O567" s="221"/>
      <c r="P567" s="447" t="s">
        <v>4356</v>
      </c>
      <c r="Q567" s="200"/>
      <c r="R567" s="122"/>
      <c r="S567" s="290"/>
      <c r="T567" s="399" t="s">
        <v>4357</v>
      </c>
      <c r="U567" s="399" t="s">
        <v>3588</v>
      </c>
      <c r="AA567" s="12"/>
      <c r="AB567" s="12"/>
      <c r="AC567" s="808"/>
      <c r="AD567" s="407"/>
    </row>
    <row r="568" spans="6:30" ht="10.5" customHeight="1">
      <c r="F568" s="238"/>
      <c r="G568" s="221"/>
      <c r="H568" s="221"/>
      <c r="I568" s="221"/>
      <c r="J568" s="221"/>
      <c r="K568" s="221"/>
      <c r="L568" s="221"/>
      <c r="M568" s="221"/>
      <c r="N568" s="221"/>
      <c r="O568" s="221"/>
      <c r="P568" s="447" t="s">
        <v>4358</v>
      </c>
      <c r="Q568" s="200"/>
      <c r="R568" s="122"/>
      <c r="S568" s="290"/>
      <c r="T568" s="399" t="s">
        <v>4359</v>
      </c>
      <c r="U568" s="399" t="s">
        <v>3381</v>
      </c>
      <c r="AA568" s="12"/>
      <c r="AB568" s="12"/>
      <c r="AC568" s="808"/>
      <c r="AD568" s="407"/>
    </row>
    <row r="569" spans="6:30" ht="10.5" customHeight="1">
      <c r="F569" s="238"/>
      <c r="G569" s="221"/>
      <c r="H569" s="221"/>
      <c r="I569" s="221"/>
      <c r="J569" s="221"/>
      <c r="K569" s="221"/>
      <c r="L569" s="221"/>
      <c r="M569" s="221"/>
      <c r="N569" s="221"/>
      <c r="O569" s="221"/>
      <c r="P569" s="447" t="s">
        <v>4360</v>
      </c>
      <c r="Q569" s="200"/>
      <c r="R569" s="122"/>
      <c r="S569" s="290"/>
      <c r="T569" s="399" t="s">
        <v>4361</v>
      </c>
      <c r="U569" s="399" t="s">
        <v>3381</v>
      </c>
      <c r="AA569" s="12"/>
      <c r="AB569" s="12"/>
      <c r="AC569" s="808"/>
      <c r="AD569" s="407"/>
    </row>
    <row r="570" spans="6:30" ht="10.5" customHeight="1">
      <c r="F570" s="238"/>
      <c r="G570" s="221"/>
      <c r="H570" s="221"/>
      <c r="I570" s="221"/>
      <c r="J570" s="221"/>
      <c r="K570" s="221"/>
      <c r="L570" s="221"/>
      <c r="M570" s="221"/>
      <c r="N570" s="221"/>
      <c r="O570" s="221"/>
      <c r="P570" s="447" t="s">
        <v>4362</v>
      </c>
      <c r="Q570" s="200"/>
      <c r="R570" s="122"/>
      <c r="S570" s="290"/>
      <c r="T570" s="399" t="s">
        <v>4363</v>
      </c>
      <c r="U570" s="399" t="s">
        <v>3469</v>
      </c>
      <c r="AA570" s="12"/>
      <c r="AB570" s="12"/>
      <c r="AC570" s="808"/>
      <c r="AD570" s="407"/>
    </row>
    <row r="571" spans="6:30" ht="10.5" customHeight="1">
      <c r="F571" s="238"/>
      <c r="G571" s="221"/>
      <c r="H571" s="221"/>
      <c r="I571" s="221"/>
      <c r="J571" s="221"/>
      <c r="K571" s="221"/>
      <c r="L571" s="221"/>
      <c r="M571" s="221"/>
      <c r="N571" s="221"/>
      <c r="O571" s="221"/>
      <c r="P571" s="447" t="s">
        <v>4364</v>
      </c>
      <c r="Q571" s="200"/>
      <c r="R571" s="122"/>
      <c r="S571" s="290"/>
      <c r="T571" s="399" t="s">
        <v>4365</v>
      </c>
      <c r="U571" s="399" t="s">
        <v>3322</v>
      </c>
      <c r="AA571" s="12"/>
      <c r="AB571" s="12"/>
      <c r="AC571" s="808"/>
      <c r="AD571" s="407"/>
    </row>
    <row r="572" spans="6:30" ht="10.5" customHeight="1">
      <c r="F572" s="238"/>
      <c r="G572" s="221"/>
      <c r="H572" s="221"/>
      <c r="I572" s="221"/>
      <c r="J572" s="221"/>
      <c r="K572" s="221"/>
      <c r="L572" s="221"/>
      <c r="M572" s="221"/>
      <c r="N572" s="221"/>
      <c r="O572" s="221"/>
      <c r="P572" s="447" t="s">
        <v>4366</v>
      </c>
      <c r="Q572" s="200"/>
      <c r="R572" s="122"/>
      <c r="S572" s="290"/>
      <c r="T572" s="399" t="s">
        <v>3913</v>
      </c>
      <c r="U572" s="399" t="s">
        <v>3517</v>
      </c>
      <c r="AA572" s="12"/>
      <c r="AB572" s="12"/>
      <c r="AC572" s="808"/>
      <c r="AD572" s="407"/>
    </row>
    <row r="573" spans="6:30" ht="10.5" customHeight="1">
      <c r="F573" s="238"/>
      <c r="G573" s="221"/>
      <c r="H573" s="221"/>
      <c r="I573" s="221"/>
      <c r="J573" s="221"/>
      <c r="K573" s="221"/>
      <c r="L573" s="221"/>
      <c r="M573" s="221"/>
      <c r="N573" s="221"/>
      <c r="O573" s="221"/>
      <c r="P573" s="447" t="s">
        <v>4367</v>
      </c>
      <c r="Q573" s="200"/>
      <c r="R573" s="122"/>
      <c r="S573" s="290"/>
      <c r="T573" s="194" t="s">
        <v>3379</v>
      </c>
      <c r="U573" s="194" t="s">
        <v>3875</v>
      </c>
      <c r="AA573" s="12"/>
      <c r="AB573" s="12"/>
      <c r="AC573" s="808"/>
      <c r="AD573" s="407"/>
    </row>
    <row r="574" spans="6:30" ht="10.5" customHeight="1">
      <c r="F574" s="238"/>
      <c r="G574" s="221"/>
      <c r="H574" s="221"/>
      <c r="I574" s="221"/>
      <c r="J574" s="221"/>
      <c r="K574" s="221"/>
      <c r="L574" s="221"/>
      <c r="M574" s="221"/>
      <c r="N574" s="221"/>
      <c r="O574" s="221"/>
      <c r="P574" s="447" t="s">
        <v>4368</v>
      </c>
      <c r="Q574" s="200"/>
      <c r="R574" s="122"/>
      <c r="S574" s="290"/>
      <c r="T574" s="399" t="s">
        <v>4369</v>
      </c>
      <c r="U574" s="399" t="s">
        <v>3880</v>
      </c>
      <c r="AA574" s="12"/>
      <c r="AB574" s="12"/>
      <c r="AC574" s="407"/>
      <c r="AD574" s="407"/>
    </row>
    <row r="575" spans="6:30" ht="10.5" customHeight="1">
      <c r="F575" s="238"/>
      <c r="G575" s="221"/>
      <c r="H575" s="221"/>
      <c r="I575" s="221"/>
      <c r="J575" s="221"/>
      <c r="K575" s="221"/>
      <c r="L575" s="221"/>
      <c r="M575" s="221"/>
      <c r="N575" s="221"/>
      <c r="O575" s="221"/>
      <c r="P575" s="447" t="s">
        <v>4370</v>
      </c>
      <c r="Q575" s="200"/>
      <c r="R575" s="122"/>
      <c r="S575" s="290"/>
      <c r="T575" s="399" t="s">
        <v>4371</v>
      </c>
      <c r="U575" s="399" t="s">
        <v>3385</v>
      </c>
      <c r="AA575" s="12"/>
      <c r="AB575" s="12"/>
      <c r="AC575" s="808"/>
      <c r="AD575" s="407"/>
    </row>
    <row r="576" spans="6:30" ht="10.5" customHeight="1">
      <c r="F576" s="238"/>
      <c r="G576" s="221"/>
      <c r="H576" s="221"/>
      <c r="I576" s="221"/>
      <c r="J576" s="221"/>
      <c r="K576" s="221"/>
      <c r="L576" s="221"/>
      <c r="M576" s="221"/>
      <c r="N576" s="221"/>
      <c r="O576" s="221"/>
      <c r="P576" s="447" t="s">
        <v>4372</v>
      </c>
      <c r="Q576" s="200"/>
      <c r="R576" s="122"/>
      <c r="S576" s="290"/>
      <c r="T576" s="399" t="s">
        <v>3232</v>
      </c>
      <c r="U576" s="399" t="s">
        <v>2950</v>
      </c>
      <c r="AA576" s="12"/>
      <c r="AB576" s="12"/>
      <c r="AC576" s="808"/>
      <c r="AD576" s="407"/>
    </row>
    <row r="577" spans="6:30" ht="10.5" customHeight="1">
      <c r="F577" s="238"/>
      <c r="G577" s="221"/>
      <c r="H577" s="221"/>
      <c r="I577" s="221"/>
      <c r="J577" s="221"/>
      <c r="K577" s="221"/>
      <c r="L577" s="221"/>
      <c r="M577" s="221"/>
      <c r="N577" s="221"/>
      <c r="O577" s="221"/>
      <c r="P577" s="447" t="s">
        <v>4373</v>
      </c>
      <c r="Q577" s="200"/>
      <c r="R577" s="122"/>
      <c r="S577" s="290"/>
      <c r="T577" s="399" t="s">
        <v>4374</v>
      </c>
      <c r="U577" s="399" t="s">
        <v>3756</v>
      </c>
      <c r="AA577" s="12"/>
      <c r="AB577" s="12"/>
      <c r="AC577" s="808"/>
      <c r="AD577" s="407"/>
    </row>
    <row r="578" spans="6:30" ht="10.5" customHeight="1">
      <c r="F578" s="238"/>
      <c r="G578" s="221"/>
      <c r="H578" s="221"/>
      <c r="I578" s="221"/>
      <c r="J578" s="221"/>
      <c r="K578" s="221"/>
      <c r="L578" s="221"/>
      <c r="M578" s="221"/>
      <c r="N578" s="221"/>
      <c r="O578" s="221"/>
      <c r="P578" s="447" t="s">
        <v>4375</v>
      </c>
      <c r="Q578" s="200"/>
      <c r="R578" s="122"/>
      <c r="S578" s="290"/>
      <c r="T578" s="399" t="s">
        <v>4376</v>
      </c>
      <c r="U578" s="399" t="s">
        <v>3780</v>
      </c>
      <c r="AA578" s="12"/>
      <c r="AB578" s="12"/>
      <c r="AC578" s="808"/>
      <c r="AD578" s="407"/>
    </row>
    <row r="579" spans="6:30" ht="10.5" customHeight="1">
      <c r="F579" s="238"/>
      <c r="G579" s="221"/>
      <c r="H579" s="221"/>
      <c r="I579" s="221"/>
      <c r="J579" s="221"/>
      <c r="K579" s="221"/>
      <c r="L579" s="221"/>
      <c r="M579" s="221"/>
      <c r="N579" s="221"/>
      <c r="O579" s="221"/>
      <c r="P579" s="447" t="s">
        <v>4377</v>
      </c>
      <c r="Q579" s="200"/>
      <c r="R579" s="122"/>
      <c r="S579" s="290"/>
      <c r="T579" s="399" t="s">
        <v>3917</v>
      </c>
      <c r="U579" s="399" t="s">
        <v>340</v>
      </c>
      <c r="AA579" s="12"/>
      <c r="AB579" s="12"/>
      <c r="AC579" s="808"/>
      <c r="AD579" s="407"/>
    </row>
    <row r="580" spans="6:30" ht="10.5" customHeight="1">
      <c r="F580" s="238"/>
      <c r="G580" s="221"/>
      <c r="H580" s="221"/>
      <c r="I580" s="221"/>
      <c r="J580" s="221"/>
      <c r="K580" s="221"/>
      <c r="L580" s="221"/>
      <c r="M580" s="221"/>
      <c r="N580" s="221"/>
      <c r="O580" s="221"/>
      <c r="P580" s="447" t="s">
        <v>4378</v>
      </c>
      <c r="Q580" s="200"/>
      <c r="R580" s="122"/>
      <c r="S580" s="290"/>
      <c r="T580" s="399" t="s">
        <v>4379</v>
      </c>
      <c r="U580" s="399" t="s">
        <v>294</v>
      </c>
      <c r="AA580" s="12"/>
      <c r="AB580" s="12"/>
      <c r="AC580" s="808"/>
      <c r="AD580" s="407"/>
    </row>
    <row r="581" spans="6:30" ht="10.5" customHeight="1">
      <c r="F581" s="238"/>
      <c r="G581" s="221"/>
      <c r="H581" s="221"/>
      <c r="I581" s="221"/>
      <c r="J581" s="221"/>
      <c r="K581" s="221"/>
      <c r="L581" s="221"/>
      <c r="M581" s="221"/>
      <c r="N581" s="221"/>
      <c r="O581" s="221"/>
      <c r="P581" s="447" t="s">
        <v>4380</v>
      </c>
      <c r="Q581" s="200"/>
      <c r="R581" s="122"/>
      <c r="S581" s="290"/>
      <c r="T581" s="399" t="s">
        <v>4381</v>
      </c>
      <c r="U581" s="399" t="s">
        <v>3678</v>
      </c>
      <c r="AA581" s="12"/>
      <c r="AB581" s="12"/>
      <c r="AC581" s="808"/>
      <c r="AD581" s="407"/>
    </row>
    <row r="582" spans="6:30" ht="10.5" customHeight="1">
      <c r="F582" s="238"/>
      <c r="G582" s="221"/>
      <c r="H582" s="221"/>
      <c r="I582" s="221"/>
      <c r="J582" s="221"/>
      <c r="K582" s="221"/>
      <c r="L582" s="221"/>
      <c r="M582" s="221"/>
      <c r="N582" s="221"/>
      <c r="O582" s="221"/>
      <c r="P582" s="447" t="s">
        <v>4382</v>
      </c>
      <c r="Q582" s="200"/>
      <c r="R582" s="122"/>
      <c r="S582" s="290"/>
      <c r="T582" s="399" t="s">
        <v>3920</v>
      </c>
      <c r="U582" s="399" t="s">
        <v>334</v>
      </c>
      <c r="AA582" s="12"/>
      <c r="AB582" s="12"/>
      <c r="AC582" s="808"/>
      <c r="AD582" s="407"/>
    </row>
    <row r="583" spans="6:30" ht="10.5" customHeight="1">
      <c r="F583" s="238"/>
      <c r="G583" s="221"/>
      <c r="H583" s="221"/>
      <c r="I583" s="221"/>
      <c r="J583" s="221"/>
      <c r="K583" s="221"/>
      <c r="L583" s="221"/>
      <c r="M583" s="221"/>
      <c r="N583" s="221"/>
      <c r="O583" s="221"/>
      <c r="P583" s="447" t="s">
        <v>4383</v>
      </c>
      <c r="Q583" s="200"/>
      <c r="R583" s="122"/>
      <c r="S583" s="290"/>
      <c r="T583" s="399" t="s">
        <v>338</v>
      </c>
      <c r="U583" s="399" t="s">
        <v>276</v>
      </c>
      <c r="AA583" s="12"/>
      <c r="AB583" s="12"/>
      <c r="AC583" s="808"/>
      <c r="AD583" s="407"/>
    </row>
    <row r="584" spans="6:30" ht="10.5" customHeight="1">
      <c r="F584" s="238"/>
      <c r="G584" s="221"/>
      <c r="H584" s="221"/>
      <c r="I584" s="221"/>
      <c r="J584" s="221"/>
      <c r="K584" s="221"/>
      <c r="L584" s="221"/>
      <c r="M584" s="221"/>
      <c r="N584" s="221"/>
      <c r="O584" s="221"/>
      <c r="P584" s="447" t="s">
        <v>4384</v>
      </c>
      <c r="Q584" s="200"/>
      <c r="R584" s="122"/>
      <c r="S584" s="290"/>
      <c r="T584" s="399" t="s">
        <v>4385</v>
      </c>
      <c r="U584" s="399" t="s">
        <v>3492</v>
      </c>
      <c r="AA584" s="12"/>
      <c r="AB584" s="12"/>
      <c r="AC584" s="808"/>
      <c r="AD584" s="407"/>
    </row>
    <row r="585" spans="6:30" ht="10.5" customHeight="1">
      <c r="F585" s="238"/>
      <c r="G585" s="221"/>
      <c r="H585" s="221"/>
      <c r="I585" s="221"/>
      <c r="J585" s="221"/>
      <c r="K585" s="221"/>
      <c r="L585" s="221"/>
      <c r="M585" s="221"/>
      <c r="N585" s="221"/>
      <c r="O585" s="221"/>
      <c r="P585" s="447" t="s">
        <v>4386</v>
      </c>
      <c r="Q585" s="200"/>
      <c r="R585" s="122"/>
      <c r="S585" s="290"/>
      <c r="T585" s="399" t="s">
        <v>4387</v>
      </c>
      <c r="U585" s="399" t="s">
        <v>3385</v>
      </c>
      <c r="AA585" s="12"/>
      <c r="AB585" s="12"/>
      <c r="AC585" s="808"/>
      <c r="AD585" s="407"/>
    </row>
    <row r="586" spans="6:30" ht="10.5" customHeight="1">
      <c r="F586" s="238"/>
      <c r="G586" s="221"/>
      <c r="H586" s="221"/>
      <c r="I586" s="221"/>
      <c r="J586" s="221"/>
      <c r="K586" s="221"/>
      <c r="L586" s="221"/>
      <c r="M586" s="221"/>
      <c r="N586" s="221"/>
      <c r="O586" s="221"/>
      <c r="P586" s="447" t="s">
        <v>4388</v>
      </c>
      <c r="Q586" s="200"/>
      <c r="R586" s="122"/>
      <c r="S586" s="290"/>
      <c r="T586" s="399" t="s">
        <v>4389</v>
      </c>
      <c r="U586" s="399" t="s">
        <v>3322</v>
      </c>
      <c r="AA586" s="12"/>
      <c r="AB586" s="12"/>
      <c r="AC586" s="808"/>
      <c r="AD586" s="407"/>
    </row>
    <row r="587" spans="6:30" ht="10.5" customHeight="1">
      <c r="F587" s="238"/>
      <c r="G587" s="221"/>
      <c r="H587" s="221"/>
      <c r="I587" s="221"/>
      <c r="J587" s="221"/>
      <c r="K587" s="221"/>
      <c r="L587" s="221"/>
      <c r="M587" s="221"/>
      <c r="N587" s="221"/>
      <c r="O587" s="221"/>
      <c r="P587" s="447" t="s">
        <v>4390</v>
      </c>
      <c r="Q587" s="200"/>
      <c r="R587" s="122"/>
      <c r="S587" s="290"/>
      <c r="T587" s="399" t="s">
        <v>4391</v>
      </c>
      <c r="U587" s="399" t="s">
        <v>3136</v>
      </c>
      <c r="AA587" s="12"/>
      <c r="AB587" s="12"/>
      <c r="AC587" s="808"/>
      <c r="AD587" s="407"/>
    </row>
    <row r="588" spans="6:30" ht="10.5" customHeight="1">
      <c r="F588" s="238"/>
      <c r="G588" s="221"/>
      <c r="H588" s="221"/>
      <c r="I588" s="221"/>
      <c r="J588" s="221"/>
      <c r="K588" s="221"/>
      <c r="L588" s="221"/>
      <c r="M588" s="221"/>
      <c r="N588" s="221"/>
      <c r="O588" s="221"/>
      <c r="P588" s="447" t="s">
        <v>4392</v>
      </c>
      <c r="Q588" s="200"/>
      <c r="R588" s="122"/>
      <c r="S588" s="290"/>
      <c r="T588" s="399" t="s">
        <v>3923</v>
      </c>
      <c r="U588" s="399" t="s">
        <v>3398</v>
      </c>
      <c r="AA588" s="12"/>
      <c r="AB588" s="12"/>
      <c r="AC588" s="808"/>
      <c r="AD588" s="407"/>
    </row>
    <row r="589" spans="6:30" ht="10.5" customHeight="1">
      <c r="F589" s="238"/>
      <c r="G589" s="221"/>
      <c r="H589" s="221"/>
      <c r="I589" s="221"/>
      <c r="J589" s="221"/>
      <c r="K589" s="221"/>
      <c r="L589" s="221"/>
      <c r="M589" s="221"/>
      <c r="N589" s="221"/>
      <c r="O589" s="221"/>
      <c r="P589" s="447" t="s">
        <v>4393</v>
      </c>
      <c r="Q589" s="200"/>
      <c r="R589" s="122"/>
      <c r="S589" s="290"/>
      <c r="T589" s="194" t="s">
        <v>4394</v>
      </c>
      <c r="U589" s="194" t="s">
        <v>3347</v>
      </c>
      <c r="AA589" s="12"/>
      <c r="AB589" s="12"/>
      <c r="AC589" s="808"/>
      <c r="AD589" s="407"/>
    </row>
    <row r="590" spans="6:30" ht="10.5" customHeight="1">
      <c r="F590" s="238"/>
      <c r="G590" s="221"/>
      <c r="H590" s="221"/>
      <c r="I590" s="221"/>
      <c r="J590" s="221"/>
      <c r="K590" s="221"/>
      <c r="L590" s="221"/>
      <c r="M590" s="221"/>
      <c r="N590" s="221"/>
      <c r="O590" s="221"/>
      <c r="P590" s="447" t="s">
        <v>4395</v>
      </c>
      <c r="Q590" s="200"/>
      <c r="R590" s="122"/>
      <c r="S590" s="290"/>
      <c r="T590" s="399" t="s">
        <v>3925</v>
      </c>
      <c r="U590" s="399" t="s">
        <v>3074</v>
      </c>
      <c r="AA590" s="12"/>
      <c r="AB590" s="12"/>
      <c r="AC590" s="407"/>
      <c r="AD590" s="407"/>
    </row>
    <row r="591" spans="6:30" ht="10.5" customHeight="1">
      <c r="F591" s="238"/>
      <c r="G591" s="221"/>
      <c r="H591" s="221"/>
      <c r="I591" s="221"/>
      <c r="J591" s="221"/>
      <c r="K591" s="221"/>
      <c r="L591" s="221"/>
      <c r="M591" s="221"/>
      <c r="N591" s="221"/>
      <c r="O591" s="221"/>
      <c r="P591" s="447" t="s">
        <v>4396</v>
      </c>
      <c r="Q591" s="200"/>
      <c r="R591" s="122"/>
      <c r="S591" s="290"/>
      <c r="T591" s="399" t="s">
        <v>3927</v>
      </c>
      <c r="U591" s="399" t="s">
        <v>3294</v>
      </c>
      <c r="AA591" s="12"/>
      <c r="AB591" s="12"/>
      <c r="AC591" s="808"/>
      <c r="AD591" s="407"/>
    </row>
    <row r="592" spans="6:30" ht="10.5" customHeight="1">
      <c r="F592" s="238"/>
      <c r="G592" s="221"/>
      <c r="H592" s="221"/>
      <c r="I592" s="221"/>
      <c r="J592" s="221"/>
      <c r="K592" s="221"/>
      <c r="L592" s="221"/>
      <c r="M592" s="221"/>
      <c r="N592" s="221"/>
      <c r="O592" s="221"/>
      <c r="P592" s="447" t="s">
        <v>4397</v>
      </c>
      <c r="Q592" s="200"/>
      <c r="R592" s="122"/>
      <c r="S592" s="290"/>
      <c r="T592" s="194" t="s">
        <v>2262</v>
      </c>
      <c r="U592" s="194" t="s">
        <v>3160</v>
      </c>
      <c r="AA592" s="12"/>
      <c r="AB592" s="12"/>
      <c r="AC592" s="808"/>
      <c r="AD592" s="407"/>
    </row>
    <row r="593" spans="6:30" ht="10.5" customHeight="1">
      <c r="F593" s="238"/>
      <c r="G593" s="221"/>
      <c r="H593" s="221"/>
      <c r="I593" s="221"/>
      <c r="J593" s="221"/>
      <c r="K593" s="221"/>
      <c r="L593" s="221"/>
      <c r="M593" s="221"/>
      <c r="N593" s="221"/>
      <c r="O593" s="221"/>
      <c r="P593" s="447" t="s">
        <v>4398</v>
      </c>
      <c r="Q593" s="200"/>
      <c r="R593" s="122"/>
      <c r="S593" s="290"/>
      <c r="T593" s="399" t="s">
        <v>4399</v>
      </c>
      <c r="U593" s="399" t="s">
        <v>3213</v>
      </c>
      <c r="AA593" s="12"/>
      <c r="AB593" s="12"/>
      <c r="AC593" s="407"/>
      <c r="AD593" s="407"/>
    </row>
    <row r="594" spans="6:30" ht="10.5" customHeight="1">
      <c r="F594" s="238"/>
      <c r="G594" s="221"/>
      <c r="H594" s="221"/>
      <c r="I594" s="221"/>
      <c r="J594" s="221"/>
      <c r="K594" s="221"/>
      <c r="L594" s="221"/>
      <c r="M594" s="221"/>
      <c r="N594" s="221"/>
      <c r="O594" s="221"/>
      <c r="P594" s="447" t="s">
        <v>4400</v>
      </c>
      <c r="Q594" s="200"/>
      <c r="R594" s="122"/>
      <c r="S594" s="290"/>
      <c r="T594" s="399" t="s">
        <v>4401</v>
      </c>
      <c r="U594" s="399" t="s">
        <v>3543</v>
      </c>
      <c r="AA594" s="12"/>
      <c r="AB594" s="12"/>
      <c r="AC594" s="808"/>
      <c r="AD594" s="407"/>
    </row>
    <row r="595" spans="6:30" ht="10.5" customHeight="1">
      <c r="F595" s="238"/>
      <c r="G595" s="221"/>
      <c r="H595" s="221"/>
      <c r="I595" s="221"/>
      <c r="J595" s="221"/>
      <c r="K595" s="221"/>
      <c r="L595" s="221"/>
      <c r="M595" s="221"/>
      <c r="N595" s="221"/>
      <c r="O595" s="221"/>
      <c r="P595" s="447" t="s">
        <v>4402</v>
      </c>
      <c r="Q595" s="200"/>
      <c r="R595" s="122"/>
      <c r="S595" s="290"/>
      <c r="T595" s="399" t="s">
        <v>2263</v>
      </c>
      <c r="U595" s="399" t="s">
        <v>349</v>
      </c>
      <c r="AA595" s="12"/>
      <c r="AB595" s="12"/>
      <c r="AC595" s="808"/>
      <c r="AD595" s="407"/>
    </row>
    <row r="596" spans="6:30" ht="10.5" customHeight="1">
      <c r="F596" s="238"/>
      <c r="G596" s="221"/>
      <c r="H596" s="221"/>
      <c r="I596" s="221"/>
      <c r="J596" s="221"/>
      <c r="K596" s="221"/>
      <c r="L596" s="221"/>
      <c r="M596" s="221"/>
      <c r="N596" s="221"/>
      <c r="O596" s="221"/>
      <c r="P596" s="447" t="s">
        <v>4403</v>
      </c>
      <c r="Q596" s="200"/>
      <c r="R596" s="122"/>
      <c r="S596" s="290"/>
      <c r="T596" s="194" t="s">
        <v>339</v>
      </c>
      <c r="U596" s="194" t="s">
        <v>340</v>
      </c>
      <c r="AA596" s="12"/>
      <c r="AB596" s="12"/>
      <c r="AC596" s="808"/>
      <c r="AD596" s="407"/>
    </row>
    <row r="597" spans="6:30" ht="10.5" customHeight="1">
      <c r="F597" s="238"/>
      <c r="G597" s="221"/>
      <c r="H597" s="221"/>
      <c r="I597" s="221"/>
      <c r="J597" s="221"/>
      <c r="K597" s="221"/>
      <c r="L597" s="221"/>
      <c r="M597" s="221"/>
      <c r="N597" s="221"/>
      <c r="O597" s="221"/>
      <c r="P597" s="447" t="s">
        <v>4404</v>
      </c>
      <c r="Q597" s="200"/>
      <c r="R597" s="122"/>
      <c r="S597" s="290"/>
      <c r="T597" s="194" t="s">
        <v>4405</v>
      </c>
      <c r="U597" s="194" t="s">
        <v>276</v>
      </c>
      <c r="AA597" s="12"/>
      <c r="AB597" s="12"/>
      <c r="AC597" s="407"/>
      <c r="AD597" s="407"/>
    </row>
    <row r="598" spans="6:30" ht="10.5" customHeight="1">
      <c r="F598" s="238"/>
      <c r="G598" s="221"/>
      <c r="H598" s="221"/>
      <c r="I598" s="221"/>
      <c r="J598" s="221"/>
      <c r="K598" s="221"/>
      <c r="L598" s="221"/>
      <c r="M598" s="221"/>
      <c r="N598" s="221"/>
      <c r="O598" s="221"/>
      <c r="P598" s="447" t="s">
        <v>4406</v>
      </c>
      <c r="Q598" s="200"/>
      <c r="R598" s="122"/>
      <c r="S598" s="290"/>
      <c r="T598" s="399" t="s">
        <v>2264</v>
      </c>
      <c r="U598" s="399" t="s">
        <v>3488</v>
      </c>
      <c r="AA598" s="12"/>
      <c r="AB598" s="12"/>
      <c r="AC598" s="407"/>
      <c r="AD598" s="407"/>
    </row>
    <row r="599" spans="6:30" ht="10.5" customHeight="1">
      <c r="F599" s="238"/>
      <c r="G599" s="221"/>
      <c r="H599" s="221"/>
      <c r="I599" s="221"/>
      <c r="J599" s="221"/>
      <c r="K599" s="221"/>
      <c r="L599" s="221"/>
      <c r="M599" s="221"/>
      <c r="N599" s="221"/>
      <c r="O599" s="221"/>
      <c r="P599" s="447" t="s">
        <v>4407</v>
      </c>
      <c r="Q599" s="200"/>
      <c r="R599" s="122"/>
      <c r="S599" s="290"/>
      <c r="T599" s="399" t="s">
        <v>4408</v>
      </c>
      <c r="U599" s="399" t="s">
        <v>3338</v>
      </c>
      <c r="AA599" s="12"/>
      <c r="AB599" s="12"/>
      <c r="AC599" s="808"/>
      <c r="AD599" s="407"/>
    </row>
    <row r="600" spans="6:30" ht="10.5" customHeight="1">
      <c r="F600" s="238"/>
      <c r="G600" s="221"/>
      <c r="H600" s="221"/>
      <c r="I600" s="221"/>
      <c r="J600" s="221"/>
      <c r="K600" s="221"/>
      <c r="L600" s="221"/>
      <c r="M600" s="221"/>
      <c r="N600" s="221"/>
      <c r="O600" s="221"/>
      <c r="P600" s="447" t="s">
        <v>4409</v>
      </c>
      <c r="Q600" s="200"/>
      <c r="R600" s="122"/>
      <c r="S600" s="290"/>
      <c r="T600" s="399" t="s">
        <v>4410</v>
      </c>
      <c r="U600" s="399" t="s">
        <v>3072</v>
      </c>
      <c r="AA600" s="12"/>
      <c r="AB600" s="12"/>
      <c r="AC600" s="808"/>
      <c r="AD600" s="407"/>
    </row>
    <row r="601" spans="6:30" ht="10.5" customHeight="1">
      <c r="F601" s="238"/>
      <c r="G601" s="221"/>
      <c r="H601" s="221"/>
      <c r="I601" s="221"/>
      <c r="J601" s="221"/>
      <c r="K601" s="221"/>
      <c r="L601" s="221"/>
      <c r="M601" s="221"/>
      <c r="N601" s="221"/>
      <c r="O601" s="221"/>
      <c r="P601" s="447" t="s">
        <v>4411</v>
      </c>
      <c r="Q601" s="200"/>
      <c r="R601" s="122"/>
      <c r="S601" s="290"/>
      <c r="T601" s="399" t="s">
        <v>4412</v>
      </c>
      <c r="U601" s="399" t="s">
        <v>3072</v>
      </c>
      <c r="AA601" s="12"/>
      <c r="AB601" s="12"/>
      <c r="AC601" s="808"/>
      <c r="AD601" s="407"/>
    </row>
    <row r="602" spans="6:30" ht="10.5" customHeight="1">
      <c r="F602" s="238"/>
      <c r="G602" s="221"/>
      <c r="H602" s="221"/>
      <c r="I602" s="221"/>
      <c r="J602" s="221"/>
      <c r="K602" s="221"/>
      <c r="L602" s="221"/>
      <c r="M602" s="221"/>
      <c r="N602" s="221"/>
      <c r="O602" s="221"/>
      <c r="P602" s="447" t="s">
        <v>4413</v>
      </c>
      <c r="Q602" s="200"/>
      <c r="R602" s="122"/>
      <c r="S602" s="290"/>
      <c r="T602" s="399" t="s">
        <v>4414</v>
      </c>
      <c r="U602" s="399" t="s">
        <v>3183</v>
      </c>
      <c r="AA602" s="12"/>
      <c r="AB602" s="12"/>
      <c r="AC602" s="808"/>
      <c r="AD602" s="407"/>
    </row>
    <row r="603" spans="6:30" ht="10.5" customHeight="1">
      <c r="F603" s="238"/>
      <c r="G603" s="221"/>
      <c r="H603" s="221"/>
      <c r="I603" s="221"/>
      <c r="J603" s="221"/>
      <c r="K603" s="221"/>
      <c r="L603" s="221"/>
      <c r="M603" s="221"/>
      <c r="N603" s="221"/>
      <c r="O603" s="221"/>
      <c r="P603" s="447" t="s">
        <v>4415</v>
      </c>
      <c r="Q603" s="200"/>
      <c r="R603" s="122"/>
      <c r="S603" s="290"/>
      <c r="T603" s="399" t="s">
        <v>4416</v>
      </c>
      <c r="U603" s="399" t="s">
        <v>3440</v>
      </c>
      <c r="AA603" s="12"/>
      <c r="AB603" s="12"/>
      <c r="AC603" s="808"/>
      <c r="AD603" s="407"/>
    </row>
    <row r="604" spans="6:30" ht="10.5" customHeight="1">
      <c r="F604" s="238"/>
      <c r="G604" s="221"/>
      <c r="H604" s="221"/>
      <c r="I604" s="221"/>
      <c r="J604" s="221"/>
      <c r="K604" s="221"/>
      <c r="L604" s="221"/>
      <c r="M604" s="221"/>
      <c r="N604" s="221"/>
      <c r="O604" s="221"/>
      <c r="P604" s="447" t="s">
        <v>4417</v>
      </c>
      <c r="Q604" s="200"/>
      <c r="R604" s="122"/>
      <c r="S604" s="290"/>
      <c r="T604" s="399" t="s">
        <v>3936</v>
      </c>
      <c r="U604" s="399" t="s">
        <v>318</v>
      </c>
      <c r="AA604" s="12"/>
      <c r="AB604" s="12"/>
      <c r="AC604" s="808"/>
      <c r="AD604" s="407"/>
    </row>
    <row r="605" spans="6:30" ht="10.5" customHeight="1">
      <c r="F605" s="238"/>
      <c r="G605" s="221"/>
      <c r="H605" s="221"/>
      <c r="I605" s="221"/>
      <c r="J605" s="221"/>
      <c r="K605" s="221"/>
      <c r="L605" s="221"/>
      <c r="M605" s="221"/>
      <c r="N605" s="221"/>
      <c r="O605" s="221"/>
      <c r="P605" s="447" t="s">
        <v>4418</v>
      </c>
      <c r="Q605" s="200"/>
      <c r="R605" s="122"/>
      <c r="S605" s="290"/>
      <c r="T605" s="399" t="s">
        <v>4419</v>
      </c>
      <c r="U605" s="399" t="s">
        <v>318</v>
      </c>
      <c r="AA605" s="12"/>
      <c r="AB605" s="12"/>
      <c r="AC605" s="808"/>
      <c r="AD605" s="407"/>
    </row>
    <row r="606" spans="6:30" ht="10.5" customHeight="1">
      <c r="F606" s="238"/>
      <c r="G606" s="221"/>
      <c r="H606" s="221"/>
      <c r="I606" s="221"/>
      <c r="J606" s="221"/>
      <c r="K606" s="221"/>
      <c r="L606" s="221"/>
      <c r="M606" s="221"/>
      <c r="N606" s="221"/>
      <c r="O606" s="221"/>
      <c r="P606" s="447" t="s">
        <v>4420</v>
      </c>
      <c r="Q606" s="200"/>
      <c r="R606" s="122"/>
      <c r="S606" s="290"/>
      <c r="T606" s="399" t="s">
        <v>4421</v>
      </c>
      <c r="U606" s="399" t="s">
        <v>287</v>
      </c>
      <c r="AA606" s="12"/>
      <c r="AB606" s="12"/>
      <c r="AC606" s="808"/>
      <c r="AD606" s="407"/>
    </row>
    <row r="607" spans="6:30" ht="10.5" customHeight="1">
      <c r="F607" s="238"/>
      <c r="G607" s="221"/>
      <c r="H607" s="221"/>
      <c r="I607" s="221"/>
      <c r="J607" s="221"/>
      <c r="K607" s="221"/>
      <c r="L607" s="221"/>
      <c r="M607" s="221"/>
      <c r="N607" s="221"/>
      <c r="O607" s="221"/>
      <c r="P607" s="447" t="s">
        <v>4422</v>
      </c>
      <c r="Q607" s="200"/>
      <c r="R607" s="122"/>
      <c r="S607" s="290"/>
      <c r="T607" s="399" t="s">
        <v>2265</v>
      </c>
      <c r="U607" s="399" t="s">
        <v>3678</v>
      </c>
      <c r="AA607" s="12"/>
      <c r="AB607" s="12"/>
      <c r="AC607" s="808"/>
      <c r="AD607" s="407"/>
    </row>
    <row r="608" spans="6:30" ht="10.5" customHeight="1">
      <c r="F608" s="238"/>
      <c r="G608" s="221"/>
      <c r="H608" s="221"/>
      <c r="I608" s="221"/>
      <c r="J608" s="221"/>
      <c r="K608" s="221"/>
      <c r="L608" s="221"/>
      <c r="M608" s="221"/>
      <c r="N608" s="221"/>
      <c r="O608" s="221"/>
      <c r="P608" s="447" t="s">
        <v>4423</v>
      </c>
      <c r="Q608" s="200"/>
      <c r="R608" s="122"/>
      <c r="S608" s="290"/>
      <c r="T608" s="399" t="s">
        <v>4424</v>
      </c>
      <c r="U608" s="399" t="s">
        <v>3914</v>
      </c>
      <c r="AA608" s="12"/>
      <c r="AB608" s="12"/>
      <c r="AC608" s="808"/>
      <c r="AD608" s="407"/>
    </row>
    <row r="609" spans="6:30" ht="10.5" customHeight="1">
      <c r="F609" s="238"/>
      <c r="G609" s="221"/>
      <c r="H609" s="221"/>
      <c r="I609" s="221"/>
      <c r="J609" s="221"/>
      <c r="K609" s="221"/>
      <c r="L609" s="221"/>
      <c r="M609" s="221"/>
      <c r="N609" s="221"/>
      <c r="O609" s="221"/>
      <c r="P609" s="447" t="s">
        <v>4425</v>
      </c>
      <c r="Q609" s="200"/>
      <c r="R609" s="122"/>
      <c r="S609" s="290"/>
      <c r="T609" s="399" t="s">
        <v>3939</v>
      </c>
      <c r="U609" s="399" t="s">
        <v>301</v>
      </c>
      <c r="AA609" s="12"/>
      <c r="AB609" s="12"/>
      <c r="AC609" s="808"/>
      <c r="AD609" s="407"/>
    </row>
    <row r="610" spans="6:30" ht="10.5" customHeight="1">
      <c r="F610" s="238"/>
      <c r="G610" s="221"/>
      <c r="H610" s="221"/>
      <c r="I610" s="221"/>
      <c r="J610" s="221"/>
      <c r="K610" s="221"/>
      <c r="L610" s="221"/>
      <c r="M610" s="221"/>
      <c r="N610" s="221"/>
      <c r="O610" s="221"/>
      <c r="P610" s="447" t="s">
        <v>4426</v>
      </c>
      <c r="Q610" s="200"/>
      <c r="R610" s="122"/>
      <c r="S610" s="290"/>
      <c r="T610" s="399" t="s">
        <v>3942</v>
      </c>
      <c r="U610" s="399" t="s">
        <v>3884</v>
      </c>
      <c r="AA610" s="12"/>
      <c r="AB610" s="12"/>
      <c r="AC610" s="808"/>
      <c r="AD610" s="407"/>
    </row>
    <row r="611" spans="6:30" ht="10.5" customHeight="1">
      <c r="F611" s="238"/>
      <c r="G611" s="221"/>
      <c r="H611" s="221"/>
      <c r="I611" s="221"/>
      <c r="J611" s="221"/>
      <c r="K611" s="221"/>
      <c r="L611" s="221"/>
      <c r="M611" s="221"/>
      <c r="N611" s="221"/>
      <c r="O611" s="221"/>
      <c r="P611" s="447" t="s">
        <v>4427</v>
      </c>
      <c r="Q611" s="200"/>
      <c r="R611" s="122"/>
      <c r="S611" s="290"/>
      <c r="T611" s="399" t="s">
        <v>3717</v>
      </c>
      <c r="U611" s="399" t="s">
        <v>3195</v>
      </c>
      <c r="AA611" s="12"/>
      <c r="AB611" s="12"/>
      <c r="AC611" s="808"/>
      <c r="AD611" s="407"/>
    </row>
    <row r="612" spans="6:30" ht="10.5" customHeight="1">
      <c r="F612" s="238"/>
      <c r="G612" s="221"/>
      <c r="H612" s="221"/>
      <c r="I612" s="221"/>
      <c r="J612" s="221"/>
      <c r="K612" s="221"/>
      <c r="L612" s="221"/>
      <c r="M612" s="221"/>
      <c r="N612" s="221"/>
      <c r="O612" s="221"/>
      <c r="P612" s="447" t="s">
        <v>4428</v>
      </c>
      <c r="Q612" s="200"/>
      <c r="R612" s="122"/>
      <c r="S612" s="290"/>
      <c r="T612" s="399" t="s">
        <v>341</v>
      </c>
      <c r="U612" s="399" t="s">
        <v>342</v>
      </c>
      <c r="AA612" s="12"/>
      <c r="AB612" s="12"/>
      <c r="AC612" s="808"/>
      <c r="AD612" s="407"/>
    </row>
    <row r="613" spans="6:30" ht="10.5" customHeight="1">
      <c r="F613" s="238"/>
      <c r="G613" s="221"/>
      <c r="H613" s="221"/>
      <c r="I613" s="221"/>
      <c r="J613" s="221"/>
      <c r="K613" s="221"/>
      <c r="L613" s="221"/>
      <c r="M613" s="221"/>
      <c r="N613" s="221"/>
      <c r="O613" s="221"/>
      <c r="P613" s="447" t="s">
        <v>4429</v>
      </c>
      <c r="Q613" s="200"/>
      <c r="R613" s="122"/>
      <c r="S613" s="290"/>
      <c r="T613" s="399" t="s">
        <v>306</v>
      </c>
      <c r="U613" s="399" t="s">
        <v>3155</v>
      </c>
      <c r="AA613" s="12"/>
      <c r="AB613" s="12"/>
      <c r="AC613" s="808"/>
      <c r="AD613" s="407"/>
    </row>
    <row r="614" spans="6:30" ht="10.5" customHeight="1">
      <c r="F614" s="238"/>
      <c r="G614" s="221"/>
      <c r="H614" s="221"/>
      <c r="I614" s="221"/>
      <c r="J614" s="221"/>
      <c r="K614" s="221"/>
      <c r="L614" s="221"/>
      <c r="M614" s="221"/>
      <c r="N614" s="221"/>
      <c r="O614" s="221"/>
      <c r="P614" s="447" t="s">
        <v>4430</v>
      </c>
      <c r="Q614" s="200"/>
      <c r="R614" s="122"/>
      <c r="S614" s="290"/>
      <c r="T614" s="399" t="s">
        <v>4431</v>
      </c>
      <c r="U614" s="399" t="s">
        <v>3440</v>
      </c>
      <c r="AA614" s="12"/>
      <c r="AB614" s="12"/>
      <c r="AC614" s="808"/>
      <c r="AD614" s="407"/>
    </row>
    <row r="615" spans="6:30" ht="10.5" customHeight="1">
      <c r="F615" s="238"/>
      <c r="G615" s="221"/>
      <c r="H615" s="221"/>
      <c r="I615" s="221"/>
      <c r="J615" s="221"/>
      <c r="K615" s="221"/>
      <c r="L615" s="221"/>
      <c r="M615" s="221"/>
      <c r="N615" s="221"/>
      <c r="O615" s="221"/>
      <c r="P615" s="447" t="s">
        <v>4432</v>
      </c>
      <c r="Q615" s="200"/>
      <c r="R615" s="122"/>
      <c r="S615" s="290"/>
      <c r="T615" s="194" t="s">
        <v>343</v>
      </c>
      <c r="U615" s="194" t="s">
        <v>344</v>
      </c>
      <c r="AA615" s="12"/>
      <c r="AB615" s="12"/>
      <c r="AC615" s="808"/>
      <c r="AD615" s="407"/>
    </row>
    <row r="616" spans="6:30" ht="10.5" customHeight="1">
      <c r="F616" s="238"/>
      <c r="G616" s="221"/>
      <c r="H616" s="221"/>
      <c r="I616" s="221"/>
      <c r="J616" s="221"/>
      <c r="K616" s="221"/>
      <c r="L616" s="221"/>
      <c r="M616" s="221"/>
      <c r="N616" s="221"/>
      <c r="O616" s="221"/>
      <c r="P616" s="447" t="s">
        <v>4433</v>
      </c>
      <c r="Q616" s="200"/>
      <c r="R616" s="122"/>
      <c r="S616" s="290"/>
      <c r="T616" s="399" t="s">
        <v>4434</v>
      </c>
      <c r="U616" s="399" t="s">
        <v>3120</v>
      </c>
      <c r="AA616" s="12"/>
      <c r="AB616" s="12"/>
      <c r="AC616" s="407"/>
      <c r="AD616" s="407"/>
    </row>
    <row r="617" spans="6:30" ht="10.5" customHeight="1">
      <c r="F617" s="238"/>
      <c r="G617" s="221"/>
      <c r="H617" s="221"/>
      <c r="I617" s="221"/>
      <c r="J617" s="221"/>
      <c r="K617" s="221"/>
      <c r="L617" s="221"/>
      <c r="M617" s="221"/>
      <c r="N617" s="221"/>
      <c r="O617" s="221"/>
      <c r="P617" s="447" t="s">
        <v>4435</v>
      </c>
      <c r="Q617" s="200"/>
      <c r="R617" s="122"/>
      <c r="S617" s="290"/>
      <c r="T617" s="399" t="s">
        <v>4436</v>
      </c>
      <c r="U617" s="399" t="s">
        <v>3905</v>
      </c>
      <c r="AA617" s="12"/>
      <c r="AB617" s="12"/>
      <c r="AC617" s="808"/>
      <c r="AD617" s="407"/>
    </row>
    <row r="618" spans="6:30" ht="10.5" customHeight="1">
      <c r="F618" s="238"/>
      <c r="G618" s="221"/>
      <c r="H618" s="221"/>
      <c r="I618" s="221"/>
      <c r="J618" s="221"/>
      <c r="K618" s="221"/>
      <c r="L618" s="221"/>
      <c r="M618" s="221"/>
      <c r="N618" s="221"/>
      <c r="O618" s="221"/>
      <c r="P618" s="447" t="s">
        <v>4437</v>
      </c>
      <c r="Q618" s="200"/>
      <c r="R618" s="122"/>
      <c r="S618" s="290"/>
      <c r="T618" s="399" t="s">
        <v>4438</v>
      </c>
      <c r="U618" s="399" t="s">
        <v>3239</v>
      </c>
      <c r="AA618" s="12"/>
      <c r="AB618" s="12"/>
      <c r="AC618" s="808"/>
      <c r="AD618" s="407"/>
    </row>
    <row r="619" spans="6:30" ht="10.5" customHeight="1">
      <c r="F619" s="238"/>
      <c r="G619" s="221"/>
      <c r="H619" s="221"/>
      <c r="I619" s="221"/>
      <c r="J619" s="221"/>
      <c r="K619" s="221"/>
      <c r="L619" s="221"/>
      <c r="M619" s="221"/>
      <c r="N619" s="221"/>
      <c r="O619" s="221"/>
      <c r="P619" s="447" t="s">
        <v>4439</v>
      </c>
      <c r="Q619" s="200"/>
      <c r="R619" s="122"/>
      <c r="S619" s="290"/>
      <c r="T619" s="399" t="s">
        <v>345</v>
      </c>
      <c r="U619" s="399" t="s">
        <v>276</v>
      </c>
      <c r="AA619" s="12"/>
      <c r="AB619" s="12"/>
      <c r="AC619" s="808"/>
      <c r="AD619" s="407"/>
    </row>
    <row r="620" spans="6:30" ht="10.5" customHeight="1">
      <c r="F620" s="238"/>
      <c r="G620" s="221"/>
      <c r="H620" s="221"/>
      <c r="I620" s="221"/>
      <c r="J620" s="221"/>
      <c r="K620" s="221"/>
      <c r="L620" s="221"/>
      <c r="M620" s="221"/>
      <c r="N620" s="221"/>
      <c r="O620" s="221"/>
      <c r="P620" s="447" t="s">
        <v>4440</v>
      </c>
      <c r="Q620" s="200"/>
      <c r="R620" s="122"/>
      <c r="S620" s="290"/>
      <c r="T620" s="399" t="s">
        <v>346</v>
      </c>
      <c r="U620" s="399" t="s">
        <v>347</v>
      </c>
      <c r="AA620" s="12"/>
      <c r="AB620" s="12"/>
      <c r="AC620" s="808"/>
      <c r="AD620" s="407"/>
    </row>
    <row r="621" spans="6:30" ht="10.5" customHeight="1">
      <c r="F621" s="238"/>
      <c r="G621" s="221"/>
      <c r="H621" s="221"/>
      <c r="I621" s="221"/>
      <c r="J621" s="221"/>
      <c r="K621" s="221"/>
      <c r="L621" s="221"/>
      <c r="M621" s="221"/>
      <c r="N621" s="221"/>
      <c r="O621" s="221"/>
      <c r="P621" s="447" t="s">
        <v>4441</v>
      </c>
      <c r="Q621" s="200"/>
      <c r="R621" s="122"/>
      <c r="S621" s="290"/>
      <c r="T621" s="399" t="s">
        <v>4442</v>
      </c>
      <c r="U621" s="399" t="s">
        <v>287</v>
      </c>
      <c r="AA621" s="12"/>
      <c r="AB621" s="12"/>
      <c r="AC621" s="808"/>
      <c r="AD621" s="407"/>
    </row>
    <row r="622" spans="6:30" ht="10.5" customHeight="1">
      <c r="F622" s="238"/>
      <c r="G622" s="221"/>
      <c r="H622" s="221"/>
      <c r="I622" s="221"/>
      <c r="J622" s="221"/>
      <c r="K622" s="221"/>
      <c r="L622" s="221"/>
      <c r="M622" s="221"/>
      <c r="N622" s="221"/>
      <c r="O622" s="221"/>
      <c r="P622" s="447" t="s">
        <v>4443</v>
      </c>
      <c r="Q622" s="200"/>
      <c r="R622" s="122"/>
      <c r="S622" s="290"/>
      <c r="T622" s="399" t="s">
        <v>3948</v>
      </c>
      <c r="U622" s="399" t="s">
        <v>3744</v>
      </c>
      <c r="AA622" s="12"/>
      <c r="AB622" s="12"/>
      <c r="AC622" s="808"/>
      <c r="AD622" s="407"/>
    </row>
    <row r="623" spans="6:30" ht="10.5" customHeight="1">
      <c r="F623" s="238"/>
      <c r="G623" s="221"/>
      <c r="H623" s="221"/>
      <c r="I623" s="221"/>
      <c r="J623" s="221"/>
      <c r="K623" s="221"/>
      <c r="L623" s="221"/>
      <c r="M623" s="221"/>
      <c r="N623" s="221"/>
      <c r="O623" s="221"/>
      <c r="P623" s="447" t="s">
        <v>4444</v>
      </c>
      <c r="Q623" s="200"/>
      <c r="R623" s="122"/>
      <c r="S623" s="290"/>
      <c r="T623" s="399" t="s">
        <v>4445</v>
      </c>
      <c r="U623" s="399" t="s">
        <v>332</v>
      </c>
      <c r="AA623" s="12"/>
      <c r="AB623" s="12"/>
      <c r="AC623" s="808"/>
      <c r="AD623" s="407"/>
    </row>
    <row r="624" spans="6:30" ht="10.5" customHeight="1">
      <c r="F624" s="238"/>
      <c r="G624" s="221"/>
      <c r="H624" s="221"/>
      <c r="I624" s="221"/>
      <c r="J624" s="221"/>
      <c r="K624" s="221"/>
      <c r="L624" s="221"/>
      <c r="M624" s="221"/>
      <c r="N624" s="221"/>
      <c r="O624" s="221"/>
      <c r="P624" s="447" t="s">
        <v>4446</v>
      </c>
      <c r="Q624" s="200"/>
      <c r="R624" s="122"/>
      <c r="S624" s="290"/>
      <c r="T624" s="399" t="s">
        <v>4447</v>
      </c>
      <c r="U624" s="399" t="s">
        <v>3564</v>
      </c>
      <c r="AA624" s="12"/>
      <c r="AB624" s="12"/>
      <c r="AC624" s="808"/>
      <c r="AD624" s="407"/>
    </row>
    <row r="625" spans="6:30" ht="10.5" customHeight="1">
      <c r="F625" s="238"/>
      <c r="G625" s="221"/>
      <c r="H625" s="221"/>
      <c r="I625" s="221"/>
      <c r="J625" s="221"/>
      <c r="K625" s="221"/>
      <c r="L625" s="221"/>
      <c r="M625" s="221"/>
      <c r="N625" s="221"/>
      <c r="O625" s="221"/>
      <c r="P625" s="447" t="s">
        <v>4448</v>
      </c>
      <c r="Q625" s="200"/>
      <c r="R625" s="122"/>
      <c r="S625" s="290"/>
      <c r="T625" s="194" t="s">
        <v>4449</v>
      </c>
      <c r="U625" s="194" t="s">
        <v>3440</v>
      </c>
      <c r="AA625" s="12"/>
      <c r="AB625" s="12"/>
      <c r="AC625" s="808"/>
      <c r="AD625" s="407"/>
    </row>
    <row r="626" spans="6:30" ht="10.5" customHeight="1">
      <c r="F626" s="238"/>
      <c r="G626" s="221"/>
      <c r="H626" s="221"/>
      <c r="I626" s="221"/>
      <c r="J626" s="221"/>
      <c r="K626" s="221"/>
      <c r="L626" s="221"/>
      <c r="M626" s="221"/>
      <c r="N626" s="221"/>
      <c r="O626" s="221"/>
      <c r="P626" s="447" t="s">
        <v>4450</v>
      </c>
      <c r="Q626" s="200"/>
      <c r="R626" s="122"/>
      <c r="S626" s="290"/>
      <c r="T626" s="399" t="s">
        <v>4451</v>
      </c>
      <c r="U626" s="399" t="s">
        <v>3347</v>
      </c>
      <c r="AA626" s="12"/>
      <c r="AB626" s="12"/>
      <c r="AC626" s="407"/>
      <c r="AD626" s="407"/>
    </row>
    <row r="627" spans="6:30" ht="10.5" customHeight="1">
      <c r="F627" s="238"/>
      <c r="G627" s="221"/>
      <c r="H627" s="221"/>
      <c r="I627" s="221"/>
      <c r="J627" s="221"/>
      <c r="K627" s="221"/>
      <c r="L627" s="221"/>
      <c r="M627" s="221"/>
      <c r="N627" s="221"/>
      <c r="O627" s="221"/>
      <c r="P627" s="447" t="s">
        <v>4452</v>
      </c>
      <c r="Q627" s="200"/>
      <c r="R627" s="122"/>
      <c r="S627" s="290"/>
      <c r="T627" s="399" t="s">
        <v>4453</v>
      </c>
      <c r="U627" s="399" t="s">
        <v>3547</v>
      </c>
      <c r="AA627" s="12"/>
      <c r="AB627" s="12"/>
      <c r="AC627" s="808"/>
      <c r="AD627" s="407"/>
    </row>
    <row r="628" spans="6:30" ht="10.5" customHeight="1">
      <c r="F628" s="238"/>
      <c r="G628" s="221"/>
      <c r="H628" s="221"/>
      <c r="I628" s="221"/>
      <c r="J628" s="221"/>
      <c r="K628" s="221"/>
      <c r="L628" s="221"/>
      <c r="M628" s="221"/>
      <c r="N628" s="221"/>
      <c r="O628" s="221"/>
      <c r="P628" s="447" t="s">
        <v>4454</v>
      </c>
      <c r="Q628" s="200"/>
      <c r="R628" s="122"/>
      <c r="S628" s="290"/>
      <c r="T628" s="194" t="s">
        <v>4455</v>
      </c>
      <c r="U628" s="194" t="s">
        <v>3331</v>
      </c>
      <c r="AA628" s="12"/>
      <c r="AB628" s="12"/>
      <c r="AC628" s="808"/>
      <c r="AD628" s="407"/>
    </row>
    <row r="629" spans="6:30" ht="10.5" customHeight="1">
      <c r="F629" s="238"/>
      <c r="G629" s="221"/>
      <c r="H629" s="221"/>
      <c r="I629" s="221"/>
      <c r="J629" s="221"/>
      <c r="K629" s="221"/>
      <c r="L629" s="221"/>
      <c r="M629" s="221"/>
      <c r="N629" s="221"/>
      <c r="O629" s="221"/>
      <c r="P629" s="447" t="s">
        <v>4456</v>
      </c>
      <c r="Q629" s="200"/>
      <c r="R629" s="122"/>
      <c r="S629" s="290"/>
      <c r="T629" s="399" t="s">
        <v>4457</v>
      </c>
      <c r="U629" s="399" t="s">
        <v>304</v>
      </c>
      <c r="AA629" s="12"/>
      <c r="AB629" s="12"/>
      <c r="AC629" s="407"/>
      <c r="AD629" s="407"/>
    </row>
    <row r="630" spans="6:30" ht="10.5" customHeight="1">
      <c r="F630" s="238"/>
      <c r="G630" s="221"/>
      <c r="H630" s="221"/>
      <c r="I630" s="221"/>
      <c r="J630" s="221"/>
      <c r="K630" s="221"/>
      <c r="L630" s="221"/>
      <c r="M630" s="221"/>
      <c r="N630" s="221"/>
      <c r="O630" s="221"/>
      <c r="P630" s="447" t="s">
        <v>4458</v>
      </c>
      <c r="Q630" s="200"/>
      <c r="R630" s="122"/>
      <c r="S630" s="290"/>
      <c r="T630" s="399" t="s">
        <v>3951</v>
      </c>
      <c r="U630" s="399" t="s">
        <v>3780</v>
      </c>
      <c r="AA630" s="12"/>
      <c r="AB630" s="12"/>
      <c r="AC630" s="808"/>
      <c r="AD630" s="407"/>
    </row>
    <row r="631" spans="6:30" ht="10.5" customHeight="1">
      <c r="F631" s="238"/>
      <c r="G631" s="221"/>
      <c r="H631" s="221"/>
      <c r="I631" s="221"/>
      <c r="J631" s="221"/>
      <c r="K631" s="221"/>
      <c r="L631" s="221"/>
      <c r="M631" s="221"/>
      <c r="N631" s="221"/>
      <c r="O631" s="221"/>
      <c r="P631" s="447" t="s">
        <v>4459</v>
      </c>
      <c r="Q631" s="200"/>
      <c r="R631" s="122"/>
      <c r="S631" s="290"/>
      <c r="T631" s="399" t="s">
        <v>3954</v>
      </c>
      <c r="U631" s="399" t="s">
        <v>3160</v>
      </c>
      <c r="AA631" s="12"/>
      <c r="AB631" s="12"/>
      <c r="AC631" s="808"/>
      <c r="AD631" s="407"/>
    </row>
    <row r="632" spans="6:30" ht="10.5" customHeight="1">
      <c r="F632" s="238"/>
      <c r="G632" s="221"/>
      <c r="H632" s="221"/>
      <c r="I632" s="221"/>
      <c r="J632" s="221"/>
      <c r="K632" s="221"/>
      <c r="L632" s="221"/>
      <c r="M632" s="221"/>
      <c r="N632" s="221"/>
      <c r="O632" s="221"/>
      <c r="P632" s="447" t="s">
        <v>4460</v>
      </c>
      <c r="Q632" s="200"/>
      <c r="R632" s="122"/>
      <c r="S632" s="290"/>
      <c r="T632" s="399" t="s">
        <v>4461</v>
      </c>
      <c r="U632" s="399" t="s">
        <v>3875</v>
      </c>
      <c r="AA632" s="12"/>
      <c r="AB632" s="12"/>
      <c r="AC632" s="808"/>
      <c r="AD632" s="407"/>
    </row>
    <row r="633" spans="6:30" ht="10.5" customHeight="1">
      <c r="F633" s="238"/>
      <c r="G633" s="221"/>
      <c r="H633" s="221"/>
      <c r="I633" s="221"/>
      <c r="J633" s="221"/>
      <c r="K633" s="221"/>
      <c r="L633" s="221"/>
      <c r="M633" s="221"/>
      <c r="N633" s="221"/>
      <c r="O633" s="221"/>
      <c r="P633" s="447" t="s">
        <v>4462</v>
      </c>
      <c r="Q633" s="200"/>
      <c r="R633" s="122"/>
      <c r="S633" s="290"/>
      <c r="T633" s="399" t="s">
        <v>2266</v>
      </c>
      <c r="U633" s="399" t="s">
        <v>3367</v>
      </c>
      <c r="AA633" s="12"/>
      <c r="AB633" s="12"/>
      <c r="AC633" s="808"/>
      <c r="AD633" s="407"/>
    </row>
    <row r="634" spans="6:30" ht="10.5" customHeight="1">
      <c r="F634" s="238"/>
      <c r="G634" s="221"/>
      <c r="H634" s="221"/>
      <c r="I634" s="221"/>
      <c r="J634" s="221"/>
      <c r="K634" s="221"/>
      <c r="L634" s="221"/>
      <c r="M634" s="221"/>
      <c r="N634" s="221"/>
      <c r="O634" s="221"/>
      <c r="P634" s="447" t="s">
        <v>4463</v>
      </c>
      <c r="Q634" s="200"/>
      <c r="R634" s="122"/>
      <c r="S634" s="290"/>
      <c r="T634" s="399" t="s">
        <v>3957</v>
      </c>
      <c r="U634" s="399" t="s">
        <v>315</v>
      </c>
      <c r="AA634" s="12"/>
      <c r="AB634" s="12"/>
      <c r="AC634" s="808"/>
      <c r="AD634" s="407"/>
    </row>
    <row r="635" spans="6:30" ht="10.5" customHeight="1">
      <c r="F635" s="238"/>
      <c r="G635" s="221"/>
      <c r="H635" s="221"/>
      <c r="I635" s="221"/>
      <c r="J635" s="221"/>
      <c r="K635" s="221"/>
      <c r="L635" s="221"/>
      <c r="M635" s="221"/>
      <c r="N635" s="221"/>
      <c r="O635" s="221"/>
      <c r="P635" s="447" t="s">
        <v>4464</v>
      </c>
      <c r="Q635" s="200"/>
      <c r="R635" s="122"/>
      <c r="S635" s="290"/>
      <c r="T635" s="399" t="s">
        <v>3959</v>
      </c>
      <c r="U635" s="399" t="s">
        <v>281</v>
      </c>
      <c r="AA635" s="12"/>
      <c r="AB635" s="12"/>
      <c r="AC635" s="808"/>
      <c r="AD635" s="407"/>
    </row>
    <row r="636" spans="6:30" ht="10.5" customHeight="1">
      <c r="F636" s="238"/>
      <c r="G636" s="221"/>
      <c r="H636" s="221"/>
      <c r="I636" s="221"/>
      <c r="J636" s="221"/>
      <c r="K636" s="221"/>
      <c r="L636" s="221"/>
      <c r="M636" s="221"/>
      <c r="N636" s="221"/>
      <c r="O636" s="221"/>
      <c r="P636" s="447" t="s">
        <v>4465</v>
      </c>
      <c r="Q636" s="200"/>
      <c r="R636" s="122"/>
      <c r="S636" s="290"/>
      <c r="T636" s="194" t="s">
        <v>4466</v>
      </c>
      <c r="U636" s="194" t="s">
        <v>2211</v>
      </c>
      <c r="AA636" s="12"/>
      <c r="AB636" s="12"/>
      <c r="AC636" s="808"/>
      <c r="AD636" s="407"/>
    </row>
    <row r="637" spans="6:30" ht="10.5" customHeight="1">
      <c r="F637" s="238"/>
      <c r="G637" s="221"/>
      <c r="H637" s="221"/>
      <c r="I637" s="221"/>
      <c r="J637" s="221"/>
      <c r="K637" s="221"/>
      <c r="L637" s="221"/>
      <c r="M637" s="221"/>
      <c r="N637" s="221"/>
      <c r="O637" s="221"/>
      <c r="P637" s="447" t="s">
        <v>4467</v>
      </c>
      <c r="Q637" s="200"/>
      <c r="R637" s="122"/>
      <c r="S637" s="290"/>
      <c r="T637" s="399" t="s">
        <v>3962</v>
      </c>
      <c r="U637" s="399" t="s">
        <v>3300</v>
      </c>
      <c r="AA637" s="12"/>
      <c r="AB637" s="12"/>
      <c r="AC637" s="407"/>
      <c r="AD637" s="407"/>
    </row>
    <row r="638" spans="6:30" ht="10.5" customHeight="1">
      <c r="F638" s="238"/>
      <c r="G638" s="221"/>
      <c r="H638" s="221"/>
      <c r="I638" s="221"/>
      <c r="J638" s="221"/>
      <c r="K638" s="221"/>
      <c r="L638" s="221"/>
      <c r="M638" s="221"/>
      <c r="N638" s="221"/>
      <c r="O638" s="221"/>
      <c r="P638" s="447" t="s">
        <v>4468</v>
      </c>
      <c r="Q638" s="200"/>
      <c r="R638" s="122"/>
      <c r="S638" s="290"/>
      <c r="T638" s="399" t="s">
        <v>348</v>
      </c>
      <c r="U638" s="399" t="s">
        <v>349</v>
      </c>
      <c r="AA638" s="12"/>
      <c r="AB638" s="12"/>
      <c r="AC638" s="808"/>
      <c r="AD638" s="407"/>
    </row>
    <row r="639" spans="6:30" ht="10.5" customHeight="1">
      <c r="F639" s="238"/>
      <c r="G639" s="221"/>
      <c r="H639" s="221"/>
      <c r="I639" s="221"/>
      <c r="J639" s="221"/>
      <c r="K639" s="221"/>
      <c r="L639" s="221"/>
      <c r="M639" s="221"/>
      <c r="N639" s="221"/>
      <c r="O639" s="221"/>
      <c r="P639" s="447" t="s">
        <v>4469</v>
      </c>
      <c r="Q639" s="200"/>
      <c r="R639" s="122"/>
      <c r="S639" s="290"/>
      <c r="T639" s="399" t="s">
        <v>4470</v>
      </c>
      <c r="U639" s="399" t="s">
        <v>3072</v>
      </c>
      <c r="AA639" s="12"/>
      <c r="AB639" s="12"/>
      <c r="AC639" s="808"/>
      <c r="AD639" s="407"/>
    </row>
    <row r="640" spans="6:30" ht="10.5" customHeight="1">
      <c r="F640" s="238"/>
      <c r="G640" s="221"/>
      <c r="H640" s="221"/>
      <c r="I640" s="221"/>
      <c r="J640" s="221"/>
      <c r="K640" s="221"/>
      <c r="L640" s="221"/>
      <c r="M640" s="221"/>
      <c r="N640" s="221"/>
      <c r="O640" s="221"/>
      <c r="P640" s="447" t="s">
        <v>4471</v>
      </c>
      <c r="Q640" s="200"/>
      <c r="R640" s="122"/>
      <c r="S640" s="290"/>
      <c r="T640" s="399" t="s">
        <v>4472</v>
      </c>
      <c r="U640" s="399" t="s">
        <v>3081</v>
      </c>
      <c r="AA640" s="12"/>
      <c r="AB640" s="12"/>
      <c r="AC640" s="808"/>
      <c r="AD640" s="407"/>
    </row>
    <row r="641" spans="6:30" ht="10.5" customHeight="1">
      <c r="F641" s="238"/>
      <c r="G641" s="221"/>
      <c r="H641" s="221"/>
      <c r="I641" s="221"/>
      <c r="J641" s="221"/>
      <c r="K641" s="221"/>
      <c r="L641" s="221"/>
      <c r="M641" s="221"/>
      <c r="N641" s="221"/>
      <c r="O641" s="221"/>
      <c r="P641" s="447" t="s">
        <v>4473</v>
      </c>
      <c r="Q641" s="200"/>
      <c r="R641" s="122"/>
      <c r="S641" s="290"/>
      <c r="T641" s="194" t="s">
        <v>2267</v>
      </c>
      <c r="U641" s="194" t="s">
        <v>3206</v>
      </c>
      <c r="AA641" s="12"/>
      <c r="AB641" s="12"/>
      <c r="AC641" s="808"/>
      <c r="AD641" s="407"/>
    </row>
    <row r="642" spans="6:30" ht="10.5" customHeight="1">
      <c r="F642" s="238"/>
      <c r="G642" s="221"/>
      <c r="H642" s="221"/>
      <c r="I642" s="221"/>
      <c r="J642" s="221"/>
      <c r="K642" s="221"/>
      <c r="L642" s="221"/>
      <c r="M642" s="221"/>
      <c r="N642" s="221"/>
      <c r="O642" s="221"/>
      <c r="P642" s="447" t="s">
        <v>4474</v>
      </c>
      <c r="Q642" s="200"/>
      <c r="R642" s="122"/>
      <c r="S642" s="290"/>
      <c r="T642" s="399" t="s">
        <v>4475</v>
      </c>
      <c r="U642" s="399" t="s">
        <v>3756</v>
      </c>
      <c r="AA642" s="12"/>
      <c r="AB642" s="12"/>
      <c r="AC642" s="407"/>
      <c r="AD642" s="407"/>
    </row>
    <row r="643" spans="6:30" ht="10.5" customHeight="1">
      <c r="F643" s="238"/>
      <c r="G643" s="221"/>
      <c r="H643" s="221"/>
      <c r="I643" s="221"/>
      <c r="J643" s="221"/>
      <c r="K643" s="221"/>
      <c r="L643" s="221"/>
      <c r="M643" s="221"/>
      <c r="N643" s="221"/>
      <c r="O643" s="221"/>
      <c r="P643" s="447" t="s">
        <v>4476</v>
      </c>
      <c r="Q643" s="200"/>
      <c r="R643" s="122"/>
      <c r="S643" s="290"/>
      <c r="T643" s="399" t="s">
        <v>2268</v>
      </c>
      <c r="U643" s="399" t="s">
        <v>356</v>
      </c>
      <c r="AA643" s="12"/>
      <c r="AB643" s="12"/>
      <c r="AC643" s="808"/>
      <c r="AD643" s="407"/>
    </row>
    <row r="644" spans="6:30" ht="10.5" customHeight="1">
      <c r="F644" s="238"/>
      <c r="G644" s="221"/>
      <c r="H644" s="221"/>
      <c r="I644" s="221"/>
      <c r="J644" s="221"/>
      <c r="K644" s="221"/>
      <c r="L644" s="221"/>
      <c r="M644" s="221"/>
      <c r="N644" s="221"/>
      <c r="O644" s="221"/>
      <c r="P644" s="447" t="s">
        <v>4477</v>
      </c>
      <c r="Q644" s="200"/>
      <c r="R644" s="122"/>
      <c r="S644" s="290"/>
      <c r="T644" s="399" t="s">
        <v>4478</v>
      </c>
      <c r="U644" s="399" t="s">
        <v>3203</v>
      </c>
      <c r="AA644" s="12"/>
      <c r="AB644" s="12"/>
      <c r="AC644" s="808"/>
      <c r="AD644" s="407"/>
    </row>
    <row r="645" spans="6:30" ht="10.5" customHeight="1">
      <c r="F645" s="238"/>
      <c r="G645" s="221"/>
      <c r="H645" s="221"/>
      <c r="I645" s="221"/>
      <c r="J645" s="221"/>
      <c r="K645" s="221"/>
      <c r="L645" s="221"/>
      <c r="M645" s="221"/>
      <c r="N645" s="221"/>
      <c r="O645" s="221"/>
      <c r="P645" s="447" t="s">
        <v>4479</v>
      </c>
      <c r="Q645" s="200"/>
      <c r="R645" s="122"/>
      <c r="S645" s="290"/>
      <c r="T645" s="399" t="s">
        <v>3967</v>
      </c>
      <c r="U645" s="399" t="s">
        <v>284</v>
      </c>
      <c r="AA645" s="12"/>
      <c r="AB645" s="12"/>
      <c r="AC645" s="808"/>
      <c r="AD645" s="407"/>
    </row>
    <row r="646" spans="6:30" ht="10.5" customHeight="1">
      <c r="F646" s="238"/>
      <c r="G646" s="221"/>
      <c r="H646" s="221"/>
      <c r="I646" s="221"/>
      <c r="J646" s="221"/>
      <c r="K646" s="221"/>
      <c r="L646" s="221"/>
      <c r="M646" s="221"/>
      <c r="N646" s="221"/>
      <c r="O646" s="221"/>
      <c r="P646" s="447" t="s">
        <v>4480</v>
      </c>
      <c r="Q646" s="200"/>
      <c r="R646" s="122"/>
      <c r="S646" s="290"/>
      <c r="T646" s="399" t="s">
        <v>2269</v>
      </c>
      <c r="U646" s="399" t="s">
        <v>334</v>
      </c>
      <c r="AA646" s="12"/>
      <c r="AB646" s="12"/>
      <c r="AC646" s="808"/>
      <c r="AD646" s="407"/>
    </row>
    <row r="647" spans="6:30" ht="10.5" customHeight="1">
      <c r="F647" s="238"/>
      <c r="G647" s="221"/>
      <c r="H647" s="221"/>
      <c r="I647" s="221"/>
      <c r="J647" s="221"/>
      <c r="K647" s="221"/>
      <c r="L647" s="221"/>
      <c r="M647" s="221"/>
      <c r="N647" s="221"/>
      <c r="O647" s="221"/>
      <c r="P647" s="447" t="s">
        <v>4481</v>
      </c>
      <c r="Q647" s="200"/>
      <c r="R647" s="122"/>
      <c r="S647" s="290"/>
      <c r="T647" s="194" t="s">
        <v>3972</v>
      </c>
      <c r="U647" s="194" t="s">
        <v>3411</v>
      </c>
      <c r="AA647" s="12"/>
      <c r="AB647" s="12"/>
      <c r="AC647" s="808"/>
      <c r="AD647" s="407"/>
    </row>
    <row r="648" spans="6:30" ht="10.5" customHeight="1">
      <c r="F648" s="238"/>
      <c r="G648" s="221"/>
      <c r="H648" s="221"/>
      <c r="I648" s="221"/>
      <c r="J648" s="221"/>
      <c r="K648" s="221"/>
      <c r="L648" s="221"/>
      <c r="M648" s="221"/>
      <c r="N648" s="221"/>
      <c r="O648" s="221"/>
      <c r="P648" s="447" t="s">
        <v>4482</v>
      </c>
      <c r="Q648" s="200"/>
      <c r="R648" s="122"/>
      <c r="S648" s="290"/>
      <c r="T648" s="399" t="s">
        <v>350</v>
      </c>
      <c r="U648" s="399" t="s">
        <v>351</v>
      </c>
      <c r="AA648" s="12"/>
      <c r="AB648" s="12"/>
      <c r="AC648" s="407"/>
      <c r="AD648" s="407"/>
    </row>
    <row r="649" spans="6:30" ht="10.5" customHeight="1">
      <c r="F649" s="238"/>
      <c r="G649" s="221"/>
      <c r="H649" s="221"/>
      <c r="I649" s="221"/>
      <c r="J649" s="221"/>
      <c r="K649" s="221"/>
      <c r="L649" s="221"/>
      <c r="M649" s="221"/>
      <c r="N649" s="221"/>
      <c r="O649" s="221"/>
      <c r="P649" s="447" t="s">
        <v>4483</v>
      </c>
      <c r="Q649" s="200"/>
      <c r="R649" s="122"/>
      <c r="S649" s="290"/>
      <c r="T649" s="399" t="s">
        <v>4484</v>
      </c>
      <c r="U649" s="399" t="s">
        <v>3445</v>
      </c>
      <c r="AA649" s="12"/>
      <c r="AB649" s="12"/>
      <c r="AC649" s="808"/>
      <c r="AD649" s="407"/>
    </row>
    <row r="650" spans="6:30" ht="10.5" customHeight="1">
      <c r="F650" s="238"/>
      <c r="G650" s="221"/>
      <c r="H650" s="221"/>
      <c r="I650" s="221"/>
      <c r="J650" s="221"/>
      <c r="K650" s="221"/>
      <c r="L650" s="221"/>
      <c r="M650" s="221"/>
      <c r="N650" s="221"/>
      <c r="O650" s="221"/>
      <c r="P650" s="447" t="s">
        <v>4485</v>
      </c>
      <c r="Q650" s="200"/>
      <c r="R650" s="122"/>
      <c r="S650" s="290"/>
      <c r="T650" s="399" t="s">
        <v>4486</v>
      </c>
      <c r="U650" s="399" t="s">
        <v>3294</v>
      </c>
      <c r="AA650" s="12"/>
      <c r="AB650" s="12"/>
      <c r="AC650" s="808"/>
      <c r="AD650" s="407"/>
    </row>
    <row r="651" spans="6:30" ht="10.5" customHeight="1">
      <c r="F651" s="238"/>
      <c r="G651" s="221"/>
      <c r="H651" s="221"/>
      <c r="I651" s="221"/>
      <c r="J651" s="221"/>
      <c r="K651" s="221"/>
      <c r="L651" s="221"/>
      <c r="M651" s="221"/>
      <c r="N651" s="221"/>
      <c r="O651" s="221"/>
      <c r="P651" s="447" t="s">
        <v>4487</v>
      </c>
      <c r="Q651" s="200"/>
      <c r="R651" s="122"/>
      <c r="S651" s="290"/>
      <c r="T651" s="399" t="s">
        <v>353</v>
      </c>
      <c r="U651" s="399" t="s">
        <v>315</v>
      </c>
      <c r="AA651" s="12"/>
      <c r="AB651" s="12"/>
      <c r="AC651" s="808"/>
      <c r="AD651" s="407"/>
    </row>
    <row r="652" spans="6:30" ht="10.5" customHeight="1">
      <c r="F652" s="238"/>
      <c r="G652" s="221"/>
      <c r="H652" s="221"/>
      <c r="I652" s="221"/>
      <c r="J652" s="221"/>
      <c r="K652" s="221"/>
      <c r="L652" s="221"/>
      <c r="M652" s="221"/>
      <c r="N652" s="221"/>
      <c r="O652" s="221"/>
      <c r="P652" s="447" t="s">
        <v>4488</v>
      </c>
      <c r="Q652" s="200"/>
      <c r="R652" s="122"/>
      <c r="S652" s="290"/>
      <c r="T652" s="399" t="s">
        <v>3975</v>
      </c>
      <c r="U652" s="399" t="s">
        <v>3875</v>
      </c>
      <c r="AA652" s="12"/>
      <c r="AB652" s="12"/>
      <c r="AC652" s="808"/>
      <c r="AD652" s="407"/>
    </row>
    <row r="653" spans="6:30" ht="10.5" customHeight="1">
      <c r="F653" s="238"/>
      <c r="G653" s="221"/>
      <c r="H653" s="221"/>
      <c r="I653" s="221"/>
      <c r="J653" s="221"/>
      <c r="K653" s="221"/>
      <c r="L653" s="221"/>
      <c r="M653" s="221"/>
      <c r="N653" s="221"/>
      <c r="O653" s="221"/>
      <c r="P653" s="447" t="s">
        <v>4489</v>
      </c>
      <c r="Q653" s="200"/>
      <c r="R653" s="122"/>
      <c r="S653" s="290"/>
      <c r="T653" s="399" t="s">
        <v>3977</v>
      </c>
      <c r="U653" s="399" t="s">
        <v>334</v>
      </c>
      <c r="AA653" s="12"/>
      <c r="AB653" s="12"/>
      <c r="AC653" s="808"/>
      <c r="AD653" s="407"/>
    </row>
    <row r="654" spans="6:30" ht="10.5" customHeight="1">
      <c r="F654" s="238"/>
      <c r="G654" s="221"/>
      <c r="H654" s="221"/>
      <c r="I654" s="221"/>
      <c r="J654" s="221"/>
      <c r="K654" s="221"/>
      <c r="L654" s="221"/>
      <c r="M654" s="221"/>
      <c r="N654" s="221"/>
      <c r="O654" s="221"/>
      <c r="P654" s="447" t="s">
        <v>4490</v>
      </c>
      <c r="Q654" s="200"/>
      <c r="R654" s="122"/>
      <c r="S654" s="290"/>
      <c r="T654" s="399" t="s">
        <v>4491</v>
      </c>
      <c r="U654" s="399" t="s">
        <v>3826</v>
      </c>
      <c r="AA654" s="12"/>
      <c r="AB654" s="12"/>
      <c r="AC654" s="808"/>
      <c r="AD654" s="407"/>
    </row>
    <row r="655" spans="6:30" ht="10.5" customHeight="1">
      <c r="F655" s="238"/>
      <c r="G655" s="221"/>
      <c r="H655" s="221"/>
      <c r="I655" s="221"/>
      <c r="J655" s="221"/>
      <c r="K655" s="221"/>
      <c r="L655" s="221"/>
      <c r="M655" s="221"/>
      <c r="N655" s="221"/>
      <c r="O655" s="221"/>
      <c r="P655" s="447" t="s">
        <v>4492</v>
      </c>
      <c r="Q655" s="200"/>
      <c r="R655" s="122"/>
      <c r="S655" s="290"/>
      <c r="T655" s="399" t="s">
        <v>3979</v>
      </c>
      <c r="U655" s="399" t="s">
        <v>3171</v>
      </c>
      <c r="AA655" s="12"/>
      <c r="AB655" s="12"/>
      <c r="AC655" s="808"/>
      <c r="AD655" s="407"/>
    </row>
    <row r="656" spans="6:30" ht="10.5" customHeight="1">
      <c r="F656" s="238"/>
      <c r="G656" s="221"/>
      <c r="H656" s="221"/>
      <c r="I656" s="221"/>
      <c r="J656" s="221"/>
      <c r="K656" s="221"/>
      <c r="L656" s="221"/>
      <c r="M656" s="221"/>
      <c r="N656" s="221"/>
      <c r="O656" s="221"/>
      <c r="P656" s="447" t="s">
        <v>4493</v>
      </c>
      <c r="Q656" s="200"/>
      <c r="R656" s="122"/>
      <c r="S656" s="290"/>
      <c r="T656" s="399" t="s">
        <v>4494</v>
      </c>
      <c r="U656" s="399" t="s">
        <v>3492</v>
      </c>
      <c r="AA656" s="12"/>
      <c r="AB656" s="12"/>
      <c r="AC656" s="808"/>
      <c r="AD656" s="407"/>
    </row>
    <row r="657" spans="6:30" ht="10.5" customHeight="1">
      <c r="F657" s="238"/>
      <c r="G657" s="221"/>
      <c r="H657" s="221"/>
      <c r="I657" s="221"/>
      <c r="J657" s="221"/>
      <c r="K657" s="221"/>
      <c r="L657" s="221"/>
      <c r="M657" s="221"/>
      <c r="N657" s="221"/>
      <c r="O657" s="221"/>
      <c r="P657" s="447" t="s">
        <v>4495</v>
      </c>
      <c r="Q657" s="200"/>
      <c r="R657" s="122"/>
      <c r="S657" s="290"/>
      <c r="T657" s="399" t="s">
        <v>4496</v>
      </c>
      <c r="U657" s="399" t="s">
        <v>3531</v>
      </c>
      <c r="AA657" s="12"/>
      <c r="AB657" s="12"/>
      <c r="AC657" s="808"/>
      <c r="AD657" s="407"/>
    </row>
    <row r="658" spans="6:30" ht="10.5" customHeight="1">
      <c r="F658" s="238"/>
      <c r="G658" s="221"/>
      <c r="H658" s="221"/>
      <c r="I658" s="221"/>
      <c r="J658" s="221"/>
      <c r="K658" s="221"/>
      <c r="L658" s="221"/>
      <c r="M658" s="221"/>
      <c r="N658" s="221"/>
      <c r="O658" s="221"/>
      <c r="P658" s="447" t="s">
        <v>4497</v>
      </c>
      <c r="Q658" s="200"/>
      <c r="R658" s="122"/>
      <c r="S658" s="290"/>
      <c r="T658" s="194" t="s">
        <v>4498</v>
      </c>
      <c r="U658" s="194" t="s">
        <v>3735</v>
      </c>
      <c r="AA658" s="12"/>
      <c r="AB658" s="12"/>
      <c r="AC658" s="808"/>
      <c r="AD658" s="407"/>
    </row>
    <row r="659" spans="6:30" ht="10.5" customHeight="1">
      <c r="F659" s="238"/>
      <c r="G659" s="221"/>
      <c r="H659" s="221"/>
      <c r="I659" s="221"/>
      <c r="J659" s="221"/>
      <c r="K659" s="221"/>
      <c r="L659" s="221"/>
      <c r="M659" s="221"/>
      <c r="N659" s="221"/>
      <c r="O659" s="221"/>
      <c r="P659" s="447" t="s">
        <v>4499</v>
      </c>
      <c r="Q659" s="200"/>
      <c r="R659" s="122"/>
      <c r="S659" s="290"/>
      <c r="T659" s="399" t="s">
        <v>2951</v>
      </c>
      <c r="U659" s="399" t="s">
        <v>318</v>
      </c>
      <c r="AA659" s="12"/>
      <c r="AB659" s="12"/>
      <c r="AC659" s="407"/>
      <c r="AD659" s="407"/>
    </row>
    <row r="660" spans="6:30" ht="10.5" customHeight="1">
      <c r="F660" s="238"/>
      <c r="G660" s="221"/>
      <c r="H660" s="221"/>
      <c r="I660" s="221"/>
      <c r="J660" s="221"/>
      <c r="K660" s="221"/>
      <c r="L660" s="221"/>
      <c r="M660" s="221"/>
      <c r="N660" s="221"/>
      <c r="O660" s="221"/>
      <c r="P660" s="447" t="s">
        <v>4500</v>
      </c>
      <c r="Q660" s="200"/>
      <c r="R660" s="122"/>
      <c r="S660" s="290"/>
      <c r="T660" s="399" t="s">
        <v>4501</v>
      </c>
      <c r="U660" s="399" t="s">
        <v>3808</v>
      </c>
      <c r="AA660" s="12"/>
      <c r="AB660" s="12"/>
      <c r="AC660" s="808"/>
      <c r="AD660" s="407"/>
    </row>
    <row r="661" spans="6:30" ht="10.5" customHeight="1">
      <c r="F661" s="238"/>
      <c r="G661" s="221"/>
      <c r="H661" s="221"/>
      <c r="I661" s="221"/>
      <c r="J661" s="221"/>
      <c r="K661" s="221"/>
      <c r="L661" s="221"/>
      <c r="M661" s="221"/>
      <c r="N661" s="221"/>
      <c r="O661" s="221"/>
      <c r="P661" s="447" t="s">
        <v>4502</v>
      </c>
      <c r="Q661" s="200"/>
      <c r="R661" s="122"/>
      <c r="S661" s="290"/>
      <c r="T661" s="399" t="s">
        <v>354</v>
      </c>
      <c r="U661" s="399" t="s">
        <v>276</v>
      </c>
      <c r="AA661" s="12"/>
      <c r="AB661" s="12"/>
      <c r="AC661" s="808"/>
      <c r="AD661" s="407"/>
    </row>
    <row r="662" spans="6:30" ht="10.5" customHeight="1">
      <c r="F662" s="238"/>
      <c r="G662" s="221"/>
      <c r="H662" s="221"/>
      <c r="I662" s="221"/>
      <c r="J662" s="221"/>
      <c r="K662" s="221"/>
      <c r="L662" s="221"/>
      <c r="M662" s="221"/>
      <c r="N662" s="221"/>
      <c r="O662" s="221"/>
      <c r="P662" s="447" t="s">
        <v>4503</v>
      </c>
      <c r="Q662" s="200"/>
      <c r="R662" s="122"/>
      <c r="S662" s="290"/>
      <c r="T662" s="399" t="s">
        <v>3756</v>
      </c>
      <c r="U662" s="399" t="s">
        <v>3880</v>
      </c>
      <c r="AA662" s="12"/>
      <c r="AB662" s="12"/>
      <c r="AC662" s="808"/>
      <c r="AD662" s="407"/>
    </row>
    <row r="663" spans="6:30" ht="10.5" customHeight="1">
      <c r="F663" s="238"/>
      <c r="G663" s="221"/>
      <c r="H663" s="221"/>
      <c r="I663" s="221"/>
      <c r="J663" s="221"/>
      <c r="K663" s="221"/>
      <c r="L663" s="221"/>
      <c r="M663" s="221"/>
      <c r="N663" s="221"/>
      <c r="O663" s="221"/>
      <c r="P663" s="447" t="s">
        <v>4504</v>
      </c>
      <c r="Q663" s="200"/>
      <c r="R663" s="122"/>
      <c r="S663" s="290"/>
      <c r="T663" s="399" t="s">
        <v>4505</v>
      </c>
      <c r="U663" s="399" t="s">
        <v>3762</v>
      </c>
      <c r="AA663" s="12"/>
      <c r="AB663" s="12"/>
      <c r="AC663" s="808"/>
      <c r="AD663" s="407"/>
    </row>
    <row r="664" spans="6:30" ht="10.5" customHeight="1">
      <c r="F664" s="238"/>
      <c r="G664" s="221"/>
      <c r="H664" s="221"/>
      <c r="I664" s="221"/>
      <c r="J664" s="221"/>
      <c r="K664" s="221"/>
      <c r="L664" s="221"/>
      <c r="M664" s="221"/>
      <c r="N664" s="221"/>
      <c r="O664" s="221"/>
      <c r="P664" s="447" t="s">
        <v>4506</v>
      </c>
      <c r="Q664" s="200"/>
      <c r="R664" s="122"/>
      <c r="S664" s="290"/>
      <c r="T664" s="399" t="s">
        <v>4507</v>
      </c>
      <c r="U664" s="399" t="s">
        <v>296</v>
      </c>
      <c r="AA664" s="12"/>
      <c r="AB664" s="12"/>
      <c r="AC664" s="808"/>
      <c r="AD664" s="407"/>
    </row>
    <row r="665" spans="6:30" ht="10.5" customHeight="1">
      <c r="F665" s="238"/>
      <c r="G665" s="221"/>
      <c r="H665" s="221"/>
      <c r="I665" s="221"/>
      <c r="J665" s="221"/>
      <c r="K665" s="221"/>
      <c r="L665" s="221"/>
      <c r="M665" s="221"/>
      <c r="N665" s="221"/>
      <c r="O665" s="221"/>
      <c r="P665" s="447" t="s">
        <v>4508</v>
      </c>
      <c r="Q665" s="200"/>
      <c r="R665" s="122"/>
      <c r="S665" s="290"/>
      <c r="T665" s="399" t="s">
        <v>4509</v>
      </c>
      <c r="U665" s="399" t="s">
        <v>3072</v>
      </c>
      <c r="AA665" s="12"/>
      <c r="AB665" s="12"/>
      <c r="AC665" s="808"/>
      <c r="AD665" s="407"/>
    </row>
    <row r="666" spans="6:30" ht="10.5" customHeight="1">
      <c r="F666" s="238"/>
      <c r="G666" s="221"/>
      <c r="H666" s="221"/>
      <c r="I666" s="221"/>
      <c r="J666" s="221"/>
      <c r="K666" s="221"/>
      <c r="L666" s="221"/>
      <c r="M666" s="221"/>
      <c r="N666" s="221"/>
      <c r="O666" s="221"/>
      <c r="P666" s="447" t="s">
        <v>4510</v>
      </c>
      <c r="Q666" s="200"/>
      <c r="R666" s="122"/>
      <c r="S666" s="290"/>
      <c r="T666" s="399" t="s">
        <v>4511</v>
      </c>
      <c r="U666" s="399" t="s">
        <v>3525</v>
      </c>
      <c r="AA666" s="12"/>
      <c r="AB666" s="12"/>
      <c r="AC666" s="808"/>
      <c r="AD666" s="407"/>
    </row>
    <row r="667" spans="6:30" ht="10.5" customHeight="1">
      <c r="F667" s="238"/>
      <c r="G667" s="221"/>
      <c r="H667" s="221"/>
      <c r="I667" s="221"/>
      <c r="J667" s="221"/>
      <c r="K667" s="221"/>
      <c r="L667" s="221"/>
      <c r="M667" s="221"/>
      <c r="N667" s="221"/>
      <c r="O667" s="221"/>
      <c r="P667" s="447" t="s">
        <v>4512</v>
      </c>
      <c r="Q667" s="200"/>
      <c r="R667" s="122"/>
      <c r="S667" s="290"/>
      <c r="T667" s="399" t="s">
        <v>355</v>
      </c>
      <c r="U667" s="399" t="s">
        <v>356</v>
      </c>
      <c r="AA667" s="12"/>
      <c r="AB667" s="12"/>
      <c r="AC667" s="808"/>
      <c r="AD667" s="407"/>
    </row>
    <row r="668" spans="6:30" ht="10.5" customHeight="1">
      <c r="F668" s="238"/>
      <c r="G668" s="221"/>
      <c r="H668" s="221"/>
      <c r="I668" s="221"/>
      <c r="J668" s="221"/>
      <c r="K668" s="221"/>
      <c r="L668" s="221"/>
      <c r="M668" s="221"/>
      <c r="N668" s="221"/>
      <c r="O668" s="221"/>
      <c r="P668" s="447" t="s">
        <v>4513</v>
      </c>
      <c r="Q668" s="200"/>
      <c r="R668" s="122"/>
      <c r="S668" s="290"/>
      <c r="T668" s="399" t="s">
        <v>4514</v>
      </c>
      <c r="U668" s="399" t="s">
        <v>3795</v>
      </c>
      <c r="AA668" s="12"/>
      <c r="AB668" s="12"/>
      <c r="AC668" s="808"/>
      <c r="AD668" s="407"/>
    </row>
    <row r="669" spans="6:30" ht="10.5" customHeight="1">
      <c r="F669" s="238"/>
      <c r="G669" s="221"/>
      <c r="H669" s="221"/>
      <c r="I669" s="221"/>
      <c r="J669" s="221"/>
      <c r="K669" s="221"/>
      <c r="L669" s="221"/>
      <c r="M669" s="221"/>
      <c r="N669" s="221"/>
      <c r="O669" s="221"/>
      <c r="P669" s="447" t="s">
        <v>4515</v>
      </c>
      <c r="Q669" s="200"/>
      <c r="R669" s="122"/>
      <c r="S669" s="290"/>
      <c r="T669" s="399" t="s">
        <v>4516</v>
      </c>
      <c r="U669" s="399" t="s">
        <v>296</v>
      </c>
      <c r="AA669" s="12"/>
      <c r="AB669" s="12"/>
      <c r="AC669" s="808"/>
      <c r="AD669" s="407"/>
    </row>
    <row r="670" spans="6:30" ht="10.5" customHeight="1">
      <c r="F670" s="238"/>
      <c r="G670" s="221"/>
      <c r="H670" s="221"/>
      <c r="I670" s="221"/>
      <c r="J670" s="221"/>
      <c r="K670" s="221"/>
      <c r="L670" s="221"/>
      <c r="M670" s="221"/>
      <c r="N670" s="221"/>
      <c r="O670" s="221"/>
      <c r="P670" s="447" t="s">
        <v>4517</v>
      </c>
      <c r="Q670" s="200"/>
      <c r="R670" s="122"/>
      <c r="S670" s="290"/>
      <c r="T670" s="194" t="s">
        <v>3983</v>
      </c>
      <c r="U670" s="194" t="s">
        <v>3736</v>
      </c>
      <c r="AA670" s="12"/>
      <c r="AB670" s="12"/>
      <c r="AC670" s="808"/>
      <c r="AD670" s="407"/>
    </row>
    <row r="671" spans="6:30" ht="10.5" customHeight="1">
      <c r="F671" s="238"/>
      <c r="G671" s="221"/>
      <c r="H671" s="221"/>
      <c r="I671" s="221"/>
      <c r="J671" s="221"/>
      <c r="K671" s="221"/>
      <c r="L671" s="221"/>
      <c r="M671" s="221"/>
      <c r="N671" s="221"/>
      <c r="O671" s="221"/>
      <c r="P671" s="447" t="s">
        <v>4518</v>
      </c>
      <c r="Q671" s="200"/>
      <c r="R671" s="122"/>
      <c r="S671" s="290"/>
      <c r="T671" s="194" t="s">
        <v>4519</v>
      </c>
      <c r="U671" s="194" t="s">
        <v>3488</v>
      </c>
      <c r="AA671" s="12"/>
      <c r="AB671" s="12"/>
      <c r="AC671" s="407"/>
      <c r="AD671" s="407"/>
    </row>
    <row r="672" spans="6:30" ht="10.5" customHeight="1">
      <c r="F672" s="238"/>
      <c r="G672" s="221"/>
      <c r="H672" s="221"/>
      <c r="I672" s="221"/>
      <c r="J672" s="221"/>
      <c r="K672" s="221"/>
      <c r="L672" s="221"/>
      <c r="M672" s="221"/>
      <c r="N672" s="221"/>
      <c r="O672" s="221"/>
      <c r="P672" s="447" t="s">
        <v>4520</v>
      </c>
      <c r="Q672" s="200"/>
      <c r="R672" s="122"/>
      <c r="S672" s="290"/>
      <c r="T672" s="399" t="s">
        <v>4521</v>
      </c>
      <c r="U672" s="399" t="s">
        <v>3454</v>
      </c>
      <c r="AA672" s="12"/>
      <c r="AB672" s="12"/>
      <c r="AC672" s="407"/>
      <c r="AD672" s="407"/>
    </row>
    <row r="673" spans="6:30" ht="10.5" customHeight="1">
      <c r="F673" s="238"/>
      <c r="G673" s="221"/>
      <c r="H673" s="221"/>
      <c r="I673" s="221"/>
      <c r="J673" s="221"/>
      <c r="K673" s="221"/>
      <c r="L673" s="221"/>
      <c r="M673" s="221"/>
      <c r="N673" s="221"/>
      <c r="O673" s="221"/>
      <c r="P673" s="447" t="s">
        <v>4522</v>
      </c>
      <c r="Q673" s="200"/>
      <c r="R673" s="122"/>
      <c r="S673" s="290"/>
      <c r="T673" s="399" t="s">
        <v>357</v>
      </c>
      <c r="U673" s="399" t="s">
        <v>318</v>
      </c>
      <c r="AA673" s="12"/>
      <c r="AB673" s="12"/>
      <c r="AC673" s="808"/>
      <c r="AD673" s="407"/>
    </row>
    <row r="674" spans="6:30" ht="10.5" customHeight="1">
      <c r="F674" s="238"/>
      <c r="G674" s="221"/>
      <c r="H674" s="221"/>
      <c r="I674" s="221"/>
      <c r="J674" s="221"/>
      <c r="K674" s="221"/>
      <c r="L674" s="221"/>
      <c r="M674" s="221"/>
      <c r="N674" s="221"/>
      <c r="O674" s="221"/>
      <c r="P674" s="447" t="s">
        <v>4523</v>
      </c>
      <c r="Q674" s="200"/>
      <c r="R674" s="122"/>
      <c r="S674" s="290"/>
      <c r="T674" s="399" t="s">
        <v>4524</v>
      </c>
      <c r="U674" s="399" t="s">
        <v>3726</v>
      </c>
      <c r="AA674" s="12"/>
      <c r="AB674" s="12"/>
      <c r="AC674" s="808"/>
      <c r="AD674" s="407"/>
    </row>
    <row r="675" spans="6:30" ht="10.5" customHeight="1">
      <c r="F675" s="238"/>
      <c r="G675" s="221"/>
      <c r="H675" s="221"/>
      <c r="I675" s="221"/>
      <c r="J675" s="221"/>
      <c r="K675" s="221"/>
      <c r="L675" s="221"/>
      <c r="M675" s="221"/>
      <c r="N675" s="221"/>
      <c r="O675" s="221"/>
      <c r="P675" s="447" t="s">
        <v>4525</v>
      </c>
      <c r="Q675" s="200"/>
      <c r="R675" s="122"/>
      <c r="S675" s="290"/>
      <c r="T675" s="399" t="s">
        <v>4526</v>
      </c>
      <c r="U675" s="399" t="s">
        <v>3577</v>
      </c>
      <c r="AA675" s="12"/>
      <c r="AB675" s="12"/>
      <c r="AC675" s="808"/>
      <c r="AD675" s="407"/>
    </row>
    <row r="676" spans="6:30" ht="10.5" customHeight="1">
      <c r="F676" s="238"/>
      <c r="G676" s="221"/>
      <c r="H676" s="221"/>
      <c r="I676" s="221"/>
      <c r="J676" s="221"/>
      <c r="K676" s="221"/>
      <c r="L676" s="221"/>
      <c r="M676" s="221"/>
      <c r="N676" s="221"/>
      <c r="O676" s="221"/>
      <c r="P676" s="447" t="s">
        <v>4527</v>
      </c>
      <c r="Q676" s="200"/>
      <c r="R676" s="122"/>
      <c r="S676" s="290"/>
      <c r="T676" s="399" t="s">
        <v>3985</v>
      </c>
      <c r="U676" s="399" t="s">
        <v>301</v>
      </c>
      <c r="AA676" s="12"/>
      <c r="AB676" s="12"/>
      <c r="AC676" s="808"/>
      <c r="AD676" s="407"/>
    </row>
    <row r="677" spans="6:30" ht="10.5" customHeight="1">
      <c r="F677" s="238"/>
      <c r="G677" s="221"/>
      <c r="H677" s="221"/>
      <c r="I677" s="221"/>
      <c r="J677" s="221"/>
      <c r="K677" s="221"/>
      <c r="L677" s="221"/>
      <c r="M677" s="221"/>
      <c r="N677" s="221"/>
      <c r="O677" s="221"/>
      <c r="P677" s="447" t="s">
        <v>4528</v>
      </c>
      <c r="Q677" s="200"/>
      <c r="R677" s="122"/>
      <c r="S677" s="290"/>
      <c r="T677" s="399" t="s">
        <v>4529</v>
      </c>
      <c r="U677" s="399" t="s">
        <v>3347</v>
      </c>
      <c r="AA677" s="12"/>
      <c r="AB677" s="12"/>
      <c r="AC677" s="808"/>
      <c r="AD677" s="407"/>
    </row>
    <row r="678" spans="6:30" ht="10.5" customHeight="1">
      <c r="F678" s="238"/>
      <c r="G678" s="221"/>
      <c r="H678" s="221"/>
      <c r="I678" s="221"/>
      <c r="J678" s="221"/>
      <c r="K678" s="221"/>
      <c r="L678" s="221"/>
      <c r="M678" s="221"/>
      <c r="N678" s="221"/>
      <c r="O678" s="221"/>
      <c r="P678" s="447" t="s">
        <v>4530</v>
      </c>
      <c r="Q678" s="200"/>
      <c r="R678" s="122"/>
      <c r="S678" s="290"/>
      <c r="T678" s="399" t="s">
        <v>4531</v>
      </c>
      <c r="U678" s="399" t="s">
        <v>3365</v>
      </c>
      <c r="AA678" s="12"/>
      <c r="AB678" s="12"/>
      <c r="AC678" s="808"/>
      <c r="AD678" s="407"/>
    </row>
    <row r="679" spans="6:30" ht="10.5" customHeight="1">
      <c r="F679" s="238"/>
      <c r="G679" s="221"/>
      <c r="H679" s="221"/>
      <c r="I679" s="221"/>
      <c r="J679" s="221"/>
      <c r="K679" s="221"/>
      <c r="L679" s="221"/>
      <c r="M679" s="221"/>
      <c r="N679" s="221"/>
      <c r="O679" s="221"/>
      <c r="P679" s="447" t="s">
        <v>4532</v>
      </c>
      <c r="Q679" s="200"/>
      <c r="R679" s="122"/>
      <c r="S679" s="290"/>
      <c r="T679" s="399" t="s">
        <v>3987</v>
      </c>
      <c r="U679" s="399" t="s">
        <v>3834</v>
      </c>
      <c r="AA679" s="12"/>
      <c r="AB679" s="12"/>
      <c r="AC679" s="808"/>
      <c r="AD679" s="407"/>
    </row>
    <row r="680" spans="6:30" ht="10.5" customHeight="1">
      <c r="F680" s="238"/>
      <c r="G680" s="221"/>
      <c r="H680" s="221"/>
      <c r="I680" s="221"/>
      <c r="J680" s="221"/>
      <c r="K680" s="221"/>
      <c r="L680" s="221"/>
      <c r="M680" s="221"/>
      <c r="N680" s="221"/>
      <c r="O680" s="221"/>
      <c r="P680" s="447" t="s">
        <v>4533</v>
      </c>
      <c r="Q680" s="200"/>
      <c r="R680" s="122"/>
      <c r="S680" s="290"/>
      <c r="T680" s="399" t="s">
        <v>4534</v>
      </c>
      <c r="U680" s="399" t="s">
        <v>3094</v>
      </c>
      <c r="AA680" s="12"/>
      <c r="AB680" s="12"/>
      <c r="AC680" s="808"/>
      <c r="AD680" s="407"/>
    </row>
    <row r="681" spans="6:30" ht="10.5" customHeight="1">
      <c r="F681" s="238"/>
      <c r="G681" s="221"/>
      <c r="H681" s="221"/>
      <c r="I681" s="221"/>
      <c r="J681" s="221"/>
      <c r="K681" s="221"/>
      <c r="L681" s="221"/>
      <c r="M681" s="221"/>
      <c r="N681" s="221"/>
      <c r="O681" s="221"/>
      <c r="P681" s="447" t="s">
        <v>4535</v>
      </c>
      <c r="Q681" s="200"/>
      <c r="R681" s="122"/>
      <c r="S681" s="290"/>
      <c r="T681" s="399" t="s">
        <v>3990</v>
      </c>
      <c r="U681" s="399" t="s">
        <v>3477</v>
      </c>
      <c r="AA681" s="12"/>
      <c r="AB681" s="12"/>
      <c r="AC681" s="808"/>
      <c r="AD681" s="407"/>
    </row>
    <row r="682" spans="6:30" ht="10.5" customHeight="1">
      <c r="F682" s="238"/>
      <c r="G682" s="221"/>
      <c r="H682" s="221"/>
      <c r="I682" s="221"/>
      <c r="J682" s="221"/>
      <c r="K682" s="221"/>
      <c r="L682" s="221"/>
      <c r="M682" s="221"/>
      <c r="N682" s="221"/>
      <c r="O682" s="221"/>
      <c r="P682" s="447" t="s">
        <v>4536</v>
      </c>
      <c r="Q682" s="200"/>
      <c r="R682" s="122"/>
      <c r="S682" s="290"/>
      <c r="T682" s="399" t="s">
        <v>3992</v>
      </c>
      <c r="U682" s="399" t="s">
        <v>3367</v>
      </c>
      <c r="AA682" s="12"/>
      <c r="AB682" s="12"/>
      <c r="AC682" s="808"/>
      <c r="AD682" s="407"/>
    </row>
    <row r="683" spans="6:30" ht="10.5" customHeight="1">
      <c r="F683" s="238"/>
      <c r="G683" s="221"/>
      <c r="H683" s="221"/>
      <c r="I683" s="221"/>
      <c r="J683" s="221"/>
      <c r="K683" s="221"/>
      <c r="L683" s="221"/>
      <c r="M683" s="221"/>
      <c r="N683" s="221"/>
      <c r="O683" s="221"/>
      <c r="P683" s="447" t="s">
        <v>4537</v>
      </c>
      <c r="Q683" s="200"/>
      <c r="R683" s="122"/>
      <c r="S683" s="290"/>
      <c r="T683" s="399" t="s">
        <v>3994</v>
      </c>
      <c r="U683" s="399" t="s">
        <v>320</v>
      </c>
      <c r="AA683" s="12"/>
      <c r="AB683" s="12"/>
      <c r="AC683" s="808"/>
      <c r="AD683" s="407"/>
    </row>
    <row r="684" spans="6:30" ht="10.5" customHeight="1">
      <c r="F684" s="238"/>
      <c r="G684" s="221"/>
      <c r="H684" s="221"/>
      <c r="I684" s="221"/>
      <c r="J684" s="221"/>
      <c r="K684" s="221"/>
      <c r="L684" s="221"/>
      <c r="M684" s="221"/>
      <c r="N684" s="221"/>
      <c r="O684" s="221"/>
      <c r="P684" s="447" t="s">
        <v>4538</v>
      </c>
      <c r="Q684" s="200"/>
      <c r="R684" s="122"/>
      <c r="S684" s="290"/>
      <c r="T684" s="399" t="s">
        <v>352</v>
      </c>
      <c r="U684" s="399" t="s">
        <v>291</v>
      </c>
      <c r="AA684" s="12"/>
      <c r="AB684" s="12"/>
      <c r="AC684" s="808"/>
      <c r="AD684" s="407"/>
    </row>
    <row r="685" spans="6:30" ht="10.5" customHeight="1">
      <c r="F685" s="238"/>
      <c r="G685" s="221"/>
      <c r="H685" s="221"/>
      <c r="I685" s="221"/>
      <c r="J685" s="221"/>
      <c r="K685" s="221"/>
      <c r="L685" s="221"/>
      <c r="M685" s="221"/>
      <c r="N685" s="221"/>
      <c r="O685" s="221"/>
      <c r="P685" s="447" t="s">
        <v>4539</v>
      </c>
      <c r="Q685" s="200"/>
      <c r="R685" s="122"/>
      <c r="S685" s="290"/>
      <c r="T685" s="399" t="s">
        <v>4540</v>
      </c>
      <c r="U685" s="399" t="s">
        <v>3284</v>
      </c>
      <c r="AA685" s="12"/>
      <c r="AB685" s="12"/>
      <c r="AC685" s="808"/>
      <c r="AD685" s="407"/>
    </row>
    <row r="686" spans="6:30" ht="10.5" customHeight="1">
      <c r="F686" s="238"/>
      <c r="G686" s="221"/>
      <c r="H686" s="221"/>
      <c r="I686" s="221"/>
      <c r="J686" s="221"/>
      <c r="K686" s="221"/>
      <c r="L686" s="221"/>
      <c r="M686" s="221"/>
      <c r="N686" s="221"/>
      <c r="O686" s="221"/>
      <c r="P686" s="447" t="s">
        <v>4541</v>
      </c>
      <c r="Q686" s="200"/>
      <c r="R686" s="122"/>
      <c r="S686" s="290"/>
      <c r="T686" s="399" t="s">
        <v>4542</v>
      </c>
      <c r="U686" s="399" t="s">
        <v>3361</v>
      </c>
      <c r="AA686" s="12"/>
      <c r="AB686" s="12"/>
      <c r="AC686" s="808"/>
      <c r="AD686" s="407"/>
    </row>
    <row r="687" spans="6:30" ht="10.5" customHeight="1">
      <c r="F687" s="238"/>
      <c r="G687" s="221"/>
      <c r="H687" s="221"/>
      <c r="I687" s="221"/>
      <c r="J687" s="221"/>
      <c r="K687" s="221"/>
      <c r="L687" s="221"/>
      <c r="M687" s="221"/>
      <c r="N687" s="221"/>
      <c r="O687" s="221"/>
      <c r="P687" s="447" t="s">
        <v>4543</v>
      </c>
      <c r="Q687" s="200"/>
      <c r="R687" s="122"/>
      <c r="S687" s="290"/>
      <c r="T687" s="399" t="s">
        <v>3996</v>
      </c>
      <c r="U687" s="399" t="s">
        <v>287</v>
      </c>
      <c r="AA687" s="12"/>
      <c r="AB687" s="12"/>
      <c r="AC687" s="808"/>
      <c r="AD687" s="407"/>
    </row>
    <row r="688" spans="6:30" ht="10.5" customHeight="1">
      <c r="F688" s="238"/>
      <c r="G688" s="221"/>
      <c r="H688" s="221"/>
      <c r="I688" s="221"/>
      <c r="J688" s="221"/>
      <c r="K688" s="221"/>
      <c r="L688" s="221"/>
      <c r="M688" s="221"/>
      <c r="N688" s="221"/>
      <c r="O688" s="221"/>
      <c r="P688" s="447" t="s">
        <v>4544</v>
      </c>
      <c r="Q688" s="200"/>
      <c r="R688" s="122"/>
      <c r="S688" s="290"/>
      <c r="T688" s="399" t="s">
        <v>4545</v>
      </c>
      <c r="U688" s="399" t="s">
        <v>351</v>
      </c>
      <c r="AA688" s="12"/>
      <c r="AB688" s="12"/>
      <c r="AC688" s="808"/>
      <c r="AD688" s="407"/>
    </row>
    <row r="689" spans="6:30" ht="10.5" customHeight="1">
      <c r="F689" s="238"/>
      <c r="G689" s="221"/>
      <c r="H689" s="221"/>
      <c r="I689" s="221"/>
      <c r="J689" s="221"/>
      <c r="K689" s="221"/>
      <c r="L689" s="221"/>
      <c r="M689" s="221"/>
      <c r="N689" s="221"/>
      <c r="O689" s="221"/>
      <c r="P689" s="447" t="s">
        <v>4546</v>
      </c>
      <c r="Q689" s="200"/>
      <c r="R689" s="122"/>
      <c r="S689" s="290"/>
      <c r="T689" s="399" t="s">
        <v>4547</v>
      </c>
      <c r="U689" s="399" t="s">
        <v>3381</v>
      </c>
      <c r="AA689" s="12"/>
      <c r="AB689" s="12"/>
      <c r="AC689" s="808"/>
      <c r="AD689" s="407"/>
    </row>
    <row r="690" spans="6:30" ht="10.5" customHeight="1">
      <c r="F690" s="238"/>
      <c r="G690" s="221"/>
      <c r="H690" s="221"/>
      <c r="I690" s="221"/>
      <c r="J690" s="221"/>
      <c r="K690" s="221"/>
      <c r="L690" s="221"/>
      <c r="M690" s="221"/>
      <c r="N690" s="221"/>
      <c r="O690" s="221"/>
      <c r="P690" s="447" t="s">
        <v>4548</v>
      </c>
      <c r="Q690" s="200"/>
      <c r="R690" s="122"/>
      <c r="S690" s="290"/>
      <c r="T690" s="399" t="s">
        <v>3999</v>
      </c>
      <c r="U690" s="399" t="s">
        <v>279</v>
      </c>
      <c r="AA690" s="12"/>
      <c r="AB690" s="12"/>
      <c r="AC690" s="808"/>
      <c r="AD690" s="407"/>
    </row>
    <row r="691" spans="6:30" ht="10.5" customHeight="1">
      <c r="F691" s="238"/>
      <c r="G691" s="221"/>
      <c r="H691" s="221"/>
      <c r="I691" s="221"/>
      <c r="J691" s="221"/>
      <c r="K691" s="221"/>
      <c r="L691" s="221"/>
      <c r="M691" s="221"/>
      <c r="N691" s="221"/>
      <c r="O691" s="221"/>
      <c r="P691" s="447" t="s">
        <v>4549</v>
      </c>
      <c r="Q691" s="200"/>
      <c r="R691" s="122"/>
      <c r="S691" s="290"/>
      <c r="T691" s="399" t="s">
        <v>4001</v>
      </c>
      <c r="U691" s="399" t="s">
        <v>276</v>
      </c>
      <c r="AA691" s="12"/>
      <c r="AB691" s="12"/>
      <c r="AC691" s="808"/>
      <c r="AD691" s="407"/>
    </row>
    <row r="692" spans="6:30" ht="10.5" customHeight="1">
      <c r="F692" s="238"/>
      <c r="G692" s="221"/>
      <c r="H692" s="221"/>
      <c r="I692" s="221"/>
      <c r="J692" s="221"/>
      <c r="K692" s="221"/>
      <c r="L692" s="221"/>
      <c r="M692" s="221"/>
      <c r="N692" s="221"/>
      <c r="O692" s="221"/>
      <c r="P692" s="447" t="s">
        <v>4550</v>
      </c>
      <c r="Q692" s="200"/>
      <c r="R692" s="122"/>
      <c r="S692" s="290"/>
      <c r="T692" s="399" t="s">
        <v>4551</v>
      </c>
      <c r="U692" s="399" t="s">
        <v>3347</v>
      </c>
      <c r="AA692" s="12"/>
      <c r="AB692" s="12"/>
      <c r="AC692" s="808"/>
      <c r="AD692" s="407"/>
    </row>
    <row r="693" spans="6:30" ht="10.5" customHeight="1">
      <c r="F693" s="238"/>
      <c r="G693" s="221"/>
      <c r="H693" s="221"/>
      <c r="I693" s="221"/>
      <c r="J693" s="221"/>
      <c r="K693" s="221"/>
      <c r="L693" s="221"/>
      <c r="M693" s="221"/>
      <c r="N693" s="221"/>
      <c r="O693" s="221"/>
      <c r="P693" s="447" t="s">
        <v>4552</v>
      </c>
      <c r="Q693" s="200"/>
      <c r="R693" s="122"/>
      <c r="S693" s="290"/>
      <c r="T693" s="399" t="s">
        <v>4553</v>
      </c>
      <c r="U693" s="399" t="s">
        <v>3381</v>
      </c>
      <c r="AA693" s="12"/>
      <c r="AB693" s="12"/>
      <c r="AC693" s="808"/>
      <c r="AD693" s="407"/>
    </row>
    <row r="694" spans="6:30" ht="10.5" customHeight="1">
      <c r="F694" s="238"/>
      <c r="G694" s="221"/>
      <c r="H694" s="221"/>
      <c r="I694" s="221"/>
      <c r="J694" s="221"/>
      <c r="K694" s="221"/>
      <c r="L694" s="221"/>
      <c r="M694" s="221"/>
      <c r="N694" s="221"/>
      <c r="O694" s="221"/>
      <c r="P694" s="447" t="s">
        <v>4554</v>
      </c>
      <c r="Q694" s="1493"/>
      <c r="R694" s="1493"/>
      <c r="S694" s="1494"/>
      <c r="T694" s="399" t="s">
        <v>4004</v>
      </c>
      <c r="U694" s="399" t="s">
        <v>3235</v>
      </c>
      <c r="AA694" s="12"/>
      <c r="AB694" s="12"/>
      <c r="AC694" s="808"/>
      <c r="AD694" s="407"/>
    </row>
    <row r="695" spans="6:30" ht="10.5" customHeight="1">
      <c r="F695" s="238"/>
      <c r="G695" s="221"/>
      <c r="H695" s="221"/>
      <c r="I695" s="221"/>
      <c r="J695" s="221"/>
      <c r="K695" s="221"/>
      <c r="L695" s="221"/>
      <c r="M695" s="221"/>
      <c r="N695" s="221"/>
      <c r="O695" s="221"/>
      <c r="P695" s="1495"/>
      <c r="Q695" s="451"/>
      <c r="R695" s="120"/>
      <c r="S695" s="221"/>
      <c r="T695" s="399" t="s">
        <v>4555</v>
      </c>
      <c r="U695" s="399" t="s">
        <v>3914</v>
      </c>
      <c r="AA695" s="12"/>
      <c r="AB695" s="12"/>
      <c r="AC695" s="808"/>
      <c r="AD695" s="407"/>
    </row>
    <row r="696" spans="6:30" ht="10.5" customHeight="1">
      <c r="F696" s="238"/>
      <c r="G696" s="221"/>
      <c r="H696" s="221"/>
      <c r="I696" s="221"/>
      <c r="J696" s="221"/>
      <c r="K696" s="221"/>
      <c r="L696" s="221"/>
      <c r="M696" s="221"/>
      <c r="N696" s="221"/>
      <c r="O696" s="221"/>
      <c r="P696" s="450"/>
      <c r="Q696" s="221"/>
      <c r="R696" s="221"/>
      <c r="S696" s="221"/>
      <c r="T696" s="399" t="s">
        <v>4556</v>
      </c>
      <c r="U696" s="399" t="s">
        <v>294</v>
      </c>
      <c r="AA696" s="12"/>
      <c r="AB696" s="12"/>
      <c r="AC696" s="808"/>
      <c r="AD696" s="407"/>
    </row>
    <row r="697" spans="6:30" ht="10.5" customHeight="1">
      <c r="F697" s="238"/>
      <c r="G697" s="221"/>
      <c r="H697" s="221"/>
      <c r="I697" s="221"/>
      <c r="J697" s="221"/>
      <c r="K697" s="451"/>
      <c r="L697" s="120"/>
      <c r="M697" s="221"/>
      <c r="N697" s="221"/>
      <c r="O697" s="221"/>
      <c r="P697" s="221"/>
      <c r="Q697" s="221"/>
      <c r="R697" s="221"/>
      <c r="S697" s="221"/>
      <c r="T697" s="399" t="s">
        <v>358</v>
      </c>
      <c r="U697" s="399" t="s">
        <v>309</v>
      </c>
      <c r="AA697" s="12"/>
      <c r="AB697" s="12"/>
      <c r="AC697" s="808"/>
      <c r="AD697" s="407"/>
    </row>
    <row r="698" spans="6:30" ht="10.5" customHeight="1">
      <c r="F698" s="238"/>
      <c r="G698" s="221"/>
      <c r="H698" s="221"/>
      <c r="I698" s="221"/>
      <c r="J698" s="450"/>
      <c r="K698" s="451"/>
      <c r="L698" s="120"/>
      <c r="M698" s="221"/>
      <c r="N698" s="221"/>
      <c r="O698" s="221"/>
      <c r="P698" s="221"/>
      <c r="Q698" s="221"/>
      <c r="R698" s="221"/>
      <c r="S698" s="221"/>
      <c r="T698" s="399" t="s">
        <v>359</v>
      </c>
      <c r="U698" s="399" t="s">
        <v>311</v>
      </c>
      <c r="AA698" s="12"/>
      <c r="AB698" s="12"/>
      <c r="AC698" s="808"/>
      <c r="AD698" s="407"/>
    </row>
    <row r="699" spans="6:30" ht="10.5" customHeight="1">
      <c r="F699" s="238"/>
      <c r="G699" s="221"/>
      <c r="H699" s="221"/>
      <c r="I699" s="221"/>
      <c r="J699" s="450"/>
      <c r="K699" s="451"/>
      <c r="L699" s="120"/>
      <c r="M699" s="221"/>
      <c r="N699" s="221"/>
      <c r="O699" s="221"/>
      <c r="P699" s="221"/>
      <c r="Q699" s="221"/>
      <c r="R699" s="221"/>
      <c r="S699" s="221"/>
      <c r="T699" s="194" t="s">
        <v>4557</v>
      </c>
      <c r="U699" s="194" t="s">
        <v>3064</v>
      </c>
      <c r="AA699" s="12"/>
      <c r="AB699" s="12"/>
      <c r="AC699" s="808"/>
      <c r="AD699" s="407"/>
    </row>
    <row r="700" spans="6:30" ht="10.5" customHeight="1">
      <c r="F700" s="238"/>
      <c r="G700" s="221"/>
      <c r="H700" s="221"/>
      <c r="I700" s="221"/>
      <c r="J700" s="450"/>
      <c r="K700" s="451"/>
      <c r="L700" s="120"/>
      <c r="M700" s="221"/>
      <c r="N700" s="221"/>
      <c r="O700" s="221"/>
      <c r="P700" s="221"/>
      <c r="Q700" s="221"/>
      <c r="R700" s="221"/>
      <c r="S700" s="221"/>
      <c r="T700" s="399" t="s">
        <v>4558</v>
      </c>
      <c r="U700" s="399" t="s">
        <v>3347</v>
      </c>
      <c r="AA700" s="12"/>
      <c r="AB700" s="12"/>
      <c r="AC700" s="407"/>
      <c r="AD700" s="407"/>
    </row>
    <row r="701" spans="6:30" ht="10.5" customHeight="1">
      <c r="F701" s="238"/>
      <c r="G701" s="221"/>
      <c r="H701" s="221"/>
      <c r="I701" s="221"/>
      <c r="J701" s="450"/>
      <c r="K701" s="451"/>
      <c r="L701" s="120"/>
      <c r="M701" s="221"/>
      <c r="N701" s="221"/>
      <c r="O701" s="221"/>
      <c r="P701" s="221"/>
      <c r="Q701" s="221"/>
      <c r="R701" s="221"/>
      <c r="S701" s="221"/>
      <c r="T701" s="399" t="s">
        <v>4007</v>
      </c>
      <c r="U701" s="399" t="s">
        <v>3381</v>
      </c>
      <c r="AA701" s="12"/>
      <c r="AB701" s="12"/>
      <c r="AC701" s="808"/>
      <c r="AD701" s="407"/>
    </row>
    <row r="702" spans="6:30" ht="10.5" customHeight="1">
      <c r="F702" s="238"/>
      <c r="G702" s="221"/>
      <c r="H702" s="221"/>
      <c r="I702" s="221"/>
      <c r="J702" s="450"/>
      <c r="K702" s="451"/>
      <c r="L702" s="120"/>
      <c r="M702" s="221"/>
      <c r="N702" s="221"/>
      <c r="O702" s="221"/>
      <c r="P702" s="221"/>
      <c r="Q702" s="221"/>
      <c r="R702" s="221"/>
      <c r="S702" s="221"/>
      <c r="T702" s="399" t="s">
        <v>4559</v>
      </c>
      <c r="U702" s="399" t="s">
        <v>3239</v>
      </c>
      <c r="AA702" s="12"/>
      <c r="AB702" s="12"/>
      <c r="AC702" s="808"/>
      <c r="AD702" s="407"/>
    </row>
    <row r="703" spans="6:30" ht="10.5" customHeight="1">
      <c r="F703" s="238"/>
      <c r="G703" s="221"/>
      <c r="H703" s="221"/>
      <c r="I703" s="221"/>
      <c r="J703" s="450"/>
      <c r="K703" s="451"/>
      <c r="L703" s="120"/>
      <c r="M703" s="221"/>
      <c r="N703" s="221"/>
      <c r="O703" s="221"/>
      <c r="P703" s="221"/>
      <c r="Q703" s="221"/>
      <c r="R703" s="221"/>
      <c r="S703" s="221"/>
      <c r="T703" s="399" t="s">
        <v>4010</v>
      </c>
      <c r="U703" s="399" t="s">
        <v>3756</v>
      </c>
      <c r="AA703" s="12"/>
      <c r="AB703" s="12"/>
      <c r="AC703" s="808"/>
      <c r="AD703" s="407"/>
    </row>
    <row r="704" spans="6:30" ht="10.5" customHeight="1">
      <c r="F704" s="238"/>
      <c r="G704" s="221"/>
      <c r="H704" s="221"/>
      <c r="I704" s="221"/>
      <c r="J704" s="450"/>
      <c r="K704" s="451"/>
      <c r="L704" s="120"/>
      <c r="M704" s="221"/>
      <c r="N704" s="221"/>
      <c r="O704" s="221"/>
      <c r="P704" s="221"/>
      <c r="Q704" s="221"/>
      <c r="R704" s="221"/>
      <c r="S704" s="221"/>
      <c r="T704" s="399" t="s">
        <v>2271</v>
      </c>
      <c r="U704" s="399" t="s">
        <v>3914</v>
      </c>
      <c r="AA704" s="12"/>
      <c r="AB704" s="12"/>
      <c r="AC704" s="808"/>
      <c r="AD704" s="407"/>
    </row>
    <row r="705" spans="6:30" ht="10.5" customHeight="1">
      <c r="F705" s="238"/>
      <c r="G705" s="221"/>
      <c r="H705" s="221"/>
      <c r="I705" s="221"/>
      <c r="J705" s="450"/>
      <c r="K705" s="451"/>
      <c r="L705" s="120"/>
      <c r="M705" s="221"/>
      <c r="N705" s="221"/>
      <c r="O705" s="221"/>
      <c r="P705" s="221"/>
      <c r="Q705" s="221"/>
      <c r="R705" s="221"/>
      <c r="S705" s="221"/>
      <c r="T705" s="399" t="s">
        <v>4560</v>
      </c>
      <c r="U705" s="399" t="s">
        <v>318</v>
      </c>
      <c r="AA705" s="12"/>
      <c r="AB705" s="12"/>
      <c r="AC705" s="808"/>
      <c r="AD705" s="407"/>
    </row>
    <row r="706" spans="6:30" ht="10.5" customHeight="1">
      <c r="F706" s="238"/>
      <c r="G706" s="221"/>
      <c r="H706" s="221"/>
      <c r="I706" s="221"/>
      <c r="J706" s="450"/>
      <c r="K706" s="451"/>
      <c r="L706" s="120"/>
      <c r="M706" s="221"/>
      <c r="N706" s="221"/>
      <c r="O706" s="221"/>
      <c r="P706" s="221"/>
      <c r="Q706" s="221"/>
      <c r="R706" s="221"/>
      <c r="S706" s="221"/>
      <c r="T706" s="399" t="s">
        <v>4015</v>
      </c>
      <c r="U706" s="399" t="s">
        <v>3790</v>
      </c>
      <c r="AA706" s="12"/>
      <c r="AB706" s="12"/>
      <c r="AC706" s="808"/>
      <c r="AD706" s="407"/>
    </row>
    <row r="707" spans="6:30" ht="10.5" customHeight="1">
      <c r="F707" s="238"/>
      <c r="G707" s="221"/>
      <c r="H707" s="221"/>
      <c r="I707" s="221"/>
      <c r="J707" s="450"/>
      <c r="K707" s="451"/>
      <c r="L707" s="120"/>
      <c r="M707" s="221"/>
      <c r="N707" s="221"/>
      <c r="O707" s="221"/>
      <c r="P707" s="221"/>
      <c r="Q707" s="221"/>
      <c r="R707" s="221"/>
      <c r="S707" s="221"/>
      <c r="T707" s="399" t="s">
        <v>4561</v>
      </c>
      <c r="U707" s="399" t="s">
        <v>3700</v>
      </c>
      <c r="AA707" s="12"/>
      <c r="AB707" s="12"/>
      <c r="AC707" s="808"/>
      <c r="AD707" s="407"/>
    </row>
    <row r="708" spans="6:30" ht="10.5" customHeight="1">
      <c r="F708" s="238"/>
      <c r="G708" s="221"/>
      <c r="H708" s="221"/>
      <c r="I708" s="221"/>
      <c r="J708" s="450"/>
      <c r="K708" s="451"/>
      <c r="L708" s="120"/>
      <c r="M708" s="221"/>
      <c r="N708" s="221"/>
      <c r="O708" s="221"/>
      <c r="P708" s="221"/>
      <c r="Q708" s="221"/>
      <c r="R708" s="221"/>
      <c r="S708" s="221"/>
      <c r="T708" s="399" t="s">
        <v>4562</v>
      </c>
      <c r="U708" s="399" t="s">
        <v>3481</v>
      </c>
      <c r="AA708" s="12"/>
      <c r="AB708" s="12"/>
      <c r="AC708" s="808"/>
      <c r="AD708" s="407"/>
    </row>
    <row r="709" spans="6:30" ht="10.5" customHeight="1">
      <c r="F709" s="238"/>
      <c r="G709" s="221"/>
      <c r="H709" s="221"/>
      <c r="I709" s="221"/>
      <c r="J709" s="450"/>
      <c r="K709" s="451"/>
      <c r="L709" s="120"/>
      <c r="M709" s="221"/>
      <c r="N709" s="221"/>
      <c r="O709" s="221"/>
      <c r="P709" s="221"/>
      <c r="Q709" s="221"/>
      <c r="R709" s="221"/>
      <c r="S709" s="221"/>
      <c r="T709" s="194" t="s">
        <v>4563</v>
      </c>
      <c r="U709" s="194" t="s">
        <v>344</v>
      </c>
      <c r="AA709" s="12"/>
      <c r="AB709" s="12"/>
      <c r="AC709" s="808"/>
      <c r="AD709" s="407"/>
    </row>
    <row r="710" spans="6:30" ht="10.5" customHeight="1">
      <c r="F710" s="238"/>
      <c r="G710" s="221"/>
      <c r="H710" s="221"/>
      <c r="I710" s="221"/>
      <c r="J710" s="450"/>
      <c r="K710" s="451"/>
      <c r="L710" s="120"/>
      <c r="M710" s="221"/>
      <c r="N710" s="221"/>
      <c r="O710" s="221"/>
      <c r="P710" s="221"/>
      <c r="Q710" s="221"/>
      <c r="R710" s="221"/>
      <c r="S710" s="221"/>
      <c r="T710" s="399" t="s">
        <v>4564</v>
      </c>
      <c r="U710" s="399" t="s">
        <v>3213</v>
      </c>
      <c r="AA710" s="12"/>
      <c r="AB710" s="12"/>
      <c r="AC710" s="407"/>
      <c r="AD710" s="407"/>
    </row>
    <row r="711" spans="6:30" ht="10.5" customHeight="1">
      <c r="F711" s="238"/>
      <c r="G711" s="221"/>
      <c r="H711" s="221"/>
      <c r="I711" s="221"/>
      <c r="J711" s="450"/>
      <c r="K711" s="451"/>
      <c r="L711" s="120"/>
      <c r="M711" s="221"/>
      <c r="N711" s="221"/>
      <c r="O711" s="221"/>
      <c r="P711" s="221"/>
      <c r="Q711" s="221"/>
      <c r="R711" s="221"/>
      <c r="S711" s="221"/>
      <c r="T711" s="399" t="s">
        <v>4565</v>
      </c>
      <c r="U711" s="399" t="s">
        <v>330</v>
      </c>
      <c r="AA711" s="12"/>
      <c r="AB711" s="12"/>
      <c r="AC711" s="808"/>
      <c r="AD711" s="407"/>
    </row>
    <row r="712" spans="6:30" ht="10.5" customHeight="1">
      <c r="F712" s="238"/>
      <c r="G712" s="221"/>
      <c r="H712" s="221"/>
      <c r="I712" s="221"/>
      <c r="J712" s="450"/>
      <c r="K712" s="451"/>
      <c r="L712" s="120"/>
      <c r="M712" s="221"/>
      <c r="N712" s="221"/>
      <c r="O712" s="221"/>
      <c r="P712" s="221"/>
      <c r="Q712" s="221"/>
      <c r="R712" s="221"/>
      <c r="S712" s="221"/>
      <c r="T712" s="399" t="s">
        <v>4566</v>
      </c>
      <c r="U712" s="399" t="s">
        <v>309</v>
      </c>
      <c r="AA712" s="12"/>
      <c r="AB712" s="12"/>
      <c r="AC712" s="808"/>
      <c r="AD712" s="407"/>
    </row>
    <row r="713" spans="6:30" ht="10.5" customHeight="1">
      <c r="F713" s="238"/>
      <c r="G713" s="221"/>
      <c r="H713" s="221"/>
      <c r="I713" s="221"/>
      <c r="J713" s="450"/>
      <c r="K713" s="451"/>
      <c r="L713" s="120"/>
      <c r="M713" s="221"/>
      <c r="N713" s="221"/>
      <c r="O713" s="221"/>
      <c r="P713" s="221"/>
      <c r="Q713" s="221"/>
      <c r="R713" s="221"/>
      <c r="S713" s="221"/>
      <c r="T713" s="399" t="s">
        <v>4567</v>
      </c>
      <c r="U713" s="399" t="s">
        <v>3087</v>
      </c>
      <c r="AA713" s="12"/>
      <c r="AB713" s="12"/>
      <c r="AC713" s="808"/>
      <c r="AD713" s="407"/>
    </row>
    <row r="714" spans="6:30" ht="10.5" customHeight="1">
      <c r="F714" s="238"/>
      <c r="G714" s="221"/>
      <c r="H714" s="221"/>
      <c r="I714" s="221"/>
      <c r="J714" s="450"/>
      <c r="K714" s="451"/>
      <c r="L714" s="120"/>
      <c r="M714" s="221"/>
      <c r="N714" s="221"/>
      <c r="O714" s="221"/>
      <c r="P714" s="221"/>
      <c r="Q714" s="221"/>
      <c r="R714" s="221"/>
      <c r="S714" s="221"/>
      <c r="T714" s="399" t="s">
        <v>4568</v>
      </c>
      <c r="U714" s="399" t="s">
        <v>3203</v>
      </c>
      <c r="AA714" s="12"/>
      <c r="AB714" s="12"/>
      <c r="AC714" s="808"/>
      <c r="AD714" s="407"/>
    </row>
    <row r="715" spans="6:30" ht="10.5" customHeight="1">
      <c r="F715" s="238"/>
      <c r="G715" s="221"/>
      <c r="H715" s="221"/>
      <c r="I715" s="221"/>
      <c r="J715" s="450"/>
      <c r="K715" s="451"/>
      <c r="L715" s="120"/>
      <c r="M715" s="221"/>
      <c r="N715" s="221"/>
      <c r="O715" s="221"/>
      <c r="P715" s="221"/>
      <c r="Q715" s="221"/>
      <c r="R715" s="221"/>
      <c r="S715" s="221"/>
      <c r="T715" s="399" t="s">
        <v>4018</v>
      </c>
      <c r="U715" s="399" t="s">
        <v>3875</v>
      </c>
      <c r="AA715" s="12"/>
      <c r="AB715" s="12"/>
      <c r="AC715" s="808"/>
      <c r="AD715" s="407"/>
    </row>
    <row r="716" spans="6:30" ht="10.5" customHeight="1">
      <c r="F716" s="238"/>
      <c r="G716" s="221"/>
      <c r="H716" s="221"/>
      <c r="I716" s="221"/>
      <c r="J716" s="450"/>
      <c r="K716" s="451"/>
      <c r="L716" s="120"/>
      <c r="M716" s="221"/>
      <c r="N716" s="221"/>
      <c r="O716" s="221"/>
      <c r="P716" s="221"/>
      <c r="Q716" s="221"/>
      <c r="R716" s="221"/>
      <c r="S716" s="221"/>
      <c r="T716" s="399" t="s">
        <v>4569</v>
      </c>
      <c r="U716" s="399" t="s">
        <v>311</v>
      </c>
      <c r="AA716" s="12"/>
      <c r="AB716" s="12"/>
      <c r="AC716" s="808"/>
      <c r="AD716" s="407"/>
    </row>
    <row r="717" spans="6:30" ht="10.5" customHeight="1">
      <c r="F717" s="238"/>
      <c r="G717" s="221"/>
      <c r="H717" s="221"/>
      <c r="I717" s="221"/>
      <c r="J717" s="450"/>
      <c r="K717" s="451"/>
      <c r="L717" s="120"/>
      <c r="M717" s="221"/>
      <c r="N717" s="221"/>
      <c r="O717" s="221"/>
      <c r="P717" s="221"/>
      <c r="Q717" s="221"/>
      <c r="R717" s="221"/>
      <c r="S717" s="221"/>
      <c r="T717" s="399" t="s">
        <v>4021</v>
      </c>
      <c r="U717" s="399" t="s">
        <v>311</v>
      </c>
      <c r="AA717" s="12"/>
      <c r="AB717" s="12"/>
      <c r="AC717" s="808"/>
      <c r="AD717" s="407"/>
    </row>
    <row r="718" spans="6:30" ht="10.5" customHeight="1">
      <c r="F718" s="238"/>
      <c r="G718" s="221"/>
      <c r="H718" s="221"/>
      <c r="I718" s="221"/>
      <c r="J718" s="450"/>
      <c r="K718" s="451"/>
      <c r="L718" s="120"/>
      <c r="M718" s="221"/>
      <c r="N718" s="221"/>
      <c r="O718" s="221"/>
      <c r="P718" s="221"/>
      <c r="Q718" s="221"/>
      <c r="R718" s="221"/>
      <c r="S718" s="221"/>
      <c r="T718" s="194" t="s">
        <v>2272</v>
      </c>
      <c r="U718" s="194" t="s">
        <v>3322</v>
      </c>
      <c r="AA718" s="12"/>
      <c r="AB718" s="12"/>
      <c r="AC718" s="808"/>
      <c r="AD718" s="407"/>
    </row>
    <row r="719" spans="6:30" ht="10.5" customHeight="1">
      <c r="F719" s="238"/>
      <c r="G719" s="221"/>
      <c r="H719" s="221"/>
      <c r="I719" s="221"/>
      <c r="J719" s="450"/>
      <c r="K719" s="451"/>
      <c r="L719" s="120"/>
      <c r="M719" s="221"/>
      <c r="N719" s="221"/>
      <c r="O719" s="221"/>
      <c r="P719" s="221"/>
      <c r="Q719" s="221"/>
      <c r="R719" s="221"/>
      <c r="S719" s="221"/>
      <c r="T719" s="399" t="s">
        <v>4024</v>
      </c>
      <c r="U719" s="399" t="s">
        <v>3626</v>
      </c>
      <c r="AA719" s="12"/>
      <c r="AB719" s="12"/>
      <c r="AC719" s="407"/>
      <c r="AD719" s="407"/>
    </row>
    <row r="720" spans="6:30" ht="10.5" customHeight="1">
      <c r="F720" s="238"/>
      <c r="G720" s="221"/>
      <c r="H720" s="221"/>
      <c r="I720" s="221"/>
      <c r="J720" s="450"/>
      <c r="K720" s="451"/>
      <c r="L720" s="120"/>
      <c r="M720" s="221"/>
      <c r="N720" s="221"/>
      <c r="O720" s="221"/>
      <c r="P720" s="221"/>
      <c r="Q720" s="221"/>
      <c r="R720" s="221"/>
      <c r="S720" s="221"/>
      <c r="T720" s="399" t="s">
        <v>4570</v>
      </c>
      <c r="U720" s="399" t="s">
        <v>318</v>
      </c>
      <c r="AA720" s="12"/>
      <c r="AB720" s="12"/>
      <c r="AC720" s="808"/>
      <c r="AD720" s="407"/>
    </row>
    <row r="721" spans="6:30" ht="10.5" customHeight="1">
      <c r="F721" s="238"/>
      <c r="G721" s="221"/>
      <c r="H721" s="221"/>
      <c r="I721" s="221"/>
      <c r="J721" s="450"/>
      <c r="K721" s="451"/>
      <c r="L721" s="120"/>
      <c r="M721" s="221"/>
      <c r="N721" s="221"/>
      <c r="O721" s="221"/>
      <c r="P721" s="221"/>
      <c r="Q721" s="221"/>
      <c r="R721" s="221"/>
      <c r="S721" s="221"/>
      <c r="T721" s="399" t="s">
        <v>2274</v>
      </c>
      <c r="U721" s="399" t="s">
        <v>340</v>
      </c>
      <c r="AA721" s="12"/>
      <c r="AB721" s="12"/>
      <c r="AC721" s="808"/>
      <c r="AD721" s="407"/>
    </row>
    <row r="722" spans="6:30" ht="10.5" customHeight="1">
      <c r="F722" s="238"/>
      <c r="G722" s="221"/>
      <c r="H722" s="221"/>
      <c r="I722" s="221"/>
      <c r="J722" s="450"/>
      <c r="K722" s="451"/>
      <c r="L722" s="120"/>
      <c r="M722" s="221"/>
      <c r="N722" s="221"/>
      <c r="O722" s="221"/>
      <c r="P722" s="221"/>
      <c r="Q722" s="221"/>
      <c r="R722" s="221"/>
      <c r="S722" s="221"/>
      <c r="T722" s="399" t="s">
        <v>4571</v>
      </c>
      <c r="U722" s="399" t="s">
        <v>3726</v>
      </c>
      <c r="AA722" s="12"/>
      <c r="AB722" s="12"/>
      <c r="AC722" s="808"/>
      <c r="AD722" s="407"/>
    </row>
    <row r="723" spans="6:30" ht="10.5" customHeight="1">
      <c r="F723" s="238"/>
      <c r="G723" s="221"/>
      <c r="H723" s="221"/>
      <c r="I723" s="221"/>
      <c r="J723" s="450"/>
      <c r="K723" s="451"/>
      <c r="L723" s="120"/>
      <c r="M723" s="221"/>
      <c r="N723" s="221"/>
      <c r="O723" s="221"/>
      <c r="P723" s="221"/>
      <c r="Q723" s="221"/>
      <c r="R723" s="221"/>
      <c r="S723" s="221"/>
      <c r="T723" s="399" t="s">
        <v>4572</v>
      </c>
      <c r="U723" s="399" t="s">
        <v>3905</v>
      </c>
      <c r="AA723" s="12"/>
      <c r="AB723" s="12"/>
      <c r="AC723" s="808"/>
      <c r="AD723" s="407"/>
    </row>
    <row r="724" spans="6:30" ht="10.5" customHeight="1">
      <c r="F724" s="238"/>
      <c r="G724" s="221"/>
      <c r="H724" s="221"/>
      <c r="I724" s="221"/>
      <c r="J724" s="450"/>
      <c r="K724" s="451"/>
      <c r="L724" s="120"/>
      <c r="M724" s="221"/>
      <c r="N724" s="221"/>
      <c r="O724" s="221"/>
      <c r="P724" s="221"/>
      <c r="Q724" s="221"/>
      <c r="R724" s="221"/>
      <c r="S724" s="221"/>
      <c r="T724" s="399" t="s">
        <v>2277</v>
      </c>
      <c r="U724" s="399" t="s">
        <v>3278</v>
      </c>
      <c r="AA724" s="12"/>
      <c r="AB724" s="12"/>
      <c r="AC724" s="808"/>
      <c r="AD724" s="407"/>
    </row>
    <row r="725" spans="6:30" ht="10.5" customHeight="1">
      <c r="F725" s="238"/>
      <c r="G725" s="221"/>
      <c r="H725" s="221"/>
      <c r="I725" s="221"/>
      <c r="J725" s="450"/>
      <c r="K725" s="451"/>
      <c r="L725" s="120"/>
      <c r="M725" s="221"/>
      <c r="N725" s="221"/>
      <c r="O725" s="221"/>
      <c r="P725" s="221"/>
      <c r="Q725" s="221"/>
      <c r="R725" s="221"/>
      <c r="S725" s="221"/>
      <c r="T725" s="399" t="s">
        <v>4573</v>
      </c>
      <c r="U725" s="399" t="s">
        <v>3148</v>
      </c>
      <c r="AA725" s="12"/>
      <c r="AB725" s="12"/>
      <c r="AC725" s="808"/>
      <c r="AD725" s="407"/>
    </row>
    <row r="726" spans="6:30" ht="10.5" customHeight="1">
      <c r="F726" s="238"/>
      <c r="G726" s="221"/>
      <c r="H726" s="221"/>
      <c r="I726" s="221"/>
      <c r="J726" s="450"/>
      <c r="K726" s="451"/>
      <c r="L726" s="120"/>
      <c r="M726" s="221"/>
      <c r="N726" s="221"/>
      <c r="O726" s="221"/>
      <c r="P726" s="221"/>
      <c r="Q726" s="221"/>
      <c r="R726" s="221"/>
      <c r="S726" s="221"/>
      <c r="T726" s="399" t="s">
        <v>4029</v>
      </c>
      <c r="U726" s="399" t="s">
        <v>3309</v>
      </c>
      <c r="AA726" s="12"/>
      <c r="AB726" s="12"/>
      <c r="AC726" s="808"/>
      <c r="AD726" s="407"/>
    </row>
    <row r="727" spans="6:30" ht="10.5" customHeight="1">
      <c r="F727" s="238"/>
      <c r="G727" s="221"/>
      <c r="H727" s="221"/>
      <c r="I727" s="221"/>
      <c r="J727" s="450"/>
      <c r="K727" s="451"/>
      <c r="L727" s="120"/>
      <c r="M727" s="221"/>
      <c r="N727" s="221"/>
      <c r="O727" s="221"/>
      <c r="P727" s="221"/>
      <c r="Q727" s="221"/>
      <c r="R727" s="221"/>
      <c r="S727" s="221"/>
      <c r="T727" s="399" t="s">
        <v>2275</v>
      </c>
      <c r="U727" s="399" t="s">
        <v>3235</v>
      </c>
      <c r="AA727" s="12"/>
      <c r="AB727" s="12"/>
      <c r="AC727" s="808"/>
      <c r="AD727" s="407"/>
    </row>
    <row r="728" spans="6:30" ht="10.5" customHeight="1">
      <c r="F728" s="238"/>
      <c r="G728" s="221"/>
      <c r="H728" s="221"/>
      <c r="I728" s="221"/>
      <c r="J728" s="450"/>
      <c r="K728" s="451"/>
      <c r="L728" s="120"/>
      <c r="M728" s="221"/>
      <c r="N728" s="221"/>
      <c r="O728" s="221"/>
      <c r="P728" s="221"/>
      <c r="Q728" s="221"/>
      <c r="R728" s="221"/>
      <c r="S728" s="221"/>
      <c r="T728" s="399" t="s">
        <v>360</v>
      </c>
      <c r="U728" s="399" t="s">
        <v>276</v>
      </c>
      <c r="AA728" s="12"/>
      <c r="AB728" s="12"/>
      <c r="AC728" s="808"/>
      <c r="AD728" s="407"/>
    </row>
    <row r="729" spans="6:30" ht="10.5" customHeight="1">
      <c r="F729" s="238"/>
      <c r="G729" s="221"/>
      <c r="H729" s="221"/>
      <c r="I729" s="221"/>
      <c r="J729" s="450"/>
      <c r="K729" s="451"/>
      <c r="L729" s="120"/>
      <c r="M729" s="221"/>
      <c r="N729" s="221"/>
      <c r="O729" s="221"/>
      <c r="P729" s="221"/>
      <c r="Q729" s="221"/>
      <c r="R729" s="221"/>
      <c r="S729" s="221"/>
      <c r="T729" s="399" t="s">
        <v>4574</v>
      </c>
      <c r="U729" s="399" t="s">
        <v>3754</v>
      </c>
      <c r="AA729" s="12"/>
      <c r="AB729" s="12"/>
      <c r="AC729" s="808"/>
      <c r="AD729" s="407"/>
    </row>
    <row r="730" spans="6:30" ht="10.5" customHeight="1">
      <c r="F730" s="238"/>
      <c r="G730" s="221"/>
      <c r="H730" s="221"/>
      <c r="I730" s="221"/>
      <c r="J730" s="450"/>
      <c r="K730" s="451"/>
      <c r="L730" s="120"/>
      <c r="M730" s="221"/>
      <c r="N730" s="221"/>
      <c r="O730" s="221"/>
      <c r="P730" s="221"/>
      <c r="Q730" s="221"/>
      <c r="R730" s="221"/>
      <c r="S730" s="221"/>
      <c r="T730" s="399" t="s">
        <v>4575</v>
      </c>
      <c r="U730" s="399" t="s">
        <v>296</v>
      </c>
      <c r="AA730" s="12"/>
      <c r="AB730" s="12"/>
      <c r="AC730" s="808"/>
      <c r="AD730" s="407"/>
    </row>
    <row r="731" spans="6:30" ht="10.5" customHeight="1">
      <c r="F731" s="238"/>
      <c r="G731" s="221"/>
      <c r="H731" s="221"/>
      <c r="I731" s="221"/>
      <c r="J731" s="450"/>
      <c r="K731" s="451"/>
      <c r="L731" s="120"/>
      <c r="M731" s="221"/>
      <c r="N731" s="221"/>
      <c r="O731" s="221"/>
      <c r="P731" s="221"/>
      <c r="Q731" s="221"/>
      <c r="R731" s="221"/>
      <c r="S731" s="221"/>
      <c r="T731" s="399" t="s">
        <v>4576</v>
      </c>
      <c r="U731" s="399" t="s">
        <v>3381</v>
      </c>
      <c r="AA731" s="12"/>
      <c r="AB731" s="12"/>
      <c r="AC731" s="808"/>
      <c r="AD731" s="407"/>
    </row>
    <row r="732" spans="6:30" ht="10.5" customHeight="1">
      <c r="F732" s="238"/>
      <c r="G732" s="221"/>
      <c r="H732" s="221"/>
      <c r="I732" s="221"/>
      <c r="J732" s="450"/>
      <c r="K732" s="451"/>
      <c r="L732" s="120"/>
      <c r="M732" s="221"/>
      <c r="N732" s="221"/>
      <c r="O732" s="221"/>
      <c r="P732" s="221"/>
      <c r="Q732" s="221"/>
      <c r="R732" s="221"/>
      <c r="S732" s="221"/>
      <c r="T732" s="399" t="s">
        <v>4577</v>
      </c>
      <c r="U732" s="399" t="s">
        <v>340</v>
      </c>
      <c r="AA732" s="12"/>
      <c r="AB732" s="12"/>
      <c r="AC732" s="808"/>
      <c r="AD732" s="407"/>
    </row>
    <row r="733" spans="6:30" ht="10.5" customHeight="1">
      <c r="F733" s="238"/>
      <c r="G733" s="221"/>
      <c r="H733" s="221"/>
      <c r="I733" s="221"/>
      <c r="J733" s="450"/>
      <c r="K733" s="451"/>
      <c r="L733" s="120"/>
      <c r="M733" s="221"/>
      <c r="N733" s="221"/>
      <c r="O733" s="221"/>
      <c r="P733" s="221"/>
      <c r="Q733" s="221"/>
      <c r="R733" s="221"/>
      <c r="S733" s="221"/>
      <c r="T733" s="399" t="s">
        <v>4578</v>
      </c>
      <c r="U733" s="399" t="s">
        <v>318</v>
      </c>
      <c r="AA733" s="12"/>
      <c r="AB733" s="12"/>
      <c r="AC733" s="808"/>
      <c r="AD733" s="407"/>
    </row>
    <row r="734" spans="6:30" ht="10.5" customHeight="1">
      <c r="F734" s="238"/>
      <c r="G734" s="221"/>
      <c r="H734" s="221"/>
      <c r="I734" s="221"/>
      <c r="J734" s="450"/>
      <c r="K734" s="451"/>
      <c r="L734" s="120"/>
      <c r="M734" s="221"/>
      <c r="N734" s="221"/>
      <c r="O734" s="221"/>
      <c r="P734" s="221"/>
      <c r="Q734" s="221"/>
      <c r="R734" s="221"/>
      <c r="S734" s="221"/>
      <c r="T734" s="399" t="s">
        <v>4579</v>
      </c>
      <c r="U734" s="399" t="s">
        <v>3398</v>
      </c>
      <c r="AA734" s="12"/>
      <c r="AB734" s="12"/>
      <c r="AC734" s="808"/>
      <c r="AD734" s="407"/>
    </row>
    <row r="735" spans="6:30" ht="10.5" customHeight="1">
      <c r="F735" s="238"/>
      <c r="G735" s="221"/>
      <c r="H735" s="221"/>
      <c r="I735" s="221"/>
      <c r="J735" s="450"/>
      <c r="K735" s="451"/>
      <c r="L735" s="120"/>
      <c r="M735" s="221"/>
      <c r="N735" s="221"/>
      <c r="O735" s="221"/>
      <c r="P735" s="221"/>
      <c r="Q735" s="221"/>
      <c r="R735" s="221"/>
      <c r="S735" s="221"/>
      <c r="T735" s="399" t="s">
        <v>4580</v>
      </c>
      <c r="U735" s="399" t="s">
        <v>3338</v>
      </c>
      <c r="AA735" s="12"/>
      <c r="AB735" s="12"/>
      <c r="AC735" s="808"/>
      <c r="AD735" s="407"/>
    </row>
    <row r="736" spans="6:30" ht="10.5" customHeight="1">
      <c r="F736" s="238"/>
      <c r="G736" s="221"/>
      <c r="H736" s="221"/>
      <c r="I736" s="221"/>
      <c r="J736" s="450"/>
      <c r="K736" s="451"/>
      <c r="L736" s="120"/>
      <c r="M736" s="221"/>
      <c r="N736" s="221"/>
      <c r="O736" s="221"/>
      <c r="P736" s="221"/>
      <c r="Q736" s="221"/>
      <c r="R736" s="221"/>
      <c r="S736" s="221"/>
      <c r="T736" s="399" t="s">
        <v>2278</v>
      </c>
      <c r="U736" s="399" t="s">
        <v>334</v>
      </c>
      <c r="AA736" s="12"/>
      <c r="AB736" s="12"/>
      <c r="AC736" s="808"/>
      <c r="AD736" s="407"/>
    </row>
    <row r="737" spans="6:30" ht="10.5" customHeight="1">
      <c r="F737" s="238"/>
      <c r="G737" s="221"/>
      <c r="H737" s="221"/>
      <c r="I737" s="221"/>
      <c r="J737" s="450"/>
      <c r="K737" s="451"/>
      <c r="L737" s="120"/>
      <c r="M737" s="221"/>
      <c r="N737" s="221"/>
      <c r="O737" s="221"/>
      <c r="P737" s="221"/>
      <c r="Q737" s="221"/>
      <c r="R737" s="221"/>
      <c r="S737" s="221"/>
      <c r="T737" s="399" t="s">
        <v>4036</v>
      </c>
      <c r="U737" s="399" t="s">
        <v>3454</v>
      </c>
      <c r="AA737" s="12"/>
      <c r="AB737" s="12"/>
      <c r="AC737" s="808"/>
      <c r="AD737" s="407"/>
    </row>
    <row r="738" spans="6:30" ht="10.5" customHeight="1">
      <c r="F738" s="238"/>
      <c r="G738" s="221"/>
      <c r="H738" s="221"/>
      <c r="I738" s="221"/>
      <c r="J738" s="450"/>
      <c r="K738" s="451"/>
      <c r="L738" s="120"/>
      <c r="M738" s="221"/>
      <c r="N738" s="221"/>
      <c r="O738" s="221"/>
      <c r="P738" s="221"/>
      <c r="Q738" s="221"/>
      <c r="R738" s="221"/>
      <c r="S738" s="221"/>
      <c r="T738" s="194" t="s">
        <v>361</v>
      </c>
      <c r="U738" s="194" t="s">
        <v>340</v>
      </c>
      <c r="AA738" s="12"/>
      <c r="AB738" s="12"/>
      <c r="AC738" s="808"/>
      <c r="AD738" s="407"/>
    </row>
    <row r="739" spans="6:30" ht="10.5" customHeight="1">
      <c r="F739" s="238"/>
      <c r="G739" s="221"/>
      <c r="H739" s="221"/>
      <c r="I739" s="221"/>
      <c r="J739" s="450"/>
      <c r="K739" s="451"/>
      <c r="L739" s="120"/>
      <c r="M739" s="221"/>
      <c r="N739" s="221"/>
      <c r="O739" s="221"/>
      <c r="P739" s="221"/>
      <c r="Q739" s="221"/>
      <c r="R739" s="221"/>
      <c r="S739" s="221"/>
      <c r="T739" s="399" t="s">
        <v>4581</v>
      </c>
      <c r="U739" s="399" t="s">
        <v>330</v>
      </c>
      <c r="AA739" s="12"/>
      <c r="AB739" s="12"/>
      <c r="AC739" s="407"/>
      <c r="AD739" s="407"/>
    </row>
    <row r="740" spans="6:30" ht="10.5" customHeight="1">
      <c r="F740" s="238"/>
      <c r="G740" s="221"/>
      <c r="H740" s="221"/>
      <c r="I740" s="221"/>
      <c r="J740" s="450"/>
      <c r="K740" s="451"/>
      <c r="L740" s="120"/>
      <c r="M740" s="221"/>
      <c r="N740" s="221"/>
      <c r="O740" s="221"/>
      <c r="P740" s="221"/>
      <c r="Q740" s="221"/>
      <c r="R740" s="221"/>
      <c r="S740" s="221"/>
      <c r="T740" s="399" t="s">
        <v>43</v>
      </c>
      <c r="U740" s="399" t="s">
        <v>332</v>
      </c>
      <c r="AA740" s="12"/>
      <c r="AB740" s="12"/>
      <c r="AC740" s="808"/>
      <c r="AD740" s="407"/>
    </row>
    <row r="741" spans="6:30" ht="10.5" customHeight="1">
      <c r="F741" s="238"/>
      <c r="G741" s="221"/>
      <c r="H741" s="221"/>
      <c r="I741" s="221"/>
      <c r="J741" s="450"/>
      <c r="K741" s="451"/>
      <c r="L741" s="120"/>
      <c r="M741" s="221"/>
      <c r="N741" s="221"/>
      <c r="O741" s="221"/>
      <c r="P741" s="221"/>
      <c r="Q741" s="221"/>
      <c r="R741" s="221"/>
      <c r="S741" s="221"/>
      <c r="T741" s="399" t="s">
        <v>4582</v>
      </c>
      <c r="U741" s="399" t="s">
        <v>3754</v>
      </c>
      <c r="AA741" s="12"/>
      <c r="AB741" s="12"/>
      <c r="AC741" s="808"/>
      <c r="AD741" s="407"/>
    </row>
    <row r="742" spans="6:30" ht="10.5" customHeight="1">
      <c r="F742" s="238"/>
      <c r="G742" s="221"/>
      <c r="H742" s="221"/>
      <c r="I742" s="221"/>
      <c r="J742" s="450"/>
      <c r="K742" s="451"/>
      <c r="L742" s="120"/>
      <c r="M742" s="221"/>
      <c r="N742" s="221"/>
      <c r="O742" s="221"/>
      <c r="P742" s="221"/>
      <c r="Q742" s="221"/>
      <c r="R742" s="221"/>
      <c r="S742" s="221"/>
      <c r="T742" s="194" t="s">
        <v>4583</v>
      </c>
      <c r="U742" s="194" t="s">
        <v>318</v>
      </c>
      <c r="AA742" s="12"/>
      <c r="AB742" s="12"/>
      <c r="AC742" s="808"/>
      <c r="AD742" s="407"/>
    </row>
    <row r="743" spans="6:30" ht="10.5" customHeight="1">
      <c r="F743" s="238"/>
      <c r="G743" s="221"/>
      <c r="H743" s="221"/>
      <c r="I743" s="221"/>
      <c r="J743" s="450"/>
      <c r="K743" s="451"/>
      <c r="L743" s="120"/>
      <c r="M743" s="221"/>
      <c r="N743" s="221"/>
      <c r="O743" s="221"/>
      <c r="P743" s="221"/>
      <c r="Q743" s="221"/>
      <c r="R743" s="221"/>
      <c r="S743" s="221"/>
      <c r="T743" s="399" t="s">
        <v>4041</v>
      </c>
      <c r="U743" s="399" t="s">
        <v>3826</v>
      </c>
      <c r="AA743" s="12"/>
      <c r="AB743" s="12"/>
      <c r="AC743" s="407"/>
      <c r="AD743" s="407"/>
    </row>
    <row r="744" spans="6:30" ht="10.5" customHeight="1">
      <c r="F744" s="238"/>
      <c r="G744" s="221"/>
      <c r="H744" s="221"/>
      <c r="I744" s="221"/>
      <c r="J744" s="450"/>
      <c r="K744" s="451"/>
      <c r="L744" s="120"/>
      <c r="M744" s="221"/>
      <c r="N744" s="221"/>
      <c r="O744" s="221"/>
      <c r="P744" s="221"/>
      <c r="Q744" s="221"/>
      <c r="R744" s="221"/>
      <c r="S744" s="221"/>
      <c r="T744" s="399" t="s">
        <v>4584</v>
      </c>
      <c r="U744" s="399" t="s">
        <v>3171</v>
      </c>
      <c r="AA744" s="12"/>
      <c r="AB744" s="12"/>
      <c r="AC744" s="808"/>
      <c r="AD744" s="407"/>
    </row>
    <row r="745" spans="6:30" ht="10.5" customHeight="1">
      <c r="F745" s="238"/>
      <c r="G745" s="221"/>
      <c r="H745" s="221"/>
      <c r="I745" s="221"/>
      <c r="J745" s="450"/>
      <c r="K745" s="451"/>
      <c r="L745" s="120"/>
      <c r="M745" s="221"/>
      <c r="N745" s="221"/>
      <c r="O745" s="221"/>
      <c r="P745" s="221"/>
      <c r="Q745" s="221"/>
      <c r="R745" s="221"/>
      <c r="S745" s="221"/>
      <c r="T745" s="399" t="s">
        <v>4043</v>
      </c>
      <c r="U745" s="399" t="s">
        <v>3338</v>
      </c>
      <c r="AA745" s="12"/>
      <c r="AB745" s="12"/>
      <c r="AC745" s="808"/>
      <c r="AD745" s="407"/>
    </row>
    <row r="746" spans="6:30" ht="10.5" customHeight="1">
      <c r="F746" s="238"/>
      <c r="G746" s="221"/>
      <c r="H746" s="221"/>
      <c r="I746" s="221"/>
      <c r="J746" s="450"/>
      <c r="K746" s="451"/>
      <c r="L746" s="120"/>
      <c r="M746" s="221"/>
      <c r="N746" s="221"/>
      <c r="O746" s="221"/>
      <c r="P746" s="221"/>
      <c r="Q746" s="221"/>
      <c r="R746" s="221"/>
      <c r="S746" s="221"/>
      <c r="T746" s="399" t="s">
        <v>4045</v>
      </c>
      <c r="U746" s="399" t="s">
        <v>3203</v>
      </c>
      <c r="AA746" s="12"/>
      <c r="AB746" s="12"/>
      <c r="AC746" s="808"/>
      <c r="AD746" s="407"/>
    </row>
    <row r="747" spans="6:30" ht="10.5" customHeight="1">
      <c r="F747" s="238"/>
      <c r="G747" s="221"/>
      <c r="H747" s="221"/>
      <c r="I747" s="221"/>
      <c r="J747" s="450"/>
      <c r="K747" s="451"/>
      <c r="L747" s="120"/>
      <c r="M747" s="221"/>
      <c r="N747" s="221"/>
      <c r="O747" s="221"/>
      <c r="P747" s="221"/>
      <c r="Q747" s="221"/>
      <c r="R747" s="221"/>
      <c r="S747" s="221"/>
      <c r="T747" s="399" t="s">
        <v>362</v>
      </c>
      <c r="U747" s="399" t="s">
        <v>301</v>
      </c>
      <c r="AA747" s="12"/>
      <c r="AB747" s="12"/>
      <c r="AC747" s="808"/>
      <c r="AD747" s="407"/>
    </row>
    <row r="748" spans="6:30" ht="10.5" customHeight="1">
      <c r="F748" s="238"/>
      <c r="G748" s="221"/>
      <c r="H748" s="221"/>
      <c r="I748" s="221"/>
      <c r="J748" s="450"/>
      <c r="K748" s="451"/>
      <c r="L748" s="120"/>
      <c r="M748" s="221"/>
      <c r="N748" s="221"/>
      <c r="O748" s="221"/>
      <c r="P748" s="221"/>
      <c r="Q748" s="221"/>
      <c r="R748" s="221"/>
      <c r="S748" s="221"/>
      <c r="T748" s="399" t="s">
        <v>4585</v>
      </c>
      <c r="U748" s="399" t="s">
        <v>3481</v>
      </c>
      <c r="AA748" s="12"/>
      <c r="AB748" s="12"/>
      <c r="AC748" s="808"/>
      <c r="AD748" s="407"/>
    </row>
    <row r="749" spans="6:30" ht="10.5" customHeight="1">
      <c r="F749" s="238"/>
      <c r="G749" s="221"/>
      <c r="H749" s="221"/>
      <c r="I749" s="221"/>
      <c r="J749" s="450"/>
      <c r="K749" s="451"/>
      <c r="L749" s="120"/>
      <c r="M749" s="221"/>
      <c r="N749" s="221"/>
      <c r="O749" s="221"/>
      <c r="P749" s="221"/>
      <c r="Q749" s="221"/>
      <c r="R749" s="221"/>
      <c r="S749" s="221"/>
      <c r="T749" s="399" t="s">
        <v>4047</v>
      </c>
      <c r="U749" s="399" t="s">
        <v>3284</v>
      </c>
      <c r="AA749" s="12"/>
      <c r="AB749" s="12"/>
      <c r="AC749" s="808"/>
      <c r="AD749" s="407"/>
    </row>
    <row r="750" spans="6:30" ht="10.5" customHeight="1">
      <c r="F750" s="238"/>
      <c r="G750" s="221"/>
      <c r="H750" s="221"/>
      <c r="I750" s="221"/>
      <c r="J750" s="450"/>
      <c r="K750" s="451"/>
      <c r="L750" s="120"/>
      <c r="M750" s="221"/>
      <c r="N750" s="221"/>
      <c r="O750" s="221"/>
      <c r="P750" s="221"/>
      <c r="Q750" s="221"/>
      <c r="R750" s="221"/>
      <c r="S750" s="221"/>
      <c r="T750" s="399" t="s">
        <v>4586</v>
      </c>
      <c r="U750" s="399" t="s">
        <v>3242</v>
      </c>
      <c r="AA750" s="12"/>
      <c r="AB750" s="12"/>
      <c r="AC750" s="808"/>
      <c r="AD750" s="407"/>
    </row>
    <row r="751" spans="6:30" ht="10.5" customHeight="1">
      <c r="F751" s="238"/>
      <c r="G751" s="221"/>
      <c r="H751" s="221"/>
      <c r="I751" s="221"/>
      <c r="J751" s="450"/>
      <c r="K751" s="451"/>
      <c r="L751" s="120"/>
      <c r="M751" s="221"/>
      <c r="N751" s="221"/>
      <c r="O751" s="221"/>
      <c r="P751" s="221"/>
      <c r="Q751" s="221"/>
      <c r="R751" s="221"/>
      <c r="S751" s="221"/>
      <c r="T751" s="399" t="s">
        <v>4587</v>
      </c>
      <c r="U751" s="399" t="s">
        <v>3365</v>
      </c>
      <c r="AA751" s="12"/>
      <c r="AB751" s="12"/>
      <c r="AC751" s="808"/>
      <c r="AD751" s="407"/>
    </row>
    <row r="752" spans="6:30" ht="10.5" customHeight="1">
      <c r="F752" s="238"/>
      <c r="G752" s="221"/>
      <c r="H752" s="221"/>
      <c r="I752" s="221"/>
      <c r="J752" s="450"/>
      <c r="K752" s="451"/>
      <c r="L752" s="120"/>
      <c r="M752" s="221"/>
      <c r="N752" s="221"/>
      <c r="O752" s="221"/>
      <c r="P752" s="221"/>
      <c r="Q752" s="221"/>
      <c r="R752" s="221"/>
      <c r="S752" s="221"/>
      <c r="T752" s="399" t="s">
        <v>4588</v>
      </c>
      <c r="U752" s="399" t="s">
        <v>304</v>
      </c>
      <c r="AA752" s="12"/>
      <c r="AB752" s="12"/>
      <c r="AC752" s="808"/>
      <c r="AD752" s="407"/>
    </row>
    <row r="753" spans="6:30" ht="10.5" customHeight="1">
      <c r="F753" s="238"/>
      <c r="G753" s="221"/>
      <c r="H753" s="221"/>
      <c r="I753" s="221"/>
      <c r="J753" s="450"/>
      <c r="K753" s="451"/>
      <c r="L753" s="120"/>
      <c r="M753" s="221"/>
      <c r="N753" s="221"/>
      <c r="O753" s="221"/>
      <c r="P753" s="221"/>
      <c r="Q753" s="221"/>
      <c r="R753" s="221"/>
      <c r="S753" s="221"/>
      <c r="T753" s="399" t="s">
        <v>4049</v>
      </c>
      <c r="U753" s="399" t="s">
        <v>3636</v>
      </c>
      <c r="AA753" s="12"/>
      <c r="AB753" s="12"/>
      <c r="AC753" s="808"/>
      <c r="AD753" s="407"/>
    </row>
    <row r="754" spans="6:30" ht="10.5" customHeight="1">
      <c r="F754" s="238"/>
      <c r="G754" s="221"/>
      <c r="H754" s="221"/>
      <c r="I754" s="221"/>
      <c r="J754" s="450"/>
      <c r="K754" s="451"/>
      <c r="L754" s="120"/>
      <c r="M754" s="221"/>
      <c r="N754" s="221"/>
      <c r="O754" s="221"/>
      <c r="P754" s="221"/>
      <c r="Q754" s="221"/>
      <c r="R754" s="221"/>
      <c r="S754" s="221"/>
      <c r="T754" s="399" t="s">
        <v>3510</v>
      </c>
      <c r="U754" s="399" t="s">
        <v>349</v>
      </c>
      <c r="AA754" s="12"/>
      <c r="AB754" s="12"/>
      <c r="AC754" s="808"/>
      <c r="AD754" s="407"/>
    </row>
    <row r="755" spans="6:30" ht="10.5" customHeight="1">
      <c r="F755" s="238"/>
      <c r="G755" s="221"/>
      <c r="H755" s="221"/>
      <c r="I755" s="221"/>
      <c r="J755" s="450"/>
      <c r="K755" s="451"/>
      <c r="L755" s="120"/>
      <c r="M755" s="221"/>
      <c r="N755" s="221"/>
      <c r="O755" s="221"/>
      <c r="P755" s="221"/>
      <c r="Q755" s="221"/>
      <c r="R755" s="221"/>
      <c r="S755" s="221"/>
      <c r="T755" s="399" t="s">
        <v>4054</v>
      </c>
      <c r="U755" s="399" t="s">
        <v>3588</v>
      </c>
      <c r="AA755" s="12"/>
      <c r="AB755" s="12"/>
      <c r="AC755" s="808"/>
      <c r="AD755" s="407"/>
    </row>
    <row r="756" spans="6:30" ht="10.5" customHeight="1">
      <c r="F756" s="238"/>
      <c r="G756" s="221"/>
      <c r="H756" s="221"/>
      <c r="I756" s="221"/>
      <c r="J756" s="450"/>
      <c r="K756" s="451"/>
      <c r="L756" s="120"/>
      <c r="M756" s="221"/>
      <c r="N756" s="221"/>
      <c r="O756" s="221"/>
      <c r="P756" s="221"/>
      <c r="Q756" s="221"/>
      <c r="R756" s="221"/>
      <c r="S756" s="221"/>
      <c r="T756" s="290" t="s">
        <v>4589</v>
      </c>
      <c r="U756" s="290" t="s">
        <v>3914</v>
      </c>
      <c r="AA756" s="12"/>
      <c r="AB756" s="12"/>
      <c r="AC756" s="808"/>
      <c r="AD756" s="407"/>
    </row>
    <row r="757" spans="6:30" ht="10.5" customHeight="1">
      <c r="F757" s="238"/>
      <c r="G757" s="221"/>
      <c r="H757" s="221"/>
      <c r="I757" s="221"/>
      <c r="J757" s="450"/>
      <c r="K757" s="451"/>
      <c r="L757" s="120"/>
      <c r="M757" s="221"/>
      <c r="N757" s="221"/>
      <c r="O757" s="221"/>
      <c r="P757" s="221"/>
      <c r="Q757" s="221"/>
      <c r="R757" s="221"/>
      <c r="S757" s="221"/>
      <c r="T757" s="399" t="s">
        <v>3875</v>
      </c>
      <c r="U757" s="399" t="s">
        <v>3905</v>
      </c>
      <c r="AA757" s="12"/>
      <c r="AB757" s="12"/>
      <c r="AC757" s="54"/>
      <c r="AD757" s="407"/>
    </row>
    <row r="758" spans="6:30" ht="10.5" customHeight="1">
      <c r="F758" s="238"/>
      <c r="G758" s="221"/>
      <c r="H758" s="221"/>
      <c r="I758" s="221"/>
      <c r="J758" s="450"/>
      <c r="K758" s="451"/>
      <c r="L758" s="120"/>
      <c r="M758" s="221"/>
      <c r="N758" s="221"/>
      <c r="O758" s="221"/>
      <c r="P758" s="221"/>
      <c r="Q758" s="221"/>
      <c r="R758" s="221"/>
      <c r="S758" s="221"/>
      <c r="T758" s="399" t="s">
        <v>4590</v>
      </c>
      <c r="U758" s="290" t="s">
        <v>3379</v>
      </c>
      <c r="AA758" s="12"/>
      <c r="AB758" s="12"/>
      <c r="AC758" s="808"/>
      <c r="AD758" s="407"/>
    </row>
    <row r="759" spans="6:30" ht="13.5">
      <c r="F759" s="238"/>
      <c r="G759" s="221"/>
      <c r="H759" s="221"/>
      <c r="I759" s="221"/>
      <c r="J759" s="450"/>
      <c r="K759" s="451"/>
      <c r="L759" s="120"/>
      <c r="M759" s="221"/>
      <c r="N759" s="221"/>
      <c r="O759" s="221"/>
      <c r="P759" s="221"/>
      <c r="Q759" s="221"/>
      <c r="R759" s="221"/>
      <c r="S759" s="221"/>
      <c r="T759" s="290" t="s">
        <v>4591</v>
      </c>
      <c r="U759" s="290" t="s">
        <v>3488</v>
      </c>
      <c r="AA759" s="12"/>
      <c r="AB759" s="12"/>
      <c r="AC759" s="808"/>
      <c r="AD759" s="407"/>
    </row>
    <row r="760" spans="6:30" ht="13.5">
      <c r="F760" s="238"/>
      <c r="G760" s="221"/>
      <c r="H760" s="221"/>
      <c r="I760" s="221"/>
      <c r="J760" s="450"/>
      <c r="K760" s="451"/>
      <c r="L760" s="120"/>
      <c r="M760" s="221"/>
      <c r="N760" s="221"/>
      <c r="O760" s="221"/>
      <c r="P760" s="221"/>
      <c r="Q760" s="221"/>
      <c r="R760" s="221"/>
      <c r="S760" s="221"/>
      <c r="T760" s="290" t="s">
        <v>4057</v>
      </c>
      <c r="U760" s="290" t="s">
        <v>289</v>
      </c>
      <c r="AA760" s="12"/>
      <c r="AB760" s="12"/>
      <c r="AC760" s="54"/>
      <c r="AD760" s="407"/>
    </row>
    <row r="761" spans="6:30" ht="13.5">
      <c r="F761" s="238"/>
      <c r="G761" s="221"/>
      <c r="H761" s="221"/>
      <c r="I761" s="221"/>
      <c r="J761" s="450"/>
      <c r="K761" s="451"/>
      <c r="L761" s="120"/>
      <c r="M761" s="221"/>
      <c r="N761" s="221"/>
      <c r="O761" s="221"/>
      <c r="P761" s="221"/>
      <c r="Q761" s="221"/>
      <c r="R761" s="221"/>
      <c r="S761" s="221"/>
      <c r="T761" s="290" t="s">
        <v>4059</v>
      </c>
      <c r="U761" s="290" t="s">
        <v>3171</v>
      </c>
      <c r="AA761" s="12"/>
      <c r="AB761" s="12"/>
      <c r="AC761" s="54"/>
      <c r="AD761" s="407"/>
    </row>
    <row r="762" spans="6:30" ht="13.5">
      <c r="F762" s="238"/>
      <c r="G762" s="221"/>
      <c r="H762" s="221"/>
      <c r="I762" s="221"/>
      <c r="J762" s="450"/>
      <c r="K762" s="451"/>
      <c r="L762" s="120"/>
      <c r="M762" s="221"/>
      <c r="N762" s="221"/>
      <c r="O762" s="221"/>
      <c r="P762" s="221"/>
      <c r="Q762" s="221"/>
      <c r="R762" s="221"/>
      <c r="S762" s="221"/>
      <c r="T762" s="290" t="s">
        <v>4061</v>
      </c>
      <c r="U762" s="290" t="s">
        <v>3838</v>
      </c>
      <c r="AA762" s="12"/>
      <c r="AB762" s="12"/>
      <c r="AC762" s="54"/>
      <c r="AD762" s="407"/>
    </row>
    <row r="763" spans="6:30" ht="13.5">
      <c r="F763" s="238"/>
      <c r="G763" s="221"/>
      <c r="H763" s="221"/>
      <c r="I763" s="221"/>
      <c r="J763" s="450"/>
      <c r="K763" s="451"/>
      <c r="L763" s="120"/>
      <c r="M763" s="221"/>
      <c r="N763" s="221"/>
      <c r="O763" s="221"/>
      <c r="P763" s="221"/>
      <c r="Q763" s="221"/>
      <c r="R763" s="221"/>
      <c r="S763" s="221"/>
      <c r="T763" s="290" t="s">
        <v>4592</v>
      </c>
      <c r="U763" s="290" t="s">
        <v>3884</v>
      </c>
      <c r="AA763" s="12"/>
      <c r="AB763" s="12"/>
      <c r="AC763" s="54"/>
      <c r="AD763" s="407"/>
    </row>
    <row r="764" spans="6:30" ht="13.5">
      <c r="F764" s="238"/>
      <c r="G764" s="221"/>
      <c r="H764" s="221"/>
      <c r="I764" s="221"/>
      <c r="J764" s="450"/>
      <c r="K764" s="451"/>
      <c r="L764" s="120"/>
      <c r="M764" s="221"/>
      <c r="N764" s="221"/>
      <c r="O764" s="221"/>
      <c r="P764" s="221"/>
      <c r="Q764" s="221"/>
      <c r="R764" s="221"/>
      <c r="S764" s="221"/>
      <c r="T764" s="290" t="s">
        <v>4593</v>
      </c>
      <c r="U764" s="290" t="s">
        <v>3447</v>
      </c>
      <c r="AA764" s="12"/>
      <c r="AB764" s="12"/>
      <c r="AC764" s="54"/>
      <c r="AD764" s="407"/>
    </row>
    <row r="765" spans="6:30" ht="13.5">
      <c r="F765" s="238"/>
      <c r="G765" s="221"/>
      <c r="H765" s="221"/>
      <c r="I765" s="221"/>
      <c r="J765" s="450"/>
      <c r="K765" s="451"/>
      <c r="L765" s="120"/>
      <c r="M765" s="221"/>
      <c r="N765" s="221"/>
      <c r="O765" s="221"/>
      <c r="P765" s="221"/>
      <c r="Q765" s="221"/>
      <c r="R765" s="221"/>
      <c r="S765" s="221"/>
      <c r="T765" s="290" t="s">
        <v>3735</v>
      </c>
      <c r="U765" s="290" t="s">
        <v>3087</v>
      </c>
      <c r="AA765" s="12"/>
      <c r="AB765" s="12"/>
      <c r="AC765" s="54"/>
      <c r="AD765" s="407"/>
    </row>
    <row r="766" spans="6:30" ht="13.5">
      <c r="F766" s="238"/>
      <c r="G766" s="221"/>
      <c r="H766" s="221"/>
      <c r="I766" s="221"/>
      <c r="J766" s="450"/>
      <c r="K766" s="451"/>
      <c r="L766" s="120"/>
      <c r="M766" s="221"/>
      <c r="N766" s="221"/>
      <c r="O766" s="221"/>
      <c r="P766" s="221"/>
      <c r="Q766" s="221"/>
      <c r="R766" s="221"/>
      <c r="S766" s="221"/>
      <c r="T766" s="290" t="s">
        <v>4594</v>
      </c>
      <c r="U766" s="290" t="s">
        <v>3454</v>
      </c>
      <c r="AA766" s="12"/>
      <c r="AB766" s="12"/>
      <c r="AC766" s="54"/>
      <c r="AD766" s="407"/>
    </row>
    <row r="767" spans="6:30" ht="13.5">
      <c r="F767" s="238"/>
      <c r="G767" s="221"/>
      <c r="H767" s="221"/>
      <c r="I767" s="221"/>
      <c r="J767" s="450"/>
      <c r="K767" s="221"/>
      <c r="L767" s="221"/>
      <c r="M767" s="221"/>
      <c r="N767" s="221"/>
      <c r="O767" s="221"/>
      <c r="P767" s="221"/>
      <c r="Q767" s="221"/>
      <c r="R767" s="221"/>
      <c r="S767" s="221"/>
      <c r="T767" s="290" t="s">
        <v>363</v>
      </c>
      <c r="U767" s="290" t="s">
        <v>318</v>
      </c>
      <c r="AA767" s="12"/>
      <c r="AB767" s="12"/>
      <c r="AC767" s="54"/>
      <c r="AD767" s="407"/>
    </row>
    <row r="768" spans="6:30" ht="13.5">
      <c r="F768" s="238"/>
      <c r="G768" s="221"/>
      <c r="H768" s="221"/>
      <c r="I768" s="221"/>
      <c r="J768" s="221"/>
      <c r="K768" s="221"/>
      <c r="L768" s="221"/>
      <c r="M768" s="221"/>
      <c r="N768" s="221"/>
      <c r="O768" s="221"/>
      <c r="P768" s="221"/>
      <c r="Q768" s="221"/>
      <c r="R768" s="221"/>
      <c r="S768" s="221"/>
      <c r="T768" s="290" t="s">
        <v>4595</v>
      </c>
      <c r="U768" s="290" t="s">
        <v>3203</v>
      </c>
      <c r="AA768" s="12"/>
      <c r="AB768" s="12"/>
      <c r="AC768" s="54"/>
      <c r="AD768" s="407"/>
    </row>
    <row r="769" spans="6:30" ht="13.5">
      <c r="F769" s="238"/>
      <c r="G769" s="221"/>
      <c r="H769" s="221"/>
      <c r="I769" s="221"/>
      <c r="J769" s="221"/>
      <c r="K769" s="221"/>
      <c r="L769" s="221"/>
      <c r="M769" s="221"/>
      <c r="N769" s="221"/>
      <c r="O769" s="221"/>
      <c r="P769" s="221"/>
      <c r="Q769" s="221"/>
      <c r="R769" s="221"/>
      <c r="S769" s="221"/>
      <c r="T769" s="290" t="s">
        <v>4064</v>
      </c>
      <c r="U769" s="290" t="s">
        <v>3074</v>
      </c>
      <c r="AA769" s="12"/>
      <c r="AB769" s="12"/>
      <c r="AC769" s="54"/>
      <c r="AD769" s="407"/>
    </row>
    <row r="770" spans="6:30" ht="13.5">
      <c r="F770" s="238"/>
      <c r="G770" s="221"/>
      <c r="H770" s="221"/>
      <c r="I770" s="221"/>
      <c r="J770" s="221"/>
      <c r="K770" s="221"/>
      <c r="L770" s="221"/>
      <c r="M770" s="221"/>
      <c r="N770" s="221"/>
      <c r="O770" s="221"/>
      <c r="P770" s="221"/>
      <c r="Q770" s="221"/>
      <c r="R770" s="221"/>
      <c r="S770" s="221"/>
      <c r="T770" s="290" t="s">
        <v>4066</v>
      </c>
      <c r="U770" s="290" t="s">
        <v>313</v>
      </c>
      <c r="AA770" s="12"/>
      <c r="AB770" s="12"/>
      <c r="AC770" s="54"/>
      <c r="AD770" s="407"/>
    </row>
    <row r="771" spans="6:30" ht="13.5">
      <c r="F771" s="238"/>
      <c r="G771" s="221"/>
      <c r="H771" s="221"/>
      <c r="I771" s="221"/>
      <c r="J771" s="221"/>
      <c r="K771" s="221"/>
      <c r="L771" s="221"/>
      <c r="M771" s="221"/>
      <c r="N771" s="221"/>
      <c r="O771" s="221"/>
      <c r="P771" s="221"/>
      <c r="Q771" s="221"/>
      <c r="R771" s="221"/>
      <c r="S771" s="221"/>
      <c r="T771" s="290" t="s">
        <v>364</v>
      </c>
      <c r="U771" s="290" t="s">
        <v>318</v>
      </c>
      <c r="AA771" s="12"/>
      <c r="AB771" s="12"/>
      <c r="AC771" s="54"/>
      <c r="AD771" s="407"/>
    </row>
    <row r="772" spans="6:30" ht="13.5">
      <c r="F772" s="238"/>
      <c r="G772" s="221"/>
      <c r="H772" s="221"/>
      <c r="I772" s="221"/>
      <c r="J772" s="221"/>
      <c r="K772" s="221"/>
      <c r="L772" s="221"/>
      <c r="M772" s="221"/>
      <c r="N772" s="221"/>
      <c r="O772" s="221"/>
      <c r="P772" s="221"/>
      <c r="Q772" s="221"/>
      <c r="R772" s="221"/>
      <c r="S772" s="221"/>
      <c r="T772" s="290" t="s">
        <v>4068</v>
      </c>
      <c r="U772" s="290" t="s">
        <v>351</v>
      </c>
      <c r="AA772" s="12"/>
      <c r="AB772" s="12"/>
      <c r="AC772" s="54"/>
      <c r="AD772" s="407"/>
    </row>
    <row r="773" spans="6:30" ht="13.5">
      <c r="F773" s="238"/>
      <c r="G773" s="221"/>
      <c r="H773" s="221"/>
      <c r="I773" s="221"/>
      <c r="J773" s="221"/>
      <c r="K773" s="221"/>
      <c r="L773" s="221"/>
      <c r="M773" s="221"/>
      <c r="N773" s="221"/>
      <c r="O773" s="221"/>
      <c r="P773" s="221"/>
      <c r="Q773" s="221"/>
      <c r="R773" s="221"/>
      <c r="S773" s="221"/>
      <c r="T773" s="290" t="s">
        <v>4596</v>
      </c>
      <c r="U773" s="290" t="s">
        <v>3245</v>
      </c>
      <c r="AA773" s="12"/>
      <c r="AB773" s="12"/>
      <c r="AC773" s="54"/>
      <c r="AD773" s="407"/>
    </row>
    <row r="774" spans="6:30" ht="13.5">
      <c r="F774" s="238"/>
      <c r="G774" s="221"/>
      <c r="H774" s="221"/>
      <c r="I774" s="221"/>
      <c r="J774" s="221"/>
      <c r="K774" s="221"/>
      <c r="L774" s="221"/>
      <c r="M774" s="221"/>
      <c r="N774" s="221"/>
      <c r="O774" s="221"/>
      <c r="P774" s="221"/>
      <c r="Q774" s="221"/>
      <c r="R774" s="221"/>
      <c r="S774" s="221"/>
      <c r="T774" s="290" t="s">
        <v>4597</v>
      </c>
      <c r="U774" s="290" t="s">
        <v>320</v>
      </c>
      <c r="AA774" s="12"/>
      <c r="AB774" s="12"/>
      <c r="AC774" s="54"/>
      <c r="AD774" s="407"/>
    </row>
    <row r="775" spans="6:30" ht="13.5">
      <c r="F775" s="238"/>
      <c r="G775" s="221"/>
      <c r="H775" s="221"/>
      <c r="I775" s="221"/>
      <c r="J775" s="221"/>
      <c r="K775" s="221"/>
      <c r="L775" s="221"/>
      <c r="M775" s="221"/>
      <c r="N775" s="221"/>
      <c r="O775" s="221"/>
      <c r="P775" s="221"/>
      <c r="Q775" s="221"/>
      <c r="R775" s="221"/>
      <c r="S775" s="221"/>
      <c r="T775" s="290" t="s">
        <v>4598</v>
      </c>
      <c r="U775" s="290" t="s">
        <v>3636</v>
      </c>
      <c r="AA775" s="12"/>
      <c r="AB775" s="12"/>
      <c r="AC775" s="54"/>
      <c r="AD775" s="407"/>
    </row>
    <row r="776" spans="6:30" ht="13.5">
      <c r="F776" s="238"/>
      <c r="G776" s="221"/>
      <c r="H776" s="221"/>
      <c r="I776" s="221"/>
      <c r="J776" s="221"/>
      <c r="K776" s="221"/>
      <c r="L776" s="221"/>
      <c r="M776" s="221"/>
      <c r="N776" s="221"/>
      <c r="O776" s="221"/>
      <c r="P776" s="221"/>
      <c r="Q776" s="221"/>
      <c r="R776" s="221"/>
      <c r="S776" s="221"/>
      <c r="T776" s="290" t="s">
        <v>4599</v>
      </c>
      <c r="U776" s="290" t="s">
        <v>3790</v>
      </c>
      <c r="AA776" s="12"/>
      <c r="AB776" s="12"/>
      <c r="AC776" s="54"/>
      <c r="AD776" s="407"/>
    </row>
    <row r="777" spans="6:30" ht="13.5">
      <c r="F777" s="238"/>
      <c r="G777" s="221"/>
      <c r="H777" s="221"/>
      <c r="I777" s="221"/>
      <c r="J777" s="221"/>
      <c r="K777" s="221"/>
      <c r="L777" s="221"/>
      <c r="M777" s="221"/>
      <c r="N777" s="221"/>
      <c r="O777" s="221"/>
      <c r="P777" s="221"/>
      <c r="Q777" s="221"/>
      <c r="R777" s="221"/>
      <c r="S777" s="221"/>
      <c r="T777" s="290" t="s">
        <v>4071</v>
      </c>
      <c r="U777" s="290" t="s">
        <v>3242</v>
      </c>
      <c r="AA777" s="12"/>
      <c r="AB777" s="12"/>
      <c r="AC777" s="54"/>
      <c r="AD777" s="407"/>
    </row>
    <row r="778" spans="6:30" ht="13.5">
      <c r="F778" s="238"/>
      <c r="G778" s="221"/>
      <c r="H778" s="221"/>
      <c r="I778" s="221"/>
      <c r="J778" s="221"/>
      <c r="K778" s="221"/>
      <c r="L778" s="221"/>
      <c r="M778" s="221"/>
      <c r="N778" s="221"/>
      <c r="O778" s="221"/>
      <c r="P778" s="221"/>
      <c r="Q778" s="221"/>
      <c r="R778" s="221"/>
      <c r="S778" s="221"/>
      <c r="T778" s="290" t="s">
        <v>4600</v>
      </c>
      <c r="U778" s="290" t="s">
        <v>3454</v>
      </c>
      <c r="AA778" s="12"/>
      <c r="AB778" s="12"/>
      <c r="AC778" s="54"/>
      <c r="AD778" s="407"/>
    </row>
    <row r="779" spans="6:30" ht="13.5">
      <c r="F779" s="238"/>
      <c r="G779" s="221"/>
      <c r="H779" s="221"/>
      <c r="I779" s="221"/>
      <c r="J779" s="221"/>
      <c r="K779" s="221"/>
      <c r="L779" s="221"/>
      <c r="M779" s="221"/>
      <c r="N779" s="221"/>
      <c r="O779" s="221"/>
      <c r="P779" s="221"/>
      <c r="Q779" s="221"/>
      <c r="R779" s="221"/>
      <c r="S779" s="221"/>
      <c r="T779" s="290" t="s">
        <v>4601</v>
      </c>
      <c r="U779" s="290" t="s">
        <v>3398</v>
      </c>
      <c r="AA779" s="12"/>
      <c r="AB779" s="12"/>
      <c r="AC779" s="54"/>
      <c r="AD779" s="407"/>
    </row>
    <row r="780" spans="6:30" ht="13.5">
      <c r="F780" s="238"/>
      <c r="G780" s="221"/>
      <c r="H780" s="221"/>
      <c r="I780" s="221"/>
      <c r="J780" s="221"/>
      <c r="K780" s="221"/>
      <c r="L780" s="221"/>
      <c r="M780" s="221"/>
      <c r="N780" s="221"/>
      <c r="O780" s="221"/>
      <c r="P780" s="221"/>
      <c r="Q780" s="221"/>
      <c r="R780" s="221"/>
      <c r="S780" s="221"/>
      <c r="T780" s="290" t="s">
        <v>4074</v>
      </c>
      <c r="U780" s="290" t="s">
        <v>3284</v>
      </c>
      <c r="AA780" s="12"/>
      <c r="AB780" s="12"/>
      <c r="AC780" s="54"/>
      <c r="AD780" s="407"/>
    </row>
    <row r="781" spans="6:30" ht="13.5">
      <c r="F781" s="238"/>
      <c r="G781" s="221"/>
      <c r="H781" s="221"/>
      <c r="I781" s="221"/>
      <c r="J781" s="221"/>
      <c r="K781" s="221"/>
      <c r="L781" s="221"/>
      <c r="M781" s="221"/>
      <c r="N781" s="221"/>
      <c r="O781" s="221"/>
      <c r="P781" s="221"/>
      <c r="Q781" s="221"/>
      <c r="R781" s="221"/>
      <c r="S781" s="221"/>
      <c r="T781" s="290" t="s">
        <v>4077</v>
      </c>
      <c r="U781" s="290" t="s">
        <v>3103</v>
      </c>
      <c r="AA781" s="12"/>
      <c r="AB781" s="12"/>
      <c r="AC781" s="54"/>
      <c r="AD781" s="407"/>
    </row>
    <row r="782" spans="6:30" ht="13.5">
      <c r="F782" s="238"/>
      <c r="G782" s="221"/>
      <c r="H782" s="221"/>
      <c r="I782" s="221"/>
      <c r="J782" s="221"/>
      <c r="K782" s="221"/>
      <c r="L782" s="221"/>
      <c r="M782" s="221"/>
      <c r="N782" s="221"/>
      <c r="O782" s="221"/>
      <c r="P782" s="221"/>
      <c r="Q782" s="221"/>
      <c r="R782" s="221"/>
      <c r="S782" s="221"/>
      <c r="T782" s="290" t="s">
        <v>4602</v>
      </c>
      <c r="U782" s="290" t="s">
        <v>311</v>
      </c>
      <c r="AA782" s="12"/>
      <c r="AB782" s="12"/>
      <c r="AC782" s="54"/>
      <c r="AD782" s="407"/>
    </row>
    <row r="783" spans="6:30" ht="13.5">
      <c r="F783" s="238"/>
      <c r="G783" s="221"/>
      <c r="H783" s="221"/>
      <c r="I783" s="221"/>
      <c r="J783" s="221"/>
      <c r="K783" s="221"/>
      <c r="L783" s="221"/>
      <c r="M783" s="221"/>
      <c r="N783" s="221"/>
      <c r="O783" s="221"/>
      <c r="P783" s="221"/>
      <c r="Q783" s="221"/>
      <c r="R783" s="221"/>
      <c r="S783" s="221"/>
      <c r="T783" s="290" t="s">
        <v>4603</v>
      </c>
      <c r="U783" s="290" t="s">
        <v>3735</v>
      </c>
      <c r="AA783" s="12"/>
      <c r="AB783" s="12"/>
      <c r="AC783" s="54"/>
      <c r="AD783" s="407"/>
    </row>
    <row r="784" spans="6:30" ht="13.5">
      <c r="F784" s="238"/>
      <c r="G784" s="221"/>
      <c r="H784" s="221"/>
      <c r="I784" s="221"/>
      <c r="J784" s="221"/>
      <c r="K784" s="221"/>
      <c r="L784" s="221"/>
      <c r="M784" s="221"/>
      <c r="N784" s="221"/>
      <c r="O784" s="221"/>
      <c r="P784" s="221"/>
      <c r="Q784" s="221"/>
      <c r="R784" s="221"/>
      <c r="S784" s="221"/>
      <c r="T784" s="290" t="s">
        <v>4079</v>
      </c>
      <c r="U784" s="290" t="s">
        <v>309</v>
      </c>
      <c r="AA784" s="12"/>
      <c r="AB784" s="12"/>
      <c r="AC784" s="54"/>
      <c r="AD784" s="407"/>
    </row>
    <row r="785" spans="6:30" ht="13.5">
      <c r="F785" s="238"/>
      <c r="G785" s="221"/>
      <c r="H785" s="221"/>
      <c r="I785" s="221"/>
      <c r="J785" s="221"/>
      <c r="K785" s="221"/>
      <c r="L785" s="221"/>
      <c r="M785" s="221"/>
      <c r="N785" s="221"/>
      <c r="O785" s="221"/>
      <c r="P785" s="221"/>
      <c r="Q785" s="221"/>
      <c r="R785" s="221"/>
      <c r="S785" s="221"/>
      <c r="T785" s="290" t="s">
        <v>4604</v>
      </c>
      <c r="U785" s="290" t="s">
        <v>313</v>
      </c>
      <c r="AA785" s="12"/>
      <c r="AB785" s="12"/>
      <c r="AC785" s="54"/>
      <c r="AD785" s="407"/>
    </row>
    <row r="786" spans="6:30">
      <c r="N786" s="221"/>
      <c r="O786" s="221"/>
      <c r="P786" s="221"/>
      <c r="T786" s="326"/>
      <c r="U786" s="326"/>
      <c r="AA786" s="12"/>
      <c r="AB786" s="12"/>
      <c r="AC786" s="54"/>
      <c r="AD786" s="407"/>
    </row>
    <row r="787" spans="6:30">
      <c r="T787" s="326"/>
      <c r="U787" s="326"/>
      <c r="AA787" s="12"/>
      <c r="AB787" s="12"/>
      <c r="AC787" s="407"/>
      <c r="AD787" s="407"/>
    </row>
    <row r="788" spans="6:30">
      <c r="T788" s="326"/>
      <c r="U788" s="326"/>
      <c r="AA788" s="12"/>
      <c r="AB788" s="12"/>
      <c r="AC788" s="407"/>
      <c r="AD788" s="407"/>
    </row>
    <row r="789" spans="6:30">
      <c r="T789" s="326"/>
      <c r="U789" s="326"/>
      <c r="AA789" s="12"/>
      <c r="AB789" s="12"/>
      <c r="AC789" s="407"/>
      <c r="AD789" s="407"/>
    </row>
    <row r="790" spans="6:30">
      <c r="AA790" s="12"/>
      <c r="AB790" s="12"/>
      <c r="AC790" s="407"/>
      <c r="AD790" s="407"/>
    </row>
    <row r="791" spans="6:30">
      <c r="AA791" s="12"/>
      <c r="AB791" s="12"/>
      <c r="AC791" s="407"/>
      <c r="AD791" s="407"/>
    </row>
    <row r="792" spans="6:30">
      <c r="AA792" s="12"/>
      <c r="AB792" s="12"/>
      <c r="AC792" s="407"/>
      <c r="AD792" s="407"/>
    </row>
    <row r="793" spans="6:30">
      <c r="AA793" s="12"/>
      <c r="AB793" s="12"/>
      <c r="AC793" s="407"/>
      <c r="AD793" s="407"/>
    </row>
    <row r="794" spans="6:30">
      <c r="AA794" s="12"/>
      <c r="AB794" s="12"/>
      <c r="AC794" s="407"/>
      <c r="AD794" s="407"/>
    </row>
    <row r="795" spans="6:30">
      <c r="AA795" s="12"/>
      <c r="AB795" s="12"/>
      <c r="AC795" s="407"/>
      <c r="AD795" s="407"/>
    </row>
    <row r="796" spans="6:30">
      <c r="AA796" s="12"/>
      <c r="AB796" s="12"/>
      <c r="AC796" s="407"/>
      <c r="AD796" s="407"/>
    </row>
    <row r="797" spans="6:30">
      <c r="AA797" s="12"/>
      <c r="AB797" s="12"/>
      <c r="AC797" s="407"/>
      <c r="AD797" s="407"/>
    </row>
    <row r="798" spans="6:30">
      <c r="AA798" s="12"/>
      <c r="AB798" s="12"/>
      <c r="AC798" s="407"/>
      <c r="AD798" s="407"/>
    </row>
    <row r="799" spans="6:30">
      <c r="AA799" s="12"/>
      <c r="AB799" s="12"/>
      <c r="AC799" s="407"/>
      <c r="AD799" s="407"/>
    </row>
    <row r="800" spans="6:30">
      <c r="AA800" s="12"/>
      <c r="AB800" s="12"/>
      <c r="AC800" s="407"/>
      <c r="AD800" s="407"/>
    </row>
    <row r="801" spans="27:30">
      <c r="AA801" s="12"/>
      <c r="AB801" s="12"/>
      <c r="AC801" s="407"/>
      <c r="AD801" s="407"/>
    </row>
    <row r="802" spans="27:30">
      <c r="AA802" s="12"/>
      <c r="AB802" s="12"/>
      <c r="AC802" s="407"/>
      <c r="AD802" s="407"/>
    </row>
    <row r="803" spans="27:30">
      <c r="AA803" s="12"/>
      <c r="AB803" s="12"/>
      <c r="AC803" s="407"/>
      <c r="AD803" s="407"/>
    </row>
    <row r="804" spans="27:30">
      <c r="AA804" s="12"/>
      <c r="AB804" s="12"/>
      <c r="AC804" s="407"/>
      <c r="AD804" s="407"/>
    </row>
    <row r="805" spans="27:30">
      <c r="AA805" s="12"/>
      <c r="AB805" s="12"/>
      <c r="AC805" s="407"/>
      <c r="AD805" s="407"/>
    </row>
    <row r="806" spans="27:30">
      <c r="AA806" s="12"/>
      <c r="AB806" s="12"/>
      <c r="AC806" s="407"/>
      <c r="AD806" s="407"/>
    </row>
    <row r="807" spans="27:30">
      <c r="AA807" s="12"/>
      <c r="AB807" s="12"/>
      <c r="AC807" s="407"/>
      <c r="AD807" s="407"/>
    </row>
    <row r="808" spans="27:30">
      <c r="AA808" s="12"/>
      <c r="AB808" s="12"/>
      <c r="AC808" s="407"/>
      <c r="AD808" s="407"/>
    </row>
    <row r="809" spans="27:30">
      <c r="AA809" s="12"/>
      <c r="AB809" s="12"/>
      <c r="AC809" s="407"/>
      <c r="AD809" s="407"/>
    </row>
    <row r="810" spans="27:30">
      <c r="AA810" s="12"/>
      <c r="AB810" s="12"/>
      <c r="AC810" s="407"/>
      <c r="AD810" s="407"/>
    </row>
    <row r="811" spans="27:30">
      <c r="AA811" s="12"/>
      <c r="AB811" s="12"/>
      <c r="AC811" s="407"/>
      <c r="AD811" s="407"/>
    </row>
    <row r="812" spans="27:30">
      <c r="AA812" s="12"/>
      <c r="AB812" s="12"/>
      <c r="AC812" s="407"/>
      <c r="AD812" s="407"/>
    </row>
    <row r="813" spans="27:30">
      <c r="AA813" s="12"/>
      <c r="AB813" s="12"/>
      <c r="AC813" s="407"/>
      <c r="AD813" s="407"/>
    </row>
    <row r="814" spans="27:30">
      <c r="AA814" s="12"/>
      <c r="AB814" s="12"/>
      <c r="AC814" s="407"/>
      <c r="AD814" s="407"/>
    </row>
    <row r="815" spans="27:30">
      <c r="AA815" s="12"/>
      <c r="AB815" s="12"/>
      <c r="AC815" s="407"/>
      <c r="AD815" s="407"/>
    </row>
    <row r="816" spans="27:30">
      <c r="AA816" s="12"/>
      <c r="AB816" s="12"/>
      <c r="AC816" s="407"/>
      <c r="AD816" s="407"/>
    </row>
    <row r="817" spans="27:30">
      <c r="AA817" s="12"/>
      <c r="AB817" s="12"/>
      <c r="AC817" s="407"/>
      <c r="AD817" s="407"/>
    </row>
    <row r="818" spans="27:30">
      <c r="AA818" s="12"/>
      <c r="AB818" s="12"/>
      <c r="AC818" s="407"/>
      <c r="AD818" s="407"/>
    </row>
    <row r="819" spans="27:30">
      <c r="AA819" s="12"/>
      <c r="AC819" s="407"/>
    </row>
    <row r="820" spans="27:30">
      <c r="AA820" s="12"/>
      <c r="AC820" s="407"/>
    </row>
    <row r="821" spans="27:30">
      <c r="AA821" s="12"/>
      <c r="AC821" s="407"/>
    </row>
    <row r="822" spans="27:30">
      <c r="AA822" s="12"/>
      <c r="AC822" s="407"/>
    </row>
    <row r="823" spans="27:30">
      <c r="AA823" s="12"/>
      <c r="AC823" s="407"/>
    </row>
    <row r="824" spans="27:30">
      <c r="AA824" s="12"/>
      <c r="AC824" s="407"/>
    </row>
    <row r="825" spans="27:30">
      <c r="AA825" s="12"/>
      <c r="AC825" s="407"/>
    </row>
    <row r="826" spans="27:30">
      <c r="AA826" s="12"/>
      <c r="AC826" s="407"/>
    </row>
    <row r="827" spans="27:30">
      <c r="AA827" s="12"/>
      <c r="AC827" s="407"/>
    </row>
    <row r="828" spans="27:30">
      <c r="AA828" s="12"/>
      <c r="AC828" s="407"/>
    </row>
    <row r="829" spans="27:30">
      <c r="AA829" s="12"/>
      <c r="AC829" s="407"/>
    </row>
    <row r="830" spans="27:30">
      <c r="AA830" s="12"/>
      <c r="AC830" s="407"/>
    </row>
    <row r="831" spans="27:30">
      <c r="AA831" s="12"/>
      <c r="AC831" s="407"/>
    </row>
    <row r="832" spans="27:30">
      <c r="AA832" s="12"/>
      <c r="AC832" s="407"/>
    </row>
    <row r="833" spans="27:29">
      <c r="AA833" s="12"/>
      <c r="AC833" s="407"/>
    </row>
    <row r="834" spans="27:29">
      <c r="AA834" s="12"/>
      <c r="AC834" s="407"/>
    </row>
    <row r="835" spans="27:29">
      <c r="AA835" s="12"/>
      <c r="AC835" s="407"/>
    </row>
    <row r="836" spans="27:29">
      <c r="AA836" s="12"/>
      <c r="AC836" s="407"/>
    </row>
    <row r="837" spans="27:29">
      <c r="AA837" s="12"/>
      <c r="AC837" s="407"/>
    </row>
    <row r="838" spans="27:29">
      <c r="AA838" s="12"/>
      <c r="AC838" s="407"/>
    </row>
    <row r="839" spans="27:29">
      <c r="AA839" s="12"/>
      <c r="AC839" s="407"/>
    </row>
    <row r="840" spans="27:29">
      <c r="AA840" s="12"/>
      <c r="AC840" s="407"/>
    </row>
    <row r="841" spans="27:29">
      <c r="AA841" s="12"/>
      <c r="AC841" s="407"/>
    </row>
    <row r="842" spans="27:29">
      <c r="AA842" s="12"/>
      <c r="AC842" s="407"/>
    </row>
    <row r="843" spans="27:29">
      <c r="AA843" s="12"/>
      <c r="AC843" s="407"/>
    </row>
    <row r="844" spans="27:29">
      <c r="AA844" s="12"/>
      <c r="AC844" s="407"/>
    </row>
    <row r="845" spans="27:29">
      <c r="AA845" s="12"/>
      <c r="AC845" s="407"/>
    </row>
    <row r="846" spans="27:29">
      <c r="AA846" s="12"/>
      <c r="AC846" s="407"/>
    </row>
    <row r="847" spans="27:29">
      <c r="AA847" s="12"/>
      <c r="AC847" s="407"/>
    </row>
    <row r="848" spans="27:29">
      <c r="AA848" s="12"/>
      <c r="AC848" s="407"/>
    </row>
    <row r="849" spans="27:29">
      <c r="AA849" s="12"/>
      <c r="AC849" s="407"/>
    </row>
    <row r="850" spans="27:29">
      <c r="AA850" s="12"/>
      <c r="AC850" s="407"/>
    </row>
    <row r="851" spans="27:29">
      <c r="AA851" s="12"/>
      <c r="AC851" s="407"/>
    </row>
    <row r="852" spans="27:29">
      <c r="AA852" s="12"/>
      <c r="AC852" s="407"/>
    </row>
    <row r="853" spans="27:29">
      <c r="AA853" s="12"/>
      <c r="AC853" s="407"/>
    </row>
    <row r="854" spans="27:29">
      <c r="AA854" s="12"/>
      <c r="AC854" s="407"/>
    </row>
    <row r="855" spans="27:29">
      <c r="AA855" s="12"/>
      <c r="AC855" s="407"/>
    </row>
    <row r="856" spans="27:29">
      <c r="AA856" s="12"/>
      <c r="AC856" s="407"/>
    </row>
    <row r="857" spans="27:29">
      <c r="AA857" s="12"/>
      <c r="AC857" s="407"/>
    </row>
    <row r="858" spans="27:29">
      <c r="AA858" s="12"/>
      <c r="AC858" s="407"/>
    </row>
    <row r="859" spans="27:29">
      <c r="AA859" s="12"/>
      <c r="AC859" s="407"/>
    </row>
    <row r="860" spans="27:29">
      <c r="AA860" s="12"/>
      <c r="AC860" s="407"/>
    </row>
  </sheetData>
  <sheetProtection algorithmName="SHA-512" hashValue="EuuYqNYF7C2RhRUyMgzN+/4Ugq9NS1MOpUISS8oHXBsl7LDU1C81TY7qHtYMEf+xn3EgQ12+pXD8zUOC996sfA==" saltValue="9fSYaWmW6maHd1vm/XHP7A=="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A4" sqref="A1:XFD1048576"/>
    </sheetView>
  </sheetViews>
  <sheetFormatPr defaultColWidth="9.140625" defaultRowHeight="12.75"/>
  <cols>
    <col min="1" max="1" width="9.42578125" style="523" bestFit="1" customWidth="1"/>
    <col min="2" max="2" width="10.7109375" style="523" bestFit="1" customWidth="1"/>
    <col min="3" max="7" width="10.42578125" style="523" bestFit="1" customWidth="1"/>
    <col min="8" max="8" width="14.85546875" style="523" bestFit="1" customWidth="1"/>
    <col min="9" max="10" width="14.42578125" style="523" bestFit="1" customWidth="1"/>
    <col min="11" max="11" width="10.42578125" style="523" bestFit="1" customWidth="1"/>
    <col min="12" max="12" width="9.85546875" style="523" bestFit="1" customWidth="1"/>
    <col min="13" max="14" width="9.42578125" style="523" bestFit="1" customWidth="1"/>
    <col min="15" max="15" width="12.28515625" style="523" bestFit="1" customWidth="1"/>
    <col min="16" max="16" width="15.42578125" style="523" bestFit="1" customWidth="1"/>
    <col min="17" max="17" width="11.7109375" style="523" bestFit="1" customWidth="1"/>
    <col min="18" max="278" width="9.42578125" style="523" bestFit="1" customWidth="1"/>
    <col min="279" max="16384" width="9.140625" style="523"/>
  </cols>
  <sheetData>
    <row r="1" spans="1:16" ht="15.75">
      <c r="A1" s="3101" t="s">
        <v>0</v>
      </c>
    </row>
    <row r="2" spans="1:16" ht="16.5">
      <c r="A2" s="3102" t="str">
        <f>'Part I-Project Information'!F34</f>
        <v>Mill at Stone Valley</v>
      </c>
    </row>
    <row r="3" spans="1:16" ht="16.5">
      <c r="A3" s="3102" t="str">
        <f>CONCATENATE('Part I-Project Information'!F38,", ", 'Part I-Project Information'!J39," County")</f>
        <v>Ball Ground, Cherokee County</v>
      </c>
    </row>
    <row r="5" spans="1:16" ht="12.75" customHeight="1">
      <c r="A5" s="3103" t="str">
        <f>'Project Narrative'!$A$5</f>
        <v xml:space="preserve">     TISHCO Development Inc is proposing to develop the Mill at Stone Valley Apartments. The Mill at Stone Valley is a 74-unit multifamily community comprised of 63 tax credit units, nine market rate units, and two common space units. There are 12 one-bedroom units, 32 two-bedroom units and 30 three-bedroom units. The apartment community is located in the city of Ball Ground. The community will be developed using conventional financing and private equity investment attracted by federal and state Low-Income Housing Tax Credit. Construction is expected to start around May 1, 2019 and will be completed within 18 months.  
     The project is located at the intersection of Coy M. Holcomb Drive and Ball Ground Highway. This will be the first tax credit development for the city of Ball Ground, a stable middle-income community in one of the last rural-designated areas of Cherokee County, which noneless boasts excellent educational opportunities, transportation, employment, and proximity to a high quality of life. The Mill at Stone Valley is located close to the downtown area and within one mile of many desirables. The project entrance is located directly across the street from Ball Ground Elementary School and the local fire station. 
     The existing multifamily housing stock within the city limits is small and this project is much needed in a growing community. The Market Study shows the tremendous need for the area. Per the study, the Project has a low capture rate and should enjoy a short absorption period as well as a primary market area that is close to 100% occupied. The Mill at Stone Valley will serve families and offers many job opportunities, strong educational benefits and the ability to grow strong ties in a close-knit community. 
     TISHCO has worked closely with the city of Ball Ground in the development of this community. Working with Lou Oliver, the author of the city of Ball Ground's Master Plan (completed in 2007), we have designed a development that fits perfectly with the city's old style Mill feel. The Mill at Stone Valley has many amenities to encourage educational, health and community advancement.
     TISHCO is looking forward to working with the City of Ball Ground and its community in the development of The Mill at Stone Valley.</v>
      </c>
    </row>
    <row r="6" spans="1:16">
      <c r="A6" s="3103"/>
    </row>
    <row r="7" spans="1:16">
      <c r="A7" s="3103"/>
    </row>
    <row r="8" spans="1:16">
      <c r="A8" s="3103"/>
    </row>
    <row r="9" spans="1:16">
      <c r="A9" s="3103"/>
    </row>
    <row r="10" spans="1:16">
      <c r="A10" s="3103"/>
    </row>
    <row r="11" spans="1:16">
      <c r="A11" s="3103"/>
    </row>
    <row r="12" spans="1:16">
      <c r="A12" s="3104" t="str">
        <f>CONCATENATE("PART ONE - PROJECT INFORMATION"," - ",$O$6," ",$F$34,", ",'Part I-Project Information'!F49,", ",'Part I-Project Information'!J50," County")</f>
        <v>PART ONE - PROJECT INFORMATION -  316015526, 301074049,  County</v>
      </c>
      <c r="B12" s="3104"/>
      <c r="C12" s="3104"/>
      <c r="D12" s="3104"/>
      <c r="E12" s="3104"/>
      <c r="F12" s="3104"/>
      <c r="G12" s="3104"/>
      <c r="H12" s="3104"/>
      <c r="I12" s="3104"/>
      <c r="J12" s="3104"/>
      <c r="K12" s="3104"/>
      <c r="L12" s="3104"/>
      <c r="M12" s="3104"/>
      <c r="N12" s="3104"/>
      <c r="O12" s="3104"/>
      <c r="P12" s="3104"/>
    </row>
    <row r="13" spans="1:16">
      <c r="A13" s="3105"/>
      <c r="B13" s="3105"/>
      <c r="C13" s="3105"/>
      <c r="D13" s="3105"/>
      <c r="E13" s="3105"/>
      <c r="F13" s="3105"/>
      <c r="G13" s="3105"/>
      <c r="H13" s="3105"/>
      <c r="I13" s="3105"/>
      <c r="J13" s="3105"/>
      <c r="K13" s="3105"/>
      <c r="L13" s="3105"/>
      <c r="M13" s="3105"/>
      <c r="N13" s="3105"/>
      <c r="O13" s="3105"/>
      <c r="P13" s="3105"/>
    </row>
    <row r="14" spans="1:16" ht="12.75" customHeight="1">
      <c r="A14" s="3106" t="s">
        <v>2</v>
      </c>
      <c r="B14" s="3106"/>
      <c r="C14" s="3106"/>
      <c r="D14" s="3106"/>
      <c r="E14" s="3106"/>
      <c r="F14" s="3106"/>
      <c r="G14" s="3106"/>
      <c r="H14" s="3106"/>
      <c r="I14" s="3106"/>
      <c r="J14" s="3106"/>
      <c r="K14" s="3106"/>
      <c r="L14" s="3106"/>
      <c r="M14" s="3106"/>
      <c r="N14" s="3106"/>
      <c r="O14" s="3106"/>
      <c r="P14" s="3106"/>
    </row>
    <row r="15" spans="1:16">
      <c r="A15" s="3105"/>
      <c r="B15" s="3105"/>
      <c r="C15" s="3105"/>
      <c r="D15" s="3105"/>
      <c r="E15" s="3105"/>
      <c r="F15" s="3105"/>
      <c r="G15" s="3105"/>
      <c r="H15" s="3105"/>
      <c r="I15" s="3105"/>
      <c r="J15" s="3105"/>
      <c r="K15" s="3105"/>
      <c r="L15" s="3105"/>
      <c r="M15" s="3105"/>
      <c r="N15" s="3105"/>
      <c r="O15" s="3105"/>
      <c r="P15" s="3105"/>
    </row>
    <row r="16" spans="1:16" ht="13.5">
      <c r="A16" s="3107"/>
      <c r="B16" s="3108" t="s">
        <v>3</v>
      </c>
      <c r="C16" s="3107"/>
      <c r="D16" s="3107"/>
      <c r="E16" s="3107"/>
      <c r="F16" s="3105"/>
      <c r="G16" s="3109" t="s">
        <v>4739</v>
      </c>
      <c r="H16" s="3107"/>
      <c r="I16" s="3107"/>
      <c r="J16" s="3107"/>
      <c r="K16" s="3107"/>
      <c r="L16" s="3105"/>
      <c r="M16" s="3107"/>
      <c r="N16" s="3107"/>
      <c r="O16" s="3107"/>
      <c r="P16" s="3110" t="s">
        <v>5</v>
      </c>
    </row>
    <row r="17" spans="1:16" ht="14.25" customHeight="1">
      <c r="A17" s="3107"/>
      <c r="B17" s="3111"/>
      <c r="C17" s="3111"/>
      <c r="D17" s="3111"/>
      <c r="E17" s="3111"/>
      <c r="F17" s="3105"/>
      <c r="G17" s="3109" t="s">
        <v>4740</v>
      </c>
      <c r="H17" s="3112"/>
      <c r="I17" s="3112"/>
      <c r="J17" s="3112"/>
      <c r="K17" s="3107"/>
      <c r="L17" s="3107"/>
      <c r="M17" s="3107"/>
      <c r="N17" s="3107"/>
      <c r="O17" s="3104" t="str">
        <f>'Part I-Project Information'!$O$6</f>
        <v>2018-008</v>
      </c>
      <c r="P17" s="3104"/>
    </row>
    <row r="18" spans="1:16">
      <c r="A18" s="3107"/>
      <c r="B18" s="3111"/>
      <c r="C18" s="3111"/>
      <c r="D18" s="3111"/>
      <c r="E18" s="3111"/>
      <c r="F18" s="3104"/>
      <c r="G18" s="3113" t="s">
        <v>8</v>
      </c>
      <c r="H18" s="3112"/>
      <c r="I18" s="3112"/>
      <c r="J18" s="3112"/>
      <c r="K18" s="3107"/>
      <c r="L18" s="3107"/>
      <c r="M18" s="3107"/>
      <c r="N18" s="3107"/>
      <c r="O18" s="3107"/>
      <c r="P18" s="3107"/>
    </row>
    <row r="19" spans="1:16">
      <c r="A19" s="3105"/>
      <c r="B19" s="3104"/>
      <c r="C19" s="3104"/>
      <c r="D19" s="3104"/>
      <c r="E19" s="3112"/>
      <c r="F19" s="3107"/>
      <c r="G19" s="3107"/>
      <c r="H19" s="3112"/>
      <c r="I19" s="3112"/>
      <c r="J19" s="3107"/>
      <c r="K19" s="3107"/>
      <c r="L19" s="3107"/>
      <c r="M19" s="3112"/>
      <c r="N19" s="3107"/>
      <c r="O19" s="3107"/>
      <c r="P19" s="3107"/>
    </row>
    <row r="20" spans="1:16">
      <c r="A20" s="3104" t="s">
        <v>9</v>
      </c>
      <c r="B20" s="3104" t="s">
        <v>10</v>
      </c>
      <c r="C20" s="3107"/>
      <c r="D20" s="3114"/>
      <c r="E20" s="3112"/>
      <c r="F20" s="3115" t="s">
        <v>11</v>
      </c>
      <c r="G20" s="3107"/>
      <c r="H20" s="3107"/>
      <c r="I20" s="3116">
        <f>'Part IV-A-Uses of Funds'!$J$175</f>
        <v>850000</v>
      </c>
      <c r="J20" s="3116"/>
      <c r="K20" s="3107"/>
      <c r="L20" s="3107" t="s">
        <v>12</v>
      </c>
      <c r="M20" s="3107"/>
      <c r="N20" s="3107"/>
      <c r="O20" s="3117">
        <f>'Part III-Sources of Funds'!$E$11</f>
        <v>0</v>
      </c>
      <c r="P20" s="3117"/>
    </row>
    <row r="21" spans="1:16">
      <c r="A21" s="3104"/>
      <c r="B21" s="3104"/>
      <c r="C21" s="3107"/>
      <c r="D21" s="3114"/>
      <c r="E21" s="3112"/>
      <c r="F21" s="3112"/>
      <c r="G21" s="3107"/>
      <c r="H21" s="3107"/>
      <c r="I21" s="3108"/>
      <c r="J21" s="3107"/>
      <c r="K21" s="3107"/>
      <c r="L21" s="3107"/>
      <c r="M21" s="3107"/>
      <c r="N21" s="3118"/>
      <c r="O21" s="3107"/>
      <c r="P21" s="3107"/>
    </row>
    <row r="22" spans="1:16" ht="13.5">
      <c r="A22" s="3108" t="s">
        <v>13</v>
      </c>
      <c r="B22" s="3104" t="s">
        <v>14</v>
      </c>
      <c r="C22" s="3107"/>
      <c r="D22" s="3107"/>
      <c r="E22" s="3107"/>
      <c r="F22" s="3119" t="str">
        <f>'Part I-Project Information'!$F$11</f>
        <v>9% Credit Competitive Round only</v>
      </c>
      <c r="G22" s="3119"/>
      <c r="H22" s="3119"/>
      <c r="I22" s="3120" t="s">
        <v>16</v>
      </c>
      <c r="J22" s="3104" t="s">
        <v>4741</v>
      </c>
      <c r="K22" s="3104"/>
      <c r="L22" s="3112"/>
      <c r="M22" s="3107"/>
      <c r="N22" s="3107"/>
      <c r="O22" s="3107" t="str">
        <f>'Part I-Project Information'!$O$11</f>
        <v>2018PA-001</v>
      </c>
      <c r="P22" s="3107"/>
    </row>
    <row r="23" spans="1:16" ht="13.5" customHeight="1">
      <c r="A23" s="3105"/>
      <c r="B23" s="3121" t="s">
        <v>19</v>
      </c>
      <c r="C23" s="3121"/>
      <c r="D23" s="3121"/>
      <c r="E23" s="3107"/>
      <c r="F23" s="3107"/>
      <c r="G23" s="3107"/>
      <c r="H23" s="3112"/>
      <c r="I23" s="3107"/>
      <c r="J23" s="3115" t="s">
        <v>20</v>
      </c>
      <c r="K23" s="3108"/>
      <c r="L23" s="3107"/>
      <c r="M23" s="3112"/>
      <c r="N23" s="3107"/>
      <c r="O23" s="3119" t="str">
        <f>'Part I-Project Information'!$O$12</f>
        <v>No</v>
      </c>
      <c r="P23" s="3119"/>
    </row>
    <row r="24" spans="1:16" ht="12.75" customHeight="1">
      <c r="A24" s="3105"/>
      <c r="B24" s="3121"/>
      <c r="C24" s="3121"/>
      <c r="D24" s="3121"/>
      <c r="E24" s="3107"/>
      <c r="F24" s="3107"/>
      <c r="G24" s="3107"/>
      <c r="H24" s="3112"/>
      <c r="I24" s="3107"/>
      <c r="J24" s="3115"/>
      <c r="K24" s="3108"/>
      <c r="L24" s="3107"/>
      <c r="M24" s="3112"/>
      <c r="N24" s="3107"/>
      <c r="O24" s="3107"/>
      <c r="P24" s="3107"/>
    </row>
    <row r="25" spans="1:16">
      <c r="A25" s="3105"/>
      <c r="B25" s="3121"/>
      <c r="C25" s="3121"/>
      <c r="D25" s="3121"/>
      <c r="E25" s="3107"/>
      <c r="F25" s="3122" t="str">
        <f>'Part I-Project Information'!$F$14</f>
        <v>Yes</v>
      </c>
      <c r="G25" s="3115" t="s">
        <v>23</v>
      </c>
      <c r="K25" s="3107"/>
      <c r="L25" s="3107"/>
      <c r="M25" s="3107"/>
      <c r="N25" s="3107"/>
      <c r="O25" s="3107"/>
      <c r="P25" s="3107"/>
    </row>
    <row r="26" spans="1:16">
      <c r="A26" s="3105"/>
      <c r="B26" s="3107" t="s">
        <v>24</v>
      </c>
      <c r="C26" s="3107"/>
      <c r="D26" s="3104"/>
      <c r="E26" s="3107"/>
      <c r="F26" s="3123" t="str">
        <f>'Part I-Project Information'!$F$15</f>
        <v>Mill at Stone Valley</v>
      </c>
      <c r="G26" s="3123"/>
      <c r="H26" s="3123"/>
      <c r="I26" s="3123"/>
      <c r="J26" s="3123"/>
      <c r="K26" s="3123"/>
      <c r="L26" s="3107" t="s">
        <v>26</v>
      </c>
      <c r="M26" s="3107"/>
      <c r="N26" s="3107"/>
      <c r="O26" s="3107" t="str">
        <f>'Part I-Project Information'!$O$15</f>
        <v>2017-008</v>
      </c>
      <c r="P26" s="3107"/>
    </row>
    <row r="27" spans="1:16">
      <c r="A27" s="3105"/>
      <c r="B27" s="3107" t="s">
        <v>28</v>
      </c>
      <c r="C27" s="3107"/>
      <c r="D27" s="3107"/>
      <c r="E27" s="3107"/>
      <c r="F27" s="3122" t="str">
        <f>'Part I-Project Information'!F16</f>
        <v>No</v>
      </c>
      <c r="G27" s="3107" t="s">
        <v>29</v>
      </c>
      <c r="H27" s="3112"/>
      <c r="I27" s="3113"/>
      <c r="J27" s="3115"/>
      <c r="K27" s="3107"/>
      <c r="L27" s="3107"/>
      <c r="M27" s="3124" t="str">
        <f>'Part I-Project Information'!M16</f>
        <v>Qualified w/out Conditions</v>
      </c>
      <c r="N27" s="3124"/>
      <c r="O27" s="3124"/>
      <c r="P27" s="3124"/>
    </row>
    <row r="28" spans="1:16">
      <c r="A28" s="3107"/>
      <c r="B28" s="3107"/>
      <c r="C28" s="3107"/>
      <c r="D28" s="3107"/>
      <c r="E28" s="3107"/>
      <c r="F28" s="3107"/>
      <c r="G28" s="3107"/>
      <c r="H28" s="3107"/>
      <c r="I28" s="3114"/>
      <c r="J28" s="3114"/>
      <c r="K28" s="3114"/>
      <c r="L28" s="3114"/>
      <c r="M28" s="3114"/>
      <c r="N28" s="3114"/>
      <c r="O28" s="3114"/>
      <c r="P28" s="3114"/>
    </row>
    <row r="29" spans="1:16">
      <c r="A29" s="3108" t="s">
        <v>31</v>
      </c>
      <c r="B29" s="3104" t="s">
        <v>4605</v>
      </c>
      <c r="C29" s="3107"/>
      <c r="D29" s="3115"/>
      <c r="E29" s="3112"/>
      <c r="F29" s="3107"/>
      <c r="G29" s="3112"/>
      <c r="H29" s="3112"/>
      <c r="I29" s="3112"/>
      <c r="J29" s="3107"/>
      <c r="K29" s="3107"/>
      <c r="L29" s="3118"/>
      <c r="M29" s="3107"/>
      <c r="N29" s="3107"/>
      <c r="O29" s="3107"/>
      <c r="P29" s="3107"/>
    </row>
    <row r="30" spans="1:16">
      <c r="A30" s="3108"/>
      <c r="B30" s="3112"/>
      <c r="C30" s="3104"/>
      <c r="D30" s="3115"/>
      <c r="E30" s="3112"/>
      <c r="F30" s="3107"/>
      <c r="G30" s="3112"/>
      <c r="H30" s="3112"/>
      <c r="I30" s="3112"/>
      <c r="J30" s="3107"/>
      <c r="K30" s="3118"/>
      <c r="L30" s="3118"/>
      <c r="M30" s="3107"/>
      <c r="N30" s="3107"/>
      <c r="O30" s="3105"/>
      <c r="P30" s="3107"/>
    </row>
    <row r="31" spans="1:16">
      <c r="A31" s="3107"/>
      <c r="B31" s="3107" t="s">
        <v>33</v>
      </c>
      <c r="C31" s="3107"/>
      <c r="D31" s="3107"/>
      <c r="E31" s="3107"/>
      <c r="F31" s="3107" t="str">
        <f>'Part I-Project Information'!F20</f>
        <v>TISHCO Development</v>
      </c>
      <c r="G31" s="3107">
        <f>'Part I-Project Information'!G20</f>
        <v>0</v>
      </c>
      <c r="H31" s="3107">
        <f>'Part I-Project Information'!H20</f>
        <v>0</v>
      </c>
      <c r="I31" s="3107" t="s">
        <v>35</v>
      </c>
      <c r="J31" s="3107" t="str">
        <f>'Part I-Project Information'!J20</f>
        <v>Mary T. Johnson</v>
      </c>
      <c r="K31" s="3107">
        <f>'Part I-Project Information'!K20</f>
        <v>0</v>
      </c>
      <c r="L31" s="3107">
        <f>'Part I-Project Information'!L20</f>
        <v>0</v>
      </c>
      <c r="M31" s="3115" t="s">
        <v>37</v>
      </c>
      <c r="N31" s="3107" t="str">
        <f>'Part I-Project Information'!N20</f>
        <v>President</v>
      </c>
      <c r="O31" s="3107">
        <f>'Part I-Project Information'!O20</f>
        <v>0</v>
      </c>
      <c r="P31" s="3107">
        <f>'Part I-Project Information'!P20</f>
        <v>0</v>
      </c>
    </row>
    <row r="32" spans="1:16" ht="12.75" customHeight="1">
      <c r="A32" s="3107"/>
      <c r="B32" s="3115" t="s">
        <v>39</v>
      </c>
      <c r="C32" s="3107"/>
      <c r="D32" s="3107"/>
      <c r="E32" s="3107"/>
      <c r="F32" s="3107" t="str">
        <f>'Part I-Project Information'!F21</f>
        <v>314 North Patterson Street</v>
      </c>
      <c r="G32" s="3107">
        <f>'Part I-Project Information'!G21</f>
        <v>0</v>
      </c>
      <c r="H32" s="3107">
        <f>'Part I-Project Information'!H21</f>
        <v>0</v>
      </c>
      <c r="I32" s="3107">
        <f>'Part I-Project Information'!I21</f>
        <v>0</v>
      </c>
      <c r="J32" s="3107">
        <f>'Part I-Project Information'!J21</f>
        <v>0</v>
      </c>
      <c r="K32" s="3107">
        <f>'Part I-Project Information'!K21</f>
        <v>0</v>
      </c>
      <c r="L32" s="3107">
        <f>'Part I-Project Information'!L21</f>
        <v>0</v>
      </c>
      <c r="M32" s="3125" t="s">
        <v>41</v>
      </c>
      <c r="N32" s="3125"/>
      <c r="O32" s="3125"/>
      <c r="P32" s="3125"/>
    </row>
    <row r="33" spans="1:16" ht="12.75" customHeight="1">
      <c r="A33" s="3107"/>
      <c r="B33" s="3115" t="s">
        <v>42</v>
      </c>
      <c r="C33" s="3107"/>
      <c r="D33" s="3107"/>
      <c r="E33" s="3107"/>
      <c r="F33" s="3107" t="str">
        <f>'Part I-Project Information'!F22</f>
        <v>Valdosta</v>
      </c>
      <c r="G33" s="3107">
        <f>'Part I-Project Information'!G22</f>
        <v>0</v>
      </c>
      <c r="H33" s="3107">
        <f>'Part I-Project Information'!H22</f>
        <v>0</v>
      </c>
      <c r="I33" s="3115" t="s">
        <v>44</v>
      </c>
      <c r="J33" s="3126" t="str">
        <f>'Part I-Project Information'!J22</f>
        <v>GA</v>
      </c>
      <c r="K33" s="3107"/>
      <c r="L33" s="3107"/>
      <c r="M33" s="3125"/>
      <c r="N33" s="3125"/>
      <c r="O33" s="3125"/>
      <c r="P33" s="3125"/>
    </row>
    <row r="34" spans="1:16">
      <c r="A34" s="3107"/>
      <c r="B34" s="3115" t="s">
        <v>46</v>
      </c>
      <c r="C34" s="3107"/>
      <c r="D34" s="3107"/>
      <c r="E34" s="3107"/>
      <c r="F34" s="3127">
        <f>'Part I-Project Information'!F23</f>
        <v>316015526</v>
      </c>
      <c r="G34" s="3127">
        <f>'Part I-Project Information'!G23</f>
        <v>0</v>
      </c>
      <c r="H34" s="3127">
        <f>'Part I-Project Information'!H23</f>
        <v>0</v>
      </c>
      <c r="I34" s="3115" t="s">
        <v>47</v>
      </c>
      <c r="J34" s="3128">
        <f>'Part I-Project Information'!J23</f>
        <v>2292427759</v>
      </c>
      <c r="K34" s="3128">
        <f>'Part I-Project Information'!K23</f>
        <v>0</v>
      </c>
      <c r="L34" s="3112" t="s">
        <v>48</v>
      </c>
      <c r="M34" s="3112">
        <f>'Part I-Project Information'!M23</f>
        <v>2232</v>
      </c>
      <c r="N34" s="3115" t="s">
        <v>49</v>
      </c>
      <c r="O34" s="3128">
        <f>'Part I-Project Information'!O23</f>
        <v>2293162232</v>
      </c>
      <c r="P34" s="3128">
        <f>'Part I-Project Information'!P23</f>
        <v>0</v>
      </c>
    </row>
    <row r="35" spans="1:16">
      <c r="A35" s="3107"/>
      <c r="B35" s="3115" t="s">
        <v>50</v>
      </c>
      <c r="C35" s="3107"/>
      <c r="D35" s="3107"/>
      <c r="E35" s="3107"/>
      <c r="F35" s="3107" t="str">
        <f>'Part I-Project Information'!F24</f>
        <v>tish.johnson@tishcollc.com</v>
      </c>
      <c r="G35" s="3107">
        <f>'Part I-Project Information'!G24</f>
        <v>0</v>
      </c>
      <c r="H35" s="3107">
        <f>'Part I-Project Information'!H24</f>
        <v>0</v>
      </c>
      <c r="I35" s="3107">
        <f>'Part I-Project Information'!I24</f>
        <v>0</v>
      </c>
      <c r="J35" s="3107">
        <f>'Part I-Project Information'!J24</f>
        <v>0</v>
      </c>
      <c r="K35" s="3107">
        <f>'Part I-Project Information'!K24</f>
        <v>0</v>
      </c>
      <c r="L35" s="3107"/>
      <c r="M35" s="3107"/>
      <c r="N35" s="3115" t="s">
        <v>52</v>
      </c>
      <c r="O35" s="3128">
        <f>'Part I-Project Information'!O24</f>
        <v>2295615959</v>
      </c>
      <c r="P35" s="3128">
        <f>'Part I-Project Information'!P24</f>
        <v>0</v>
      </c>
    </row>
    <row r="36" spans="1:16">
      <c r="A36" s="3105"/>
      <c r="B36" s="3104" t="s">
        <v>4606</v>
      </c>
      <c r="C36" s="3114"/>
      <c r="D36" s="3107"/>
      <c r="E36" s="3107"/>
      <c r="F36" s="3107"/>
      <c r="G36" s="3107"/>
      <c r="H36" s="3112"/>
      <c r="I36" s="3107"/>
      <c r="J36" s="3114"/>
      <c r="K36" s="3107"/>
      <c r="L36" s="3107"/>
      <c r="M36" s="3107"/>
      <c r="N36" s="3107"/>
      <c r="O36" s="3107"/>
      <c r="P36" s="3129"/>
    </row>
    <row r="37" spans="1:16">
      <c r="A37" s="3107"/>
      <c r="B37" s="3107" t="s">
        <v>33</v>
      </c>
      <c r="C37" s="3107"/>
      <c r="D37" s="3107"/>
      <c r="E37" s="3107"/>
      <c r="F37" s="3107" t="str">
        <f>'Part I-Project Information'!F26</f>
        <v>TISHCO Development</v>
      </c>
      <c r="G37" s="3107">
        <f>'Part I-Project Information'!G26</f>
        <v>0</v>
      </c>
      <c r="H37" s="3107">
        <f>'Part I-Project Information'!H26</f>
        <v>0</v>
      </c>
      <c r="I37" s="3107" t="s">
        <v>35</v>
      </c>
      <c r="J37" s="3107" t="str">
        <f>'Part I-Project Information'!J26</f>
        <v>Steven T. Johnson</v>
      </c>
      <c r="K37" s="3107">
        <f>'Part I-Project Information'!K26</f>
        <v>0</v>
      </c>
      <c r="L37" s="3107">
        <f>'Part I-Project Information'!L26</f>
        <v>0</v>
      </c>
      <c r="M37" s="3115" t="s">
        <v>37</v>
      </c>
      <c r="N37" s="3107" t="str">
        <f>'Part I-Project Information'!N26</f>
        <v>Principal</v>
      </c>
      <c r="O37" s="3107">
        <f>'Part I-Project Information'!O26</f>
        <v>0</v>
      </c>
      <c r="P37" s="3107">
        <f>'Part I-Project Information'!P26</f>
        <v>0</v>
      </c>
    </row>
    <row r="38" spans="1:16" ht="12.75" customHeight="1">
      <c r="A38" s="3107"/>
      <c r="B38" s="3115" t="s">
        <v>39</v>
      </c>
      <c r="C38" s="3107"/>
      <c r="D38" s="3107"/>
      <c r="E38" s="3107"/>
      <c r="F38" s="3107" t="str">
        <f>'Part I-Project Information'!F27</f>
        <v>314 North Patterson Street</v>
      </c>
      <c r="G38" s="3107">
        <f>'Part I-Project Information'!G27</f>
        <v>0</v>
      </c>
      <c r="H38" s="3107">
        <f>'Part I-Project Information'!H27</f>
        <v>0</v>
      </c>
      <c r="I38" s="3107">
        <f>'Part I-Project Information'!I27</f>
        <v>0</v>
      </c>
      <c r="J38" s="3107">
        <f>'Part I-Project Information'!J27</f>
        <v>0</v>
      </c>
      <c r="K38" s="3107">
        <f>'Part I-Project Information'!K27</f>
        <v>0</v>
      </c>
      <c r="L38" s="3107">
        <f>'Part I-Project Information'!L27</f>
        <v>0</v>
      </c>
      <c r="M38" s="3125" t="s">
        <v>41</v>
      </c>
      <c r="N38" s="3125"/>
      <c r="O38" s="3125"/>
      <c r="P38" s="3125"/>
    </row>
    <row r="39" spans="1:16" ht="12.75" customHeight="1">
      <c r="A39" s="3107"/>
      <c r="B39" s="3115" t="s">
        <v>42</v>
      </c>
      <c r="C39" s="3107"/>
      <c r="D39" s="3107"/>
      <c r="E39" s="3107"/>
      <c r="F39" s="3107" t="str">
        <f>'Part I-Project Information'!F28</f>
        <v>Valdosta</v>
      </c>
      <c r="G39" s="3107">
        <f>'Part I-Project Information'!G28</f>
        <v>0</v>
      </c>
      <c r="H39" s="3107">
        <f>'Part I-Project Information'!H28</f>
        <v>0</v>
      </c>
      <c r="I39" s="3115" t="s">
        <v>44</v>
      </c>
      <c r="J39" s="3126" t="str">
        <f>'Part I-Project Information'!J28</f>
        <v>GA</v>
      </c>
      <c r="K39" s="3107"/>
      <c r="L39" s="3107"/>
      <c r="M39" s="3125"/>
      <c r="N39" s="3125"/>
      <c r="O39" s="3125"/>
      <c r="P39" s="3125"/>
    </row>
    <row r="40" spans="1:16">
      <c r="A40" s="3107"/>
      <c r="B40" s="3115" t="s">
        <v>46</v>
      </c>
      <c r="C40" s="3107"/>
      <c r="D40" s="3107"/>
      <c r="E40" s="3107"/>
      <c r="F40" s="3127">
        <f>'Part I-Project Information'!F29</f>
        <v>316015526</v>
      </c>
      <c r="G40" s="3127">
        <f>'Part I-Project Information'!G29</f>
        <v>0</v>
      </c>
      <c r="H40" s="3127">
        <f>'Part I-Project Information'!H29</f>
        <v>0</v>
      </c>
      <c r="I40" s="3115" t="s">
        <v>47</v>
      </c>
      <c r="J40" s="3128">
        <f>'Part I-Project Information'!J29</f>
        <v>2292427759</v>
      </c>
      <c r="K40" s="3128">
        <f>'Part I-Project Information'!K29</f>
        <v>0</v>
      </c>
      <c r="L40" s="3112" t="s">
        <v>48</v>
      </c>
      <c r="M40" s="3112">
        <f>'Part I-Project Information'!M29</f>
        <v>2212</v>
      </c>
      <c r="N40" s="3115" t="s">
        <v>49</v>
      </c>
      <c r="O40" s="3128">
        <f>'Part I-Project Information'!O29</f>
        <v>2293162212</v>
      </c>
      <c r="P40" s="3128">
        <f>'Part I-Project Information'!P29</f>
        <v>0</v>
      </c>
    </row>
    <row r="41" spans="1:16">
      <c r="A41" s="3107"/>
      <c r="B41" s="3115" t="s">
        <v>50</v>
      </c>
      <c r="C41" s="3107"/>
      <c r="D41" s="3107"/>
      <c r="E41" s="3107"/>
      <c r="F41" s="3107" t="str">
        <f>'Part I-Project Information'!F30</f>
        <v>steve.johnson@tishcollc.com</v>
      </c>
      <c r="G41" s="3107">
        <f>'Part I-Project Information'!G30</f>
        <v>0</v>
      </c>
      <c r="H41" s="3107">
        <f>'Part I-Project Information'!H30</f>
        <v>0</v>
      </c>
      <c r="I41" s="3107">
        <f>'Part I-Project Information'!I30</f>
        <v>0</v>
      </c>
      <c r="J41" s="3107">
        <f>'Part I-Project Information'!J30</f>
        <v>0</v>
      </c>
      <c r="K41" s="3107">
        <f>'Part I-Project Information'!K30</f>
        <v>0</v>
      </c>
      <c r="L41" s="3107"/>
      <c r="M41" s="3107"/>
      <c r="N41" s="3115" t="s">
        <v>52</v>
      </c>
      <c r="O41" s="3128">
        <f>'Part I-Project Information'!O30</f>
        <v>8503401334</v>
      </c>
      <c r="P41" s="3128">
        <f>'Part I-Project Information'!P30</f>
        <v>0</v>
      </c>
    </row>
    <row r="42" spans="1:16">
      <c r="A42" s="3105"/>
      <c r="B42" s="3105"/>
      <c r="C42" s="3114"/>
      <c r="D42" s="3107"/>
      <c r="E42" s="3107"/>
      <c r="F42" s="3107"/>
      <c r="G42" s="3107"/>
      <c r="H42" s="3112"/>
      <c r="I42" s="3107"/>
      <c r="J42" s="3114"/>
      <c r="K42" s="3107"/>
      <c r="L42" s="3107"/>
      <c r="M42" s="3107"/>
      <c r="N42" s="3107"/>
      <c r="O42" s="3107"/>
      <c r="P42" s="3129"/>
    </row>
    <row r="43" spans="1:16">
      <c r="A43" s="3108" t="s">
        <v>57</v>
      </c>
      <c r="B43" s="3104" t="s">
        <v>58</v>
      </c>
      <c r="C43" s="3107"/>
      <c r="D43" s="3114"/>
      <c r="E43" s="3112"/>
      <c r="F43" s="3112"/>
      <c r="G43" s="3115"/>
      <c r="H43" s="3112"/>
      <c r="I43" s="3112"/>
      <c r="J43" s="3112"/>
      <c r="K43" s="3107"/>
      <c r="L43" s="3118"/>
      <c r="M43" s="3118"/>
      <c r="N43" s="3107"/>
      <c r="O43" s="3107"/>
      <c r="P43" s="3107"/>
    </row>
    <row r="44" spans="1:16">
      <c r="A44" s="3108"/>
      <c r="B44" s="3104"/>
      <c r="C44" s="3107"/>
      <c r="D44" s="3114"/>
      <c r="E44" s="3112"/>
      <c r="F44" s="3112"/>
      <c r="G44" s="3115"/>
      <c r="H44" s="3112"/>
      <c r="I44" s="3112"/>
      <c r="J44" s="3112"/>
      <c r="K44" s="3107"/>
      <c r="L44" s="3118"/>
      <c r="M44" s="3107"/>
      <c r="N44" s="3107"/>
      <c r="O44" s="3107"/>
      <c r="P44" s="3107"/>
    </row>
    <row r="45" spans="1:16">
      <c r="A45" s="3104"/>
      <c r="B45" s="3107" t="s">
        <v>59</v>
      </c>
      <c r="C45" s="3107"/>
      <c r="D45" s="3104"/>
      <c r="E45" s="3107"/>
      <c r="F45" s="3123" t="str">
        <f>'Part I-Project Information'!F34</f>
        <v>Mill at Stone Valley</v>
      </c>
      <c r="G45" s="3123">
        <f>'Part I-Project Information'!G34</f>
        <v>0</v>
      </c>
      <c r="H45" s="3123">
        <f>'Part I-Project Information'!H34</f>
        <v>0</v>
      </c>
      <c r="I45" s="3123">
        <f>'Part I-Project Information'!I34</f>
        <v>0</v>
      </c>
      <c r="J45" s="3123">
        <f>'Part I-Project Information'!J34</f>
        <v>0</v>
      </c>
      <c r="K45" s="3123">
        <f>'Part I-Project Information'!K34</f>
        <v>0</v>
      </c>
      <c r="L45" s="3115" t="s">
        <v>60</v>
      </c>
      <c r="M45" s="3107"/>
      <c r="N45" s="3107"/>
      <c r="O45" s="3107" t="str">
        <f>'Part I-Project Information'!O34</f>
        <v>No</v>
      </c>
      <c r="P45" s="3107">
        <f>'Part I-Project Information'!P34</f>
        <v>0</v>
      </c>
    </row>
    <row r="46" spans="1:16">
      <c r="A46" s="3110"/>
      <c r="B46" s="3107" t="s">
        <v>61</v>
      </c>
      <c r="C46" s="3107"/>
      <c r="D46" s="3118"/>
      <c r="E46" s="3107"/>
      <c r="F46" s="3107" t="str">
        <f>'Part I-Project Information'!F35</f>
        <v>Ball Ground Highway &amp; Coy M. Holcomb Drive</v>
      </c>
      <c r="G46" s="3107">
        <f>'Part I-Project Information'!G35</f>
        <v>0</v>
      </c>
      <c r="H46" s="3107">
        <f>'Part I-Project Information'!H35</f>
        <v>0</v>
      </c>
      <c r="I46" s="3107">
        <f>'Part I-Project Information'!I35</f>
        <v>0</v>
      </c>
      <c r="J46" s="3107">
        <f>'Part I-Project Information'!J35</f>
        <v>0</v>
      </c>
      <c r="K46" s="3107">
        <f>'Part I-Project Information'!K35</f>
        <v>0</v>
      </c>
      <c r="L46" s="3107" t="s">
        <v>63</v>
      </c>
      <c r="M46" s="3107"/>
      <c r="N46" s="3107"/>
      <c r="O46" s="3107" t="str">
        <f>'Part I-Project Information'!O35</f>
        <v>N/A</v>
      </c>
      <c r="P46" s="3107">
        <f>'Part I-Project Information'!P35</f>
        <v>0</v>
      </c>
    </row>
    <row r="47" spans="1:16">
      <c r="A47" s="3110"/>
      <c r="B47" s="3107" t="s">
        <v>4742</v>
      </c>
      <c r="C47" s="3107"/>
      <c r="D47" s="3118"/>
      <c r="E47" s="3107"/>
      <c r="F47" s="3107" t="str">
        <f>'Part I-Project Information'!F36</f>
        <v>155 Howell Bridge Road</v>
      </c>
      <c r="G47" s="3107">
        <f>'Part I-Project Information'!G36</f>
        <v>0</v>
      </c>
      <c r="H47" s="3107">
        <f>'Part I-Project Information'!H36</f>
        <v>0</v>
      </c>
      <c r="I47" s="3107">
        <f>'Part I-Project Information'!I36</f>
        <v>0</v>
      </c>
      <c r="J47" s="3107">
        <f>'Part I-Project Information'!J36</f>
        <v>0</v>
      </c>
      <c r="K47" s="3107">
        <f>'Part I-Project Information'!K36</f>
        <v>0</v>
      </c>
      <c r="L47" s="3115" t="s">
        <v>67</v>
      </c>
      <c r="M47" s="3107"/>
      <c r="N47" s="3112" t="str">
        <f>'Part I-Project Information'!N36</f>
        <v>No</v>
      </c>
      <c r="O47" s="3112" t="s">
        <v>68</v>
      </c>
      <c r="P47" s="3112" t="str">
        <f>'Part I-Project Information'!P36</f>
        <v>N/A</v>
      </c>
    </row>
    <row r="48" spans="1:16">
      <c r="A48" s="3110"/>
      <c r="B48" s="3107" t="s">
        <v>69</v>
      </c>
      <c r="C48" s="3107"/>
      <c r="D48" s="3118"/>
      <c r="E48" s="3107"/>
      <c r="F48" s="3107" t="s">
        <v>70</v>
      </c>
      <c r="G48" s="3130">
        <f>'Part I-Project Information'!G37</f>
        <v>34.329286000000003</v>
      </c>
      <c r="H48" s="3130">
        <f>'Part I-Project Information'!H37</f>
        <v>0</v>
      </c>
      <c r="I48" s="3112" t="s">
        <v>71</v>
      </c>
      <c r="J48" s="3130">
        <f>'Part I-Project Information'!J37</f>
        <v>-84.386528999999996</v>
      </c>
      <c r="K48" s="3130">
        <f>'Part I-Project Information'!K37</f>
        <v>0</v>
      </c>
      <c r="L48" s="3115" t="s">
        <v>72</v>
      </c>
      <c r="M48" s="3107"/>
      <c r="N48" s="3107"/>
      <c r="O48" s="3131">
        <f>'Part I-Project Information'!O37</f>
        <v>7.54</v>
      </c>
      <c r="P48" s="3131">
        <f>'Part I-Project Information'!P37</f>
        <v>0</v>
      </c>
    </row>
    <row r="49" spans="1:16" ht="16.5">
      <c r="A49" s="3105"/>
      <c r="B49" s="3107" t="s">
        <v>42</v>
      </c>
      <c r="C49" s="3107"/>
      <c r="D49" s="3107"/>
      <c r="E49" s="3107"/>
      <c r="F49" s="3107" t="str">
        <f>'Part I-Project Information'!F38</f>
        <v>Ball Ground</v>
      </c>
      <c r="G49" s="3107">
        <f>'Part I-Project Information'!G38</f>
        <v>0</v>
      </c>
      <c r="H49" s="3107">
        <f>'Part I-Project Information'!H38</f>
        <v>0</v>
      </c>
      <c r="I49" s="3132" t="s">
        <v>4743</v>
      </c>
      <c r="J49" s="3127">
        <f>'Part I-Project Information'!J38</f>
        <v>301070000</v>
      </c>
      <c r="K49" s="3127">
        <f>'Part I-Project Information'!K38</f>
        <v>0</v>
      </c>
      <c r="L49" s="3104" t="str">
        <f>IF(AND(NOT(F45=""),NOT(F49="Select from list"),J49=""),"Enter Zip!","")</f>
        <v/>
      </c>
      <c r="M49" s="3133" t="s">
        <v>75</v>
      </c>
      <c r="N49" s="3107"/>
      <c r="O49" s="3134" t="str">
        <f>'Part I-Project Information'!O38</f>
        <v>0901.00</v>
      </c>
      <c r="P49" s="3135">
        <f>'Part I-Project Information'!P38</f>
        <v>0</v>
      </c>
    </row>
    <row r="50" spans="1:16">
      <c r="A50" s="3105"/>
      <c r="B50" s="3107" t="s">
        <v>77</v>
      </c>
      <c r="C50" s="3107"/>
      <c r="D50" s="3107"/>
      <c r="E50" s="3107"/>
      <c r="F50" s="3107" t="str">
        <f>'Part I-Project Information'!F39</f>
        <v>Within City Limits</v>
      </c>
      <c r="G50" s="3107">
        <f>'Part I-Project Information'!G39</f>
        <v>0</v>
      </c>
      <c r="H50" s="3107">
        <f>'Part I-Project Information'!H39</f>
        <v>0</v>
      </c>
      <c r="I50" s="3136" t="s">
        <v>79</v>
      </c>
      <c r="J50" s="3123" t="str">
        <f>'Part I-Project Information'!J39</f>
        <v>Cherokee</v>
      </c>
      <c r="K50" s="3123">
        <f>'Part I-Project Information'!K39</f>
        <v>0</v>
      </c>
      <c r="L50" s="3107"/>
      <c r="M50" s="3115" t="s">
        <v>80</v>
      </c>
      <c r="N50" s="3137" t="str">
        <f>'Part I-Project Information'!N39</f>
        <v>No</v>
      </c>
      <c r="O50" s="3112" t="s">
        <v>81</v>
      </c>
      <c r="P50" s="3137" t="str">
        <f>'Part I-Project Information'!P39</f>
        <v>No</v>
      </c>
    </row>
    <row r="51" spans="1:16">
      <c r="A51" s="3105"/>
      <c r="B51" s="3104"/>
      <c r="C51" s="3107" t="s">
        <v>82</v>
      </c>
      <c r="D51" s="3107"/>
      <c r="E51" s="3107"/>
      <c r="F51" s="3115" t="str">
        <f>'Part I-Project Information'!F40</f>
        <v>Yes</v>
      </c>
      <c r="G51" s="3107" t="s">
        <v>83</v>
      </c>
      <c r="H51" s="3107"/>
      <c r="I51" s="3112" t="str">
        <f>'Part I-Project Information'!I40</f>
        <v>No</v>
      </c>
      <c r="J51" s="3112" t="s">
        <v>84</v>
      </c>
      <c r="K51" s="3112" t="str">
        <f>'Part I-Project Information'!K40</f>
        <v>Rural</v>
      </c>
      <c r="L51" s="3107"/>
      <c r="M51" s="3115" t="s">
        <v>85</v>
      </c>
      <c r="N51" s="3105" t="str">
        <f>'Part I-Project Information'!N40</f>
        <v>MSA</v>
      </c>
      <c r="O51" s="3107" t="str">
        <f>'Part I-Project Information'!O40</f>
        <v>Atlanta-Sandy Springs-Marietta</v>
      </c>
      <c r="P51" s="3107">
        <f>'Part I-Project Information'!P40</f>
        <v>0</v>
      </c>
    </row>
    <row r="52" spans="1:16">
      <c r="A52" s="3105"/>
      <c r="B52" s="3104"/>
      <c r="C52" s="3104"/>
      <c r="D52" s="3107"/>
      <c r="E52" s="3107"/>
      <c r="F52" s="3107"/>
      <c r="G52" s="3107"/>
      <c r="H52" s="3107"/>
      <c r="I52" s="3115"/>
      <c r="J52" s="3107"/>
      <c r="K52" s="3107"/>
      <c r="L52" s="3137"/>
      <c r="M52" s="3137"/>
      <c r="N52" s="3137"/>
      <c r="O52" s="3137"/>
      <c r="P52" s="3137"/>
    </row>
    <row r="53" spans="1:16" ht="13.5">
      <c r="A53" s="3105"/>
      <c r="B53" s="3107"/>
      <c r="C53" s="3107" t="s">
        <v>4744</v>
      </c>
      <c r="D53" s="3107"/>
      <c r="E53" s="3107"/>
      <c r="F53" s="3138" t="s">
        <v>87</v>
      </c>
      <c r="G53" s="3138"/>
      <c r="H53" s="3107" t="s">
        <v>88</v>
      </c>
      <c r="I53" s="3107"/>
      <c r="J53" s="3107" t="s">
        <v>89</v>
      </c>
      <c r="K53" s="3107"/>
      <c r="L53" s="3139" t="s">
        <v>4607</v>
      </c>
      <c r="M53" s="3107"/>
      <c r="N53" s="3107"/>
      <c r="O53" s="3107"/>
      <c r="P53" s="3107"/>
    </row>
    <row r="54" spans="1:16">
      <c r="A54" s="3105"/>
      <c r="B54" s="3107" t="s">
        <v>4745</v>
      </c>
      <c r="C54" s="3107"/>
      <c r="D54" s="3104"/>
      <c r="E54" s="3107"/>
      <c r="F54" s="3140">
        <f>'Part I-Project Information'!F43</f>
        <v>11</v>
      </c>
      <c r="G54" s="3140">
        <f>'Part I-Project Information'!G43</f>
        <v>0</v>
      </c>
      <c r="H54" s="3140">
        <f>'Part I-Project Information'!H43</f>
        <v>21</v>
      </c>
      <c r="I54" s="3140">
        <f>'Part I-Project Information'!I43</f>
        <v>0</v>
      </c>
      <c r="J54" s="3140">
        <f>'Part I-Project Information'!J43</f>
        <v>22</v>
      </c>
      <c r="K54" s="3140">
        <f>'Part I-Project Information'!K43</f>
        <v>0</v>
      </c>
      <c r="L54" s="3113" t="s">
        <v>92</v>
      </c>
      <c r="M54" s="3107"/>
      <c r="N54" s="3141" t="s">
        <v>93</v>
      </c>
      <c r="O54" s="3141"/>
      <c r="P54" s="3141"/>
    </row>
    <row r="55" spans="1:16">
      <c r="A55" s="3105"/>
      <c r="B55" s="3115" t="s">
        <v>94</v>
      </c>
      <c r="C55" s="3107"/>
      <c r="D55" s="3107"/>
      <c r="E55" s="3107"/>
      <c r="F55" s="3140">
        <f>'Part I-Project Information'!F44</f>
        <v>0</v>
      </c>
      <c r="G55" s="3140">
        <f>'Part I-Project Information'!G44</f>
        <v>0</v>
      </c>
      <c r="H55" s="3140">
        <f>'Part I-Project Information'!H44</f>
        <v>0</v>
      </c>
      <c r="I55" s="3140">
        <f>'Part I-Project Information'!I44</f>
        <v>0</v>
      </c>
      <c r="J55" s="3140">
        <f>'Part I-Project Information'!J44</f>
        <v>0</v>
      </c>
      <c r="K55" s="3140">
        <f>'Part I-Project Information'!K44</f>
        <v>0</v>
      </c>
      <c r="L55" s="3113" t="s">
        <v>95</v>
      </c>
      <c r="M55" s="3107"/>
      <c r="N55" s="3142" t="s">
        <v>96</v>
      </c>
      <c r="O55" s="3142"/>
      <c r="P55" s="3107"/>
    </row>
    <row r="56" spans="1:16">
      <c r="A56" s="3105"/>
      <c r="B56" s="3107"/>
      <c r="C56" s="3107"/>
      <c r="D56" s="3107"/>
      <c r="E56" s="3107"/>
      <c r="F56" s="3107"/>
      <c r="G56" s="3107"/>
      <c r="H56" s="3107"/>
      <c r="I56" s="3137"/>
      <c r="J56" s="3137"/>
      <c r="K56" s="3137"/>
      <c r="L56" s="3107"/>
      <c r="M56" s="3107"/>
      <c r="N56" s="3107"/>
      <c r="O56" s="3107"/>
      <c r="P56" s="3107"/>
    </row>
    <row r="57" spans="1:16">
      <c r="A57" s="3105"/>
      <c r="B57" s="3104" t="s">
        <v>97</v>
      </c>
      <c r="C57" s="3107"/>
      <c r="D57" s="3107"/>
      <c r="E57" s="3107"/>
      <c r="F57" s="3143" t="str">
        <f>'Part I-Project Information'!F46</f>
        <v>City of Ball Ground</v>
      </c>
      <c r="G57" s="3143">
        <f>'Part I-Project Information'!G46</f>
        <v>0</v>
      </c>
      <c r="H57" s="3143">
        <f>'Part I-Project Information'!H46</f>
        <v>0</v>
      </c>
      <c r="I57" s="3143">
        <f>'Part I-Project Information'!I46</f>
        <v>0</v>
      </c>
      <c r="J57" s="3143">
        <f>'Part I-Project Information'!J46</f>
        <v>0</v>
      </c>
      <c r="K57" s="3143">
        <f>'Part I-Project Information'!K46</f>
        <v>0</v>
      </c>
      <c r="L57" s="3144" t="s">
        <v>99</v>
      </c>
      <c r="M57" s="3107" t="str">
        <f>'Part I-Project Information'!M46</f>
        <v>http://www.cityofballground.com/</v>
      </c>
      <c r="N57" s="3107">
        <f>'Part I-Project Information'!N46</f>
        <v>0</v>
      </c>
      <c r="O57" s="3107">
        <f>'Part I-Project Information'!O46</f>
        <v>0</v>
      </c>
      <c r="P57" s="3107">
        <f>'Part I-Project Information'!P46</f>
        <v>0</v>
      </c>
    </row>
    <row r="58" spans="1:16">
      <c r="A58" s="3105"/>
      <c r="B58" s="3107" t="s">
        <v>101</v>
      </c>
      <c r="C58" s="3107"/>
      <c r="D58" s="3107"/>
      <c r="E58" s="3107"/>
      <c r="F58" s="3143" t="str">
        <f>'Part I-Project Information'!F47</f>
        <v>A.R. (Rick) Roberts III</v>
      </c>
      <c r="G58" s="3143">
        <f>'Part I-Project Information'!G47</f>
        <v>0</v>
      </c>
      <c r="H58" s="3143">
        <f>'Part I-Project Information'!H47</f>
        <v>0</v>
      </c>
      <c r="I58" s="3112" t="s">
        <v>37</v>
      </c>
      <c r="J58" s="3107" t="str">
        <f>'Part I-Project Information'!J47</f>
        <v>Mayor</v>
      </c>
      <c r="K58" s="3107">
        <f>'Part I-Project Information'!K47</f>
        <v>0</v>
      </c>
      <c r="L58" s="3144"/>
      <c r="M58" s="3107"/>
      <c r="N58" s="3107"/>
      <c r="O58" s="3107"/>
      <c r="P58" s="3107"/>
    </row>
    <row r="59" spans="1:16">
      <c r="A59" s="3105"/>
      <c r="B59" s="3107" t="s">
        <v>39</v>
      </c>
      <c r="C59" s="3107"/>
      <c r="D59" s="3107"/>
      <c r="E59" s="3107"/>
      <c r="F59" s="3143" t="str">
        <f>'Part I-Project Information'!F48</f>
        <v>215 Valley Street</v>
      </c>
      <c r="G59" s="3143">
        <f>'Part I-Project Information'!G48</f>
        <v>0</v>
      </c>
      <c r="H59" s="3143">
        <f>'Part I-Project Information'!H48</f>
        <v>0</v>
      </c>
      <c r="I59" s="3143">
        <f>'Part I-Project Information'!I48</f>
        <v>0</v>
      </c>
      <c r="J59" s="3143">
        <f>'Part I-Project Information'!J48</f>
        <v>0</v>
      </c>
      <c r="K59" s="3143">
        <f>'Part I-Project Information'!K48</f>
        <v>0</v>
      </c>
      <c r="L59" s="3115" t="s">
        <v>42</v>
      </c>
      <c r="M59" s="3143" t="str">
        <f>'Part I-Project Information'!M48</f>
        <v>Ball Ground</v>
      </c>
      <c r="N59" s="3143">
        <f>'Part I-Project Information'!N48</f>
        <v>0</v>
      </c>
      <c r="O59" s="3143">
        <f>'Part I-Project Information'!O48</f>
        <v>0</v>
      </c>
      <c r="P59" s="3143">
        <f>'Part I-Project Information'!P48</f>
        <v>0</v>
      </c>
    </row>
    <row r="60" spans="1:16">
      <c r="A60" s="3105"/>
      <c r="B60" s="3115" t="s">
        <v>46</v>
      </c>
      <c r="C60" s="3107"/>
      <c r="D60" s="3107"/>
      <c r="E60" s="3107"/>
      <c r="F60" s="3127">
        <f>'Part I-Project Information'!F49</f>
        <v>301074049</v>
      </c>
      <c r="G60" s="3127">
        <f>'Part I-Project Information'!G49</f>
        <v>0</v>
      </c>
      <c r="H60" s="3112" t="s">
        <v>105</v>
      </c>
      <c r="I60" s="3128">
        <f>'Part I-Project Information'!I49</f>
        <v>7707352123</v>
      </c>
      <c r="J60" s="3128">
        <f>'Part I-Project Information'!J49</f>
        <v>0</v>
      </c>
      <c r="K60" s="3128">
        <f>'Part I-Project Information'!K49</f>
        <v>0</v>
      </c>
      <c r="L60" s="3115" t="s">
        <v>106</v>
      </c>
      <c r="M60" s="3143" t="str">
        <f>'Part I-Project Information'!M49</f>
        <v>rickroberts@cityofballground.com</v>
      </c>
      <c r="N60" s="3143">
        <f>'Part I-Project Information'!N49</f>
        <v>0</v>
      </c>
      <c r="O60" s="3143">
        <f>'Part I-Project Information'!O49</f>
        <v>0</v>
      </c>
      <c r="P60" s="3143">
        <f>'Part I-Project Information'!P49</f>
        <v>0</v>
      </c>
    </row>
    <row r="61" spans="1:16">
      <c r="A61" s="3105"/>
      <c r="B61" s="3105"/>
      <c r="C61" s="3145"/>
      <c r="D61" s="3132"/>
      <c r="E61" s="3132"/>
      <c r="F61" s="3112"/>
      <c r="G61" s="3112"/>
      <c r="H61" s="3112"/>
      <c r="I61" s="3112"/>
      <c r="J61" s="3132"/>
      <c r="K61" s="3112"/>
      <c r="L61" s="3112"/>
      <c r="M61" s="3107"/>
      <c r="N61" s="3107"/>
      <c r="O61" s="3107"/>
      <c r="P61" s="3129"/>
    </row>
    <row r="62" spans="1:16">
      <c r="A62" s="3105"/>
      <c r="B62" s="3105"/>
      <c r="C62" s="3145"/>
      <c r="D62" s="3132"/>
      <c r="E62" s="3132"/>
      <c r="F62" s="3112"/>
      <c r="G62" s="3112"/>
      <c r="H62" s="3112"/>
      <c r="I62" s="3112"/>
      <c r="J62" s="3132"/>
      <c r="K62" s="3112"/>
      <c r="L62" s="3112"/>
      <c r="M62" s="3107"/>
      <c r="N62" s="3107"/>
      <c r="O62" s="3107"/>
      <c r="P62" s="3129"/>
    </row>
    <row r="63" spans="1:16">
      <c r="A63" s="3108" t="s">
        <v>108</v>
      </c>
      <c r="B63" s="3104" t="s">
        <v>109</v>
      </c>
      <c r="C63" s="3107"/>
      <c r="D63" s="3107"/>
      <c r="E63" s="3107"/>
      <c r="F63" s="3146"/>
      <c r="G63" s="3107"/>
      <c r="H63" s="3107"/>
      <c r="I63" s="3115"/>
      <c r="J63" s="3107"/>
      <c r="K63" s="3107"/>
      <c r="L63" s="3107"/>
      <c r="M63" s="3107"/>
      <c r="N63" s="3107"/>
      <c r="O63" s="3107"/>
      <c r="P63" s="3107"/>
    </row>
    <row r="64" spans="1:16">
      <c r="A64" s="3105"/>
      <c r="B64" s="3104"/>
      <c r="C64" s="3104"/>
      <c r="D64" s="3107"/>
      <c r="E64" s="3107"/>
      <c r="F64" s="3107"/>
      <c r="G64" s="3107"/>
      <c r="H64" s="3107"/>
      <c r="I64" s="3115"/>
      <c r="J64" s="3107"/>
      <c r="K64" s="3107"/>
      <c r="L64" s="3107"/>
      <c r="M64" s="3107"/>
      <c r="N64" s="3107"/>
      <c r="O64" s="3107"/>
      <c r="P64" s="3107"/>
    </row>
    <row r="65" spans="1:16">
      <c r="A65" s="3105"/>
      <c r="B65" s="3105" t="s">
        <v>110</v>
      </c>
      <c r="C65" s="3104" t="s">
        <v>4746</v>
      </c>
      <c r="D65" s="3107"/>
      <c r="E65" s="3107"/>
      <c r="F65" s="3107"/>
      <c r="G65" s="3107"/>
      <c r="H65" s="3107"/>
      <c r="I65" s="3107"/>
      <c r="J65" s="3107"/>
      <c r="K65" s="3113"/>
      <c r="L65" s="3107"/>
      <c r="M65" s="3141"/>
      <c r="N65" s="3141"/>
      <c r="O65" s="3141"/>
      <c r="P65" s="3141"/>
    </row>
    <row r="66" spans="1:16" ht="13.5">
      <c r="A66" s="3114"/>
      <c r="B66" s="3105"/>
      <c r="C66" s="3107" t="s">
        <v>112</v>
      </c>
      <c r="D66" s="3107"/>
      <c r="E66" s="3107"/>
      <c r="F66" s="3114"/>
      <c r="G66" s="3114"/>
      <c r="H66" s="3147">
        <f>'Part VI-Revenues &amp; Expenses'!$O$74</f>
        <v>74</v>
      </c>
      <c r="I66" s="3114"/>
      <c r="J66" s="3114"/>
      <c r="K66" s="3115" t="s">
        <v>113</v>
      </c>
      <c r="L66" s="3107"/>
      <c r="M66" s="3148" t="s">
        <v>114</v>
      </c>
      <c r="N66" s="3147">
        <f>'Part VI-Revenues &amp; Expenses'!$O$81</f>
        <v>0</v>
      </c>
      <c r="O66" s="3149" t="s">
        <v>115</v>
      </c>
      <c r="P66" s="3147">
        <f>'Part VI-Revenues &amp; Expenses'!$O$82</f>
        <v>0</v>
      </c>
    </row>
    <row r="67" spans="1:16">
      <c r="A67" s="3105"/>
      <c r="B67" s="3105"/>
      <c r="C67" s="3150" t="s">
        <v>116</v>
      </c>
      <c r="D67" s="3107"/>
      <c r="E67" s="3107"/>
      <c r="F67" s="3107"/>
      <c r="G67" s="3107"/>
      <c r="H67" s="3147">
        <f>'Part VI-Revenues &amp; Expenses'!$O$80</f>
        <v>0</v>
      </c>
      <c r="I67" s="3107"/>
      <c r="J67" s="3107"/>
      <c r="K67" s="3150" t="s">
        <v>117</v>
      </c>
      <c r="L67" s="3107"/>
      <c r="M67" s="3107"/>
      <c r="N67" s="3107"/>
      <c r="O67" s="3107"/>
      <c r="P67" s="3147">
        <f>'Part VI-Revenues &amp; Expenses'!$O$84</f>
        <v>0</v>
      </c>
    </row>
    <row r="68" spans="1:16">
      <c r="A68" s="3107"/>
      <c r="B68" s="3105"/>
      <c r="C68" s="3115" t="s">
        <v>118</v>
      </c>
      <c r="D68" s="3107"/>
      <c r="E68" s="3107"/>
      <c r="F68" s="3107"/>
      <c r="G68" s="3107"/>
      <c r="H68" s="3147">
        <f>'Part VI-Revenues &amp; Expenses'!$O$77</f>
        <v>0</v>
      </c>
      <c r="I68" s="3151" t="s">
        <v>119</v>
      </c>
      <c r="J68" s="3107"/>
      <c r="K68" s="3107" t="s">
        <v>120</v>
      </c>
      <c r="L68" s="3107"/>
      <c r="M68" s="3107"/>
      <c r="N68" s="3107"/>
      <c r="O68" s="3107"/>
      <c r="P68" s="3152">
        <f>'Part I-Project Information'!P57</f>
        <v>0</v>
      </c>
    </row>
    <row r="69" spans="1:16">
      <c r="A69" s="3105"/>
      <c r="B69" s="3107"/>
      <c r="C69" s="3107"/>
      <c r="D69" s="3107"/>
      <c r="E69" s="3107"/>
      <c r="F69" s="3107"/>
      <c r="G69" s="3107"/>
      <c r="H69" s="3107"/>
      <c r="I69" s="3107"/>
      <c r="J69" s="3107"/>
      <c r="K69" s="3107"/>
      <c r="L69" s="3107"/>
      <c r="M69" s="3107"/>
      <c r="N69" s="3107"/>
      <c r="O69" s="3107"/>
      <c r="P69" s="3107"/>
    </row>
    <row r="70" spans="1:16">
      <c r="A70" s="3105"/>
      <c r="B70" s="3105" t="s">
        <v>121</v>
      </c>
      <c r="C70" s="3104" t="s">
        <v>122</v>
      </c>
      <c r="D70" s="3107"/>
      <c r="E70" s="3107"/>
      <c r="F70" s="3107"/>
      <c r="G70" s="3107"/>
      <c r="H70" s="3112" t="str">
        <f>'Part I-Project Information'!H59</f>
        <v>Yes</v>
      </c>
      <c r="I70" s="3107"/>
      <c r="J70" s="3107"/>
      <c r="K70" s="3107"/>
      <c r="L70" s="3107"/>
      <c r="M70" s="3107"/>
      <c r="N70" s="3107"/>
      <c r="O70" s="3141"/>
      <c r="P70" s="3113"/>
    </row>
    <row r="71" spans="1:16">
      <c r="A71" s="3105"/>
      <c r="B71" s="3107"/>
      <c r="C71" s="3107"/>
      <c r="D71" s="3107"/>
      <c r="E71" s="3107"/>
      <c r="F71" s="3107"/>
      <c r="G71" s="3107"/>
      <c r="H71" s="3107"/>
      <c r="I71" s="3107"/>
      <c r="J71" s="3113"/>
      <c r="K71" s="3153"/>
      <c r="L71" s="3113"/>
      <c r="M71" s="3153"/>
      <c r="N71" s="3153"/>
      <c r="O71" s="3153"/>
      <c r="P71" s="3153"/>
    </row>
    <row r="72" spans="1:16">
      <c r="A72" s="3105"/>
      <c r="B72" s="3110" t="s">
        <v>123</v>
      </c>
      <c r="C72" s="3104" t="s">
        <v>124</v>
      </c>
      <c r="D72" s="3107"/>
      <c r="E72" s="3107"/>
      <c r="F72" s="3107"/>
      <c r="G72" s="3107"/>
      <c r="H72" s="3107"/>
      <c r="I72" s="3154" t="s">
        <v>125</v>
      </c>
      <c r="J72" s="3110" t="s">
        <v>126</v>
      </c>
      <c r="K72" s="3155" t="s">
        <v>127</v>
      </c>
      <c r="L72" s="3107"/>
      <c r="M72" s="3107"/>
      <c r="N72" s="3107"/>
      <c r="O72" s="3107"/>
      <c r="P72" s="3112"/>
    </row>
    <row r="73" spans="1:16">
      <c r="A73" s="3105"/>
      <c r="B73" s="3126"/>
      <c r="C73" s="3114" t="s">
        <v>128</v>
      </c>
      <c r="D73" s="3107"/>
      <c r="E73" s="3107"/>
      <c r="F73" s="3107"/>
      <c r="G73" s="3107"/>
      <c r="H73" s="3156">
        <f>SUM(H74:H75)</f>
        <v>63</v>
      </c>
      <c r="I73" s="3156">
        <f>SUM(I74:I75)</f>
        <v>0</v>
      </c>
      <c r="J73" s="3105"/>
      <c r="K73" s="3114" t="s">
        <v>129</v>
      </c>
      <c r="L73" s="3107"/>
      <c r="M73" s="3107"/>
      <c r="N73" s="3107"/>
      <c r="O73" s="3107"/>
      <c r="P73" s="3156">
        <f>'Part VI-Revenues &amp; Expenses'!$O$115</f>
        <v>67398</v>
      </c>
    </row>
    <row r="74" spans="1:16">
      <c r="A74" s="3105"/>
      <c r="B74" s="3114"/>
      <c r="C74" s="3107"/>
      <c r="D74" s="3138" t="s">
        <v>130</v>
      </c>
      <c r="E74" s="3107"/>
      <c r="F74" s="3107"/>
      <c r="G74" s="3107"/>
      <c r="H74" s="3156">
        <f>'Part VI-Revenues &amp; Expenses'!$O$57</f>
        <v>15</v>
      </c>
      <c r="I74" s="3156">
        <f>'Part VI-Revenues &amp; Expenses'!$O$65</f>
        <v>0</v>
      </c>
      <c r="J74" s="3107"/>
      <c r="K74" s="3114" t="s">
        <v>131</v>
      </c>
      <c r="L74" s="3107"/>
      <c r="M74" s="3107"/>
      <c r="N74" s="3107"/>
      <c r="O74" s="3107"/>
      <c r="P74" s="3156">
        <f>'Part VI-Revenues &amp; Expenses'!$O$116</f>
        <v>10290</v>
      </c>
    </row>
    <row r="75" spans="1:16">
      <c r="A75" s="3105"/>
      <c r="B75" s="3107"/>
      <c r="C75" s="3107"/>
      <c r="D75" s="3138" t="s">
        <v>132</v>
      </c>
      <c r="E75" s="3138"/>
      <c r="F75" s="3107"/>
      <c r="G75" s="3107"/>
      <c r="H75" s="3156">
        <f>'Part VI-Revenues &amp; Expenses'!$O$56</f>
        <v>48</v>
      </c>
      <c r="I75" s="3156">
        <f>'Part VI-Revenues &amp; Expenses'!$O$64</f>
        <v>0</v>
      </c>
      <c r="J75" s="3107"/>
      <c r="K75" s="3114" t="s">
        <v>133</v>
      </c>
      <c r="L75" s="3107"/>
      <c r="M75" s="3107"/>
      <c r="N75" s="3107"/>
      <c r="O75" s="3107"/>
      <c r="P75" s="3156">
        <f>P73+P74</f>
        <v>77688</v>
      </c>
    </row>
    <row r="76" spans="1:16">
      <c r="A76" s="3105"/>
      <c r="B76" s="3107"/>
      <c r="C76" s="3114" t="s">
        <v>134</v>
      </c>
      <c r="D76" s="3107"/>
      <c r="E76" s="3107"/>
      <c r="F76" s="3107"/>
      <c r="G76" s="3107"/>
      <c r="H76" s="3156">
        <f>'Part VI-Revenues &amp; Expenses'!$O$59</f>
        <v>9</v>
      </c>
      <c r="I76" s="3107"/>
      <c r="J76" s="3105"/>
      <c r="K76" s="3114" t="s">
        <v>135</v>
      </c>
      <c r="L76" s="3107"/>
      <c r="M76" s="3107"/>
      <c r="N76" s="3107"/>
      <c r="O76" s="3107"/>
      <c r="P76" s="3156">
        <f>'Part VI-Revenues &amp; Expenses'!$O$118</f>
        <v>2444</v>
      </c>
    </row>
    <row r="77" spans="1:16">
      <c r="A77" s="3105"/>
      <c r="B77" s="3107"/>
      <c r="C77" s="3114" t="s">
        <v>136</v>
      </c>
      <c r="D77" s="3107"/>
      <c r="E77" s="3107"/>
      <c r="F77" s="3107"/>
      <c r="G77" s="3107"/>
      <c r="H77" s="3156">
        <f>H73+H76</f>
        <v>72</v>
      </c>
      <c r="I77" s="3107"/>
      <c r="J77" s="3105"/>
      <c r="K77" s="3114" t="s">
        <v>137</v>
      </c>
      <c r="L77" s="3107"/>
      <c r="M77" s="3107"/>
      <c r="N77" s="3107"/>
      <c r="O77" s="3107"/>
      <c r="P77" s="3156">
        <f>+P75+P76</f>
        <v>80132</v>
      </c>
    </row>
    <row r="78" spans="1:16">
      <c r="A78" s="3105"/>
      <c r="B78" s="3107"/>
      <c r="C78" s="3114" t="s">
        <v>138</v>
      </c>
      <c r="D78" s="3107"/>
      <c r="E78" s="3107"/>
      <c r="F78" s="3107"/>
      <c r="G78" s="3107"/>
      <c r="H78" s="3156">
        <f>'Part VI-Revenues &amp; Expenses'!$O$61</f>
        <v>2</v>
      </c>
      <c r="I78" s="3107"/>
      <c r="J78" s="3105"/>
      <c r="K78" s="3107"/>
      <c r="L78" s="3107"/>
      <c r="M78" s="3107"/>
      <c r="N78" s="3107"/>
      <c r="O78" s="3107"/>
      <c r="P78" s="3107"/>
    </row>
    <row r="79" spans="1:16">
      <c r="A79" s="3105"/>
      <c r="B79" s="3107"/>
      <c r="C79" s="3114" t="s">
        <v>139</v>
      </c>
      <c r="D79" s="3107"/>
      <c r="E79" s="3107"/>
      <c r="F79" s="3107"/>
      <c r="G79" s="3107"/>
      <c r="H79" s="3156">
        <f>+H77+H78</f>
        <v>74</v>
      </c>
      <c r="I79" s="3107"/>
      <c r="J79" s="3107"/>
      <c r="K79" s="3107"/>
      <c r="L79" s="3107"/>
      <c r="M79" s="3107"/>
      <c r="N79" s="3107"/>
      <c r="O79" s="3107"/>
      <c r="P79" s="3107"/>
    </row>
    <row r="80" spans="1:16">
      <c r="A80" s="3105"/>
      <c r="B80" s="3107"/>
      <c r="C80" s="3107"/>
      <c r="D80" s="3107"/>
      <c r="E80" s="3107"/>
      <c r="F80" s="3107"/>
      <c r="G80" s="3107"/>
      <c r="H80" s="3107"/>
      <c r="I80" s="3112"/>
      <c r="J80" s="3107"/>
      <c r="K80" s="3107"/>
      <c r="L80" s="3112"/>
      <c r="M80" s="3112"/>
      <c r="N80" s="3107"/>
      <c r="O80" s="3107"/>
      <c r="P80" s="3129"/>
    </row>
    <row r="81" spans="1:16">
      <c r="A81" s="3105"/>
      <c r="B81" s="3105" t="s">
        <v>140</v>
      </c>
      <c r="C81" s="3104" t="s">
        <v>141</v>
      </c>
      <c r="D81" s="3138" t="s">
        <v>142</v>
      </c>
      <c r="E81" s="3107"/>
      <c r="F81" s="3107"/>
      <c r="G81" s="3107"/>
      <c r="H81" s="3156">
        <f>'Part I-Project Information'!H70</f>
        <v>4</v>
      </c>
      <c r="I81" s="3107"/>
      <c r="J81" s="3107"/>
      <c r="K81" s="3114" t="s">
        <v>143</v>
      </c>
      <c r="L81" s="3107"/>
      <c r="M81" s="3107"/>
      <c r="N81" s="3107"/>
      <c r="O81" s="3107"/>
      <c r="P81" s="3156">
        <f>'Part I-Project Information'!P70</f>
        <v>2100</v>
      </c>
    </row>
    <row r="82" spans="1:16">
      <c r="A82" s="3105"/>
      <c r="B82" s="3105"/>
      <c r="C82" s="3107"/>
      <c r="D82" s="3126" t="s">
        <v>144</v>
      </c>
      <c r="E82" s="3107"/>
      <c r="F82" s="3107"/>
      <c r="G82" s="3107"/>
      <c r="H82" s="3156">
        <f>'Part I-Project Information'!H71</f>
        <v>1</v>
      </c>
      <c r="I82" s="3107"/>
      <c r="J82" s="3107"/>
      <c r="K82" s="3114" t="s">
        <v>145</v>
      </c>
      <c r="L82" s="3107"/>
      <c r="M82" s="3107"/>
      <c r="N82" s="3107"/>
      <c r="O82" s="3107"/>
      <c r="P82" s="3156">
        <f>+P77+P81</f>
        <v>82232</v>
      </c>
    </row>
    <row r="83" spans="1:16">
      <c r="A83" s="3105"/>
      <c r="B83" s="3105"/>
      <c r="C83" s="3107"/>
      <c r="D83" s="3126" t="s">
        <v>146</v>
      </c>
      <c r="E83" s="3107"/>
      <c r="F83" s="3107"/>
      <c r="G83" s="3107"/>
      <c r="H83" s="3156">
        <f>+H81+H82</f>
        <v>5</v>
      </c>
      <c r="I83" s="3107"/>
      <c r="J83" s="3107"/>
      <c r="K83" s="3107"/>
      <c r="L83" s="3107"/>
      <c r="M83" s="3107"/>
      <c r="N83" s="3107"/>
      <c r="O83" s="3107"/>
      <c r="P83" s="3107"/>
    </row>
    <row r="84" spans="1:16">
      <c r="A84" s="3105"/>
      <c r="B84" s="3105"/>
      <c r="C84" s="3107"/>
      <c r="D84" s="3107"/>
      <c r="E84" s="3107"/>
      <c r="F84" s="3107"/>
      <c r="G84" s="3112"/>
      <c r="H84" s="3107"/>
      <c r="I84" s="3114"/>
      <c r="J84" s="3107"/>
      <c r="K84" s="3107"/>
      <c r="L84" s="3107"/>
      <c r="M84" s="3107"/>
      <c r="N84" s="3107"/>
      <c r="O84" s="3107"/>
      <c r="P84" s="3129"/>
    </row>
    <row r="85" spans="1:16" ht="12.75" customHeight="1">
      <c r="A85" s="3105"/>
      <c r="B85" s="3105" t="s">
        <v>147</v>
      </c>
      <c r="C85" s="3104" t="s">
        <v>148</v>
      </c>
      <c r="D85" s="3107"/>
      <c r="E85" s="3107"/>
      <c r="F85" s="3107"/>
      <c r="G85" s="3107"/>
      <c r="H85" s="3156">
        <f>'Part I-Project Information'!H74</f>
        <v>149</v>
      </c>
      <c r="I85" s="3107"/>
      <c r="J85" s="3107"/>
      <c r="K85" s="3103" t="s">
        <v>149</v>
      </c>
      <c r="L85" s="3103"/>
      <c r="M85" s="3103"/>
      <c r="N85" s="3103"/>
      <c r="O85" s="3103"/>
      <c r="P85" s="3103"/>
    </row>
    <row r="86" spans="1:16">
      <c r="A86" s="3105"/>
      <c r="B86" s="3105"/>
      <c r="C86" s="3114"/>
      <c r="D86" s="3107"/>
      <c r="E86" s="3107"/>
      <c r="F86" s="3107"/>
      <c r="G86" s="3112"/>
      <c r="H86" s="3107"/>
      <c r="I86" s="3114"/>
      <c r="J86" s="3114"/>
      <c r="K86" s="3103"/>
      <c r="L86" s="3103"/>
      <c r="M86" s="3103"/>
      <c r="N86" s="3103"/>
      <c r="O86" s="3103"/>
      <c r="P86" s="3103"/>
    </row>
    <row r="87" spans="1:16">
      <c r="A87" s="3105" t="s">
        <v>150</v>
      </c>
      <c r="B87" s="3157" t="s">
        <v>151</v>
      </c>
      <c r="C87" s="3107"/>
      <c r="D87" s="3157"/>
      <c r="E87" s="3157"/>
      <c r="F87" s="3107"/>
      <c r="G87" s="3112"/>
      <c r="H87" s="3107"/>
      <c r="I87" s="3107"/>
      <c r="J87" s="3107"/>
      <c r="K87" s="3103"/>
      <c r="L87" s="3103"/>
      <c r="M87" s="3103"/>
      <c r="N87" s="3103"/>
      <c r="O87" s="3103"/>
      <c r="P87" s="3103"/>
    </row>
    <row r="88" spans="1:16">
      <c r="A88" s="3105"/>
      <c r="B88" s="3107"/>
      <c r="C88" s="3158"/>
      <c r="D88" s="3158"/>
      <c r="E88" s="3158"/>
      <c r="F88" s="3107"/>
      <c r="G88" s="3112"/>
      <c r="H88" s="3107"/>
      <c r="I88" s="3107"/>
      <c r="J88" s="3107"/>
      <c r="K88" s="3107"/>
      <c r="L88" s="3107"/>
      <c r="M88" s="3107"/>
      <c r="N88" s="3107"/>
      <c r="O88" s="3107"/>
      <c r="P88" s="3129"/>
    </row>
    <row r="89" spans="1:16">
      <c r="A89" s="3105"/>
      <c r="B89" s="3105" t="s">
        <v>110</v>
      </c>
      <c r="C89" s="3108" t="s">
        <v>4747</v>
      </c>
      <c r="D89" s="3158"/>
      <c r="E89" s="3158"/>
      <c r="F89" s="3107"/>
      <c r="G89" s="3112"/>
      <c r="H89" s="3138" t="str">
        <f>'Part I-Project Information'!H78</f>
        <v>Family</v>
      </c>
      <c r="I89" s="3138">
        <f>'Part I-Project Information'!I78</f>
        <v>0</v>
      </c>
      <c r="J89" s="3107"/>
      <c r="K89" s="3107" t="s">
        <v>154</v>
      </c>
      <c r="L89" s="3107"/>
      <c r="M89" s="3107" t="str">
        <f>'Part I-Project Information'!M78</f>
        <v>N/A</v>
      </c>
      <c r="N89" s="3107">
        <f>'Part I-Project Information'!N78</f>
        <v>0</v>
      </c>
      <c r="O89" s="3107">
        <f>'Part I-Project Information'!O78</f>
        <v>0</v>
      </c>
      <c r="P89" s="3107">
        <f>'Part I-Project Information'!P78</f>
        <v>0</v>
      </c>
    </row>
    <row r="90" spans="1:16">
      <c r="A90" s="3105"/>
      <c r="B90" s="3105"/>
      <c r="C90" s="3107"/>
      <c r="D90" s="3126"/>
      <c r="E90" s="3126"/>
      <c r="F90" s="3126"/>
      <c r="G90" s="3126"/>
      <c r="H90" s="3107"/>
      <c r="I90" s="3112"/>
      <c r="J90" s="3107"/>
      <c r="K90" s="3115"/>
      <c r="L90" s="3115"/>
      <c r="M90" s="3112"/>
      <c r="N90" s="3107"/>
      <c r="O90" s="3107"/>
      <c r="P90" s="3129"/>
    </row>
    <row r="91" spans="1:16" ht="12.75" customHeight="1">
      <c r="A91" s="3105"/>
      <c r="B91" s="3105"/>
      <c r="C91" s="3107"/>
      <c r="D91" s="3107"/>
      <c r="E91" s="3158"/>
      <c r="F91" s="3107"/>
      <c r="G91" s="3107"/>
      <c r="H91" s="3103" t="s">
        <v>155</v>
      </c>
      <c r="I91" s="3103"/>
      <c r="J91" s="3107"/>
      <c r="K91" s="3159" t="s">
        <v>153</v>
      </c>
      <c r="L91" s="3156" t="str">
        <f>'Part I-Project Information'!L80</f>
        <v>N/A</v>
      </c>
      <c r="M91" s="3159" t="s">
        <v>156</v>
      </c>
      <c r="N91" s="3156" t="str">
        <f>'Part I-Project Information'!N80</f>
        <v>N/A</v>
      </c>
      <c r="O91" s="3107"/>
      <c r="P91" s="3118" t="s">
        <v>157</v>
      </c>
    </row>
    <row r="92" spans="1:16">
      <c r="A92" s="3105"/>
      <c r="B92" s="3105"/>
      <c r="C92" s="3107"/>
      <c r="D92" s="3115"/>
      <c r="E92" s="3158"/>
      <c r="F92" s="3107"/>
      <c r="G92" s="3107"/>
      <c r="H92" s="3103"/>
      <c r="I92" s="3103"/>
      <c r="J92" s="3107"/>
      <c r="K92" s="3118" t="s">
        <v>158</v>
      </c>
      <c r="L92" s="3156" t="str">
        <f>'Part I-Project Information'!L81</f>
        <v>N/A</v>
      </c>
      <c r="M92" s="3118" t="s">
        <v>159</v>
      </c>
      <c r="N92" s="3156" t="str">
        <f>'Part I-Project Information'!N81</f>
        <v>N/A</v>
      </c>
      <c r="O92" s="3107"/>
      <c r="P92" s="3156" t="str">
        <f>'Part I-Project Information'!P81</f>
        <v>N/A</v>
      </c>
    </row>
    <row r="93" spans="1:16">
      <c r="A93" s="3105"/>
      <c r="B93" s="3105"/>
      <c r="C93" s="3107"/>
      <c r="D93" s="3126"/>
      <c r="E93" s="3126"/>
      <c r="F93" s="3126"/>
      <c r="G93" s="3126"/>
      <c r="H93" s="3107"/>
      <c r="I93" s="3112"/>
      <c r="J93" s="3107"/>
      <c r="K93" s="3115"/>
      <c r="L93" s="3115"/>
      <c r="M93" s="3112"/>
      <c r="N93" s="3107"/>
      <c r="O93" s="3107"/>
      <c r="P93" s="3129"/>
    </row>
    <row r="94" spans="1:16">
      <c r="A94" s="3105"/>
      <c r="B94" s="3105" t="s">
        <v>121</v>
      </c>
      <c r="C94" s="3104" t="s">
        <v>160</v>
      </c>
      <c r="D94" s="3107"/>
      <c r="E94" s="3138"/>
      <c r="F94" s="3126" t="s">
        <v>161</v>
      </c>
      <c r="G94" s="3107"/>
      <c r="H94" s="3156">
        <f>'Part VIII-Threshold Criteria'!K301</f>
        <v>4</v>
      </c>
      <c r="I94" s="3107"/>
      <c r="J94" s="3107"/>
      <c r="K94" s="3107" t="s">
        <v>162</v>
      </c>
      <c r="L94" s="3107"/>
      <c r="M94" s="3107"/>
      <c r="N94" s="3160">
        <f>IF('Part VI-Revenues &amp; Expenses'!$O$62=0,0,H94/'Part VI-Revenues &amp; Expenses'!$O$62)</f>
        <v>5.4054054054054057E-2</v>
      </c>
      <c r="O94" s="3118" t="s">
        <v>163</v>
      </c>
      <c r="P94" s="3161">
        <f>'DCA Underwriting Assumptions'!$Q$136</f>
        <v>0.05</v>
      </c>
    </row>
    <row r="95" spans="1:16">
      <c r="A95" s="3105"/>
      <c r="B95" s="3105"/>
      <c r="C95" s="3107"/>
      <c r="D95" s="3126" t="s">
        <v>164</v>
      </c>
      <c r="E95" s="3126"/>
      <c r="F95" s="3126" t="s">
        <v>161</v>
      </c>
      <c r="G95" s="3107"/>
      <c r="H95" s="3156">
        <f>'Part VIII-Threshold Criteria'!K302</f>
        <v>0</v>
      </c>
      <c r="I95" s="3107"/>
      <c r="J95" s="3107"/>
      <c r="K95" s="3107" t="s">
        <v>165</v>
      </c>
      <c r="L95" s="3107"/>
      <c r="M95" s="3107"/>
      <c r="N95" s="3160">
        <f>IF(H94=0,0,H95/H94)</f>
        <v>0</v>
      </c>
      <c r="O95" s="3118" t="s">
        <v>163</v>
      </c>
      <c r="P95" s="3161">
        <f>'DCA Underwriting Assumptions'!$Q$137</f>
        <v>0.4</v>
      </c>
    </row>
    <row r="96" spans="1:16">
      <c r="A96" s="3105"/>
      <c r="B96" s="3105"/>
      <c r="C96" s="3107"/>
      <c r="D96" s="3126"/>
      <c r="E96" s="3126"/>
      <c r="F96" s="3126"/>
      <c r="G96" s="3107"/>
      <c r="H96" s="3107"/>
      <c r="I96" s="3112"/>
      <c r="J96" s="3107"/>
      <c r="K96" s="3115"/>
      <c r="L96" s="3115"/>
      <c r="M96" s="3112"/>
      <c r="N96" s="3112"/>
      <c r="O96" s="3107"/>
      <c r="P96" s="3112"/>
    </row>
    <row r="97" spans="1:16">
      <c r="A97" s="3105"/>
      <c r="B97" s="3105" t="s">
        <v>123</v>
      </c>
      <c r="C97" s="3104" t="s">
        <v>166</v>
      </c>
      <c r="D97" s="3138"/>
      <c r="E97" s="3138"/>
      <c r="F97" s="3126" t="s">
        <v>161</v>
      </c>
      <c r="G97" s="3107"/>
      <c r="H97" s="3156">
        <f>'Part VIII-Threshold Criteria'!K304</f>
        <v>0</v>
      </c>
      <c r="I97" s="3107"/>
      <c r="J97" s="3107"/>
      <c r="K97" s="3107" t="s">
        <v>162</v>
      </c>
      <c r="L97" s="3107"/>
      <c r="M97" s="3107"/>
      <c r="N97" s="3160">
        <f>IF('Part VI-Revenues &amp; Expenses'!$O$62=0,0,H97/'Part VI-Revenues &amp; Expenses'!$O$62)</f>
        <v>0</v>
      </c>
      <c r="O97" s="3118" t="s">
        <v>163</v>
      </c>
      <c r="P97" s="3161">
        <f>'DCA Underwriting Assumptions'!$Q$138</f>
        <v>0.02</v>
      </c>
    </row>
    <row r="98" spans="1:16">
      <c r="A98" s="3105"/>
      <c r="B98" s="3105"/>
      <c r="C98" s="3107"/>
      <c r="D98" s="3126"/>
      <c r="E98" s="3126"/>
      <c r="F98" s="3126"/>
      <c r="G98" s="3126"/>
      <c r="H98" s="3107"/>
      <c r="I98" s="3112"/>
      <c r="J98" s="3112"/>
      <c r="K98" s="3112"/>
      <c r="L98" s="3112"/>
      <c r="M98" s="3112"/>
      <c r="N98" s="3107"/>
      <c r="O98" s="3107"/>
      <c r="P98" s="3129"/>
    </row>
    <row r="99" spans="1:16">
      <c r="A99" s="3155" t="s">
        <v>167</v>
      </c>
      <c r="B99" s="3158" t="s">
        <v>168</v>
      </c>
      <c r="C99" s="3107"/>
      <c r="D99" s="3126"/>
      <c r="E99" s="3126"/>
      <c r="F99" s="3126"/>
      <c r="G99" s="3126"/>
      <c r="H99" s="3126"/>
      <c r="I99" s="3112"/>
      <c r="J99" s="3107"/>
      <c r="K99" s="3107"/>
      <c r="L99" s="3107"/>
      <c r="M99" s="3112"/>
      <c r="N99" s="3107"/>
      <c r="O99" s="3107"/>
      <c r="P99" s="3129"/>
    </row>
    <row r="100" spans="1:16">
      <c r="A100" s="3105"/>
      <c r="B100" s="3105"/>
      <c r="C100" s="3158"/>
      <c r="D100" s="3126"/>
      <c r="E100" s="3126"/>
      <c r="F100" s="3126"/>
      <c r="G100" s="3107"/>
      <c r="H100" s="3107"/>
      <c r="I100" s="3107"/>
      <c r="J100" s="3107"/>
      <c r="K100" s="3107"/>
      <c r="L100" s="3112"/>
      <c r="M100" s="3112"/>
      <c r="N100" s="3107"/>
      <c r="O100" s="3107"/>
      <c r="P100" s="3129"/>
    </row>
    <row r="101" spans="1:16">
      <c r="A101" s="3105"/>
      <c r="B101" s="3105" t="s">
        <v>110</v>
      </c>
      <c r="C101" s="3108" t="s">
        <v>169</v>
      </c>
      <c r="D101" s="3126"/>
      <c r="E101" s="3126"/>
      <c r="F101" s="3126"/>
      <c r="G101" s="3107"/>
      <c r="H101" s="3138" t="str">
        <f>'Part I-Project Information'!H90</f>
        <v>40% of Units at 60% of AMI</v>
      </c>
      <c r="I101" s="3138">
        <f>'Part I-Project Information'!I90</f>
        <v>0</v>
      </c>
      <c r="J101" s="3138">
        <f>'Part I-Project Information'!J90</f>
        <v>0</v>
      </c>
      <c r="K101" s="3107"/>
      <c r="L101" s="3107"/>
      <c r="M101" s="3112"/>
      <c r="N101" s="3112"/>
      <c r="O101" s="3107"/>
      <c r="P101" s="3129"/>
    </row>
    <row r="102" spans="1:16">
      <c r="A102" s="3105"/>
      <c r="B102" s="3105"/>
      <c r="C102" s="3107"/>
      <c r="D102" s="3126"/>
      <c r="E102" s="3126"/>
      <c r="F102" s="3126"/>
      <c r="G102" s="3126"/>
      <c r="H102" s="3107"/>
      <c r="I102" s="3112"/>
      <c r="J102" s="3112"/>
      <c r="K102" s="3112"/>
      <c r="L102" s="3112"/>
      <c r="M102" s="3112"/>
      <c r="N102" s="3107"/>
      <c r="O102" s="3107"/>
      <c r="P102" s="3129"/>
    </row>
    <row r="103" spans="1:16">
      <c r="A103" s="3107"/>
      <c r="B103" s="3105" t="s">
        <v>121</v>
      </c>
      <c r="C103" s="3104" t="s">
        <v>171</v>
      </c>
      <c r="D103" s="3107"/>
      <c r="E103" s="3107"/>
      <c r="F103" s="3107"/>
      <c r="G103" s="3107"/>
      <c r="H103" s="3107"/>
      <c r="I103" s="3107"/>
      <c r="J103" s="3107"/>
      <c r="K103" s="3115" t="s">
        <v>172</v>
      </c>
      <c r="L103" s="3107"/>
      <c r="M103" s="3107"/>
      <c r="N103" s="3162"/>
      <c r="O103" s="3107"/>
      <c r="P103" s="3112" t="str">
        <f>'Part I-Project Information'!P92</f>
        <v>No</v>
      </c>
    </row>
    <row r="104" spans="1:16">
      <c r="A104" s="3105"/>
      <c r="B104" s="3105"/>
      <c r="C104" s="3104"/>
      <c r="D104" s="3126"/>
      <c r="E104" s="3126"/>
      <c r="F104" s="3126"/>
      <c r="G104" s="3126"/>
      <c r="H104" s="3107"/>
      <c r="I104" s="3112"/>
      <c r="J104" s="3112"/>
      <c r="K104" s="3112"/>
      <c r="L104" s="3112"/>
      <c r="M104" s="3112"/>
      <c r="N104" s="3107"/>
      <c r="O104" s="3107"/>
      <c r="P104" s="3129"/>
    </row>
    <row r="105" spans="1:16">
      <c r="A105" s="3155" t="s">
        <v>173</v>
      </c>
      <c r="B105" s="3158" t="s">
        <v>174</v>
      </c>
      <c r="C105" s="3107"/>
      <c r="D105" s="3126"/>
      <c r="E105" s="3107"/>
      <c r="F105" s="3107"/>
      <c r="G105" s="3107"/>
      <c r="H105" s="3107"/>
      <c r="I105" s="3107"/>
      <c r="J105" s="3107"/>
      <c r="K105" s="3107"/>
      <c r="L105" s="3107"/>
      <c r="M105" s="3107"/>
      <c r="N105" s="3107"/>
      <c r="O105" s="3107"/>
      <c r="P105" s="3107"/>
    </row>
    <row r="106" spans="1:16">
      <c r="A106" s="3105"/>
      <c r="B106" s="3105"/>
      <c r="C106" s="3107"/>
      <c r="D106" s="3126"/>
      <c r="E106" s="3107"/>
      <c r="F106" s="3107"/>
      <c r="G106" s="3107"/>
      <c r="H106" s="3107"/>
      <c r="I106" s="3107"/>
      <c r="J106" s="3107"/>
      <c r="K106" s="3107"/>
      <c r="L106" s="3107"/>
      <c r="M106" s="3107"/>
      <c r="N106" s="3107"/>
      <c r="O106" s="3107"/>
      <c r="P106" s="3129"/>
    </row>
    <row r="107" spans="1:16">
      <c r="A107" s="3155"/>
      <c r="B107" s="3105" t="s">
        <v>110</v>
      </c>
      <c r="C107" s="3104" t="s">
        <v>175</v>
      </c>
      <c r="D107" s="3107"/>
      <c r="E107" s="3107"/>
      <c r="F107" s="3138" t="s">
        <v>176</v>
      </c>
      <c r="G107" s="3107"/>
      <c r="H107" s="3112" t="str">
        <f>'Part I-Project Information'!H96</f>
        <v>No</v>
      </c>
      <c r="I107" s="3107"/>
      <c r="J107" s="3107"/>
      <c r="K107" s="3138" t="s">
        <v>177</v>
      </c>
      <c r="L107" s="3112" t="str">
        <f>'Part I-Project Information'!L96</f>
        <v>No</v>
      </c>
      <c r="M107" s="3107"/>
      <c r="N107" s="3107"/>
      <c r="O107" s="3118" t="s">
        <v>178</v>
      </c>
      <c r="P107" s="3112" t="str">
        <f>'Part I-Project Information'!P96</f>
        <v>No</v>
      </c>
    </row>
    <row r="108" spans="1:16">
      <c r="A108" s="3105"/>
      <c r="B108" s="3105"/>
      <c r="C108" s="3158"/>
      <c r="D108" s="3107"/>
      <c r="E108" s="3107"/>
      <c r="F108" s="3126"/>
      <c r="G108" s="3107"/>
      <c r="H108" s="3126"/>
      <c r="I108" s="3107"/>
      <c r="J108" s="3112"/>
      <c r="K108" s="3112"/>
      <c r="L108" s="3112"/>
      <c r="M108" s="3112"/>
      <c r="N108" s="3112"/>
      <c r="O108" s="3107"/>
      <c r="P108" s="3129"/>
    </row>
    <row r="109" spans="1:16">
      <c r="A109" s="3155"/>
      <c r="B109" s="3105" t="s">
        <v>121</v>
      </c>
      <c r="C109" s="3104" t="s">
        <v>179</v>
      </c>
      <c r="D109" s="3107"/>
      <c r="E109" s="3107"/>
      <c r="F109" s="3115" t="s">
        <v>180</v>
      </c>
      <c r="G109" s="3107"/>
      <c r="H109" s="3112" t="str">
        <f>'Part I-Project Information'!H98</f>
        <v>No</v>
      </c>
      <c r="I109" s="3163" t="s">
        <v>181</v>
      </c>
      <c r="J109" s="3112"/>
      <c r="K109" s="3107"/>
      <c r="L109" s="3112"/>
      <c r="M109" s="3107"/>
      <c r="N109" s="3107"/>
      <c r="O109" s="3107"/>
      <c r="P109" s="3107"/>
    </row>
    <row r="110" spans="1:16">
      <c r="A110" s="3105"/>
      <c r="B110" s="3105"/>
      <c r="C110" s="3104"/>
      <c r="D110" s="3126"/>
      <c r="E110" s="3126"/>
      <c r="F110" s="3126"/>
      <c r="G110" s="3126"/>
      <c r="H110" s="3107"/>
      <c r="I110" s="3112"/>
      <c r="J110" s="3112"/>
      <c r="K110" s="3112"/>
      <c r="L110" s="3112"/>
      <c r="M110" s="3112"/>
      <c r="N110" s="3107"/>
      <c r="O110" s="3107"/>
      <c r="P110" s="3129"/>
    </row>
    <row r="111" spans="1:16">
      <c r="A111" s="3155" t="s">
        <v>182</v>
      </c>
      <c r="B111" s="3158" t="s">
        <v>183</v>
      </c>
      <c r="C111" s="3107"/>
      <c r="D111" s="3126"/>
      <c r="E111" s="3107"/>
      <c r="F111" s="3107"/>
      <c r="G111" s="3107"/>
      <c r="H111" s="3107" t="str">
        <f>'Part I-Project Information'!H100</f>
        <v>Rural</v>
      </c>
      <c r="I111" s="3107">
        <f>'Part I-Project Information'!I100</f>
        <v>0</v>
      </c>
      <c r="J111" s="3112"/>
      <c r="K111" s="3107"/>
      <c r="L111" s="3107"/>
      <c r="M111" s="3107"/>
      <c r="N111" s="3107"/>
      <c r="O111" s="3107"/>
      <c r="P111" s="3107"/>
    </row>
    <row r="112" spans="1:16">
      <c r="A112" s="3105"/>
      <c r="B112" s="3107"/>
      <c r="C112" s="3107"/>
      <c r="D112" s="3132"/>
      <c r="E112" s="3107"/>
      <c r="F112" s="3107"/>
      <c r="G112" s="3107"/>
      <c r="H112" s="3107"/>
      <c r="I112" s="3132"/>
      <c r="J112" s="3114"/>
      <c r="K112" s="3107"/>
      <c r="L112" s="3107"/>
      <c r="M112" s="3107"/>
      <c r="N112" s="3107"/>
      <c r="O112" s="3107"/>
      <c r="P112" s="3129"/>
    </row>
    <row r="113" spans="1:16">
      <c r="A113" s="3155" t="s">
        <v>185</v>
      </c>
      <c r="B113" s="3155" t="s">
        <v>186</v>
      </c>
      <c r="C113" s="3107"/>
      <c r="D113" s="3107"/>
      <c r="E113" s="3107"/>
      <c r="F113" s="3107"/>
      <c r="G113" s="3107"/>
      <c r="H113" s="3107"/>
      <c r="I113" s="3132"/>
      <c r="J113" s="3114"/>
      <c r="K113" s="3107"/>
      <c r="L113" s="3107"/>
      <c r="M113" s="3107"/>
      <c r="N113" s="3107"/>
      <c r="O113" s="3107"/>
      <c r="P113" s="3129"/>
    </row>
    <row r="114" spans="1:16">
      <c r="A114" s="3155"/>
      <c r="B114" s="3105"/>
      <c r="C114" s="3155"/>
      <c r="D114" s="3107"/>
      <c r="E114" s="3107"/>
      <c r="F114" s="3107"/>
      <c r="G114" s="3107"/>
      <c r="H114" s="3107"/>
      <c r="I114" s="3132"/>
      <c r="J114" s="3114"/>
      <c r="K114" s="3107"/>
      <c r="L114" s="3107"/>
      <c r="M114" s="3107"/>
      <c r="N114" s="3107"/>
      <c r="O114" s="3107"/>
      <c r="P114" s="3107"/>
    </row>
    <row r="115" spans="1:16">
      <c r="A115" s="3105"/>
      <c r="B115" s="3105"/>
      <c r="C115" s="3114" t="s">
        <v>187</v>
      </c>
      <c r="D115" s="3107"/>
      <c r="E115" s="3107">
        <f>'Part I-Project Information'!E104</f>
        <v>0</v>
      </c>
      <c r="F115" s="3107">
        <f>'Part I-Project Information'!F104</f>
        <v>0</v>
      </c>
      <c r="G115" s="3107">
        <f>'Part I-Project Information'!G104</f>
        <v>0</v>
      </c>
      <c r="H115" s="3107">
        <f>'Part I-Project Information'!H104</f>
        <v>0</v>
      </c>
      <c r="I115" s="3107">
        <f>'Part I-Project Information'!I104</f>
        <v>0</v>
      </c>
      <c r="J115" s="3107">
        <f>'Part I-Project Information'!J104</f>
        <v>0</v>
      </c>
      <c r="K115" s="3107">
        <f>'Part I-Project Information'!K104</f>
        <v>0</v>
      </c>
      <c r="L115" s="3107">
        <f>'Part I-Project Information'!L104</f>
        <v>0</v>
      </c>
      <c r="M115" s="3138" t="s">
        <v>188</v>
      </c>
      <c r="N115" s="3138"/>
      <c r="O115" s="3164">
        <f>'Part I-Project Information'!O104</f>
        <v>0</v>
      </c>
      <c r="P115" s="3164">
        <f>'Part I-Project Information'!P104</f>
        <v>0</v>
      </c>
    </row>
    <row r="116" spans="1:16">
      <c r="A116" s="3107"/>
      <c r="B116" s="3107"/>
      <c r="C116" s="3115" t="s">
        <v>189</v>
      </c>
      <c r="D116" s="3118"/>
      <c r="E116" s="3107">
        <f>'Part I-Project Information'!E105</f>
        <v>0</v>
      </c>
      <c r="F116" s="3107">
        <f>'Part I-Project Information'!F105</f>
        <v>0</v>
      </c>
      <c r="G116" s="3107">
        <f>'Part I-Project Information'!G105</f>
        <v>0</v>
      </c>
      <c r="H116" s="3107">
        <f>'Part I-Project Information'!H105</f>
        <v>0</v>
      </c>
      <c r="I116" s="3107">
        <f>'Part I-Project Information'!I105</f>
        <v>0</v>
      </c>
      <c r="J116" s="3107">
        <f>'Part I-Project Information'!J105</f>
        <v>0</v>
      </c>
      <c r="K116" s="3107">
        <f>'Part I-Project Information'!K105</f>
        <v>0</v>
      </c>
      <c r="L116" s="3107">
        <f>'Part I-Project Information'!L105</f>
        <v>0</v>
      </c>
      <c r="M116" s="3138" t="s">
        <v>190</v>
      </c>
      <c r="N116" s="3138"/>
      <c r="O116" s="3123">
        <f>'Part I-Project Information'!O105</f>
        <v>0</v>
      </c>
      <c r="P116" s="3123">
        <f>'Part I-Project Information'!P105</f>
        <v>0</v>
      </c>
    </row>
    <row r="117" spans="1:16">
      <c r="A117" s="3107"/>
      <c r="B117" s="3107"/>
      <c r="C117" s="3115" t="s">
        <v>42</v>
      </c>
      <c r="D117" s="3107"/>
      <c r="E117" s="3107">
        <f>'Part I-Project Information'!E106</f>
        <v>0</v>
      </c>
      <c r="F117" s="3138">
        <f>'Part I-Project Information'!F106</f>
        <v>0</v>
      </c>
      <c r="G117" s="3138">
        <f>'Part I-Project Information'!G106</f>
        <v>0</v>
      </c>
      <c r="H117" s="3112" t="s">
        <v>44</v>
      </c>
      <c r="I117" s="3112">
        <f>'Part I-Project Information'!I106</f>
        <v>0</v>
      </c>
      <c r="J117" s="3112" t="s">
        <v>46</v>
      </c>
      <c r="K117" s="3127"/>
      <c r="L117" s="3138"/>
      <c r="M117" s="3114" t="s">
        <v>191</v>
      </c>
      <c r="N117" s="3114"/>
      <c r="O117" s="3165">
        <f>'Part I-Project Information'!O106</f>
        <v>0</v>
      </c>
      <c r="P117" s="3165">
        <f>'Part I-Project Information'!P106</f>
        <v>0</v>
      </c>
    </row>
    <row r="118" spans="1:16">
      <c r="A118" s="3107"/>
      <c r="B118" s="3107"/>
      <c r="C118" s="3107" t="s">
        <v>192</v>
      </c>
      <c r="D118" s="3107"/>
      <c r="E118" s="3107">
        <f>'Part I-Project Information'!E107</f>
        <v>0</v>
      </c>
      <c r="F118" s="3138">
        <f>'Part I-Project Information'!F107</f>
        <v>0</v>
      </c>
      <c r="G118" s="3138">
        <f>'Part I-Project Information'!G107</f>
        <v>0</v>
      </c>
      <c r="H118" s="3112" t="s">
        <v>37</v>
      </c>
      <c r="I118" s="3107">
        <f>'Part I-Project Information'!I107</f>
        <v>0</v>
      </c>
      <c r="J118" s="3138">
        <f>'Part I-Project Information'!J107</f>
        <v>0</v>
      </c>
      <c r="K118" s="3138">
        <f>'Part I-Project Information'!K107</f>
        <v>0</v>
      </c>
      <c r="L118" s="3112" t="s">
        <v>50</v>
      </c>
      <c r="M118" s="3107">
        <f>'Part I-Project Information'!M107</f>
        <v>0</v>
      </c>
      <c r="N118" s="3138">
        <f>'Part I-Project Information'!N107</f>
        <v>0</v>
      </c>
      <c r="O118" s="3138">
        <f>'Part I-Project Information'!O107</f>
        <v>0</v>
      </c>
      <c r="P118" s="3138">
        <f>'Part I-Project Information'!P107</f>
        <v>0</v>
      </c>
    </row>
    <row r="119" spans="1:16">
      <c r="A119" s="3107"/>
      <c r="B119" s="3107"/>
      <c r="C119" s="3115" t="s">
        <v>193</v>
      </c>
      <c r="D119" s="3107"/>
      <c r="E119" s="3128">
        <f>'Part I-Project Information'!E108</f>
        <v>0</v>
      </c>
      <c r="F119" s="3128">
        <f>'Part I-Project Information'!F108</f>
        <v>0</v>
      </c>
      <c r="G119" s="3128">
        <f>'Part I-Project Information'!G108</f>
        <v>0</v>
      </c>
      <c r="H119" s="3112" t="s">
        <v>194</v>
      </c>
      <c r="I119" s="3128">
        <f>'Part I-Project Information'!I108</f>
        <v>0</v>
      </c>
      <c r="J119" s="3138">
        <f>'Part I-Project Information'!J108</f>
        <v>0</v>
      </c>
      <c r="K119" s="3112" t="s">
        <v>99</v>
      </c>
      <c r="L119" s="3123">
        <f>'Part I-Project Information'!L108</f>
        <v>0</v>
      </c>
      <c r="M119" s="3123">
        <f>'Part I-Project Information'!M108</f>
        <v>0</v>
      </c>
      <c r="N119" s="3123">
        <f>'Part I-Project Information'!N108</f>
        <v>0</v>
      </c>
      <c r="O119" s="3123">
        <f>'Part I-Project Information'!O108</f>
        <v>0</v>
      </c>
      <c r="P119" s="3123">
        <f>'Part I-Project Information'!P108</f>
        <v>0</v>
      </c>
    </row>
    <row r="120" spans="1:16">
      <c r="A120" s="3105"/>
      <c r="B120" s="3105"/>
      <c r="C120" s="3107"/>
      <c r="D120" s="3107"/>
      <c r="E120" s="3107"/>
      <c r="F120" s="3107"/>
      <c r="G120" s="3132"/>
      <c r="H120" s="3112"/>
      <c r="I120" s="3112"/>
      <c r="J120" s="3107"/>
      <c r="K120" s="3107"/>
      <c r="L120" s="3107"/>
      <c r="M120" s="3129"/>
      <c r="N120" s="3107"/>
      <c r="O120" s="3107"/>
      <c r="P120" s="3107"/>
    </row>
    <row r="121" spans="1:16">
      <c r="A121" s="3155" t="s">
        <v>195</v>
      </c>
      <c r="B121" s="3158" t="s">
        <v>196</v>
      </c>
      <c r="C121" s="3107"/>
      <c r="D121" s="3132"/>
      <c r="E121" s="3132"/>
      <c r="F121" s="3112"/>
      <c r="G121" s="3112"/>
      <c r="H121" s="3112"/>
      <c r="I121" s="3107"/>
      <c r="J121" s="3107"/>
      <c r="K121" s="3107"/>
      <c r="L121" s="3107"/>
      <c r="M121" s="3107"/>
      <c r="N121" s="3107"/>
      <c r="O121" s="3107"/>
      <c r="P121" s="3129"/>
    </row>
    <row r="122" spans="1:16">
      <c r="A122" s="3155"/>
      <c r="B122" s="3158"/>
      <c r="C122" s="3107"/>
      <c r="D122" s="3132"/>
      <c r="E122" s="3132"/>
      <c r="F122" s="3112"/>
      <c r="G122" s="3112"/>
      <c r="H122" s="3112"/>
      <c r="I122" s="3112"/>
      <c r="J122" s="3132"/>
      <c r="K122" s="3112"/>
      <c r="L122" s="3112"/>
      <c r="M122" s="3107"/>
      <c r="N122" s="3107"/>
      <c r="O122" s="3107"/>
      <c r="P122" s="3129"/>
    </row>
    <row r="123" spans="1:16">
      <c r="A123" s="3107"/>
      <c r="B123" s="3138" t="s">
        <v>197</v>
      </c>
      <c r="C123" s="3107"/>
      <c r="D123" s="3121"/>
      <c r="E123" s="3121"/>
      <c r="F123" s="3121"/>
      <c r="G123" s="3121"/>
      <c r="H123" s="3121"/>
      <c r="I123" s="3121"/>
      <c r="J123" s="3121"/>
      <c r="K123" s="3121"/>
      <c r="L123" s="3121"/>
      <c r="M123" s="3121"/>
      <c r="N123" s="3121"/>
      <c r="O123" s="3121"/>
      <c r="P123" s="3121"/>
    </row>
    <row r="124" spans="1:16">
      <c r="A124" s="3105"/>
      <c r="B124" s="3105"/>
      <c r="C124" s="3166"/>
      <c r="D124" s="3166"/>
      <c r="E124" s="3166"/>
      <c r="F124" s="3166"/>
      <c r="G124" s="3166"/>
      <c r="H124" s="3166"/>
      <c r="I124" s="3166"/>
      <c r="J124" s="3166"/>
      <c r="K124" s="3166"/>
      <c r="L124" s="3166"/>
      <c r="M124" s="3166"/>
      <c r="N124" s="3166"/>
      <c r="O124" s="3166"/>
      <c r="P124" s="3166"/>
    </row>
    <row r="125" spans="1:16">
      <c r="A125" s="3105"/>
      <c r="B125" s="3105" t="s">
        <v>110</v>
      </c>
      <c r="C125" s="3158" t="s">
        <v>198</v>
      </c>
      <c r="D125" s="3126"/>
      <c r="E125" s="3126"/>
      <c r="F125" s="3112"/>
      <c r="G125" s="3112"/>
      <c r="H125" s="3132">
        <f>'Part I-Project Information'!H114</f>
        <v>1</v>
      </c>
      <c r="I125" s="3107"/>
      <c r="J125" s="3107"/>
      <c r="K125" s="3107"/>
      <c r="L125" s="3107"/>
      <c r="M125" s="3107"/>
      <c r="N125" s="3107"/>
      <c r="O125" s="3107"/>
      <c r="P125" s="3107"/>
    </row>
    <row r="126" spans="1:16">
      <c r="A126" s="3105"/>
      <c r="B126" s="3105"/>
      <c r="C126" s="3166"/>
      <c r="D126" s="3166"/>
      <c r="E126" s="3166"/>
      <c r="F126" s="3166"/>
      <c r="G126" s="3166"/>
      <c r="H126" s="3166"/>
      <c r="I126" s="3107"/>
      <c r="J126" s="3166"/>
      <c r="K126" s="3107"/>
      <c r="L126" s="3107"/>
      <c r="M126" s="3166"/>
      <c r="N126" s="3166"/>
      <c r="O126" s="3166"/>
      <c r="P126" s="3107"/>
    </row>
    <row r="127" spans="1:16">
      <c r="A127" s="3105"/>
      <c r="B127" s="3105" t="s">
        <v>121</v>
      </c>
      <c r="C127" s="3158" t="s">
        <v>199</v>
      </c>
      <c r="D127" s="3126"/>
      <c r="E127" s="3126"/>
      <c r="F127" s="3112"/>
      <c r="G127" s="3112"/>
      <c r="H127" s="3167">
        <f>'Part I-Project Information'!H116</f>
        <v>850000</v>
      </c>
      <c r="I127" s="3107"/>
      <c r="J127" s="3132"/>
      <c r="K127" s="3115"/>
      <c r="L127" s="3107"/>
      <c r="M127" s="3107"/>
      <c r="N127" s="3107"/>
      <c r="O127" s="3107"/>
      <c r="P127" s="3107"/>
    </row>
    <row r="128" spans="1:16">
      <c r="A128" s="3105"/>
      <c r="B128" s="3105"/>
      <c r="C128" s="3166"/>
      <c r="D128" s="3166"/>
      <c r="E128" s="3166"/>
      <c r="F128" s="3166"/>
      <c r="G128" s="3166"/>
      <c r="H128" s="3166"/>
      <c r="I128" s="3166"/>
      <c r="J128" s="3166"/>
      <c r="K128" s="3166"/>
      <c r="L128" s="3107"/>
      <c r="M128" s="3166"/>
      <c r="N128" s="3166"/>
      <c r="O128" s="3166"/>
      <c r="P128" s="3166"/>
    </row>
    <row r="129" spans="1:16">
      <c r="A129" s="3107"/>
      <c r="B129" s="3105" t="s">
        <v>123</v>
      </c>
      <c r="C129" s="3158" t="s">
        <v>200</v>
      </c>
      <c r="D129" s="3126"/>
      <c r="E129" s="3126"/>
      <c r="F129" s="3112"/>
      <c r="G129" s="3112"/>
      <c r="H129" s="3112"/>
      <c r="I129" s="3112"/>
      <c r="J129" s="3132"/>
      <c r="K129" s="3112"/>
      <c r="L129" s="3112"/>
      <c r="M129" s="3107"/>
      <c r="N129" s="3107"/>
      <c r="O129" s="3107"/>
      <c r="P129" s="3107"/>
    </row>
    <row r="130" spans="1:16">
      <c r="A130" s="3107"/>
      <c r="B130" s="3105"/>
      <c r="C130" s="3126" t="s">
        <v>201</v>
      </c>
      <c r="D130" s="3126"/>
      <c r="E130" s="3107"/>
      <c r="F130" s="3126" t="s">
        <v>202</v>
      </c>
      <c r="G130" s="3112"/>
      <c r="H130" s="3112"/>
      <c r="I130" s="3112" t="s">
        <v>203</v>
      </c>
      <c r="J130" s="3126" t="s">
        <v>201</v>
      </c>
      <c r="K130" s="3126"/>
      <c r="L130" s="3107"/>
      <c r="M130" s="3126" t="s">
        <v>202</v>
      </c>
      <c r="N130" s="3112"/>
      <c r="O130" s="3112"/>
      <c r="P130" s="3112" t="s">
        <v>203</v>
      </c>
    </row>
    <row r="131" spans="1:16" ht="13.5">
      <c r="A131" s="3105"/>
      <c r="B131" s="3105"/>
      <c r="C131" s="3119" t="str">
        <f>'Part I-Project Information'!C120</f>
        <v>1  TISHCO Development</v>
      </c>
      <c r="D131" s="3119">
        <f>'Part I-Project Information'!D120</f>
        <v>0</v>
      </c>
      <c r="E131" s="3119">
        <f>'Part I-Project Information'!E120</f>
        <v>0</v>
      </c>
      <c r="F131" s="3119" t="str">
        <f>'Part I-Project Information'!F120</f>
        <v>Mill at Stone Valley</v>
      </c>
      <c r="G131" s="3119">
        <f>'Part I-Project Information'!G120</f>
        <v>0</v>
      </c>
      <c r="H131" s="3119">
        <f>'Part I-Project Information'!H120</f>
        <v>0</v>
      </c>
      <c r="I131" s="3119" t="str">
        <f>'Part I-Project Information'!I120</f>
        <v>Direct</v>
      </c>
      <c r="J131" s="3119">
        <f>'Part I-Project Information'!J120</f>
        <v>7</v>
      </c>
      <c r="K131" s="3119">
        <f>'Part I-Project Information'!K120</f>
        <v>0</v>
      </c>
      <c r="L131" s="3119">
        <f>'Part I-Project Information'!L120</f>
        <v>0</v>
      </c>
      <c r="M131" s="3119">
        <f>'Part I-Project Information'!M120</f>
        <v>0</v>
      </c>
      <c r="N131" s="3119">
        <f>'Part I-Project Information'!N120</f>
        <v>0</v>
      </c>
      <c r="O131" s="3119">
        <f>'Part I-Project Information'!O120</f>
        <v>0</v>
      </c>
      <c r="P131" s="3119">
        <f>'Part I-Project Information'!P120</f>
        <v>0</v>
      </c>
    </row>
    <row r="132" spans="1:16" ht="13.5">
      <c r="A132" s="3105"/>
      <c r="B132" s="3105"/>
      <c r="C132" s="3119">
        <f>'Part I-Project Information'!C121</f>
        <v>2</v>
      </c>
      <c r="D132" s="3119">
        <f>'Part I-Project Information'!D121</f>
        <v>0</v>
      </c>
      <c r="E132" s="3119">
        <f>'Part I-Project Information'!E121</f>
        <v>0</v>
      </c>
      <c r="F132" s="3119">
        <f>'Part I-Project Information'!F121</f>
        <v>0</v>
      </c>
      <c r="G132" s="3119">
        <f>'Part I-Project Information'!G121</f>
        <v>0</v>
      </c>
      <c r="H132" s="3119">
        <f>'Part I-Project Information'!H121</f>
        <v>0</v>
      </c>
      <c r="I132" s="3119">
        <f>'Part I-Project Information'!I121</f>
        <v>0</v>
      </c>
      <c r="J132" s="3119">
        <f>'Part I-Project Information'!J121</f>
        <v>8</v>
      </c>
      <c r="K132" s="3119">
        <f>'Part I-Project Information'!K121</f>
        <v>0</v>
      </c>
      <c r="L132" s="3119">
        <f>'Part I-Project Information'!L121</f>
        <v>0</v>
      </c>
      <c r="M132" s="3119">
        <f>'Part I-Project Information'!M121</f>
        <v>0</v>
      </c>
      <c r="N132" s="3119">
        <f>'Part I-Project Information'!N121</f>
        <v>0</v>
      </c>
      <c r="O132" s="3119">
        <f>'Part I-Project Information'!O121</f>
        <v>0</v>
      </c>
      <c r="P132" s="3119">
        <f>'Part I-Project Information'!P121</f>
        <v>0</v>
      </c>
    </row>
    <row r="133" spans="1:16" ht="13.5">
      <c r="A133" s="3105"/>
      <c r="B133" s="3105"/>
      <c r="C133" s="3119">
        <f>'Part I-Project Information'!C122</f>
        <v>3</v>
      </c>
      <c r="D133" s="3119">
        <f>'Part I-Project Information'!D122</f>
        <v>0</v>
      </c>
      <c r="E133" s="3119">
        <f>'Part I-Project Information'!E122</f>
        <v>0</v>
      </c>
      <c r="F133" s="3119">
        <f>'Part I-Project Information'!F122</f>
        <v>0</v>
      </c>
      <c r="G133" s="3119">
        <f>'Part I-Project Information'!G122</f>
        <v>0</v>
      </c>
      <c r="H133" s="3119">
        <f>'Part I-Project Information'!H122</f>
        <v>0</v>
      </c>
      <c r="I133" s="3119">
        <f>'Part I-Project Information'!I122</f>
        <v>0</v>
      </c>
      <c r="J133" s="3119">
        <f>'Part I-Project Information'!J122</f>
        <v>9</v>
      </c>
      <c r="K133" s="3119">
        <f>'Part I-Project Information'!K122</f>
        <v>0</v>
      </c>
      <c r="L133" s="3119">
        <f>'Part I-Project Information'!L122</f>
        <v>0</v>
      </c>
      <c r="M133" s="3119">
        <f>'Part I-Project Information'!M122</f>
        <v>0</v>
      </c>
      <c r="N133" s="3119">
        <f>'Part I-Project Information'!N122</f>
        <v>0</v>
      </c>
      <c r="O133" s="3119">
        <f>'Part I-Project Information'!O122</f>
        <v>0</v>
      </c>
      <c r="P133" s="3119">
        <f>'Part I-Project Information'!P122</f>
        <v>0</v>
      </c>
    </row>
    <row r="134" spans="1:16" ht="13.5">
      <c r="A134" s="3105"/>
      <c r="B134" s="3105"/>
      <c r="C134" s="3119">
        <f>'Part I-Project Information'!C123</f>
        <v>4</v>
      </c>
      <c r="D134" s="3119">
        <f>'Part I-Project Information'!D123</f>
        <v>0</v>
      </c>
      <c r="E134" s="3119">
        <f>'Part I-Project Information'!E123</f>
        <v>0</v>
      </c>
      <c r="F134" s="3119">
        <f>'Part I-Project Information'!F123</f>
        <v>0</v>
      </c>
      <c r="G134" s="3119">
        <f>'Part I-Project Information'!G123</f>
        <v>0</v>
      </c>
      <c r="H134" s="3119">
        <f>'Part I-Project Information'!H123</f>
        <v>0</v>
      </c>
      <c r="I134" s="3119">
        <f>'Part I-Project Information'!I123</f>
        <v>0</v>
      </c>
      <c r="J134" s="3119">
        <f>'Part I-Project Information'!J123</f>
        <v>10</v>
      </c>
      <c r="K134" s="3119">
        <f>'Part I-Project Information'!K123</f>
        <v>0</v>
      </c>
      <c r="L134" s="3119">
        <f>'Part I-Project Information'!L123</f>
        <v>0</v>
      </c>
      <c r="M134" s="3119">
        <f>'Part I-Project Information'!M123</f>
        <v>0</v>
      </c>
      <c r="N134" s="3119">
        <f>'Part I-Project Information'!N123</f>
        <v>0</v>
      </c>
      <c r="O134" s="3119">
        <f>'Part I-Project Information'!O123</f>
        <v>0</v>
      </c>
      <c r="P134" s="3119">
        <f>'Part I-Project Information'!P123</f>
        <v>0</v>
      </c>
    </row>
    <row r="135" spans="1:16" ht="13.5">
      <c r="A135" s="3105"/>
      <c r="B135" s="3105"/>
      <c r="C135" s="3119">
        <f>'Part I-Project Information'!C124</f>
        <v>5</v>
      </c>
      <c r="D135" s="3119">
        <f>'Part I-Project Information'!D124</f>
        <v>0</v>
      </c>
      <c r="E135" s="3119">
        <f>'Part I-Project Information'!E124</f>
        <v>0</v>
      </c>
      <c r="F135" s="3119">
        <f>'Part I-Project Information'!F124</f>
        <v>0</v>
      </c>
      <c r="G135" s="3119">
        <f>'Part I-Project Information'!G124</f>
        <v>0</v>
      </c>
      <c r="H135" s="3119">
        <f>'Part I-Project Information'!H124</f>
        <v>0</v>
      </c>
      <c r="I135" s="3119">
        <f>'Part I-Project Information'!I124</f>
        <v>0</v>
      </c>
      <c r="J135" s="3119">
        <f>'Part I-Project Information'!J124</f>
        <v>11</v>
      </c>
      <c r="K135" s="3119">
        <f>'Part I-Project Information'!K124</f>
        <v>0</v>
      </c>
      <c r="L135" s="3119">
        <f>'Part I-Project Information'!L124</f>
        <v>0</v>
      </c>
      <c r="M135" s="3119">
        <f>'Part I-Project Information'!M124</f>
        <v>0</v>
      </c>
      <c r="N135" s="3119">
        <f>'Part I-Project Information'!N124</f>
        <v>0</v>
      </c>
      <c r="O135" s="3119">
        <f>'Part I-Project Information'!O124</f>
        <v>0</v>
      </c>
      <c r="P135" s="3119">
        <f>'Part I-Project Information'!P124</f>
        <v>0</v>
      </c>
    </row>
    <row r="136" spans="1:16" ht="13.5">
      <c r="A136" s="3105"/>
      <c r="B136" s="3105"/>
      <c r="C136" s="3119">
        <f>'Part I-Project Information'!C125</f>
        <v>6</v>
      </c>
      <c r="D136" s="3119">
        <f>'Part I-Project Information'!D125</f>
        <v>0</v>
      </c>
      <c r="E136" s="3119">
        <f>'Part I-Project Information'!E125</f>
        <v>0</v>
      </c>
      <c r="F136" s="3119">
        <f>'Part I-Project Information'!F125</f>
        <v>0</v>
      </c>
      <c r="G136" s="3119">
        <f>'Part I-Project Information'!G125</f>
        <v>0</v>
      </c>
      <c r="H136" s="3119">
        <f>'Part I-Project Information'!H125</f>
        <v>0</v>
      </c>
      <c r="I136" s="3119">
        <f>'Part I-Project Information'!I125</f>
        <v>0</v>
      </c>
      <c r="J136" s="3119">
        <f>'Part I-Project Information'!J125</f>
        <v>12</v>
      </c>
      <c r="K136" s="3119">
        <f>'Part I-Project Information'!K125</f>
        <v>0</v>
      </c>
      <c r="L136" s="3119">
        <f>'Part I-Project Information'!L125</f>
        <v>0</v>
      </c>
      <c r="M136" s="3119">
        <f>'Part I-Project Information'!M125</f>
        <v>0</v>
      </c>
      <c r="N136" s="3119">
        <f>'Part I-Project Information'!N125</f>
        <v>0</v>
      </c>
      <c r="O136" s="3119">
        <f>'Part I-Project Information'!O125</f>
        <v>0</v>
      </c>
      <c r="P136" s="3119">
        <f>'Part I-Project Information'!P125</f>
        <v>0</v>
      </c>
    </row>
    <row r="137" spans="1:16">
      <c r="A137" s="3105"/>
      <c r="B137" s="3105"/>
      <c r="C137" s="3166"/>
      <c r="D137" s="3166"/>
      <c r="E137" s="3166"/>
      <c r="F137" s="3166"/>
      <c r="G137" s="3166"/>
      <c r="H137" s="3166"/>
      <c r="I137" s="3166"/>
      <c r="J137" s="3166"/>
      <c r="K137" s="3166"/>
      <c r="L137" s="3166"/>
      <c r="M137" s="3166"/>
      <c r="N137" s="3166"/>
      <c r="O137" s="3166"/>
      <c r="P137" s="3166"/>
    </row>
    <row r="138" spans="1:16" ht="12.75" customHeight="1">
      <c r="A138" s="3105"/>
      <c r="B138" s="3105" t="s">
        <v>126</v>
      </c>
      <c r="C138" s="3168" t="s">
        <v>206</v>
      </c>
      <c r="D138" s="3168"/>
      <c r="E138" s="3168"/>
      <c r="F138" s="3168"/>
      <c r="G138" s="3168"/>
      <c r="H138" s="3168"/>
      <c r="I138" s="3168"/>
      <c r="J138" s="3168"/>
      <c r="K138" s="3168"/>
      <c r="L138" s="3168"/>
      <c r="M138" s="3168"/>
      <c r="N138" s="3168"/>
      <c r="O138" s="3168"/>
      <c r="P138" s="3168"/>
    </row>
    <row r="139" spans="1:16">
      <c r="A139" s="3105"/>
      <c r="B139" s="3105"/>
      <c r="C139" s="3168"/>
      <c r="D139" s="3168"/>
      <c r="E139" s="3168"/>
      <c r="F139" s="3168"/>
      <c r="G139" s="3168"/>
      <c r="H139" s="3168"/>
      <c r="I139" s="3168"/>
      <c r="J139" s="3168"/>
      <c r="K139" s="3168"/>
      <c r="L139" s="3168"/>
      <c r="M139" s="3168"/>
      <c r="N139" s="3168"/>
      <c r="O139" s="3168"/>
      <c r="P139" s="3168"/>
    </row>
    <row r="140" spans="1:16">
      <c r="A140" s="3107"/>
      <c r="B140" s="3105"/>
      <c r="C140" s="3126" t="s">
        <v>201</v>
      </c>
      <c r="D140" s="3126"/>
      <c r="E140" s="3107"/>
      <c r="F140" s="3126" t="s">
        <v>202</v>
      </c>
      <c r="G140" s="3112"/>
      <c r="H140" s="3112"/>
      <c r="I140" s="3112"/>
      <c r="J140" s="3126" t="s">
        <v>201</v>
      </c>
      <c r="K140" s="3126"/>
      <c r="L140" s="3107"/>
      <c r="M140" s="3126" t="s">
        <v>202</v>
      </c>
      <c r="N140" s="3112"/>
      <c r="O140" s="3112"/>
      <c r="P140" s="3112"/>
    </row>
    <row r="141" spans="1:16" ht="13.5">
      <c r="A141" s="3105"/>
      <c r="B141" s="3105"/>
      <c r="C141" s="3119">
        <f>'Part I-Project Information'!C130</f>
        <v>1</v>
      </c>
      <c r="D141" s="3119">
        <f>'Part I-Project Information'!D130</f>
        <v>0</v>
      </c>
      <c r="E141" s="3119">
        <f>'Part I-Project Information'!E130</f>
        <v>0</v>
      </c>
      <c r="F141" s="3119">
        <f>'Part I-Project Information'!F130</f>
        <v>0</v>
      </c>
      <c r="G141" s="3119">
        <f>'Part I-Project Information'!G130</f>
        <v>0</v>
      </c>
      <c r="H141" s="3119">
        <f>'Part I-Project Information'!H130</f>
        <v>0</v>
      </c>
      <c r="I141" s="3119">
        <f>'Part I-Project Information'!I130</f>
        <v>0</v>
      </c>
      <c r="J141" s="3119">
        <f>'Part I-Project Information'!J130</f>
        <v>7</v>
      </c>
      <c r="K141" s="3119">
        <f>'Part I-Project Information'!K130</f>
        <v>0</v>
      </c>
      <c r="L141" s="3119">
        <f>'Part I-Project Information'!L130</f>
        <v>0</v>
      </c>
      <c r="M141" s="3119">
        <f>'Part I-Project Information'!M130</f>
        <v>0</v>
      </c>
      <c r="N141" s="3119">
        <f>'Part I-Project Information'!N130</f>
        <v>0</v>
      </c>
      <c r="O141" s="3119">
        <f>'Part I-Project Information'!O130</f>
        <v>0</v>
      </c>
      <c r="P141" s="3119">
        <f>'Part I-Project Information'!P130</f>
        <v>0</v>
      </c>
    </row>
    <row r="142" spans="1:16" ht="13.5">
      <c r="A142" s="3105"/>
      <c r="B142" s="3105"/>
      <c r="C142" s="3119">
        <f>'Part I-Project Information'!C131</f>
        <v>2</v>
      </c>
      <c r="D142" s="3119">
        <f>'Part I-Project Information'!D131</f>
        <v>0</v>
      </c>
      <c r="E142" s="3119">
        <f>'Part I-Project Information'!E131</f>
        <v>0</v>
      </c>
      <c r="F142" s="3119">
        <f>'Part I-Project Information'!F131</f>
        <v>0</v>
      </c>
      <c r="G142" s="3119">
        <f>'Part I-Project Information'!G131</f>
        <v>0</v>
      </c>
      <c r="H142" s="3119">
        <f>'Part I-Project Information'!H131</f>
        <v>0</v>
      </c>
      <c r="I142" s="3119">
        <f>'Part I-Project Information'!I131</f>
        <v>0</v>
      </c>
      <c r="J142" s="3119">
        <f>'Part I-Project Information'!J131</f>
        <v>8</v>
      </c>
      <c r="K142" s="3119">
        <f>'Part I-Project Information'!K131</f>
        <v>0</v>
      </c>
      <c r="L142" s="3119">
        <f>'Part I-Project Information'!L131</f>
        <v>0</v>
      </c>
      <c r="M142" s="3119">
        <f>'Part I-Project Information'!M131</f>
        <v>0</v>
      </c>
      <c r="N142" s="3119">
        <f>'Part I-Project Information'!N131</f>
        <v>0</v>
      </c>
      <c r="O142" s="3119">
        <f>'Part I-Project Information'!O131</f>
        <v>0</v>
      </c>
      <c r="P142" s="3119">
        <f>'Part I-Project Information'!P131</f>
        <v>0</v>
      </c>
    </row>
    <row r="143" spans="1:16" ht="13.5">
      <c r="A143" s="3105"/>
      <c r="B143" s="3105"/>
      <c r="C143" s="3119">
        <f>'Part I-Project Information'!C132</f>
        <v>3</v>
      </c>
      <c r="D143" s="3119">
        <f>'Part I-Project Information'!D132</f>
        <v>0</v>
      </c>
      <c r="E143" s="3119">
        <f>'Part I-Project Information'!E132</f>
        <v>0</v>
      </c>
      <c r="F143" s="3119">
        <f>'Part I-Project Information'!F132</f>
        <v>0</v>
      </c>
      <c r="G143" s="3119">
        <f>'Part I-Project Information'!G132</f>
        <v>0</v>
      </c>
      <c r="H143" s="3119">
        <f>'Part I-Project Information'!H132</f>
        <v>0</v>
      </c>
      <c r="I143" s="3119">
        <f>'Part I-Project Information'!I132</f>
        <v>0</v>
      </c>
      <c r="J143" s="3119">
        <f>'Part I-Project Information'!J132</f>
        <v>9</v>
      </c>
      <c r="K143" s="3119">
        <f>'Part I-Project Information'!K132</f>
        <v>0</v>
      </c>
      <c r="L143" s="3119">
        <f>'Part I-Project Information'!L132</f>
        <v>0</v>
      </c>
      <c r="M143" s="3119">
        <f>'Part I-Project Information'!M132</f>
        <v>0</v>
      </c>
      <c r="N143" s="3119">
        <f>'Part I-Project Information'!N132</f>
        <v>0</v>
      </c>
      <c r="O143" s="3119">
        <f>'Part I-Project Information'!O132</f>
        <v>0</v>
      </c>
      <c r="P143" s="3119">
        <f>'Part I-Project Information'!P132</f>
        <v>0</v>
      </c>
    </row>
    <row r="144" spans="1:16" ht="13.5">
      <c r="A144" s="3105"/>
      <c r="B144" s="3105"/>
      <c r="C144" s="3119">
        <f>'Part I-Project Information'!C133</f>
        <v>4</v>
      </c>
      <c r="D144" s="3119">
        <f>'Part I-Project Information'!D133</f>
        <v>0</v>
      </c>
      <c r="E144" s="3119">
        <f>'Part I-Project Information'!E133</f>
        <v>0</v>
      </c>
      <c r="F144" s="3119">
        <f>'Part I-Project Information'!F133</f>
        <v>0</v>
      </c>
      <c r="G144" s="3119">
        <f>'Part I-Project Information'!G133</f>
        <v>0</v>
      </c>
      <c r="H144" s="3119">
        <f>'Part I-Project Information'!H133</f>
        <v>0</v>
      </c>
      <c r="I144" s="3119">
        <f>'Part I-Project Information'!I133</f>
        <v>0</v>
      </c>
      <c r="J144" s="3119">
        <f>'Part I-Project Information'!J133</f>
        <v>10</v>
      </c>
      <c r="K144" s="3119">
        <f>'Part I-Project Information'!K133</f>
        <v>0</v>
      </c>
      <c r="L144" s="3119">
        <f>'Part I-Project Information'!L133</f>
        <v>0</v>
      </c>
      <c r="M144" s="3119">
        <f>'Part I-Project Information'!M133</f>
        <v>0</v>
      </c>
      <c r="N144" s="3119">
        <f>'Part I-Project Information'!N133</f>
        <v>0</v>
      </c>
      <c r="O144" s="3119">
        <f>'Part I-Project Information'!O133</f>
        <v>0</v>
      </c>
      <c r="P144" s="3119">
        <f>'Part I-Project Information'!P133</f>
        <v>0</v>
      </c>
    </row>
    <row r="145" spans="1:16" ht="13.5">
      <c r="A145" s="3105"/>
      <c r="B145" s="3105"/>
      <c r="C145" s="3119">
        <f>'Part I-Project Information'!C134</f>
        <v>5</v>
      </c>
      <c r="D145" s="3119">
        <f>'Part I-Project Information'!D134</f>
        <v>0</v>
      </c>
      <c r="E145" s="3119">
        <f>'Part I-Project Information'!E134</f>
        <v>0</v>
      </c>
      <c r="F145" s="3119">
        <f>'Part I-Project Information'!F134</f>
        <v>0</v>
      </c>
      <c r="G145" s="3119">
        <f>'Part I-Project Information'!G134</f>
        <v>0</v>
      </c>
      <c r="H145" s="3119">
        <f>'Part I-Project Information'!H134</f>
        <v>0</v>
      </c>
      <c r="I145" s="3119">
        <f>'Part I-Project Information'!I134</f>
        <v>0</v>
      </c>
      <c r="J145" s="3119">
        <f>'Part I-Project Information'!J134</f>
        <v>11</v>
      </c>
      <c r="K145" s="3119">
        <f>'Part I-Project Information'!K134</f>
        <v>0</v>
      </c>
      <c r="L145" s="3119">
        <f>'Part I-Project Information'!L134</f>
        <v>0</v>
      </c>
      <c r="M145" s="3119">
        <f>'Part I-Project Information'!M134</f>
        <v>0</v>
      </c>
      <c r="N145" s="3119">
        <f>'Part I-Project Information'!N134</f>
        <v>0</v>
      </c>
      <c r="O145" s="3119">
        <f>'Part I-Project Information'!O134</f>
        <v>0</v>
      </c>
      <c r="P145" s="3119">
        <f>'Part I-Project Information'!P134</f>
        <v>0</v>
      </c>
    </row>
    <row r="146" spans="1:16" ht="13.5">
      <c r="A146" s="3105"/>
      <c r="B146" s="3105"/>
      <c r="C146" s="3119">
        <f>'Part I-Project Information'!C135</f>
        <v>6</v>
      </c>
      <c r="D146" s="3119">
        <f>'Part I-Project Information'!D135</f>
        <v>0</v>
      </c>
      <c r="E146" s="3119">
        <f>'Part I-Project Information'!E135</f>
        <v>0</v>
      </c>
      <c r="F146" s="3119">
        <f>'Part I-Project Information'!F135</f>
        <v>0</v>
      </c>
      <c r="G146" s="3119">
        <f>'Part I-Project Information'!G135</f>
        <v>0</v>
      </c>
      <c r="H146" s="3119">
        <f>'Part I-Project Information'!H135</f>
        <v>0</v>
      </c>
      <c r="I146" s="3119">
        <f>'Part I-Project Information'!I135</f>
        <v>0</v>
      </c>
      <c r="J146" s="3119">
        <f>'Part I-Project Information'!J135</f>
        <v>12</v>
      </c>
      <c r="K146" s="3119">
        <f>'Part I-Project Information'!K135</f>
        <v>0</v>
      </c>
      <c r="L146" s="3119">
        <f>'Part I-Project Information'!L135</f>
        <v>0</v>
      </c>
      <c r="M146" s="3119">
        <f>'Part I-Project Information'!M135</f>
        <v>0</v>
      </c>
      <c r="N146" s="3119">
        <f>'Part I-Project Information'!N135</f>
        <v>0</v>
      </c>
      <c r="O146" s="3119">
        <f>'Part I-Project Information'!O135</f>
        <v>0</v>
      </c>
      <c r="P146" s="3119">
        <f>'Part I-Project Information'!P135</f>
        <v>0</v>
      </c>
    </row>
    <row r="147" spans="1:16">
      <c r="A147" s="3105"/>
      <c r="B147" s="3105"/>
      <c r="C147" s="3126"/>
      <c r="D147" s="3126"/>
      <c r="E147" s="3126"/>
      <c r="F147" s="3112"/>
      <c r="G147" s="3112"/>
      <c r="H147" s="3112"/>
      <c r="I147" s="3112"/>
      <c r="J147" s="3132"/>
      <c r="K147" s="3112"/>
      <c r="L147" s="3112"/>
      <c r="M147" s="3107"/>
      <c r="N147" s="3107"/>
      <c r="O147" s="3107"/>
      <c r="P147" s="3129"/>
    </row>
    <row r="148" spans="1:16">
      <c r="A148" s="3105"/>
      <c r="B148" s="3105"/>
      <c r="C148" s="3126"/>
      <c r="D148" s="3126"/>
      <c r="E148" s="3126"/>
      <c r="F148" s="3112"/>
      <c r="G148" s="3112"/>
      <c r="H148" s="3112"/>
      <c r="I148" s="3112"/>
      <c r="J148" s="3132"/>
      <c r="K148" s="3112"/>
      <c r="L148" s="3112"/>
      <c r="M148" s="3107"/>
      <c r="N148" s="3107"/>
      <c r="O148" s="3107"/>
      <c r="P148" s="3129"/>
    </row>
    <row r="149" spans="1:16">
      <c r="A149" s="3155" t="s">
        <v>207</v>
      </c>
      <c r="B149" s="3157" t="s">
        <v>208</v>
      </c>
      <c r="C149" s="3107"/>
      <c r="D149" s="3157"/>
      <c r="E149" s="3157"/>
      <c r="F149" s="3157"/>
      <c r="G149" s="3107"/>
      <c r="H149" s="3107"/>
      <c r="I149" s="3112" t="str">
        <f>'Part I-Project Information'!I138</f>
        <v>No</v>
      </c>
      <c r="J149" s="3107"/>
      <c r="K149" s="3107"/>
      <c r="L149" s="3107"/>
      <c r="M149" s="3112"/>
      <c r="N149" s="3107"/>
      <c r="O149" s="3107"/>
      <c r="P149" s="3129"/>
    </row>
    <row r="150" spans="1:16">
      <c r="A150" s="3155"/>
      <c r="B150" s="3105"/>
      <c r="C150" s="3158"/>
      <c r="D150" s="3158"/>
      <c r="E150" s="3158"/>
      <c r="F150" s="3158"/>
      <c r="G150" s="3112"/>
      <c r="H150" s="3107"/>
      <c r="I150" s="3107"/>
      <c r="J150" s="3107"/>
      <c r="K150" s="3107"/>
      <c r="L150" s="3107"/>
      <c r="M150" s="3112"/>
      <c r="N150" s="3107"/>
      <c r="O150" s="3107"/>
      <c r="P150" s="3107"/>
    </row>
    <row r="151" spans="1:16">
      <c r="A151" s="3105"/>
      <c r="B151" s="3105" t="s">
        <v>110</v>
      </c>
      <c r="C151" s="3108" t="s">
        <v>209</v>
      </c>
      <c r="D151" s="3107"/>
      <c r="E151" s="3107"/>
      <c r="F151" s="3107"/>
      <c r="G151" s="3107"/>
      <c r="H151" s="3107"/>
      <c r="I151" s="3112">
        <f>'Part I-Project Information'!I140</f>
        <v>0</v>
      </c>
      <c r="J151" s="3107"/>
      <c r="K151" s="3107"/>
      <c r="L151" s="3107"/>
      <c r="M151" s="3112"/>
      <c r="N151" s="3107"/>
      <c r="O151" s="3107"/>
      <c r="P151" s="3129"/>
    </row>
    <row r="152" spans="1:16">
      <c r="A152" s="3105"/>
      <c r="B152" s="3105"/>
      <c r="C152" s="3126" t="s">
        <v>210</v>
      </c>
      <c r="D152" s="3126"/>
      <c r="E152" s="3126"/>
      <c r="F152" s="3112"/>
      <c r="G152" s="3107"/>
      <c r="H152" s="3107"/>
      <c r="I152" s="3112">
        <f>'Part I-Project Information'!I141</f>
        <v>0</v>
      </c>
      <c r="J152" s="3107"/>
      <c r="K152" s="3107"/>
      <c r="L152" s="3107"/>
      <c r="M152" s="3107"/>
      <c r="N152" s="3107"/>
      <c r="O152" s="3107"/>
      <c r="P152" s="3129"/>
    </row>
    <row r="153" spans="1:16">
      <c r="A153" s="3105"/>
      <c r="B153" s="3105"/>
      <c r="C153" s="3169" t="s">
        <v>211</v>
      </c>
      <c r="D153" s="3115"/>
      <c r="E153" s="3107"/>
      <c r="F153" s="3107"/>
      <c r="G153" s="3107"/>
      <c r="H153" s="3107"/>
      <c r="I153" s="3112">
        <f>'Part I-Project Information'!I142</f>
        <v>0</v>
      </c>
      <c r="J153" s="3107"/>
      <c r="K153" s="3107"/>
      <c r="L153" s="3107"/>
      <c r="M153" s="3107"/>
      <c r="N153" s="3107"/>
      <c r="O153" s="3107"/>
      <c r="P153" s="3129"/>
    </row>
    <row r="154" spans="1:16">
      <c r="A154" s="3105"/>
      <c r="B154" s="3105"/>
      <c r="C154" s="3126" t="s">
        <v>212</v>
      </c>
      <c r="D154" s="3126"/>
      <c r="E154" s="3126"/>
      <c r="F154" s="3112"/>
      <c r="G154" s="3107"/>
      <c r="H154" s="3107"/>
      <c r="I154" s="3112">
        <f>'Part I-Project Information'!I143</f>
        <v>0</v>
      </c>
      <c r="J154" s="3107"/>
      <c r="K154" s="3114" t="s">
        <v>213</v>
      </c>
      <c r="L154" s="3107"/>
      <c r="M154" s="3107"/>
      <c r="N154" s="3107"/>
      <c r="O154" s="3107" t="str">
        <f>'Part I-Project Information'!O143</f>
        <v>GA-</v>
      </c>
      <c r="P154" s="3107">
        <f>'Part I-Project Information'!P143</f>
        <v>0</v>
      </c>
    </row>
    <row r="155" spans="1:16">
      <c r="A155" s="3105"/>
      <c r="B155" s="3105"/>
      <c r="C155" s="3126" t="s">
        <v>215</v>
      </c>
      <c r="D155" s="3107"/>
      <c r="E155" s="3107"/>
      <c r="F155" s="3112"/>
      <c r="G155" s="3107"/>
      <c r="H155" s="3107"/>
      <c r="I155" s="3112">
        <f>'Part I-Project Information'!I144</f>
        <v>0</v>
      </c>
      <c r="J155" s="3107"/>
      <c r="K155" s="3114" t="s">
        <v>216</v>
      </c>
      <c r="L155" s="3107"/>
      <c r="M155" s="3107"/>
      <c r="N155" s="3107"/>
      <c r="O155" s="3107" t="str">
        <f>'Part I-Project Information'!O144</f>
        <v>GA-</v>
      </c>
      <c r="P155" s="3107">
        <f>'Part I-Project Information'!P144</f>
        <v>0</v>
      </c>
    </row>
    <row r="156" spans="1:16">
      <c r="A156" s="3105"/>
      <c r="B156" s="3105"/>
      <c r="C156" s="3126" t="s">
        <v>217</v>
      </c>
      <c r="D156" s="3126"/>
      <c r="E156" s="3126"/>
      <c r="F156" s="3112"/>
      <c r="G156" s="3107"/>
      <c r="H156" s="3107"/>
      <c r="I156" s="3164">
        <f>'Part I-Project Information'!I145</f>
        <v>0</v>
      </c>
      <c r="J156" s="3164">
        <f>'Part I-Project Information'!J145</f>
        <v>0</v>
      </c>
      <c r="K156" s="3107"/>
      <c r="L156" s="3107"/>
      <c r="M156" s="3107"/>
      <c r="N156" s="3107"/>
      <c r="O156" s="3107"/>
      <c r="P156" s="3129"/>
    </row>
    <row r="157" spans="1:16">
      <c r="A157" s="3105"/>
      <c r="B157" s="3105"/>
      <c r="C157" s="3126"/>
      <c r="D157" s="3126"/>
      <c r="E157" s="3126"/>
      <c r="F157" s="3112"/>
      <c r="G157" s="3107"/>
      <c r="H157" s="3107"/>
      <c r="I157" s="3107"/>
      <c r="J157" s="3107"/>
      <c r="K157" s="3107"/>
      <c r="L157" s="3107"/>
      <c r="M157" s="3107"/>
      <c r="N157" s="3107"/>
      <c r="O157" s="3107"/>
      <c r="P157" s="3129"/>
    </row>
    <row r="158" spans="1:16">
      <c r="A158" s="3105"/>
      <c r="B158" s="3105" t="s">
        <v>121</v>
      </c>
      <c r="C158" s="3158" t="s">
        <v>218</v>
      </c>
      <c r="D158" s="3126"/>
      <c r="E158" s="3126"/>
      <c r="F158" s="3112"/>
      <c r="G158" s="3107"/>
      <c r="H158" s="3107"/>
      <c r="I158" s="3132" t="str">
        <f>'Part I-Project Information'!I147</f>
        <v>No</v>
      </c>
      <c r="J158" s="3107"/>
      <c r="K158" s="3107"/>
      <c r="L158" s="3107"/>
      <c r="M158" s="3107"/>
      <c r="N158" s="3107"/>
      <c r="O158" s="3107"/>
      <c r="P158" s="3129"/>
    </row>
    <row r="159" spans="1:16">
      <c r="A159" s="3105"/>
      <c r="B159" s="3105"/>
      <c r="C159" s="3126"/>
      <c r="D159" s="3126"/>
      <c r="E159" s="3126"/>
      <c r="F159" s="3112"/>
      <c r="G159" s="3112"/>
      <c r="H159" s="3107"/>
      <c r="I159" s="3107"/>
      <c r="J159" s="3107"/>
      <c r="K159" s="3107"/>
      <c r="L159" s="3107"/>
      <c r="M159" s="3112"/>
      <c r="N159" s="3107"/>
      <c r="O159" s="3107"/>
      <c r="P159" s="3129"/>
    </row>
    <row r="160" spans="1:16">
      <c r="A160" s="3105"/>
      <c r="B160" s="3105" t="s">
        <v>123</v>
      </c>
      <c r="C160" s="3158" t="s">
        <v>219</v>
      </c>
      <c r="D160" s="3126"/>
      <c r="E160" s="3126"/>
      <c r="F160" s="3112"/>
      <c r="G160" s="3112"/>
      <c r="H160" s="3107"/>
      <c r="I160" s="3107"/>
      <c r="J160" s="3107"/>
      <c r="K160" s="3107"/>
      <c r="L160" s="3107"/>
      <c r="M160" s="3107"/>
      <c r="N160" s="3107"/>
      <c r="O160" s="3107"/>
      <c r="P160" s="3129"/>
    </row>
    <row r="161" spans="1:16">
      <c r="A161" s="3105"/>
      <c r="B161" s="3105"/>
      <c r="C161" s="3126" t="s">
        <v>4748</v>
      </c>
      <c r="D161" s="3126"/>
      <c r="E161" s="3126"/>
      <c r="F161" s="3112"/>
      <c r="G161" s="3112"/>
      <c r="H161" s="3107"/>
      <c r="I161" s="3132" t="str">
        <f>'Part I-Project Information'!I150</f>
        <v>No</v>
      </c>
      <c r="J161" s="3107"/>
      <c r="K161" s="3126" t="s">
        <v>221</v>
      </c>
      <c r="L161" s="3126"/>
      <c r="M161" s="3112"/>
      <c r="N161" s="3112"/>
      <c r="O161" s="3132" t="str">
        <f>'Part I-Project Information'!O150</f>
        <v>No</v>
      </c>
      <c r="P161" s="3129"/>
    </row>
    <row r="162" spans="1:16">
      <c r="A162" s="3105"/>
      <c r="B162" s="3105"/>
      <c r="C162" s="3126"/>
      <c r="D162" s="3126"/>
      <c r="E162" s="3126"/>
      <c r="F162" s="3112"/>
      <c r="G162" s="3112"/>
      <c r="H162" s="3112"/>
      <c r="I162" s="3112"/>
      <c r="J162" s="3132"/>
      <c r="K162" s="3112"/>
      <c r="L162" s="3112"/>
      <c r="M162" s="3107"/>
      <c r="N162" s="3107"/>
      <c r="O162" s="3107"/>
      <c r="P162" s="3129"/>
    </row>
    <row r="163" spans="1:16">
      <c r="A163" s="3155" t="s">
        <v>222</v>
      </c>
      <c r="B163" s="3157" t="s">
        <v>223</v>
      </c>
      <c r="C163" s="3107"/>
      <c r="D163" s="3157"/>
      <c r="E163" s="3157"/>
      <c r="F163" s="3157"/>
      <c r="G163" s="3112"/>
      <c r="H163" s="3112"/>
      <c r="I163" s="3112"/>
      <c r="J163" s="3132"/>
      <c r="K163" s="3112"/>
      <c r="L163" s="3112"/>
      <c r="M163" s="3107"/>
      <c r="N163" s="3107"/>
      <c r="O163" s="3107"/>
      <c r="P163" s="3129"/>
    </row>
    <row r="164" spans="1:16">
      <c r="A164" s="3155"/>
      <c r="B164" s="3105"/>
      <c r="C164" s="3158"/>
      <c r="D164" s="3158"/>
      <c r="E164" s="3158"/>
      <c r="F164" s="3158"/>
      <c r="G164" s="3112"/>
      <c r="H164" s="3112"/>
      <c r="I164" s="3112"/>
      <c r="J164" s="3132"/>
      <c r="K164" s="3112"/>
      <c r="L164" s="3112"/>
      <c r="M164" s="3107"/>
      <c r="N164" s="3107"/>
      <c r="O164" s="3107"/>
      <c r="P164" s="3107"/>
    </row>
    <row r="165" spans="1:16">
      <c r="A165" s="3105"/>
      <c r="B165" s="3105" t="s">
        <v>110</v>
      </c>
      <c r="C165" s="3145" t="s">
        <v>224</v>
      </c>
      <c r="D165" s="3107"/>
      <c r="E165" s="3107"/>
      <c r="F165" s="3112"/>
      <c r="G165" s="3112"/>
      <c r="H165" s="3112"/>
      <c r="I165" s="3112"/>
      <c r="J165" s="3132"/>
      <c r="K165" s="3112"/>
      <c r="L165" s="3112"/>
      <c r="M165" s="3107"/>
      <c r="N165" s="3107"/>
      <c r="O165" s="3107"/>
      <c r="P165" s="3129"/>
    </row>
    <row r="166" spans="1:16">
      <c r="A166" s="3105"/>
      <c r="B166" s="3105"/>
      <c r="C166" s="3138" t="s">
        <v>225</v>
      </c>
      <c r="D166" s="3132"/>
      <c r="E166" s="3132"/>
      <c r="F166" s="3112"/>
      <c r="G166" s="3112"/>
      <c r="H166" s="3112"/>
      <c r="I166" s="3112"/>
      <c r="J166" s="3107"/>
      <c r="K166" s="3132" t="str">
        <f>'Part I-Project Information'!K155</f>
        <v>No</v>
      </c>
      <c r="L166" s="3107"/>
      <c r="M166" s="3107"/>
      <c r="N166" s="3107"/>
      <c r="O166" s="3107"/>
      <c r="P166" s="3129"/>
    </row>
    <row r="167" spans="1:16">
      <c r="A167" s="3105"/>
      <c r="B167" s="3105"/>
      <c r="C167" s="3107" t="s">
        <v>226</v>
      </c>
      <c r="D167" s="3107"/>
      <c r="E167" s="3107"/>
      <c r="F167" s="3107"/>
      <c r="G167" s="3107"/>
      <c r="H167" s="3107"/>
      <c r="I167" s="3107"/>
      <c r="J167" s="3107"/>
      <c r="K167" s="3132">
        <f>'Part I-Project Information'!K156</f>
        <v>0</v>
      </c>
      <c r="L167" s="3115" t="s">
        <v>227</v>
      </c>
      <c r="M167" s="3107"/>
      <c r="N167" s="3107"/>
      <c r="O167" s="3107"/>
      <c r="P167" s="3170">
        <f>IF('Part VI-Revenues &amp; Expenses'!O$60=0,0,K167/'Part VI-Revenues &amp; Expenses'!$O$60)</f>
        <v>0</v>
      </c>
    </row>
    <row r="168" spans="1:16">
      <c r="A168" s="3105"/>
      <c r="B168" s="3105"/>
      <c r="C168" s="3107" t="s">
        <v>4749</v>
      </c>
      <c r="D168" s="3107"/>
      <c r="E168" s="3107"/>
      <c r="F168" s="3107"/>
      <c r="G168" s="3107"/>
      <c r="H168" s="3156">
        <f>'Part I-Project Information'!H157</f>
        <v>0</v>
      </c>
      <c r="I168" s="3113"/>
      <c r="J168" s="3171" t="s">
        <v>229</v>
      </c>
      <c r="K168" s="3132">
        <f>'Part I-Project Information'!K157</f>
        <v>0</v>
      </c>
      <c r="L168" s="3115" t="s">
        <v>227</v>
      </c>
      <c r="M168" s="3107"/>
      <c r="N168" s="3107"/>
      <c r="O168" s="3170">
        <f>IF('Part VI-Revenues &amp; Expenses'!$O$60=0,0,H168/'Part VI-Revenues &amp; Expenses'!$O$60)</f>
        <v>0</v>
      </c>
      <c r="P168" s="3170">
        <f>IF('Part VI-Revenues &amp; Expenses'!O$60=0,0,K168/'Part VI-Revenues &amp; Expenses'!$O$60)</f>
        <v>0</v>
      </c>
    </row>
    <row r="169" spans="1:16">
      <c r="A169" s="3105"/>
      <c r="B169" s="3105"/>
      <c r="C169" s="3107" t="s">
        <v>230</v>
      </c>
      <c r="D169" s="3107"/>
      <c r="E169" s="3107">
        <f>'Part I-Project Information'!E158</f>
        <v>0</v>
      </c>
      <c r="F169" s="3107">
        <f>'Part I-Project Information'!F158</f>
        <v>0</v>
      </c>
      <c r="G169" s="3107">
        <f>'Part I-Project Information'!G158</f>
        <v>0</v>
      </c>
      <c r="H169" s="3107">
        <f>'Part I-Project Information'!H158</f>
        <v>0</v>
      </c>
      <c r="I169" s="3107">
        <f>'Part I-Project Information'!I158</f>
        <v>0</v>
      </c>
      <c r="J169" s="3107">
        <f>'Part I-Project Information'!J158</f>
        <v>0</v>
      </c>
      <c r="K169" s="3107">
        <f>'Part I-Project Information'!K158</f>
        <v>0</v>
      </c>
      <c r="L169" s="3115" t="s">
        <v>35</v>
      </c>
      <c r="M169" s="3107">
        <f>'Part I-Project Information'!M158</f>
        <v>0</v>
      </c>
      <c r="N169" s="3107">
        <f>'Part I-Project Information'!N158</f>
        <v>0</v>
      </c>
      <c r="O169" s="3107">
        <f>'Part I-Project Information'!O158</f>
        <v>0</v>
      </c>
      <c r="P169" s="3107">
        <f>'Part I-Project Information'!P158</f>
        <v>0</v>
      </c>
    </row>
    <row r="170" spans="1:16">
      <c r="A170" s="3105"/>
      <c r="B170" s="3105"/>
      <c r="C170" s="3115" t="s">
        <v>231</v>
      </c>
      <c r="D170" s="3118"/>
      <c r="E170" s="3107">
        <f>'Part I-Project Information'!E159</f>
        <v>0</v>
      </c>
      <c r="F170" s="3107">
        <f>'Part I-Project Information'!F159</f>
        <v>0</v>
      </c>
      <c r="G170" s="3107">
        <f>'Part I-Project Information'!G159</f>
        <v>0</v>
      </c>
      <c r="H170" s="3107">
        <f>'Part I-Project Information'!H159</f>
        <v>0</v>
      </c>
      <c r="I170" s="3107">
        <f>'Part I-Project Information'!I159</f>
        <v>0</v>
      </c>
      <c r="J170" s="3107">
        <f>'Part I-Project Information'!J159</f>
        <v>0</v>
      </c>
      <c r="K170" s="3107">
        <f>'Part I-Project Information'!K159</f>
        <v>0</v>
      </c>
      <c r="L170" s="3115" t="s">
        <v>194</v>
      </c>
      <c r="M170" s="3128">
        <f>'Part I-Project Information'!M159</f>
        <v>0</v>
      </c>
      <c r="N170" s="3128">
        <f>'Part I-Project Information'!N159</f>
        <v>0</v>
      </c>
      <c r="O170" s="3128">
        <f>'Part I-Project Information'!O159</f>
        <v>0</v>
      </c>
      <c r="P170" s="3107"/>
    </row>
    <row r="171" spans="1:16">
      <c r="A171" s="3105"/>
      <c r="B171" s="3105"/>
      <c r="C171" s="3115" t="s">
        <v>42</v>
      </c>
      <c r="D171" s="3107"/>
      <c r="E171" s="3107">
        <f>'Part I-Project Information'!E160</f>
        <v>0</v>
      </c>
      <c r="F171" s="3107">
        <f>'Part I-Project Information'!F160</f>
        <v>0</v>
      </c>
      <c r="G171" s="3107">
        <f>'Part I-Project Information'!G160</f>
        <v>0</v>
      </c>
      <c r="H171" s="3107">
        <f>'Part I-Project Information'!H160</f>
        <v>0</v>
      </c>
      <c r="I171" s="3112" t="s">
        <v>46</v>
      </c>
      <c r="J171" s="3127">
        <f>'Part I-Project Information'!J160</f>
        <v>0</v>
      </c>
      <c r="K171" s="3127">
        <f>'Part I-Project Information'!K160</f>
        <v>0</v>
      </c>
      <c r="L171" s="3115" t="s">
        <v>52</v>
      </c>
      <c r="M171" s="3128">
        <f>'Part I-Project Information'!M160</f>
        <v>0</v>
      </c>
      <c r="N171" s="3128">
        <f>'Part I-Project Information'!N160</f>
        <v>0</v>
      </c>
      <c r="O171" s="3128">
        <f>'Part I-Project Information'!O160</f>
        <v>0</v>
      </c>
      <c r="P171" s="3107"/>
    </row>
    <row r="172" spans="1:16">
      <c r="A172" s="3105"/>
      <c r="B172" s="3105"/>
      <c r="C172" s="3115" t="s">
        <v>232</v>
      </c>
      <c r="D172" s="3107"/>
      <c r="E172" s="3128">
        <f>'Part I-Project Information'!E161</f>
        <v>0</v>
      </c>
      <c r="F172" s="3128">
        <f>'Part I-Project Information'!F161</f>
        <v>0</v>
      </c>
      <c r="G172" s="3128">
        <f>'Part I-Project Information'!G161</f>
        <v>0</v>
      </c>
      <c r="H172" s="3112"/>
      <c r="I172" s="3112" t="s">
        <v>106</v>
      </c>
      <c r="J172" s="3123">
        <f>'Part I-Project Information'!J161</f>
        <v>0</v>
      </c>
      <c r="K172" s="3123">
        <f>'Part I-Project Information'!K161</f>
        <v>0</v>
      </c>
      <c r="L172" s="3123">
        <f>'Part I-Project Information'!L161</f>
        <v>0</v>
      </c>
      <c r="M172" s="3123">
        <f>'Part I-Project Information'!M161</f>
        <v>0</v>
      </c>
      <c r="N172" s="3123">
        <f>'Part I-Project Information'!N161</f>
        <v>0</v>
      </c>
      <c r="O172" s="3123">
        <f>'Part I-Project Information'!O161</f>
        <v>0</v>
      </c>
      <c r="P172" s="3123">
        <f>'Part I-Project Information'!P161</f>
        <v>0</v>
      </c>
    </row>
    <row r="173" spans="1:16">
      <c r="A173" s="3105"/>
      <c r="B173" s="3105"/>
      <c r="C173" s="3115"/>
      <c r="D173" s="3107"/>
      <c r="E173" s="3172"/>
      <c r="F173" s="3172"/>
      <c r="G173" s="3172"/>
      <c r="H173" s="3112"/>
      <c r="I173" s="3172"/>
      <c r="J173" s="3172"/>
      <c r="K173" s="3112"/>
      <c r="L173" s="3172"/>
      <c r="M173" s="3172"/>
      <c r="N173" s="3112"/>
      <c r="O173" s="3172"/>
      <c r="P173" s="3172"/>
    </row>
    <row r="174" spans="1:16">
      <c r="A174" s="3105"/>
      <c r="B174" s="3105" t="s">
        <v>121</v>
      </c>
      <c r="C174" s="3158" t="s">
        <v>233</v>
      </c>
      <c r="D174" s="3158"/>
      <c r="E174" s="3158"/>
      <c r="F174" s="3158"/>
      <c r="G174" s="3158"/>
      <c r="H174" s="3107"/>
      <c r="I174" s="3132">
        <f>'Part I-Project Information'!I163</f>
        <v>0</v>
      </c>
      <c r="J174" s="3138" t="s">
        <v>234</v>
      </c>
      <c r="K174" s="3138"/>
      <c r="L174" s="3132">
        <f>'Part I-Project Information'!L163</f>
        <v>0</v>
      </c>
      <c r="M174" s="3107" t="s">
        <v>235</v>
      </c>
      <c r="N174" s="3107"/>
      <c r="O174" s="3107"/>
      <c r="P174" s="3173">
        <f>'Part I-Project Information'!P163</f>
        <v>0</v>
      </c>
    </row>
    <row r="175" spans="1:16">
      <c r="A175" s="3105"/>
      <c r="B175" s="3105"/>
      <c r="C175" s="3158"/>
      <c r="D175" s="3158"/>
      <c r="E175" s="3104"/>
      <c r="F175" s="3158"/>
      <c r="G175" s="3158"/>
      <c r="H175" s="3107"/>
      <c r="I175" s="3107"/>
      <c r="J175" s="3114"/>
      <c r="K175" s="3132"/>
      <c r="L175" s="3107"/>
      <c r="M175" s="3107"/>
      <c r="N175" s="3107"/>
      <c r="O175" s="3112"/>
      <c r="P175" s="3129"/>
    </row>
    <row r="176" spans="1:16">
      <c r="A176" s="3105"/>
      <c r="B176" s="3105"/>
      <c r="C176" s="3158" t="s">
        <v>236</v>
      </c>
      <c r="D176" s="3158"/>
      <c r="E176" s="3158"/>
      <c r="F176" s="3158"/>
      <c r="G176" s="3158"/>
      <c r="H176" s="3107"/>
      <c r="I176" s="3132" t="str">
        <f>'Part I-Project Information'!I165</f>
        <v>Yes</v>
      </c>
      <c r="J176" s="3138" t="s">
        <v>234</v>
      </c>
      <c r="K176" s="3138"/>
      <c r="L176" s="3132">
        <f>'Part I-Project Information'!L165</f>
        <v>2040</v>
      </c>
      <c r="M176" s="3107" t="s">
        <v>235</v>
      </c>
      <c r="N176" s="3107"/>
      <c r="O176" s="3107"/>
      <c r="P176" s="3173">
        <f>'Part I-Project Information'!P165</f>
        <v>5</v>
      </c>
    </row>
    <row r="177" spans="1:16">
      <c r="A177" s="3105"/>
      <c r="B177" s="3105"/>
      <c r="C177" s="3158"/>
      <c r="D177" s="3158"/>
      <c r="E177" s="3104"/>
      <c r="F177" s="3158"/>
      <c r="G177" s="3158"/>
      <c r="H177" s="3107"/>
      <c r="I177" s="3107"/>
      <c r="J177" s="3114"/>
      <c r="K177" s="3132"/>
      <c r="L177" s="3107"/>
      <c r="M177" s="3107"/>
      <c r="N177" s="3107"/>
      <c r="O177" s="3112"/>
      <c r="P177" s="3129"/>
    </row>
    <row r="178" spans="1:16">
      <c r="A178" s="3105"/>
      <c r="B178" s="3105" t="s">
        <v>123</v>
      </c>
      <c r="C178" s="3158" t="s">
        <v>237</v>
      </c>
      <c r="D178" s="3158"/>
      <c r="E178" s="3158"/>
      <c r="F178" s="3158"/>
      <c r="G178" s="3158"/>
      <c r="H178" s="3107"/>
      <c r="I178" s="3132" t="str">
        <f>'Part I-Project Information'!I167</f>
        <v>No</v>
      </c>
      <c r="J178" s="3107"/>
      <c r="K178" s="3107"/>
      <c r="L178" s="3114"/>
      <c r="M178" s="3114"/>
      <c r="N178" s="3107"/>
      <c r="O178" s="3107"/>
      <c r="P178" s="3129"/>
    </row>
    <row r="179" spans="1:16">
      <c r="A179" s="3105"/>
      <c r="B179" s="3105"/>
      <c r="C179" s="3115"/>
      <c r="D179" s="3107"/>
      <c r="E179" s="3172"/>
      <c r="F179" s="3172"/>
      <c r="G179" s="3172"/>
      <c r="H179" s="3107"/>
      <c r="I179" s="3172"/>
      <c r="J179" s="3172"/>
      <c r="K179" s="3112"/>
      <c r="L179" s="3172"/>
      <c r="M179" s="3172"/>
      <c r="N179" s="3112"/>
      <c r="O179" s="3172"/>
      <c r="P179" s="3172"/>
    </row>
    <row r="180" spans="1:16">
      <c r="A180" s="3105"/>
      <c r="B180" s="3105" t="s">
        <v>126</v>
      </c>
      <c r="C180" s="3157" t="s">
        <v>238</v>
      </c>
      <c r="D180" s="3157"/>
      <c r="E180" s="3157"/>
      <c r="F180" s="3157"/>
      <c r="G180" s="3158"/>
      <c r="H180" s="3107"/>
      <c r="I180" s="3132" t="str">
        <f>'Part I-Project Information'!I169</f>
        <v>No</v>
      </c>
      <c r="J180" s="3174" t="s">
        <v>239</v>
      </c>
      <c r="K180" s="3107"/>
      <c r="L180" s="3138" t="s">
        <v>4750</v>
      </c>
      <c r="M180" s="3138"/>
      <c r="N180" s="3158"/>
      <c r="O180" s="3158"/>
      <c r="P180" s="3156">
        <f>'Part I-Project Information'!P169</f>
        <v>0</v>
      </c>
    </row>
    <row r="181" spans="1:16">
      <c r="A181" s="3107"/>
      <c r="B181" s="3105"/>
      <c r="C181" s="3107"/>
      <c r="D181" s="3107"/>
      <c r="E181" s="3107"/>
      <c r="F181" s="3107"/>
      <c r="G181" s="3107"/>
      <c r="H181" s="3107"/>
      <c r="I181" s="3107"/>
      <c r="J181" s="3107"/>
      <c r="K181" s="3107"/>
      <c r="L181" s="3107" t="s">
        <v>241</v>
      </c>
      <c r="M181" s="3107"/>
      <c r="N181" s="3158"/>
      <c r="O181" s="3158"/>
      <c r="P181" s="3156">
        <f>'Part I-Project Information'!P170</f>
        <v>0</v>
      </c>
    </row>
    <row r="182" spans="1:16">
      <c r="A182" s="3105"/>
      <c r="B182" s="3105"/>
      <c r="C182" s="3107"/>
      <c r="D182" s="3107"/>
      <c r="E182" s="3107"/>
      <c r="F182" s="3107"/>
      <c r="G182" s="3107"/>
      <c r="H182" s="3107"/>
      <c r="I182" s="3107"/>
      <c r="J182" s="3107"/>
      <c r="K182" s="3107"/>
      <c r="L182" s="3107" t="s">
        <v>242</v>
      </c>
      <c r="M182" s="3107"/>
      <c r="N182" s="3158"/>
      <c r="O182" s="3158"/>
      <c r="P182" s="3175" t="e">
        <f>IF(P180="","",P181/P180)</f>
        <v>#DIV/0!</v>
      </c>
    </row>
    <row r="183" spans="1:16">
      <c r="A183" s="3105"/>
      <c r="B183" s="3105" t="s">
        <v>140</v>
      </c>
      <c r="C183" s="3108" t="s">
        <v>243</v>
      </c>
      <c r="D183" s="3126"/>
      <c r="E183" s="3126"/>
      <c r="F183" s="3126"/>
      <c r="G183" s="3126"/>
      <c r="H183" s="3112"/>
      <c r="I183" s="3107"/>
      <c r="J183" s="3114"/>
      <c r="K183" s="3132"/>
      <c r="L183" s="3107"/>
      <c r="M183" s="3107"/>
      <c r="N183" s="3107"/>
      <c r="O183" s="3112"/>
      <c r="P183" s="3129"/>
    </row>
    <row r="184" spans="1:16">
      <c r="A184" s="3105"/>
      <c r="B184" s="3105"/>
      <c r="C184" s="3107" t="s">
        <v>244</v>
      </c>
      <c r="D184" s="3104"/>
      <c r="E184" s="3107"/>
      <c r="F184" s="3107"/>
      <c r="G184" s="3107"/>
      <c r="H184" s="3107"/>
      <c r="I184" s="3132" t="str">
        <f>'Part I-Project Information'!I173</f>
        <v>No</v>
      </c>
      <c r="J184" s="3107"/>
      <c r="K184" s="3107"/>
      <c r="L184" s="3107" t="s">
        <v>245</v>
      </c>
      <c r="M184" s="3107"/>
      <c r="N184" s="3107"/>
      <c r="O184" s="3107"/>
      <c r="P184" s="3132" t="str">
        <f>'Part I-Project Information'!P173</f>
        <v>Yes</v>
      </c>
    </row>
    <row r="185" spans="1:16">
      <c r="A185" s="3105"/>
      <c r="B185" s="3105"/>
      <c r="C185" s="3107" t="s">
        <v>246</v>
      </c>
      <c r="D185" s="3107"/>
      <c r="E185" s="3107"/>
      <c r="F185" s="3107"/>
      <c r="G185" s="3107"/>
      <c r="H185" s="3107"/>
      <c r="I185" s="3132" t="str">
        <f>'Part I-Project Information'!I174</f>
        <v>No</v>
      </c>
      <c r="J185" s="3107"/>
      <c r="K185" s="3107"/>
      <c r="L185" s="3107" t="s">
        <v>247</v>
      </c>
      <c r="M185" s="3107"/>
      <c r="N185" s="3107"/>
      <c r="O185" s="3107"/>
      <c r="P185" s="3132" t="str">
        <f>'Part I-Project Information'!P174</f>
        <v>No</v>
      </c>
    </row>
    <row r="186" spans="1:16" ht="13.5">
      <c r="A186" s="3105"/>
      <c r="B186" s="3107"/>
      <c r="C186" s="3107" t="s">
        <v>248</v>
      </c>
      <c r="D186" s="3107"/>
      <c r="E186" s="3107"/>
      <c r="F186" s="3107"/>
      <c r="G186" s="3107"/>
      <c r="H186" s="3107"/>
      <c r="I186" s="3132" t="str">
        <f>'Part I-Project Information'!I175</f>
        <v>No</v>
      </c>
      <c r="J186" s="3107"/>
      <c r="K186" s="3107"/>
      <c r="L186" s="3107" t="s">
        <v>249</v>
      </c>
      <c r="M186" s="3107"/>
      <c r="N186" s="3176">
        <f>'Part I-Project Information'!N175</f>
        <v>0</v>
      </c>
      <c r="O186" s="3176">
        <f>'Part I-Project Information'!O175</f>
        <v>0</v>
      </c>
      <c r="P186" s="3132" t="str">
        <f>'Part I-Project Information'!P175</f>
        <v>No</v>
      </c>
    </row>
    <row r="187" spans="1:16" ht="13.5">
      <c r="A187" s="3105"/>
      <c r="B187" s="3105"/>
      <c r="C187" s="3107" t="s">
        <v>250</v>
      </c>
      <c r="D187" s="3177"/>
      <c r="E187" s="3107"/>
      <c r="F187" s="3107"/>
      <c r="G187" s="3107"/>
      <c r="H187" s="3107"/>
      <c r="I187" s="3132" t="str">
        <f>'Part I-Project Information'!I176</f>
        <v>No</v>
      </c>
      <c r="J187" s="3107"/>
      <c r="K187" s="3104"/>
      <c r="L187" s="3107" t="s">
        <v>251</v>
      </c>
      <c r="M187" s="3107"/>
      <c r="N187" s="3107"/>
      <c r="O187" s="3107"/>
      <c r="P187" s="3132" t="str">
        <f>'Part I-Project Information'!P176</f>
        <v>No</v>
      </c>
    </row>
    <row r="188" spans="1:16">
      <c r="A188" s="3105"/>
      <c r="B188" s="3104"/>
      <c r="C188" s="3107" t="s">
        <v>252</v>
      </c>
      <c r="D188" s="3107"/>
      <c r="E188" s="3107"/>
      <c r="F188" s="3107"/>
      <c r="G188" s="3107"/>
      <c r="H188" s="3107"/>
      <c r="I188" s="3132" t="str">
        <f>'Part I-Project Information'!I177</f>
        <v>No</v>
      </c>
      <c r="J188" s="3174" t="s">
        <v>253</v>
      </c>
      <c r="K188" s="3107"/>
      <c r="L188" s="3107"/>
      <c r="M188" s="3107"/>
      <c r="N188" s="3107"/>
      <c r="O188" s="3178">
        <f>'Part I-Project Information'!O177</f>
        <v>0</v>
      </c>
      <c r="P188" s="3178">
        <f>'Part I-Project Information'!P177</f>
        <v>0</v>
      </c>
    </row>
    <row r="189" spans="1:16">
      <c r="A189" s="3105"/>
      <c r="B189" s="3105"/>
      <c r="C189" s="3107" t="s">
        <v>254</v>
      </c>
      <c r="D189" s="3107"/>
      <c r="E189" s="3107"/>
      <c r="F189" s="3107"/>
      <c r="G189" s="3107"/>
      <c r="H189" s="3107"/>
      <c r="I189" s="3132" t="str">
        <f>'Part I-Project Information'!I178</f>
        <v>No</v>
      </c>
      <c r="J189" s="3174" t="s">
        <v>253</v>
      </c>
      <c r="K189" s="3107"/>
      <c r="L189" s="3107"/>
      <c r="M189" s="3107"/>
      <c r="N189" s="3107"/>
      <c r="O189" s="3178">
        <f>'Part I-Project Information'!O178</f>
        <v>0</v>
      </c>
      <c r="P189" s="3178">
        <f>'Part I-Project Information'!P178</f>
        <v>0</v>
      </c>
    </row>
    <row r="190" spans="1:16">
      <c r="A190" s="3105"/>
      <c r="B190" s="3105"/>
      <c r="C190" s="3107"/>
      <c r="D190" s="3107"/>
      <c r="E190" s="3107"/>
      <c r="F190" s="3107"/>
      <c r="G190" s="3107"/>
      <c r="H190" s="3107"/>
      <c r="I190" s="3107"/>
      <c r="J190" s="3107"/>
      <c r="K190" s="3107"/>
      <c r="L190" s="3107"/>
      <c r="M190" s="3107"/>
      <c r="N190" s="3107"/>
      <c r="O190" s="3107"/>
      <c r="P190" s="3114"/>
    </row>
    <row r="191" spans="1:16">
      <c r="A191" s="3107"/>
      <c r="B191" s="3105" t="s">
        <v>147</v>
      </c>
      <c r="C191" s="3108" t="s">
        <v>255</v>
      </c>
      <c r="D191" s="3107"/>
      <c r="E191" s="3107"/>
      <c r="F191" s="3107"/>
      <c r="G191" s="3107"/>
      <c r="H191" s="3107"/>
      <c r="I191" s="3107"/>
      <c r="J191" s="3107"/>
      <c r="K191" s="3107"/>
      <c r="L191" s="3107"/>
      <c r="M191" s="3107"/>
      <c r="N191" s="3107"/>
      <c r="O191" s="3107"/>
      <c r="P191" s="3107"/>
    </row>
    <row r="192" spans="1:16">
      <c r="A192" s="3105"/>
      <c r="B192" s="3105"/>
      <c r="C192" s="3115" t="s">
        <v>256</v>
      </c>
      <c r="D192" s="3126"/>
      <c r="E192" s="3126"/>
      <c r="F192" s="3112"/>
      <c r="G192" s="3112"/>
      <c r="H192" s="3164" t="str">
        <f>'Part I-Project Information'!H181</f>
        <v>N/A</v>
      </c>
      <c r="I192" s="3164">
        <f>'Part I-Project Information'!I181</f>
        <v>0</v>
      </c>
      <c r="J192" s="3107"/>
      <c r="K192" s="3107"/>
      <c r="L192" s="3107"/>
      <c r="M192" s="3107"/>
      <c r="N192" s="3107"/>
      <c r="O192" s="3107"/>
      <c r="P192" s="3129"/>
    </row>
    <row r="193" spans="1:19">
      <c r="A193" s="3105"/>
      <c r="B193" s="3105"/>
      <c r="C193" s="3115" t="s">
        <v>257</v>
      </c>
      <c r="D193" s="3126"/>
      <c r="E193" s="3126"/>
      <c r="F193" s="3112"/>
      <c r="G193" s="3112"/>
      <c r="H193" s="3164" t="str">
        <f>'Part I-Project Information'!H182</f>
        <v>N/A</v>
      </c>
      <c r="I193" s="3164">
        <f>'Part I-Project Information'!I182</f>
        <v>0</v>
      </c>
      <c r="J193" s="3107"/>
      <c r="K193" s="3107"/>
      <c r="L193" s="3107"/>
      <c r="M193" s="3107"/>
      <c r="N193" s="3107"/>
      <c r="O193" s="3107"/>
      <c r="P193" s="3129"/>
    </row>
    <row r="194" spans="1:19">
      <c r="A194" s="3105"/>
      <c r="B194" s="3105"/>
      <c r="C194" s="3115" t="s">
        <v>112</v>
      </c>
      <c r="D194" s="3126"/>
      <c r="E194" s="3126"/>
      <c r="F194" s="3112"/>
      <c r="G194" s="3112"/>
      <c r="H194" s="3164">
        <f>'Part I-Project Information'!H183</f>
        <v>44165</v>
      </c>
      <c r="I194" s="3164">
        <f>'Part I-Project Information'!I183</f>
        <v>0</v>
      </c>
      <c r="J194" s="3107"/>
      <c r="K194" s="3107"/>
      <c r="L194" s="3107"/>
      <c r="M194" s="3107"/>
      <c r="N194" s="3107"/>
      <c r="O194" s="3107"/>
      <c r="P194" s="3129"/>
    </row>
    <row r="195" spans="1:19">
      <c r="A195" s="3107"/>
      <c r="B195" s="3104"/>
      <c r="C195" s="3107"/>
      <c r="D195" s="3107"/>
      <c r="E195" s="3107"/>
      <c r="F195" s="3107"/>
      <c r="G195" s="3107"/>
      <c r="H195" s="3107"/>
      <c r="I195" s="3107"/>
      <c r="J195" s="3107"/>
      <c r="K195" s="3107"/>
      <c r="L195" s="3114"/>
      <c r="M195" s="3114"/>
      <c r="N195" s="3114"/>
      <c r="O195" s="3114"/>
      <c r="P195" s="3118"/>
    </row>
    <row r="196" spans="1:19">
      <c r="A196" s="3155" t="s">
        <v>258</v>
      </c>
      <c r="B196" s="3157"/>
      <c r="C196" s="3155" t="s">
        <v>259</v>
      </c>
      <c r="D196" s="3114"/>
      <c r="E196" s="3114"/>
      <c r="F196" s="3114"/>
      <c r="G196" s="3114"/>
      <c r="H196" s="3114"/>
      <c r="I196" s="3114"/>
      <c r="J196" s="3114"/>
      <c r="K196" s="3114"/>
      <c r="L196" s="3114"/>
      <c r="M196" s="3155" t="s">
        <v>260</v>
      </c>
      <c r="N196" s="3155" t="s">
        <v>261</v>
      </c>
      <c r="O196" s="3114"/>
      <c r="P196" s="3114"/>
    </row>
    <row r="197" spans="1:19" ht="12.75" customHeight="1">
      <c r="A197" s="3179">
        <f>'Part I-Project Information'!A186</f>
        <v>0</v>
      </c>
      <c r="B197" s="3179">
        <f>'Part I-Project Information'!B186</f>
        <v>0</v>
      </c>
      <c r="C197" s="3179">
        <f>'Part I-Project Information'!C186</f>
        <v>0</v>
      </c>
      <c r="D197" s="3179">
        <f>'Part I-Project Information'!D186</f>
        <v>0</v>
      </c>
      <c r="E197" s="3179">
        <f>'Part I-Project Information'!E186</f>
        <v>0</v>
      </c>
      <c r="F197" s="3179">
        <f>'Part I-Project Information'!F186</f>
        <v>0</v>
      </c>
      <c r="G197" s="3179">
        <f>'Part I-Project Information'!G186</f>
        <v>0</v>
      </c>
      <c r="H197" s="3179">
        <f>'Part I-Project Information'!H186</f>
        <v>0</v>
      </c>
      <c r="I197" s="3179">
        <f>'Part I-Project Information'!I186</f>
        <v>0</v>
      </c>
      <c r="J197" s="3179">
        <f>'Part I-Project Information'!J186</f>
        <v>0</v>
      </c>
      <c r="K197" s="3179">
        <f>'Part I-Project Information'!K186</f>
        <v>0</v>
      </c>
      <c r="L197" s="3179">
        <f>'Part I-Project Information'!L186</f>
        <v>0</v>
      </c>
      <c r="M197" s="3179">
        <f>'Part I-Project Information'!M186</f>
        <v>0</v>
      </c>
      <c r="N197" s="3179">
        <f>'Part I-Project Information'!N186</f>
        <v>0</v>
      </c>
      <c r="O197" s="3179">
        <f>'Part I-Project Information'!O186</f>
        <v>0</v>
      </c>
      <c r="P197" s="3179">
        <f>'Part I-Project Information'!P186</f>
        <v>0</v>
      </c>
    </row>
    <row r="204" spans="1:19">
      <c r="A204" s="3104" t="str">
        <f>CONCATENATE("PART TWO - DEVELOPMENT TEAM INFORMATION","  -  ",'Part I-Project Information'!$O$6," ",'Part I-Project Information'!$F$34,", ",'Part I-Project Information'!F241,", ",'Part I-Project Information'!J242," County")</f>
        <v>PART TWO - DEVELOPMENT TEAM INFORMATION  -  2018-008 Mill at Stone Valley, ,  County</v>
      </c>
      <c r="B204" s="3104"/>
      <c r="C204" s="3104"/>
      <c r="D204" s="3104"/>
      <c r="E204" s="3104"/>
      <c r="F204" s="3104"/>
      <c r="G204" s="3104"/>
      <c r="H204" s="3104"/>
      <c r="I204" s="3104"/>
      <c r="J204" s="3104"/>
      <c r="K204" s="3104"/>
      <c r="L204" s="3104"/>
      <c r="M204" s="3104"/>
      <c r="N204" s="3104"/>
      <c r="O204" s="3104"/>
      <c r="P204" s="3104"/>
      <c r="Q204" s="3104"/>
      <c r="R204" s="3104"/>
      <c r="S204" s="3104"/>
    </row>
    <row r="205" spans="1:19">
      <c r="A205" s="3108" t="s">
        <v>365</v>
      </c>
      <c r="B205" s="3114"/>
      <c r="C205" s="3114"/>
      <c r="D205" s="3114"/>
      <c r="E205" s="3114"/>
      <c r="F205" s="3114"/>
      <c r="G205" s="3114"/>
      <c r="H205" s="3114"/>
      <c r="I205" s="3114"/>
      <c r="J205" s="3114"/>
      <c r="K205" s="3114"/>
      <c r="L205" s="3114"/>
      <c r="M205" s="3114"/>
      <c r="N205" s="3114"/>
      <c r="O205" s="3114"/>
      <c r="P205" s="3114"/>
      <c r="Q205" s="3114"/>
      <c r="R205" s="3114"/>
      <c r="S205" s="3114"/>
    </row>
    <row r="206" spans="1:19" ht="13.5">
      <c r="A206" s="3104" t="s">
        <v>9</v>
      </c>
      <c r="B206" s="3108" t="s">
        <v>366</v>
      </c>
      <c r="C206" s="3108"/>
      <c r="D206" s="3107"/>
      <c r="E206" s="3108"/>
      <c r="F206" s="3108"/>
      <c r="G206" s="3108"/>
      <c r="H206" s="3109" t="s">
        <v>367</v>
      </c>
      <c r="I206" s="3107"/>
      <c r="J206" s="3107"/>
      <c r="K206" s="3107"/>
      <c r="L206" s="3107"/>
      <c r="M206" s="3107"/>
      <c r="N206" s="3107"/>
      <c r="O206" s="3107"/>
      <c r="P206" s="3107"/>
      <c r="Q206" s="3107"/>
      <c r="R206" s="3107"/>
      <c r="S206" s="3107"/>
    </row>
    <row r="207" spans="1:19">
      <c r="A207" s="3104"/>
      <c r="B207" s="3104"/>
      <c r="C207" s="3104"/>
      <c r="D207" s="3108"/>
      <c r="E207" s="3108"/>
      <c r="F207" s="3108"/>
      <c r="G207" s="3108"/>
      <c r="H207" s="3108"/>
      <c r="I207" s="3108"/>
      <c r="J207" s="3108"/>
      <c r="K207" s="3107"/>
      <c r="L207" s="3107"/>
      <c r="M207" s="3107"/>
      <c r="N207" s="3107"/>
      <c r="O207" s="3107"/>
      <c r="P207" s="3107"/>
      <c r="Q207" s="3107"/>
      <c r="R207" s="3107"/>
      <c r="S207" s="3107"/>
    </row>
    <row r="208" spans="1:19">
      <c r="A208" s="3107"/>
      <c r="B208" s="3104" t="s">
        <v>110</v>
      </c>
      <c r="C208" s="3108" t="s">
        <v>368</v>
      </c>
      <c r="D208" s="3107"/>
      <c r="E208" s="3107"/>
      <c r="F208" s="3107"/>
      <c r="G208" s="3107"/>
      <c r="H208" s="3107" t="str">
        <f>'Part II-Development Team'!H5</f>
        <v>TISHCO Ball Ground L.P.</v>
      </c>
      <c r="I208" s="3107">
        <f>'Part II-Development Team'!I5</f>
        <v>0</v>
      </c>
      <c r="J208" s="3107">
        <f>'Part II-Development Team'!J5</f>
        <v>0</v>
      </c>
      <c r="K208" s="3107">
        <f>'Part II-Development Team'!K5</f>
        <v>0</v>
      </c>
      <c r="L208" s="3107">
        <f>'Part II-Development Team'!L5</f>
        <v>0</v>
      </c>
      <c r="M208" s="3107">
        <f>'Part II-Development Team'!M5</f>
        <v>0</v>
      </c>
      <c r="N208" s="3107">
        <f>'Part II-Development Team'!N5</f>
        <v>0</v>
      </c>
      <c r="O208" s="3115" t="s">
        <v>370</v>
      </c>
      <c r="P208" s="3115"/>
      <c r="Q208" s="3107" t="str">
        <f>'Part II-Development Team'!Q5</f>
        <v>Mary T. Johnson</v>
      </c>
      <c r="R208" s="3107">
        <f>'Part II-Development Team'!R5</f>
        <v>0</v>
      </c>
      <c r="S208" s="3107">
        <f>'Part II-Development Team'!S5</f>
        <v>0</v>
      </c>
    </row>
    <row r="209" spans="1:19">
      <c r="A209" s="3107"/>
      <c r="B209" s="3107"/>
      <c r="C209" s="3107"/>
      <c r="D209" s="3180"/>
      <c r="E209" s="3115" t="s">
        <v>189</v>
      </c>
      <c r="F209" s="3118"/>
      <c r="G209" s="3107"/>
      <c r="H209" s="3107" t="str">
        <f>'Part II-Development Team'!H6</f>
        <v>314 North Patterson Street</v>
      </c>
      <c r="I209" s="3107">
        <f>'Part II-Development Team'!I6</f>
        <v>0</v>
      </c>
      <c r="J209" s="3107">
        <f>'Part II-Development Team'!J6</f>
        <v>0</v>
      </c>
      <c r="K209" s="3107">
        <f>'Part II-Development Team'!K6</f>
        <v>0</v>
      </c>
      <c r="L209" s="3107">
        <f>'Part II-Development Team'!L6</f>
        <v>0</v>
      </c>
      <c r="M209" s="3107">
        <f>'Part II-Development Team'!M6</f>
        <v>0</v>
      </c>
      <c r="N209" s="3107">
        <f>'Part II-Development Team'!N6</f>
        <v>0</v>
      </c>
      <c r="O209" s="3115" t="s">
        <v>371</v>
      </c>
      <c r="P209" s="3107"/>
      <c r="Q209" s="3107" t="str">
        <f>'Part II-Development Team'!Q6</f>
        <v>Manager of GP</v>
      </c>
      <c r="R209" s="3107">
        <f>'Part II-Development Team'!R6</f>
        <v>0</v>
      </c>
      <c r="S209" s="3107">
        <f>'Part II-Development Team'!S6</f>
        <v>0</v>
      </c>
    </row>
    <row r="210" spans="1:19">
      <c r="A210" s="3107"/>
      <c r="B210" s="3107"/>
      <c r="C210" s="3107"/>
      <c r="D210" s="3180"/>
      <c r="E210" s="3115" t="s">
        <v>42</v>
      </c>
      <c r="F210" s="3107"/>
      <c r="G210" s="3107"/>
      <c r="H210" s="3107" t="str">
        <f>'Part II-Development Team'!H7</f>
        <v>Valdosta</v>
      </c>
      <c r="I210" s="3107">
        <f>'Part II-Development Team'!I7</f>
        <v>0</v>
      </c>
      <c r="J210" s="3107">
        <f>'Part II-Development Team'!J7</f>
        <v>0</v>
      </c>
      <c r="K210" s="3112" t="s">
        <v>373</v>
      </c>
      <c r="L210" s="3107">
        <f>'Part II-Development Team'!L7</f>
        <v>0</v>
      </c>
      <c r="M210" s="3107">
        <f>'Part II-Development Team'!M7</f>
        <v>0</v>
      </c>
      <c r="N210" s="3107">
        <f>'Part II-Development Team'!N7</f>
        <v>0</v>
      </c>
      <c r="O210" s="3115" t="s">
        <v>49</v>
      </c>
      <c r="P210" s="3107"/>
      <c r="Q210" s="3128">
        <f>'Part II-Development Team'!Q7</f>
        <v>2293162232</v>
      </c>
      <c r="R210" s="3128">
        <f>'Part II-Development Team'!R7</f>
        <v>0</v>
      </c>
      <c r="S210" s="3128">
        <f>'Part II-Development Team'!S7</f>
        <v>0</v>
      </c>
    </row>
    <row r="211" spans="1:19">
      <c r="A211" s="3107"/>
      <c r="B211" s="3107"/>
      <c r="C211" s="3107"/>
      <c r="D211" s="3180"/>
      <c r="E211" s="3115" t="s">
        <v>44</v>
      </c>
      <c r="F211" s="3107"/>
      <c r="G211" s="3107"/>
      <c r="H211" s="3115" t="str">
        <f>'Part II-Development Team'!H8</f>
        <v>GA</v>
      </c>
      <c r="I211" s="3112" t="s">
        <v>46</v>
      </c>
      <c r="J211" s="3127">
        <f>'Part II-Development Team'!J8</f>
        <v>316015526</v>
      </c>
      <c r="K211" s="3127">
        <f>'Part II-Development Team'!K8</f>
        <v>0</v>
      </c>
      <c r="L211" s="3107" t="s">
        <v>374</v>
      </c>
      <c r="M211" s="3107" t="str">
        <f>'Part II-Development Team'!M8</f>
        <v>For Profit</v>
      </c>
      <c r="N211" s="3107">
        <f>'Part II-Development Team'!N8</f>
        <v>0</v>
      </c>
      <c r="O211" s="3115" t="s">
        <v>52</v>
      </c>
      <c r="P211" s="3107"/>
      <c r="Q211" s="3128">
        <f>'Part II-Development Team'!Q8</f>
        <v>2295615959</v>
      </c>
      <c r="R211" s="3128">
        <f>'Part II-Development Team'!R8</f>
        <v>0</v>
      </c>
      <c r="S211" s="3128">
        <f>'Part II-Development Team'!S8</f>
        <v>0</v>
      </c>
    </row>
    <row r="212" spans="1:19">
      <c r="A212" s="3107"/>
      <c r="B212" s="3107"/>
      <c r="C212" s="3107"/>
      <c r="D212" s="3180"/>
      <c r="E212" s="3115" t="s">
        <v>376</v>
      </c>
      <c r="F212" s="3107"/>
      <c r="G212" s="3107"/>
      <c r="H212" s="3128">
        <f>'Part II-Development Team'!H9</f>
        <v>2292427759</v>
      </c>
      <c r="I212" s="3128">
        <f>'Part II-Development Team'!I9</f>
        <v>0</v>
      </c>
      <c r="J212" s="3132">
        <f>'Part II-Development Team'!J9</f>
        <v>2232</v>
      </c>
      <c r="K212" s="3112" t="s">
        <v>50</v>
      </c>
      <c r="L212" s="3123" t="str">
        <f>'Part II-Development Team'!L9</f>
        <v>tish.johnson@tishcollc.com</v>
      </c>
      <c r="M212" s="3123">
        <f>'Part II-Development Team'!M9</f>
        <v>0</v>
      </c>
      <c r="N212" s="3123">
        <f>'Part II-Development Team'!N9</f>
        <v>0</v>
      </c>
      <c r="O212" s="3123">
        <f>'Part II-Development Team'!O9</f>
        <v>0</v>
      </c>
      <c r="P212" s="3123">
        <f>'Part II-Development Team'!P9</f>
        <v>0</v>
      </c>
      <c r="Q212" s="3123">
        <f>'Part II-Development Team'!Q9</f>
        <v>0</v>
      </c>
      <c r="R212" s="3123">
        <f>'Part II-Development Team'!R9</f>
        <v>0</v>
      </c>
      <c r="S212" s="3123">
        <f>'Part II-Development Team'!S9</f>
        <v>0</v>
      </c>
    </row>
    <row r="213" spans="1:19" ht="13.5">
      <c r="A213" s="3107"/>
      <c r="B213" s="3107"/>
      <c r="C213" s="3107"/>
      <c r="D213" s="3180"/>
      <c r="E213" s="3109" t="s">
        <v>367</v>
      </c>
      <c r="F213" s="3107"/>
      <c r="G213" s="3107"/>
      <c r="H213" s="3172"/>
      <c r="I213" s="3107"/>
      <c r="J213" s="3107"/>
      <c r="K213" s="3119"/>
      <c r="L213" s="3107"/>
      <c r="M213" s="3107"/>
      <c r="N213" s="3104" t="s">
        <v>4608</v>
      </c>
      <c r="O213" s="3107"/>
      <c r="P213" s="3107"/>
      <c r="Q213" s="3112"/>
      <c r="R213" s="3107"/>
      <c r="S213" s="3107"/>
    </row>
    <row r="214" spans="1:19">
      <c r="A214" s="3107"/>
      <c r="B214" s="3107"/>
      <c r="C214" s="3107"/>
      <c r="D214" s="3181"/>
      <c r="E214" s="3115"/>
      <c r="F214" s="3108"/>
      <c r="G214" s="3108"/>
      <c r="H214" s="3108"/>
      <c r="I214" s="3108"/>
      <c r="J214" s="3108"/>
      <c r="K214" s="3107"/>
      <c r="L214" s="3107"/>
      <c r="M214" s="3107"/>
      <c r="N214" s="3108"/>
      <c r="O214" s="3108"/>
      <c r="P214" s="3108"/>
      <c r="Q214" s="3108"/>
      <c r="R214" s="3108"/>
      <c r="S214" s="3108"/>
    </row>
    <row r="215" spans="1:19" ht="13.5">
      <c r="A215" s="3107"/>
      <c r="B215" s="3157" t="s">
        <v>121</v>
      </c>
      <c r="C215" s="3108" t="s">
        <v>378</v>
      </c>
      <c r="D215" s="3107"/>
      <c r="E215" s="3107"/>
      <c r="F215" s="3108"/>
      <c r="G215" s="3108"/>
      <c r="H215" s="3108"/>
      <c r="I215" s="3108"/>
      <c r="J215" s="3107"/>
      <c r="K215" s="3107"/>
      <c r="L215" s="3107"/>
      <c r="M215" s="3107"/>
      <c r="N215" s="3182" t="s">
        <v>93</v>
      </c>
      <c r="O215" s="3107"/>
      <c r="P215" s="3107"/>
      <c r="Q215" s="3107"/>
      <c r="R215" s="3107"/>
      <c r="S215" s="3107"/>
    </row>
    <row r="216" spans="1:19" ht="13.5">
      <c r="A216" s="3107"/>
      <c r="B216" s="3107"/>
      <c r="C216" s="3183" t="s">
        <v>379</v>
      </c>
      <c r="D216" s="3157" t="s">
        <v>380</v>
      </c>
      <c r="E216" s="3107"/>
      <c r="F216" s="3107"/>
      <c r="G216" s="3107"/>
      <c r="H216" s="3107"/>
      <c r="I216" s="3107"/>
      <c r="J216" s="3107"/>
      <c r="K216" s="3107"/>
      <c r="L216" s="3107"/>
      <c r="M216" s="3107"/>
      <c r="N216" s="3119"/>
      <c r="O216" s="3107"/>
      <c r="P216" s="3107"/>
      <c r="Q216" s="3107"/>
      <c r="R216" s="3107"/>
      <c r="S216" s="3107"/>
    </row>
    <row r="217" spans="1:19">
      <c r="A217" s="3107"/>
      <c r="B217" s="3107"/>
      <c r="C217" s="3107"/>
      <c r="D217" s="3104" t="s">
        <v>381</v>
      </c>
      <c r="E217" s="3107" t="s">
        <v>382</v>
      </c>
      <c r="F217" s="3107"/>
      <c r="G217" s="3107"/>
      <c r="H217" s="3107" t="str">
        <f>'Part II-Development Team'!H14</f>
        <v>TISHCO Cherokee LLC</v>
      </c>
      <c r="I217" s="3107">
        <f>'Part II-Development Team'!I14</f>
        <v>0</v>
      </c>
      <c r="J217" s="3107">
        <f>'Part II-Development Team'!J14</f>
        <v>0</v>
      </c>
      <c r="K217" s="3107">
        <f>'Part II-Development Team'!K14</f>
        <v>0</v>
      </c>
      <c r="L217" s="3107">
        <f>'Part II-Development Team'!L14</f>
        <v>0</v>
      </c>
      <c r="M217" s="3107">
        <f>'Part II-Development Team'!M14</f>
        <v>0</v>
      </c>
      <c r="N217" s="3107">
        <f>'Part II-Development Team'!N14</f>
        <v>0</v>
      </c>
      <c r="O217" s="3115" t="s">
        <v>370</v>
      </c>
      <c r="P217" s="3115"/>
      <c r="Q217" s="3107" t="str">
        <f>'Part II-Development Team'!Q14</f>
        <v>Mary T. Johnson</v>
      </c>
      <c r="R217" s="3107">
        <f>'Part II-Development Team'!R14</f>
        <v>0</v>
      </c>
      <c r="S217" s="3107">
        <f>'Part II-Development Team'!S14</f>
        <v>0</v>
      </c>
    </row>
    <row r="218" spans="1:19">
      <c r="A218" s="3107"/>
      <c r="B218" s="3107"/>
      <c r="C218" s="3107"/>
      <c r="D218" s="3180"/>
      <c r="E218" s="3115" t="s">
        <v>189</v>
      </c>
      <c r="F218" s="3118"/>
      <c r="G218" s="3107"/>
      <c r="H218" s="3107" t="str">
        <f>'Part II-Development Team'!H15</f>
        <v>314 North Patterson Street</v>
      </c>
      <c r="I218" s="3107">
        <f>'Part II-Development Team'!I15</f>
        <v>0</v>
      </c>
      <c r="J218" s="3107">
        <f>'Part II-Development Team'!J15</f>
        <v>0</v>
      </c>
      <c r="K218" s="3107">
        <f>'Part II-Development Team'!K15</f>
        <v>0</v>
      </c>
      <c r="L218" s="3107">
        <f>'Part II-Development Team'!L15</f>
        <v>0</v>
      </c>
      <c r="M218" s="3107">
        <f>'Part II-Development Team'!M15</f>
        <v>0</v>
      </c>
      <c r="N218" s="3107">
        <f>'Part II-Development Team'!N15</f>
        <v>0</v>
      </c>
      <c r="O218" s="3115" t="s">
        <v>371</v>
      </c>
      <c r="P218" s="3107"/>
      <c r="Q218" s="3107" t="str">
        <f>'Part II-Development Team'!Q15</f>
        <v>Managing Member</v>
      </c>
      <c r="R218" s="3107">
        <f>'Part II-Development Team'!R15</f>
        <v>0</v>
      </c>
      <c r="S218" s="3107">
        <f>'Part II-Development Team'!S15</f>
        <v>0</v>
      </c>
    </row>
    <row r="219" spans="1:19">
      <c r="A219" s="3107"/>
      <c r="B219" s="3107"/>
      <c r="C219" s="3107"/>
      <c r="D219" s="3180"/>
      <c r="E219" s="3115" t="s">
        <v>42</v>
      </c>
      <c r="F219" s="3107"/>
      <c r="G219" s="3107"/>
      <c r="H219" s="3107" t="str">
        <f>'Part II-Development Team'!H16</f>
        <v>Valdosta</v>
      </c>
      <c r="I219" s="3107">
        <f>'Part II-Development Team'!I16</f>
        <v>0</v>
      </c>
      <c r="J219" s="3107">
        <f>'Part II-Development Team'!J16</f>
        <v>0</v>
      </c>
      <c r="K219" s="3112" t="s">
        <v>99</v>
      </c>
      <c r="L219" s="3107" t="str">
        <f>'Part II-Development Team'!L16</f>
        <v>http://www.tishcollc.com/</v>
      </c>
      <c r="M219" s="3107">
        <f>'Part II-Development Team'!M16</f>
        <v>0</v>
      </c>
      <c r="N219" s="3107">
        <f>'Part II-Development Team'!N16</f>
        <v>0</v>
      </c>
      <c r="O219" s="3115" t="s">
        <v>49</v>
      </c>
      <c r="P219" s="3107"/>
      <c r="Q219" s="3128">
        <f>'Part II-Development Team'!Q16</f>
        <v>2293162232</v>
      </c>
      <c r="R219" s="3128">
        <f>'Part II-Development Team'!R16</f>
        <v>0</v>
      </c>
      <c r="S219" s="3128">
        <f>'Part II-Development Team'!S16</f>
        <v>0</v>
      </c>
    </row>
    <row r="220" spans="1:19">
      <c r="A220" s="3107"/>
      <c r="B220" s="3107"/>
      <c r="C220" s="3107"/>
      <c r="D220" s="3104"/>
      <c r="E220" s="3115" t="s">
        <v>44</v>
      </c>
      <c r="F220" s="3107"/>
      <c r="G220" s="3107"/>
      <c r="H220" s="3115" t="str">
        <f>'Part II-Development Team'!H17</f>
        <v>GA</v>
      </c>
      <c r="I220" s="3107"/>
      <c r="J220" s="3107"/>
      <c r="K220" s="3112" t="s">
        <v>46</v>
      </c>
      <c r="L220" s="3127">
        <f>'Part II-Development Team'!L17</f>
        <v>316015526</v>
      </c>
      <c r="M220" s="3127">
        <f>'Part II-Development Team'!M17</f>
        <v>0</v>
      </c>
      <c r="N220" s="3107"/>
      <c r="O220" s="3115" t="s">
        <v>52</v>
      </c>
      <c r="P220" s="3107"/>
      <c r="Q220" s="3128">
        <f>'Part II-Development Team'!Q17</f>
        <v>2295615959</v>
      </c>
      <c r="R220" s="3128">
        <f>'Part II-Development Team'!R17</f>
        <v>0</v>
      </c>
      <c r="S220" s="3128">
        <f>'Part II-Development Team'!S17</f>
        <v>0</v>
      </c>
    </row>
    <row r="221" spans="1:19">
      <c r="A221" s="3107"/>
      <c r="B221" s="3107"/>
      <c r="C221" s="3107"/>
      <c r="D221" s="3180"/>
      <c r="E221" s="3115" t="s">
        <v>376</v>
      </c>
      <c r="F221" s="3107"/>
      <c r="G221" s="3107"/>
      <c r="H221" s="3128">
        <f>'Part II-Development Team'!H18</f>
        <v>2292427759</v>
      </c>
      <c r="I221" s="3128">
        <f>'Part II-Development Team'!I18</f>
        <v>0</v>
      </c>
      <c r="J221" s="3132">
        <f>'Part II-Development Team'!J18</f>
        <v>2232</v>
      </c>
      <c r="K221" s="3112" t="s">
        <v>50</v>
      </c>
      <c r="L221" s="3123" t="str">
        <f>'Part II-Development Team'!L18</f>
        <v>tish.johnson@tishcollc.com</v>
      </c>
      <c r="M221" s="3123">
        <f>'Part II-Development Team'!M18</f>
        <v>0</v>
      </c>
      <c r="N221" s="3123">
        <f>'Part II-Development Team'!N18</f>
        <v>0</v>
      </c>
      <c r="O221" s="3123">
        <f>'Part II-Development Team'!O18</f>
        <v>0</v>
      </c>
      <c r="P221" s="3123">
        <f>'Part II-Development Team'!P18</f>
        <v>0</v>
      </c>
      <c r="Q221" s="3123">
        <f>'Part II-Development Team'!Q18</f>
        <v>0</v>
      </c>
      <c r="R221" s="3123">
        <f>'Part II-Development Team'!R18</f>
        <v>0</v>
      </c>
      <c r="S221" s="3123">
        <f>'Part II-Development Team'!S18</f>
        <v>0</v>
      </c>
    </row>
    <row r="222" spans="1:19">
      <c r="A222" s="3114"/>
      <c r="B222" s="3114"/>
      <c r="C222" s="3114"/>
      <c r="D222" s="3155"/>
      <c r="E222" s="3114"/>
      <c r="F222" s="3114"/>
      <c r="G222" s="3114"/>
      <c r="H222" s="3128"/>
      <c r="I222" s="3128"/>
      <c r="J222" s="3128"/>
      <c r="K222" s="3112"/>
      <c r="L222" s="3128"/>
      <c r="M222" s="3128"/>
      <c r="N222" s="3112"/>
      <c r="O222" s="3128"/>
      <c r="P222" s="3128"/>
      <c r="Q222" s="3112"/>
      <c r="R222" s="3128"/>
      <c r="S222" s="3128"/>
    </row>
    <row r="223" spans="1:19">
      <c r="A223" s="3107"/>
      <c r="B223" s="3107"/>
      <c r="C223" s="3107"/>
      <c r="D223" s="3104" t="s">
        <v>386</v>
      </c>
      <c r="E223" s="3107" t="s">
        <v>387</v>
      </c>
      <c r="F223" s="3107"/>
      <c r="G223" s="3107"/>
      <c r="H223" s="3107">
        <f>'Part II-Development Team'!H20</f>
        <v>0</v>
      </c>
      <c r="I223" s="3107">
        <f>'Part II-Development Team'!I20</f>
        <v>0</v>
      </c>
      <c r="J223" s="3107">
        <f>'Part II-Development Team'!J20</f>
        <v>0</v>
      </c>
      <c r="K223" s="3107">
        <f>'Part II-Development Team'!K20</f>
        <v>0</v>
      </c>
      <c r="L223" s="3107">
        <f>'Part II-Development Team'!L20</f>
        <v>0</v>
      </c>
      <c r="M223" s="3107">
        <f>'Part II-Development Team'!M20</f>
        <v>0</v>
      </c>
      <c r="N223" s="3107">
        <f>'Part II-Development Team'!N20</f>
        <v>0</v>
      </c>
      <c r="O223" s="3115" t="s">
        <v>370</v>
      </c>
      <c r="P223" s="3115"/>
      <c r="Q223" s="3107">
        <f>'Part II-Development Team'!Q20</f>
        <v>0</v>
      </c>
      <c r="R223" s="3107">
        <f>'Part II-Development Team'!R20</f>
        <v>0</v>
      </c>
      <c r="S223" s="3107">
        <f>'Part II-Development Team'!S20</f>
        <v>0</v>
      </c>
    </row>
    <row r="224" spans="1:19">
      <c r="A224" s="3107"/>
      <c r="B224" s="3107"/>
      <c r="C224" s="3107"/>
      <c r="D224" s="3180"/>
      <c r="E224" s="3115" t="s">
        <v>189</v>
      </c>
      <c r="F224" s="3118"/>
      <c r="G224" s="3107"/>
      <c r="H224" s="3107">
        <f>'Part II-Development Team'!H21</f>
        <v>0</v>
      </c>
      <c r="I224" s="3107">
        <f>'Part II-Development Team'!I21</f>
        <v>0</v>
      </c>
      <c r="J224" s="3107">
        <f>'Part II-Development Team'!J21</f>
        <v>0</v>
      </c>
      <c r="K224" s="3107">
        <f>'Part II-Development Team'!K21</f>
        <v>0</v>
      </c>
      <c r="L224" s="3107">
        <f>'Part II-Development Team'!L21</f>
        <v>0</v>
      </c>
      <c r="M224" s="3107">
        <f>'Part II-Development Team'!M21</f>
        <v>0</v>
      </c>
      <c r="N224" s="3107">
        <f>'Part II-Development Team'!N21</f>
        <v>0</v>
      </c>
      <c r="O224" s="3115" t="s">
        <v>371</v>
      </c>
      <c r="P224" s="3107"/>
      <c r="Q224" s="3107">
        <f>'Part II-Development Team'!Q21</f>
        <v>0</v>
      </c>
      <c r="R224" s="3107">
        <f>'Part II-Development Team'!R21</f>
        <v>0</v>
      </c>
      <c r="S224" s="3107">
        <f>'Part II-Development Team'!S21</f>
        <v>0</v>
      </c>
    </row>
    <row r="225" spans="1:19">
      <c r="A225" s="3107"/>
      <c r="B225" s="3107"/>
      <c r="C225" s="3107"/>
      <c r="D225" s="3180"/>
      <c r="E225" s="3115" t="s">
        <v>42</v>
      </c>
      <c r="F225" s="3107"/>
      <c r="G225" s="3107"/>
      <c r="H225" s="3107">
        <f>'Part II-Development Team'!H22</f>
        <v>0</v>
      </c>
      <c r="I225" s="3107">
        <f>'Part II-Development Team'!I22</f>
        <v>0</v>
      </c>
      <c r="J225" s="3107">
        <f>'Part II-Development Team'!J22</f>
        <v>0</v>
      </c>
      <c r="K225" s="3112" t="s">
        <v>99</v>
      </c>
      <c r="L225" s="3107">
        <f>'Part II-Development Team'!L22</f>
        <v>0</v>
      </c>
      <c r="M225" s="3107">
        <f>'Part II-Development Team'!M22</f>
        <v>0</v>
      </c>
      <c r="N225" s="3107">
        <f>'Part II-Development Team'!N22</f>
        <v>0</v>
      </c>
      <c r="O225" s="3115" t="s">
        <v>49</v>
      </c>
      <c r="P225" s="3107"/>
      <c r="Q225" s="3128">
        <f>'Part II-Development Team'!Q22</f>
        <v>0</v>
      </c>
      <c r="R225" s="3128">
        <f>'Part II-Development Team'!R22</f>
        <v>0</v>
      </c>
      <c r="S225" s="3128">
        <f>'Part II-Development Team'!S22</f>
        <v>0</v>
      </c>
    </row>
    <row r="226" spans="1:19">
      <c r="A226" s="3107"/>
      <c r="B226" s="3107"/>
      <c r="C226" s="3107"/>
      <c r="D226" s="3107"/>
      <c r="E226" s="3115" t="s">
        <v>44</v>
      </c>
      <c r="F226" s="3107"/>
      <c r="G226" s="3107"/>
      <c r="H226" s="3115">
        <f>'Part II-Development Team'!H23</f>
        <v>0</v>
      </c>
      <c r="I226" s="3107"/>
      <c r="J226" s="3107"/>
      <c r="K226" s="3112" t="s">
        <v>46</v>
      </c>
      <c r="L226" s="3127">
        <f>'Part II-Development Team'!L23</f>
        <v>0</v>
      </c>
      <c r="M226" s="3127">
        <f>'Part II-Development Team'!M23</f>
        <v>0</v>
      </c>
      <c r="N226" s="3107"/>
      <c r="O226" s="3115" t="s">
        <v>52</v>
      </c>
      <c r="P226" s="3107"/>
      <c r="Q226" s="3128">
        <f>'Part II-Development Team'!Q23</f>
        <v>0</v>
      </c>
      <c r="R226" s="3128">
        <f>'Part II-Development Team'!R23</f>
        <v>0</v>
      </c>
      <c r="S226" s="3128">
        <f>'Part II-Development Team'!S23</f>
        <v>0</v>
      </c>
    </row>
    <row r="227" spans="1:19">
      <c r="A227" s="3107"/>
      <c r="B227" s="3107"/>
      <c r="C227" s="3107"/>
      <c r="D227" s="3180"/>
      <c r="E227" s="3115" t="s">
        <v>376</v>
      </c>
      <c r="F227" s="3107"/>
      <c r="G227" s="3107"/>
      <c r="H227" s="3128">
        <f>'Part II-Development Team'!H24</f>
        <v>0</v>
      </c>
      <c r="I227" s="3128">
        <f>'Part II-Development Team'!I24</f>
        <v>0</v>
      </c>
      <c r="J227" s="3132">
        <f>'Part II-Development Team'!J24</f>
        <v>0</v>
      </c>
      <c r="K227" s="3112" t="s">
        <v>50</v>
      </c>
      <c r="L227" s="3123">
        <f>'Part II-Development Team'!L24</f>
        <v>0</v>
      </c>
      <c r="M227" s="3123">
        <f>'Part II-Development Team'!M24</f>
        <v>0</v>
      </c>
      <c r="N227" s="3123">
        <f>'Part II-Development Team'!N24</f>
        <v>0</v>
      </c>
      <c r="O227" s="3123">
        <f>'Part II-Development Team'!O24</f>
        <v>0</v>
      </c>
      <c r="P227" s="3123">
        <f>'Part II-Development Team'!P24</f>
        <v>0</v>
      </c>
      <c r="Q227" s="3123">
        <f>'Part II-Development Team'!Q24</f>
        <v>0</v>
      </c>
      <c r="R227" s="3123">
        <f>'Part II-Development Team'!R24</f>
        <v>0</v>
      </c>
      <c r="S227" s="3123">
        <f>'Part II-Development Team'!S24</f>
        <v>0</v>
      </c>
    </row>
    <row r="228" spans="1:19">
      <c r="A228" s="3107"/>
      <c r="B228" s="3107"/>
      <c r="C228" s="3107"/>
      <c r="D228" s="3180"/>
      <c r="E228" s="3107"/>
      <c r="F228" s="3107"/>
      <c r="G228" s="3115"/>
      <c r="H228" s="3128"/>
      <c r="I228" s="3128"/>
      <c r="J228" s="3128"/>
      <c r="K228" s="3112"/>
      <c r="L228" s="3128"/>
      <c r="M228" s="3128"/>
      <c r="N228" s="3112"/>
      <c r="O228" s="3128"/>
      <c r="P228" s="3128"/>
      <c r="Q228" s="3112"/>
      <c r="R228" s="3128"/>
      <c r="S228" s="3128"/>
    </row>
    <row r="229" spans="1:19">
      <c r="A229" s="3107"/>
      <c r="B229" s="3107"/>
      <c r="C229" s="3107"/>
      <c r="D229" s="3104" t="s">
        <v>388</v>
      </c>
      <c r="E229" s="3107" t="s">
        <v>387</v>
      </c>
      <c r="F229" s="3107"/>
      <c r="G229" s="3107"/>
      <c r="H229" s="3107">
        <f>'Part II-Development Team'!H26</f>
        <v>0</v>
      </c>
      <c r="I229" s="3107">
        <f>'Part II-Development Team'!I26</f>
        <v>0</v>
      </c>
      <c r="J229" s="3107">
        <f>'Part II-Development Team'!J26</f>
        <v>0</v>
      </c>
      <c r="K229" s="3107">
        <f>'Part II-Development Team'!K26</f>
        <v>0</v>
      </c>
      <c r="L229" s="3107">
        <f>'Part II-Development Team'!L26</f>
        <v>0</v>
      </c>
      <c r="M229" s="3107">
        <f>'Part II-Development Team'!M26</f>
        <v>0</v>
      </c>
      <c r="N229" s="3107">
        <f>'Part II-Development Team'!N26</f>
        <v>0</v>
      </c>
      <c r="O229" s="3115" t="s">
        <v>370</v>
      </c>
      <c r="P229" s="3115"/>
      <c r="Q229" s="3107">
        <f>'Part II-Development Team'!Q26</f>
        <v>0</v>
      </c>
      <c r="R229" s="3107">
        <f>'Part II-Development Team'!R26</f>
        <v>0</v>
      </c>
      <c r="S229" s="3107">
        <f>'Part II-Development Team'!S26</f>
        <v>0</v>
      </c>
    </row>
    <row r="230" spans="1:19">
      <c r="A230" s="3107"/>
      <c r="B230" s="3107"/>
      <c r="C230" s="3107"/>
      <c r="D230" s="3180"/>
      <c r="E230" s="3115" t="s">
        <v>189</v>
      </c>
      <c r="F230" s="3118"/>
      <c r="G230" s="3107"/>
      <c r="H230" s="3107">
        <f>'Part II-Development Team'!H27</f>
        <v>0</v>
      </c>
      <c r="I230" s="3107">
        <f>'Part II-Development Team'!I27</f>
        <v>0</v>
      </c>
      <c r="J230" s="3107">
        <f>'Part II-Development Team'!J27</f>
        <v>0</v>
      </c>
      <c r="K230" s="3107">
        <f>'Part II-Development Team'!K27</f>
        <v>0</v>
      </c>
      <c r="L230" s="3107">
        <f>'Part II-Development Team'!L27</f>
        <v>0</v>
      </c>
      <c r="M230" s="3107">
        <f>'Part II-Development Team'!M27</f>
        <v>0</v>
      </c>
      <c r="N230" s="3107">
        <f>'Part II-Development Team'!N27</f>
        <v>0</v>
      </c>
      <c r="O230" s="3115" t="s">
        <v>371</v>
      </c>
      <c r="P230" s="3107"/>
      <c r="Q230" s="3107">
        <f>'Part II-Development Team'!Q27</f>
        <v>0</v>
      </c>
      <c r="R230" s="3107">
        <f>'Part II-Development Team'!R27</f>
        <v>0</v>
      </c>
      <c r="S230" s="3107">
        <f>'Part II-Development Team'!S27</f>
        <v>0</v>
      </c>
    </row>
    <row r="231" spans="1:19">
      <c r="A231" s="3107"/>
      <c r="B231" s="3107"/>
      <c r="C231" s="3107"/>
      <c r="D231" s="3180"/>
      <c r="E231" s="3115" t="s">
        <v>42</v>
      </c>
      <c r="F231" s="3107"/>
      <c r="G231" s="3107"/>
      <c r="H231" s="3107">
        <f>'Part II-Development Team'!H28</f>
        <v>0</v>
      </c>
      <c r="I231" s="3107">
        <f>'Part II-Development Team'!I28</f>
        <v>0</v>
      </c>
      <c r="J231" s="3107">
        <f>'Part II-Development Team'!J28</f>
        <v>0</v>
      </c>
      <c r="K231" s="3112" t="s">
        <v>99</v>
      </c>
      <c r="L231" s="3107">
        <f>'Part II-Development Team'!L28</f>
        <v>0</v>
      </c>
      <c r="M231" s="3107">
        <f>'Part II-Development Team'!M28</f>
        <v>0</v>
      </c>
      <c r="N231" s="3107">
        <f>'Part II-Development Team'!N28</f>
        <v>0</v>
      </c>
      <c r="O231" s="3115" t="s">
        <v>49</v>
      </c>
      <c r="P231" s="3107"/>
      <c r="Q231" s="3128">
        <f>'Part II-Development Team'!Q28</f>
        <v>0</v>
      </c>
      <c r="R231" s="3128">
        <f>'Part II-Development Team'!R28</f>
        <v>0</v>
      </c>
      <c r="S231" s="3128">
        <f>'Part II-Development Team'!S28</f>
        <v>0</v>
      </c>
    </row>
    <row r="232" spans="1:19">
      <c r="A232" s="3107"/>
      <c r="B232" s="3107"/>
      <c r="C232" s="3107"/>
      <c r="D232" s="3107"/>
      <c r="E232" s="3115" t="s">
        <v>44</v>
      </c>
      <c r="F232" s="3107"/>
      <c r="G232" s="3107"/>
      <c r="H232" s="3115">
        <f>'Part II-Development Team'!H29</f>
        <v>0</v>
      </c>
      <c r="I232" s="3107"/>
      <c r="J232" s="3107"/>
      <c r="K232" s="3112" t="s">
        <v>46</v>
      </c>
      <c r="L232" s="3127">
        <f>'Part II-Development Team'!L29</f>
        <v>0</v>
      </c>
      <c r="M232" s="3127">
        <f>'Part II-Development Team'!M29</f>
        <v>0</v>
      </c>
      <c r="N232" s="3107"/>
      <c r="O232" s="3115" t="s">
        <v>52</v>
      </c>
      <c r="P232" s="3107"/>
      <c r="Q232" s="3128">
        <f>'Part II-Development Team'!Q29</f>
        <v>0</v>
      </c>
      <c r="R232" s="3128">
        <f>'Part II-Development Team'!R29</f>
        <v>0</v>
      </c>
      <c r="S232" s="3128">
        <f>'Part II-Development Team'!S29</f>
        <v>0</v>
      </c>
    </row>
    <row r="233" spans="1:19">
      <c r="A233" s="3107"/>
      <c r="B233" s="3107"/>
      <c r="C233" s="3107"/>
      <c r="D233" s="3180"/>
      <c r="E233" s="3115" t="s">
        <v>376</v>
      </c>
      <c r="F233" s="3107"/>
      <c r="G233" s="3107"/>
      <c r="H233" s="3128">
        <f>'Part II-Development Team'!H30</f>
        <v>0</v>
      </c>
      <c r="I233" s="3128">
        <f>'Part II-Development Team'!I30</f>
        <v>0</v>
      </c>
      <c r="J233" s="3132">
        <f>'Part II-Development Team'!J30</f>
        <v>0</v>
      </c>
      <c r="K233" s="3112" t="s">
        <v>50</v>
      </c>
      <c r="L233" s="3123">
        <f>'Part II-Development Team'!L30</f>
        <v>0</v>
      </c>
      <c r="M233" s="3123">
        <f>'Part II-Development Team'!M30</f>
        <v>0</v>
      </c>
      <c r="N233" s="3123">
        <f>'Part II-Development Team'!N30</f>
        <v>0</v>
      </c>
      <c r="O233" s="3123">
        <f>'Part II-Development Team'!O30</f>
        <v>0</v>
      </c>
      <c r="P233" s="3123">
        <f>'Part II-Development Team'!P30</f>
        <v>0</v>
      </c>
      <c r="Q233" s="3123">
        <f>'Part II-Development Team'!Q30</f>
        <v>0</v>
      </c>
      <c r="R233" s="3123">
        <f>'Part II-Development Team'!R30</f>
        <v>0</v>
      </c>
      <c r="S233" s="3123">
        <f>'Part II-Development Team'!S30</f>
        <v>0</v>
      </c>
    </row>
    <row r="234" spans="1:19">
      <c r="A234" s="3114"/>
      <c r="B234" s="3114"/>
      <c r="C234" s="3114"/>
      <c r="D234" s="3114"/>
      <c r="E234" s="3114"/>
      <c r="F234" s="3114"/>
      <c r="G234" s="3114"/>
      <c r="H234" s="3114"/>
      <c r="I234" s="3114"/>
      <c r="J234" s="3114"/>
      <c r="K234" s="3114"/>
      <c r="L234" s="3114"/>
      <c r="M234" s="3114"/>
      <c r="N234" s="3114"/>
      <c r="O234" s="3114"/>
      <c r="P234" s="3114"/>
      <c r="Q234" s="3114"/>
      <c r="R234" s="3114"/>
      <c r="S234" s="3114"/>
    </row>
    <row r="235" spans="1:19" ht="13.5">
      <c r="A235" s="3107"/>
      <c r="B235" s="3107"/>
      <c r="C235" s="3183" t="s">
        <v>389</v>
      </c>
      <c r="D235" s="3157" t="s">
        <v>390</v>
      </c>
      <c r="E235" s="3107"/>
      <c r="F235" s="3107"/>
      <c r="G235" s="3107"/>
      <c r="H235" s="3107"/>
      <c r="I235" s="3107"/>
      <c r="J235" s="3107"/>
      <c r="K235" s="3109" t="s">
        <v>367</v>
      </c>
      <c r="L235" s="3107"/>
      <c r="M235" s="3107"/>
      <c r="N235" s="3107"/>
      <c r="O235" s="3107"/>
      <c r="P235" s="3107"/>
      <c r="Q235" s="3107"/>
      <c r="R235" s="3107"/>
      <c r="S235" s="3107"/>
    </row>
    <row r="236" spans="1:19">
      <c r="A236" s="3107"/>
      <c r="B236" s="3107"/>
      <c r="C236" s="3107"/>
      <c r="D236" s="3104" t="s">
        <v>381</v>
      </c>
      <c r="E236" s="3107" t="s">
        <v>391</v>
      </c>
      <c r="F236" s="3107"/>
      <c r="G236" s="3107"/>
      <c r="H236" s="3107" t="str">
        <f>'Part II-Development Team'!H33</f>
        <v>Stratford Capital Group</v>
      </c>
      <c r="I236" s="3107">
        <f>'Part II-Development Team'!I33</f>
        <v>0</v>
      </c>
      <c r="J236" s="3107">
        <f>'Part II-Development Team'!J33</f>
        <v>0</v>
      </c>
      <c r="K236" s="3107">
        <f>'Part II-Development Team'!K33</f>
        <v>0</v>
      </c>
      <c r="L236" s="3107">
        <f>'Part II-Development Team'!L33</f>
        <v>0</v>
      </c>
      <c r="M236" s="3107">
        <f>'Part II-Development Team'!M33</f>
        <v>0</v>
      </c>
      <c r="N236" s="3107">
        <f>'Part II-Development Team'!N33</f>
        <v>0</v>
      </c>
      <c r="O236" s="3115" t="s">
        <v>370</v>
      </c>
      <c r="P236" s="3115"/>
      <c r="Q236" s="3107" t="str">
        <f>'Part II-Development Team'!Q33</f>
        <v>John Sorel</v>
      </c>
      <c r="R236" s="3107">
        <f>'Part II-Development Team'!R33</f>
        <v>0</v>
      </c>
      <c r="S236" s="3107">
        <f>'Part II-Development Team'!S33</f>
        <v>0</v>
      </c>
    </row>
    <row r="237" spans="1:19">
      <c r="A237" s="3107"/>
      <c r="B237" s="3107"/>
      <c r="C237" s="3107"/>
      <c r="D237" s="3180"/>
      <c r="E237" s="3115" t="s">
        <v>189</v>
      </c>
      <c r="F237" s="3118"/>
      <c r="G237" s="3107"/>
      <c r="H237" s="3107" t="str">
        <f>'Part II-Development Team'!H34</f>
        <v>100 Corporate Place Suite 404</v>
      </c>
      <c r="I237" s="3107">
        <f>'Part II-Development Team'!I34</f>
        <v>0</v>
      </c>
      <c r="J237" s="3107">
        <f>'Part II-Development Team'!J34</f>
        <v>0</v>
      </c>
      <c r="K237" s="3107">
        <f>'Part II-Development Team'!K34</f>
        <v>0</v>
      </c>
      <c r="L237" s="3107">
        <f>'Part II-Development Team'!L34</f>
        <v>0</v>
      </c>
      <c r="M237" s="3107">
        <f>'Part II-Development Team'!M34</f>
        <v>0</v>
      </c>
      <c r="N237" s="3107">
        <f>'Part II-Development Team'!N34</f>
        <v>0</v>
      </c>
      <c r="O237" s="3115" t="s">
        <v>371</v>
      </c>
      <c r="P237" s="3107"/>
      <c r="Q237" s="3107" t="str">
        <f>'Part II-Development Team'!Q34</f>
        <v>Senior Vice President</v>
      </c>
      <c r="R237" s="3107">
        <f>'Part II-Development Team'!R34</f>
        <v>0</v>
      </c>
      <c r="S237" s="3107">
        <f>'Part II-Development Team'!S34</f>
        <v>0</v>
      </c>
    </row>
    <row r="238" spans="1:19">
      <c r="A238" s="3107"/>
      <c r="B238" s="3107"/>
      <c r="C238" s="3107"/>
      <c r="D238" s="3180"/>
      <c r="E238" s="3115" t="s">
        <v>42</v>
      </c>
      <c r="F238" s="3107"/>
      <c r="G238" s="3107"/>
      <c r="H238" s="3107" t="str">
        <f>'Part II-Development Team'!H35</f>
        <v>Peabody</v>
      </c>
      <c r="I238" s="3107">
        <f>'Part II-Development Team'!I35</f>
        <v>0</v>
      </c>
      <c r="J238" s="3107">
        <f>'Part II-Development Team'!J35</f>
        <v>0</v>
      </c>
      <c r="K238" s="3112" t="s">
        <v>99</v>
      </c>
      <c r="L238" s="3107">
        <f>'Part II-Development Team'!L35</f>
        <v>0</v>
      </c>
      <c r="M238" s="3107">
        <f>'Part II-Development Team'!M35</f>
        <v>0</v>
      </c>
      <c r="N238" s="3107">
        <f>'Part II-Development Team'!N35</f>
        <v>0</v>
      </c>
      <c r="O238" s="3115" t="s">
        <v>49</v>
      </c>
      <c r="P238" s="3107"/>
      <c r="Q238" s="3128">
        <f>'Part II-Development Team'!Q35</f>
        <v>9785355600</v>
      </c>
      <c r="R238" s="3128">
        <f>'Part II-Development Team'!R35</f>
        <v>0</v>
      </c>
      <c r="S238" s="3128">
        <f>'Part II-Development Team'!S35</f>
        <v>0</v>
      </c>
    </row>
    <row r="239" spans="1:19">
      <c r="A239" s="3107"/>
      <c r="B239" s="3107"/>
      <c r="C239" s="3107"/>
      <c r="D239" s="3107"/>
      <c r="E239" s="3115" t="s">
        <v>44</v>
      </c>
      <c r="F239" s="3107"/>
      <c r="G239" s="3107"/>
      <c r="H239" s="3115" t="str">
        <f>'Part II-Development Team'!H36</f>
        <v>MA</v>
      </c>
      <c r="I239" s="3107"/>
      <c r="J239" s="3107"/>
      <c r="K239" s="3112" t="s">
        <v>46</v>
      </c>
      <c r="L239" s="3127">
        <f>'Part II-Development Team'!L36</f>
        <v>19608535</v>
      </c>
      <c r="M239" s="3127">
        <f>'Part II-Development Team'!M36</f>
        <v>0</v>
      </c>
      <c r="N239" s="3107"/>
      <c r="O239" s="3115" t="s">
        <v>52</v>
      </c>
      <c r="P239" s="3107"/>
      <c r="Q239" s="3128">
        <f>'Part II-Development Team'!Q36</f>
        <v>9735259324</v>
      </c>
      <c r="R239" s="3128">
        <f>'Part II-Development Team'!R36</f>
        <v>0</v>
      </c>
      <c r="S239" s="3128">
        <f>'Part II-Development Team'!S36</f>
        <v>0</v>
      </c>
    </row>
    <row r="240" spans="1:19">
      <c r="A240" s="3107"/>
      <c r="B240" s="3107"/>
      <c r="C240" s="3107"/>
      <c r="D240" s="3180"/>
      <c r="E240" s="3115" t="s">
        <v>376</v>
      </c>
      <c r="F240" s="3107"/>
      <c r="G240" s="3107"/>
      <c r="H240" s="3128">
        <f>'Part II-Development Team'!H37</f>
        <v>0</v>
      </c>
      <c r="I240" s="3128">
        <f>'Part II-Development Team'!I37</f>
        <v>0</v>
      </c>
      <c r="J240" s="3132">
        <f>'Part II-Development Team'!J37</f>
        <v>0</v>
      </c>
      <c r="K240" s="3112" t="s">
        <v>50</v>
      </c>
      <c r="L240" s="3123">
        <f>'Part II-Development Team'!L37</f>
        <v>0</v>
      </c>
      <c r="M240" s="3123">
        <f>'Part II-Development Team'!M37</f>
        <v>0</v>
      </c>
      <c r="N240" s="3123">
        <f>'Part II-Development Team'!N37</f>
        <v>0</v>
      </c>
      <c r="O240" s="3123">
        <f>'Part II-Development Team'!O37</f>
        <v>0</v>
      </c>
      <c r="P240" s="3123">
        <f>'Part II-Development Team'!P37</f>
        <v>0</v>
      </c>
      <c r="Q240" s="3123">
        <f>'Part II-Development Team'!Q37</f>
        <v>0</v>
      </c>
      <c r="R240" s="3123">
        <f>'Part II-Development Team'!R37</f>
        <v>0</v>
      </c>
      <c r="S240" s="3123">
        <f>'Part II-Development Team'!S37</f>
        <v>0</v>
      </c>
    </row>
    <row r="241" spans="1:19">
      <c r="A241" s="3114"/>
      <c r="B241" s="3114"/>
      <c r="C241" s="3114"/>
      <c r="D241" s="3114"/>
      <c r="E241" s="3114"/>
      <c r="F241" s="3114"/>
      <c r="G241" s="3114"/>
      <c r="H241" s="3128"/>
      <c r="I241" s="3128"/>
      <c r="J241" s="3128"/>
      <c r="K241" s="3112"/>
      <c r="L241" s="3128"/>
      <c r="M241" s="3128"/>
      <c r="N241" s="3112"/>
      <c r="O241" s="3128"/>
      <c r="P241" s="3128"/>
      <c r="Q241" s="3112"/>
      <c r="R241" s="3128"/>
      <c r="S241" s="3128"/>
    </row>
    <row r="242" spans="1:19">
      <c r="A242" s="3107"/>
      <c r="B242" s="3107"/>
      <c r="C242" s="3107"/>
      <c r="D242" s="3104" t="s">
        <v>386</v>
      </c>
      <c r="E242" s="3107" t="s">
        <v>392</v>
      </c>
      <c r="F242" s="3104"/>
      <c r="G242" s="3107"/>
      <c r="H242" s="3107" t="str">
        <f>'Part II-Development Team'!H39</f>
        <v>TSR SI LLC</v>
      </c>
      <c r="I242" s="3107">
        <f>'Part II-Development Team'!I39</f>
        <v>0</v>
      </c>
      <c r="J242" s="3107">
        <f>'Part II-Development Team'!J39</f>
        <v>0</v>
      </c>
      <c r="K242" s="3107">
        <f>'Part II-Development Team'!K39</f>
        <v>0</v>
      </c>
      <c r="L242" s="3107">
        <f>'Part II-Development Team'!L39</f>
        <v>0</v>
      </c>
      <c r="M242" s="3107">
        <f>'Part II-Development Team'!M39</f>
        <v>0</v>
      </c>
      <c r="N242" s="3107">
        <f>'Part II-Development Team'!N39</f>
        <v>0</v>
      </c>
      <c r="O242" s="3115" t="s">
        <v>370</v>
      </c>
      <c r="P242" s="3115"/>
      <c r="Q242" s="3107" t="str">
        <f>'Part II-Development Team'!Q39</f>
        <v>Mary T. Johnson</v>
      </c>
      <c r="R242" s="3107">
        <f>'Part II-Development Team'!R39</f>
        <v>0</v>
      </c>
      <c r="S242" s="3107">
        <f>'Part II-Development Team'!S39</f>
        <v>0</v>
      </c>
    </row>
    <row r="243" spans="1:19">
      <c r="A243" s="3107"/>
      <c r="B243" s="3107"/>
      <c r="C243" s="3107"/>
      <c r="D243" s="3180"/>
      <c r="E243" s="3115" t="s">
        <v>189</v>
      </c>
      <c r="F243" s="3118"/>
      <c r="G243" s="3107"/>
      <c r="H243" s="3107" t="str">
        <f>'Part II-Development Team'!H40</f>
        <v>314 North Patterson Street</v>
      </c>
      <c r="I243" s="3107">
        <f>'Part II-Development Team'!I40</f>
        <v>0</v>
      </c>
      <c r="J243" s="3107">
        <f>'Part II-Development Team'!J40</f>
        <v>0</v>
      </c>
      <c r="K243" s="3107">
        <f>'Part II-Development Team'!K40</f>
        <v>0</v>
      </c>
      <c r="L243" s="3107">
        <f>'Part II-Development Team'!L40</f>
        <v>0</v>
      </c>
      <c r="M243" s="3107">
        <f>'Part II-Development Team'!M40</f>
        <v>0</v>
      </c>
      <c r="N243" s="3107">
        <f>'Part II-Development Team'!N40</f>
        <v>0</v>
      </c>
      <c r="O243" s="3115" t="s">
        <v>371</v>
      </c>
      <c r="P243" s="3107"/>
      <c r="Q243" s="3107" t="str">
        <f>'Part II-Development Team'!Q40</f>
        <v>Managing Member</v>
      </c>
      <c r="R243" s="3107">
        <f>'Part II-Development Team'!R40</f>
        <v>0</v>
      </c>
      <c r="S243" s="3107">
        <f>'Part II-Development Team'!S40</f>
        <v>0</v>
      </c>
    </row>
    <row r="244" spans="1:19">
      <c r="A244" s="3107"/>
      <c r="B244" s="3107"/>
      <c r="C244" s="3107"/>
      <c r="D244" s="3180"/>
      <c r="E244" s="3115" t="s">
        <v>42</v>
      </c>
      <c r="F244" s="3107"/>
      <c r="G244" s="3107"/>
      <c r="H244" s="3107" t="str">
        <f>'Part II-Development Team'!H41</f>
        <v>Valdosta</v>
      </c>
      <c r="I244" s="3107">
        <f>'Part II-Development Team'!I41</f>
        <v>0</v>
      </c>
      <c r="J244" s="3107">
        <f>'Part II-Development Team'!J41</f>
        <v>0</v>
      </c>
      <c r="K244" s="3112" t="s">
        <v>99</v>
      </c>
      <c r="L244" s="3107" t="str">
        <f>'Part II-Development Team'!L41</f>
        <v>http://www.tishcollc.com/</v>
      </c>
      <c r="M244" s="3107">
        <f>'Part II-Development Team'!M41</f>
        <v>0</v>
      </c>
      <c r="N244" s="3107">
        <f>'Part II-Development Team'!N41</f>
        <v>0</v>
      </c>
      <c r="O244" s="3115" t="s">
        <v>49</v>
      </c>
      <c r="P244" s="3107"/>
      <c r="Q244" s="3128">
        <f>'Part II-Development Team'!Q41</f>
        <v>2293162232</v>
      </c>
      <c r="R244" s="3128">
        <f>'Part II-Development Team'!R41</f>
        <v>0</v>
      </c>
      <c r="S244" s="3128">
        <f>'Part II-Development Team'!S41</f>
        <v>0</v>
      </c>
    </row>
    <row r="245" spans="1:19">
      <c r="A245" s="3107"/>
      <c r="B245" s="3107"/>
      <c r="C245" s="3107"/>
      <c r="D245" s="3104"/>
      <c r="E245" s="3115" t="s">
        <v>44</v>
      </c>
      <c r="F245" s="3107"/>
      <c r="G245" s="3107"/>
      <c r="H245" s="3115" t="str">
        <f>'Part II-Development Team'!H42</f>
        <v>GA</v>
      </c>
      <c r="I245" s="3107"/>
      <c r="J245" s="3107"/>
      <c r="K245" s="3112" t="s">
        <v>46</v>
      </c>
      <c r="L245" s="3127">
        <f>'Part II-Development Team'!L42</f>
        <v>316015526</v>
      </c>
      <c r="M245" s="3127">
        <f>'Part II-Development Team'!M42</f>
        <v>0</v>
      </c>
      <c r="N245" s="3107"/>
      <c r="O245" s="3115" t="s">
        <v>52</v>
      </c>
      <c r="P245" s="3107"/>
      <c r="Q245" s="3128">
        <f>'Part II-Development Team'!Q42</f>
        <v>2295615959</v>
      </c>
      <c r="R245" s="3128">
        <f>'Part II-Development Team'!R42</f>
        <v>0</v>
      </c>
      <c r="S245" s="3128">
        <f>'Part II-Development Team'!S42</f>
        <v>0</v>
      </c>
    </row>
    <row r="246" spans="1:19">
      <c r="A246" s="3107"/>
      <c r="B246" s="3107"/>
      <c r="C246" s="3107"/>
      <c r="D246" s="3180"/>
      <c r="E246" s="3115" t="s">
        <v>376</v>
      </c>
      <c r="F246" s="3107"/>
      <c r="G246" s="3107"/>
      <c r="H246" s="3128">
        <f>'Part II-Development Team'!H43</f>
        <v>2292427759</v>
      </c>
      <c r="I246" s="3128">
        <f>'Part II-Development Team'!I43</f>
        <v>0</v>
      </c>
      <c r="J246" s="3132">
        <f>'Part II-Development Team'!J43</f>
        <v>2232</v>
      </c>
      <c r="K246" s="3112" t="s">
        <v>50</v>
      </c>
      <c r="L246" s="3123" t="str">
        <f>'Part II-Development Team'!L43</f>
        <v>tish.johnson@tishcollc.com</v>
      </c>
      <c r="M246" s="3123">
        <f>'Part II-Development Team'!M43</f>
        <v>0</v>
      </c>
      <c r="N246" s="3123">
        <f>'Part II-Development Team'!N43</f>
        <v>0</v>
      </c>
      <c r="O246" s="3123">
        <f>'Part II-Development Team'!O43</f>
        <v>0</v>
      </c>
      <c r="P246" s="3123">
        <f>'Part II-Development Team'!P43</f>
        <v>0</v>
      </c>
      <c r="Q246" s="3123">
        <f>'Part II-Development Team'!Q43</f>
        <v>0</v>
      </c>
      <c r="R246" s="3123">
        <f>'Part II-Development Team'!R43</f>
        <v>0</v>
      </c>
      <c r="S246" s="3123">
        <f>'Part II-Development Team'!S43</f>
        <v>0</v>
      </c>
    </row>
    <row r="247" spans="1:19">
      <c r="A247" s="3107"/>
      <c r="B247" s="3107"/>
      <c r="C247" s="3107"/>
      <c r="D247" s="3180"/>
      <c r="E247" s="3115"/>
      <c r="F247" s="3104"/>
      <c r="G247" s="3107"/>
      <c r="H247" s="3172"/>
      <c r="I247" s="3172"/>
      <c r="J247" s="3184"/>
      <c r="K247" s="3112"/>
      <c r="L247" s="3172"/>
      <c r="M247" s="3172"/>
      <c r="N247" s="3112"/>
      <c r="O247" s="3172"/>
      <c r="P247" s="3172"/>
      <c r="Q247" s="3112"/>
      <c r="R247" s="3172"/>
      <c r="S247" s="3172"/>
    </row>
    <row r="248" spans="1:19" ht="13.5">
      <c r="A248" s="3107"/>
      <c r="B248" s="3107"/>
      <c r="C248" s="3185" t="s">
        <v>393</v>
      </c>
      <c r="D248" s="3157" t="s">
        <v>394</v>
      </c>
      <c r="E248" s="3107"/>
      <c r="F248" s="3107"/>
      <c r="G248" s="3107"/>
      <c r="H248" s="3107"/>
      <c r="I248" s="3107"/>
      <c r="J248" s="3107"/>
      <c r="K248" s="3109" t="s">
        <v>367</v>
      </c>
      <c r="L248" s="3107"/>
      <c r="M248" s="3107"/>
      <c r="N248" s="3107"/>
      <c r="O248" s="3107"/>
      <c r="P248" s="3107"/>
      <c r="Q248" s="3107"/>
      <c r="R248" s="3107"/>
      <c r="S248" s="3107"/>
    </row>
    <row r="249" spans="1:19">
      <c r="A249" s="3107"/>
      <c r="B249" s="3107"/>
      <c r="C249" s="3107"/>
      <c r="D249" s="3107"/>
      <c r="E249" s="3107" t="s">
        <v>395</v>
      </c>
      <c r="F249" s="3107"/>
      <c r="G249" s="3107"/>
      <c r="H249" s="3107">
        <f>'Part II-Development Team'!H46</f>
        <v>0</v>
      </c>
      <c r="I249" s="3107">
        <f>'Part II-Development Team'!I46</f>
        <v>0</v>
      </c>
      <c r="J249" s="3107">
        <f>'Part II-Development Team'!J46</f>
        <v>0</v>
      </c>
      <c r="K249" s="3107">
        <f>'Part II-Development Team'!K46</f>
        <v>0</v>
      </c>
      <c r="L249" s="3107">
        <f>'Part II-Development Team'!L46</f>
        <v>0</v>
      </c>
      <c r="M249" s="3107">
        <f>'Part II-Development Team'!M46</f>
        <v>0</v>
      </c>
      <c r="N249" s="3107">
        <f>'Part II-Development Team'!N46</f>
        <v>0</v>
      </c>
      <c r="O249" s="3115" t="s">
        <v>370</v>
      </c>
      <c r="P249" s="3115"/>
      <c r="Q249" s="3107">
        <f>'Part II-Development Team'!Q46</f>
        <v>0</v>
      </c>
      <c r="R249" s="3107">
        <f>'Part II-Development Team'!R46</f>
        <v>0</v>
      </c>
      <c r="S249" s="3107">
        <f>'Part II-Development Team'!S46</f>
        <v>0</v>
      </c>
    </row>
    <row r="250" spans="1:19">
      <c r="A250" s="3107"/>
      <c r="B250" s="3107"/>
      <c r="C250" s="3107"/>
      <c r="D250" s="3180"/>
      <c r="E250" s="3115" t="s">
        <v>189</v>
      </c>
      <c r="F250" s="3118"/>
      <c r="G250" s="3107"/>
      <c r="H250" s="3107">
        <f>'Part II-Development Team'!H47</f>
        <v>0</v>
      </c>
      <c r="I250" s="3107">
        <f>'Part II-Development Team'!I47</f>
        <v>0</v>
      </c>
      <c r="J250" s="3107">
        <f>'Part II-Development Team'!J47</f>
        <v>0</v>
      </c>
      <c r="K250" s="3107">
        <f>'Part II-Development Team'!K47</f>
        <v>0</v>
      </c>
      <c r="L250" s="3107">
        <f>'Part II-Development Team'!L47</f>
        <v>0</v>
      </c>
      <c r="M250" s="3107">
        <f>'Part II-Development Team'!M47</f>
        <v>0</v>
      </c>
      <c r="N250" s="3107">
        <f>'Part II-Development Team'!N47</f>
        <v>0</v>
      </c>
      <c r="O250" s="3115" t="s">
        <v>371</v>
      </c>
      <c r="P250" s="3107"/>
      <c r="Q250" s="3107">
        <f>'Part II-Development Team'!Q47</f>
        <v>0</v>
      </c>
      <c r="R250" s="3107">
        <f>'Part II-Development Team'!R47</f>
        <v>0</v>
      </c>
      <c r="S250" s="3107">
        <f>'Part II-Development Team'!S47</f>
        <v>0</v>
      </c>
    </row>
    <row r="251" spans="1:19">
      <c r="A251" s="3107"/>
      <c r="B251" s="3107"/>
      <c r="C251" s="3107"/>
      <c r="D251" s="3180"/>
      <c r="E251" s="3115" t="s">
        <v>42</v>
      </c>
      <c r="F251" s="3107"/>
      <c r="G251" s="3107"/>
      <c r="H251" s="3107">
        <f>'Part II-Development Team'!H48</f>
        <v>0</v>
      </c>
      <c r="I251" s="3107">
        <f>'Part II-Development Team'!I48</f>
        <v>0</v>
      </c>
      <c r="J251" s="3107">
        <f>'Part II-Development Team'!J48</f>
        <v>0</v>
      </c>
      <c r="K251" s="3112" t="s">
        <v>99</v>
      </c>
      <c r="L251" s="3107">
        <f>'Part II-Development Team'!L48</f>
        <v>0</v>
      </c>
      <c r="M251" s="3107">
        <f>'Part II-Development Team'!M48</f>
        <v>0</v>
      </c>
      <c r="N251" s="3107">
        <f>'Part II-Development Team'!N48</f>
        <v>0</v>
      </c>
      <c r="O251" s="3115" t="s">
        <v>49</v>
      </c>
      <c r="P251" s="3107"/>
      <c r="Q251" s="3128">
        <f>'Part II-Development Team'!Q48</f>
        <v>0</v>
      </c>
      <c r="R251" s="3128">
        <f>'Part II-Development Team'!R48</f>
        <v>0</v>
      </c>
      <c r="S251" s="3128">
        <f>'Part II-Development Team'!S48</f>
        <v>0</v>
      </c>
    </row>
    <row r="252" spans="1:19">
      <c r="A252" s="3107"/>
      <c r="B252" s="3107"/>
      <c r="C252" s="3107"/>
      <c r="D252" s="3107"/>
      <c r="E252" s="3115" t="s">
        <v>44</v>
      </c>
      <c r="F252" s="3107"/>
      <c r="G252" s="3107"/>
      <c r="H252" s="3115">
        <f>'Part II-Development Team'!H49</f>
        <v>0</v>
      </c>
      <c r="I252" s="3107"/>
      <c r="J252" s="3107"/>
      <c r="K252" s="3112" t="s">
        <v>46</v>
      </c>
      <c r="L252" s="3127">
        <f>'Part II-Development Team'!L49</f>
        <v>0</v>
      </c>
      <c r="M252" s="3127">
        <f>'Part II-Development Team'!M49</f>
        <v>0</v>
      </c>
      <c r="N252" s="3107"/>
      <c r="O252" s="3115" t="s">
        <v>52</v>
      </c>
      <c r="P252" s="3107"/>
      <c r="Q252" s="3128">
        <f>'Part II-Development Team'!Q49</f>
        <v>0</v>
      </c>
      <c r="R252" s="3128">
        <f>'Part II-Development Team'!R49</f>
        <v>0</v>
      </c>
      <c r="S252" s="3128">
        <f>'Part II-Development Team'!S49</f>
        <v>0</v>
      </c>
    </row>
    <row r="253" spans="1:19">
      <c r="A253" s="3107"/>
      <c r="B253" s="3107"/>
      <c r="C253" s="3107"/>
      <c r="D253" s="3180"/>
      <c r="E253" s="3115" t="s">
        <v>376</v>
      </c>
      <c r="F253" s="3107"/>
      <c r="G253" s="3107"/>
      <c r="H253" s="3128">
        <f>'Part II-Development Team'!H50</f>
        <v>0</v>
      </c>
      <c r="I253" s="3128">
        <f>'Part II-Development Team'!I50</f>
        <v>0</v>
      </c>
      <c r="J253" s="3132">
        <f>'Part II-Development Team'!J50</f>
        <v>0</v>
      </c>
      <c r="K253" s="3112" t="s">
        <v>50</v>
      </c>
      <c r="L253" s="3123">
        <f>'Part II-Development Team'!L50</f>
        <v>0</v>
      </c>
      <c r="M253" s="3123">
        <f>'Part II-Development Team'!M50</f>
        <v>0</v>
      </c>
      <c r="N253" s="3123">
        <f>'Part II-Development Team'!N50</f>
        <v>0</v>
      </c>
      <c r="O253" s="3123">
        <f>'Part II-Development Team'!O50</f>
        <v>0</v>
      </c>
      <c r="P253" s="3123">
        <f>'Part II-Development Team'!P50</f>
        <v>0</v>
      </c>
      <c r="Q253" s="3123">
        <f>'Part II-Development Team'!Q50</f>
        <v>0</v>
      </c>
      <c r="R253" s="3123">
        <f>'Part II-Development Team'!R50</f>
        <v>0</v>
      </c>
      <c r="S253" s="3123">
        <f>'Part II-Development Team'!S50</f>
        <v>0</v>
      </c>
    </row>
    <row r="254" spans="1:19">
      <c r="A254" s="3114"/>
      <c r="B254" s="3114"/>
      <c r="C254" s="3114"/>
      <c r="D254" s="3114"/>
      <c r="E254" s="3114"/>
      <c r="F254" s="3114"/>
      <c r="G254" s="3114"/>
      <c r="H254" s="3114"/>
      <c r="I254" s="3114"/>
      <c r="J254" s="3114"/>
      <c r="K254" s="3114"/>
      <c r="L254" s="3114"/>
      <c r="M254" s="3114"/>
      <c r="N254" s="3114"/>
      <c r="O254" s="3114"/>
      <c r="P254" s="3114"/>
      <c r="Q254" s="3114"/>
      <c r="R254" s="3114"/>
      <c r="S254" s="3114"/>
    </row>
    <row r="255" spans="1:19" ht="13.5">
      <c r="A255" s="3104" t="s">
        <v>13</v>
      </c>
      <c r="B255" s="3104" t="s">
        <v>396</v>
      </c>
      <c r="C255" s="3107"/>
      <c r="D255" s="3107"/>
      <c r="E255" s="3107"/>
      <c r="F255" s="3104"/>
      <c r="G255" s="3112"/>
      <c r="H255" s="3112"/>
      <c r="I255" s="3112"/>
      <c r="J255" s="3107"/>
      <c r="K255" s="3109" t="s">
        <v>367</v>
      </c>
      <c r="L255" s="3107"/>
      <c r="M255" s="3107"/>
      <c r="N255" s="3107"/>
      <c r="O255" s="3107"/>
      <c r="P255" s="3107"/>
      <c r="Q255" s="3107"/>
      <c r="R255" s="3107"/>
      <c r="S255" s="3107"/>
    </row>
    <row r="256" spans="1:19">
      <c r="A256" s="3104"/>
      <c r="B256" s="3104"/>
      <c r="C256" s="3107"/>
      <c r="D256" s="3107"/>
      <c r="E256" s="3107"/>
      <c r="F256" s="3104"/>
      <c r="G256" s="3112"/>
      <c r="H256" s="3128"/>
      <c r="I256" s="3128"/>
      <c r="J256" s="3128"/>
      <c r="K256" s="3112"/>
      <c r="L256" s="3128"/>
      <c r="M256" s="3128"/>
      <c r="N256" s="3112"/>
      <c r="O256" s="3128"/>
      <c r="P256" s="3128"/>
      <c r="Q256" s="3112"/>
      <c r="R256" s="3128"/>
      <c r="S256" s="3128"/>
    </row>
    <row r="257" spans="1:19">
      <c r="A257" s="3107"/>
      <c r="B257" s="3104" t="s">
        <v>110</v>
      </c>
      <c r="C257" s="3104" t="s">
        <v>397</v>
      </c>
      <c r="D257" s="3107"/>
      <c r="E257" s="3107"/>
      <c r="F257" s="3107"/>
      <c r="G257" s="3107"/>
      <c r="H257" s="3107" t="str">
        <f>'Part II-Development Team'!H54</f>
        <v>TISHCO Development, Inc.</v>
      </c>
      <c r="I257" s="3107">
        <f>'Part II-Development Team'!I54</f>
        <v>0</v>
      </c>
      <c r="J257" s="3107">
        <f>'Part II-Development Team'!J54</f>
        <v>0</v>
      </c>
      <c r="K257" s="3107">
        <f>'Part II-Development Team'!K54</f>
        <v>0</v>
      </c>
      <c r="L257" s="3107">
        <f>'Part II-Development Team'!L54</f>
        <v>0</v>
      </c>
      <c r="M257" s="3107">
        <f>'Part II-Development Team'!M54</f>
        <v>0</v>
      </c>
      <c r="N257" s="3107">
        <f>'Part II-Development Team'!N54</f>
        <v>0</v>
      </c>
      <c r="O257" s="3115" t="s">
        <v>370</v>
      </c>
      <c r="P257" s="3115"/>
      <c r="Q257" s="3107" t="str">
        <f>'Part II-Development Team'!Q54</f>
        <v>Mary T. Johnson</v>
      </c>
      <c r="R257" s="3107">
        <f>'Part II-Development Team'!R54</f>
        <v>0</v>
      </c>
      <c r="S257" s="3107">
        <f>'Part II-Development Team'!S54</f>
        <v>0</v>
      </c>
    </row>
    <row r="258" spans="1:19">
      <c r="A258" s="3107"/>
      <c r="B258" s="3107"/>
      <c r="C258" s="3107"/>
      <c r="D258" s="3180"/>
      <c r="E258" s="3115" t="s">
        <v>189</v>
      </c>
      <c r="F258" s="3118"/>
      <c r="G258" s="3107"/>
      <c r="H258" s="3107" t="str">
        <f>'Part II-Development Team'!H55</f>
        <v>314 North Patterson Street</v>
      </c>
      <c r="I258" s="3107">
        <f>'Part II-Development Team'!I55</f>
        <v>0</v>
      </c>
      <c r="J258" s="3107">
        <f>'Part II-Development Team'!J55</f>
        <v>0</v>
      </c>
      <c r="K258" s="3107">
        <f>'Part II-Development Team'!K55</f>
        <v>0</v>
      </c>
      <c r="L258" s="3107">
        <f>'Part II-Development Team'!L55</f>
        <v>0</v>
      </c>
      <c r="M258" s="3107">
        <f>'Part II-Development Team'!M55</f>
        <v>0</v>
      </c>
      <c r="N258" s="3107">
        <f>'Part II-Development Team'!N55</f>
        <v>0</v>
      </c>
      <c r="O258" s="3115" t="s">
        <v>371</v>
      </c>
      <c r="P258" s="3107"/>
      <c r="Q258" s="3107" t="str">
        <f>'Part II-Development Team'!Q55</f>
        <v>President</v>
      </c>
      <c r="R258" s="3107">
        <f>'Part II-Development Team'!R55</f>
        <v>0</v>
      </c>
      <c r="S258" s="3107">
        <f>'Part II-Development Team'!S55</f>
        <v>0</v>
      </c>
    </row>
    <row r="259" spans="1:19">
      <c r="A259" s="3107"/>
      <c r="B259" s="3107"/>
      <c r="C259" s="3107"/>
      <c r="D259" s="3180"/>
      <c r="E259" s="3115" t="s">
        <v>42</v>
      </c>
      <c r="F259" s="3107"/>
      <c r="G259" s="3107"/>
      <c r="H259" s="3107" t="str">
        <f>'Part II-Development Team'!H56</f>
        <v>Valdosta</v>
      </c>
      <c r="I259" s="3107">
        <f>'Part II-Development Team'!I56</f>
        <v>0</v>
      </c>
      <c r="J259" s="3107">
        <f>'Part II-Development Team'!J56</f>
        <v>0</v>
      </c>
      <c r="K259" s="3112" t="s">
        <v>99</v>
      </c>
      <c r="L259" s="3107" t="str">
        <f>'Part II-Development Team'!L56</f>
        <v>http://www.tishcollc.com/</v>
      </c>
      <c r="M259" s="3107">
        <f>'Part II-Development Team'!M56</f>
        <v>0</v>
      </c>
      <c r="N259" s="3107">
        <f>'Part II-Development Team'!N56</f>
        <v>0</v>
      </c>
      <c r="O259" s="3115" t="s">
        <v>49</v>
      </c>
      <c r="P259" s="3107"/>
      <c r="Q259" s="3128">
        <f>'Part II-Development Team'!Q56</f>
        <v>2293162232</v>
      </c>
      <c r="R259" s="3128">
        <f>'Part II-Development Team'!R56</f>
        <v>0</v>
      </c>
      <c r="S259" s="3128">
        <f>'Part II-Development Team'!S56</f>
        <v>0</v>
      </c>
    </row>
    <row r="260" spans="1:19">
      <c r="A260" s="3107"/>
      <c r="B260" s="3107"/>
      <c r="C260" s="3107"/>
      <c r="D260" s="3107"/>
      <c r="E260" s="3115" t="s">
        <v>44</v>
      </c>
      <c r="F260" s="3107"/>
      <c r="G260" s="3107"/>
      <c r="H260" s="3115" t="str">
        <f>'Part II-Development Team'!H57</f>
        <v>GA</v>
      </c>
      <c r="I260" s="3107"/>
      <c r="J260" s="3107"/>
      <c r="K260" s="3112" t="s">
        <v>46</v>
      </c>
      <c r="L260" s="3127">
        <f>'Part II-Development Team'!L57</f>
        <v>316015526</v>
      </c>
      <c r="M260" s="3127">
        <f>'Part II-Development Team'!M57</f>
        <v>0</v>
      </c>
      <c r="N260" s="3107"/>
      <c r="O260" s="3115" t="s">
        <v>52</v>
      </c>
      <c r="P260" s="3107"/>
      <c r="Q260" s="3128">
        <f>'Part II-Development Team'!Q57</f>
        <v>2295615959</v>
      </c>
      <c r="R260" s="3128">
        <f>'Part II-Development Team'!R57</f>
        <v>0</v>
      </c>
      <c r="S260" s="3128">
        <f>'Part II-Development Team'!S57</f>
        <v>0</v>
      </c>
    </row>
    <row r="261" spans="1:19">
      <c r="A261" s="3107"/>
      <c r="B261" s="3107"/>
      <c r="C261" s="3107"/>
      <c r="D261" s="3180"/>
      <c r="E261" s="3115" t="s">
        <v>376</v>
      </c>
      <c r="F261" s="3107"/>
      <c r="G261" s="3107"/>
      <c r="H261" s="3128">
        <f>'Part II-Development Team'!H58</f>
        <v>2292427759</v>
      </c>
      <c r="I261" s="3128">
        <f>'Part II-Development Team'!I58</f>
        <v>0</v>
      </c>
      <c r="J261" s="3132">
        <f>'Part II-Development Team'!J58</f>
        <v>2232</v>
      </c>
      <c r="K261" s="3112" t="s">
        <v>50</v>
      </c>
      <c r="L261" s="3123" t="str">
        <f>'Part II-Development Team'!L58</f>
        <v>tish.johnson@tishcollc.com</v>
      </c>
      <c r="M261" s="3123">
        <f>'Part II-Development Team'!M58</f>
        <v>0</v>
      </c>
      <c r="N261" s="3123">
        <f>'Part II-Development Team'!N58</f>
        <v>0</v>
      </c>
      <c r="O261" s="3123">
        <f>'Part II-Development Team'!O58</f>
        <v>0</v>
      </c>
      <c r="P261" s="3123">
        <f>'Part II-Development Team'!P58</f>
        <v>0</v>
      </c>
      <c r="Q261" s="3123">
        <f>'Part II-Development Team'!Q58</f>
        <v>0</v>
      </c>
      <c r="R261" s="3123">
        <f>'Part II-Development Team'!R58</f>
        <v>0</v>
      </c>
      <c r="S261" s="3123">
        <f>'Part II-Development Team'!S58</f>
        <v>0</v>
      </c>
    </row>
    <row r="262" spans="1:19">
      <c r="A262" s="3107"/>
      <c r="B262" s="3107"/>
      <c r="C262" s="3107"/>
      <c r="D262" s="3180"/>
      <c r="E262" s="3107"/>
      <c r="F262" s="3107"/>
      <c r="G262" s="3115"/>
      <c r="H262" s="3128"/>
      <c r="I262" s="3128"/>
      <c r="J262" s="3128"/>
      <c r="K262" s="3112"/>
      <c r="L262" s="3128"/>
      <c r="M262" s="3128"/>
      <c r="N262" s="3112"/>
      <c r="O262" s="3128"/>
      <c r="P262" s="3128"/>
      <c r="Q262" s="3112"/>
      <c r="R262" s="3128"/>
      <c r="S262" s="3128"/>
    </row>
    <row r="263" spans="1:19">
      <c r="A263" s="3107"/>
      <c r="B263" s="3104" t="s">
        <v>121</v>
      </c>
      <c r="C263" s="3104" t="s">
        <v>399</v>
      </c>
      <c r="D263" s="3107"/>
      <c r="E263" s="3107"/>
      <c r="F263" s="3107"/>
      <c r="G263" s="3107"/>
      <c r="H263" s="3107">
        <f>'Part II-Development Team'!H60</f>
        <v>0</v>
      </c>
      <c r="I263" s="3107">
        <f>'Part II-Development Team'!I60</f>
        <v>0</v>
      </c>
      <c r="J263" s="3107">
        <f>'Part II-Development Team'!J60</f>
        <v>0</v>
      </c>
      <c r="K263" s="3107">
        <f>'Part II-Development Team'!K60</f>
        <v>0</v>
      </c>
      <c r="L263" s="3107">
        <f>'Part II-Development Team'!L60</f>
        <v>0</v>
      </c>
      <c r="M263" s="3107">
        <f>'Part II-Development Team'!M60</f>
        <v>0</v>
      </c>
      <c r="N263" s="3107">
        <f>'Part II-Development Team'!N60</f>
        <v>0</v>
      </c>
      <c r="O263" s="3115" t="s">
        <v>370</v>
      </c>
      <c r="P263" s="3115"/>
      <c r="Q263" s="3107">
        <f>'Part II-Development Team'!Q60</f>
        <v>0</v>
      </c>
      <c r="R263" s="3107">
        <f>'Part II-Development Team'!R60</f>
        <v>0</v>
      </c>
      <c r="S263" s="3107">
        <f>'Part II-Development Team'!S60</f>
        <v>0</v>
      </c>
    </row>
    <row r="264" spans="1:19">
      <c r="A264" s="3107"/>
      <c r="B264" s="3107"/>
      <c r="C264" s="3107"/>
      <c r="D264" s="3180"/>
      <c r="E264" s="3115" t="s">
        <v>189</v>
      </c>
      <c r="F264" s="3118"/>
      <c r="G264" s="3107"/>
      <c r="H264" s="3107">
        <f>'Part II-Development Team'!H61</f>
        <v>0</v>
      </c>
      <c r="I264" s="3107">
        <f>'Part II-Development Team'!I61</f>
        <v>0</v>
      </c>
      <c r="J264" s="3107">
        <f>'Part II-Development Team'!J61</f>
        <v>0</v>
      </c>
      <c r="K264" s="3107">
        <f>'Part II-Development Team'!K61</f>
        <v>0</v>
      </c>
      <c r="L264" s="3107">
        <f>'Part II-Development Team'!L61</f>
        <v>0</v>
      </c>
      <c r="M264" s="3107">
        <f>'Part II-Development Team'!M61</f>
        <v>0</v>
      </c>
      <c r="N264" s="3107">
        <f>'Part II-Development Team'!N61</f>
        <v>0</v>
      </c>
      <c r="O264" s="3115" t="s">
        <v>371</v>
      </c>
      <c r="P264" s="3107"/>
      <c r="Q264" s="3107">
        <f>'Part II-Development Team'!Q61</f>
        <v>0</v>
      </c>
      <c r="R264" s="3107">
        <f>'Part II-Development Team'!R61</f>
        <v>0</v>
      </c>
      <c r="S264" s="3107">
        <f>'Part II-Development Team'!S61</f>
        <v>0</v>
      </c>
    </row>
    <row r="265" spans="1:19">
      <c r="A265" s="3107"/>
      <c r="B265" s="3107"/>
      <c r="C265" s="3107"/>
      <c r="D265" s="3180"/>
      <c r="E265" s="3115" t="s">
        <v>42</v>
      </c>
      <c r="F265" s="3107"/>
      <c r="G265" s="3107"/>
      <c r="H265" s="3107">
        <f>'Part II-Development Team'!H62</f>
        <v>0</v>
      </c>
      <c r="I265" s="3107">
        <f>'Part II-Development Team'!I62</f>
        <v>0</v>
      </c>
      <c r="J265" s="3107">
        <f>'Part II-Development Team'!J62</f>
        <v>0</v>
      </c>
      <c r="K265" s="3112" t="s">
        <v>99</v>
      </c>
      <c r="L265" s="3107">
        <f>'Part II-Development Team'!L62</f>
        <v>0</v>
      </c>
      <c r="M265" s="3107">
        <f>'Part II-Development Team'!M62</f>
        <v>0</v>
      </c>
      <c r="N265" s="3107">
        <f>'Part II-Development Team'!N62</f>
        <v>0</v>
      </c>
      <c r="O265" s="3115" t="s">
        <v>49</v>
      </c>
      <c r="P265" s="3107"/>
      <c r="Q265" s="3128">
        <f>'Part II-Development Team'!Q62</f>
        <v>0</v>
      </c>
      <c r="R265" s="3128">
        <f>'Part II-Development Team'!R62</f>
        <v>0</v>
      </c>
      <c r="S265" s="3128">
        <f>'Part II-Development Team'!S62</f>
        <v>0</v>
      </c>
    </row>
    <row r="266" spans="1:19">
      <c r="A266" s="3107"/>
      <c r="B266" s="3107"/>
      <c r="C266" s="3107"/>
      <c r="D266" s="3107"/>
      <c r="E266" s="3115" t="s">
        <v>44</v>
      </c>
      <c r="F266" s="3107"/>
      <c r="G266" s="3107"/>
      <c r="H266" s="3115">
        <f>'Part II-Development Team'!H63</f>
        <v>0</v>
      </c>
      <c r="I266" s="3107"/>
      <c r="J266" s="3107"/>
      <c r="K266" s="3112" t="s">
        <v>46</v>
      </c>
      <c r="L266" s="3127">
        <f>'Part II-Development Team'!L63</f>
        <v>0</v>
      </c>
      <c r="M266" s="3127">
        <f>'Part II-Development Team'!M63</f>
        <v>0</v>
      </c>
      <c r="N266" s="3107"/>
      <c r="O266" s="3115" t="s">
        <v>52</v>
      </c>
      <c r="P266" s="3107"/>
      <c r="Q266" s="3128">
        <f>'Part II-Development Team'!Q63</f>
        <v>0</v>
      </c>
      <c r="R266" s="3128">
        <f>'Part II-Development Team'!R63</f>
        <v>0</v>
      </c>
      <c r="S266" s="3128">
        <f>'Part II-Development Team'!S63</f>
        <v>0</v>
      </c>
    </row>
    <row r="267" spans="1:19">
      <c r="A267" s="3107"/>
      <c r="B267" s="3107"/>
      <c r="C267" s="3107"/>
      <c r="D267" s="3180"/>
      <c r="E267" s="3115" t="s">
        <v>376</v>
      </c>
      <c r="F267" s="3107"/>
      <c r="G267" s="3107"/>
      <c r="H267" s="3128">
        <f>'Part II-Development Team'!H64</f>
        <v>0</v>
      </c>
      <c r="I267" s="3128">
        <f>'Part II-Development Team'!I64</f>
        <v>0</v>
      </c>
      <c r="J267" s="3132">
        <f>'Part II-Development Team'!J64</f>
        <v>0</v>
      </c>
      <c r="K267" s="3112" t="s">
        <v>50</v>
      </c>
      <c r="L267" s="3123">
        <f>'Part II-Development Team'!L64</f>
        <v>0</v>
      </c>
      <c r="M267" s="3123">
        <f>'Part II-Development Team'!M64</f>
        <v>0</v>
      </c>
      <c r="N267" s="3123">
        <f>'Part II-Development Team'!N64</f>
        <v>0</v>
      </c>
      <c r="O267" s="3123">
        <f>'Part II-Development Team'!O64</f>
        <v>0</v>
      </c>
      <c r="P267" s="3123">
        <f>'Part II-Development Team'!P64</f>
        <v>0</v>
      </c>
      <c r="Q267" s="3123">
        <f>'Part II-Development Team'!Q64</f>
        <v>0</v>
      </c>
      <c r="R267" s="3123">
        <f>'Part II-Development Team'!R64</f>
        <v>0</v>
      </c>
      <c r="S267" s="3123">
        <f>'Part II-Development Team'!S64</f>
        <v>0</v>
      </c>
    </row>
    <row r="268" spans="1:19">
      <c r="A268" s="3107"/>
      <c r="B268" s="3107"/>
      <c r="C268" s="3107"/>
      <c r="D268" s="3180"/>
      <c r="E268" s="3107"/>
      <c r="F268" s="3107"/>
      <c r="G268" s="3115"/>
      <c r="H268" s="3128"/>
      <c r="I268" s="3128"/>
      <c r="J268" s="3128"/>
      <c r="K268" s="3112"/>
      <c r="L268" s="3128"/>
      <c r="M268" s="3128"/>
      <c r="N268" s="3112"/>
      <c r="O268" s="3128"/>
      <c r="P268" s="3128"/>
      <c r="Q268" s="3112"/>
      <c r="R268" s="3128"/>
      <c r="S268" s="3128"/>
    </row>
    <row r="269" spans="1:19">
      <c r="A269" s="3107"/>
      <c r="B269" s="3104" t="s">
        <v>123</v>
      </c>
      <c r="C269" s="3104" t="s">
        <v>400</v>
      </c>
      <c r="D269" s="3107"/>
      <c r="E269" s="3107"/>
      <c r="F269" s="3107"/>
      <c r="G269" s="3107"/>
      <c r="H269" s="3107">
        <f>'Part II-Development Team'!H66</f>
        <v>0</v>
      </c>
      <c r="I269" s="3107">
        <f>'Part II-Development Team'!I66</f>
        <v>0</v>
      </c>
      <c r="J269" s="3107">
        <f>'Part II-Development Team'!J66</f>
        <v>0</v>
      </c>
      <c r="K269" s="3107">
        <f>'Part II-Development Team'!K66</f>
        <v>0</v>
      </c>
      <c r="L269" s="3107">
        <f>'Part II-Development Team'!L66</f>
        <v>0</v>
      </c>
      <c r="M269" s="3107">
        <f>'Part II-Development Team'!M66</f>
        <v>0</v>
      </c>
      <c r="N269" s="3107">
        <f>'Part II-Development Team'!N66</f>
        <v>0</v>
      </c>
      <c r="O269" s="3115" t="s">
        <v>370</v>
      </c>
      <c r="P269" s="3115"/>
      <c r="Q269" s="3107">
        <f>'Part II-Development Team'!Q66</f>
        <v>0</v>
      </c>
      <c r="R269" s="3107">
        <f>'Part II-Development Team'!R66</f>
        <v>0</v>
      </c>
      <c r="S269" s="3107">
        <f>'Part II-Development Team'!S66</f>
        <v>0</v>
      </c>
    </row>
    <row r="270" spans="1:19">
      <c r="A270" s="3107"/>
      <c r="B270" s="3107"/>
      <c r="C270" s="3107"/>
      <c r="D270" s="3180"/>
      <c r="E270" s="3115" t="s">
        <v>189</v>
      </c>
      <c r="F270" s="3118"/>
      <c r="G270" s="3107"/>
      <c r="H270" s="3107">
        <f>'Part II-Development Team'!H67</f>
        <v>0</v>
      </c>
      <c r="I270" s="3107">
        <f>'Part II-Development Team'!I67</f>
        <v>0</v>
      </c>
      <c r="J270" s="3107">
        <f>'Part II-Development Team'!J67</f>
        <v>0</v>
      </c>
      <c r="K270" s="3107">
        <f>'Part II-Development Team'!K67</f>
        <v>0</v>
      </c>
      <c r="L270" s="3107">
        <f>'Part II-Development Team'!L67</f>
        <v>0</v>
      </c>
      <c r="M270" s="3107">
        <f>'Part II-Development Team'!M67</f>
        <v>0</v>
      </c>
      <c r="N270" s="3107">
        <f>'Part II-Development Team'!N67</f>
        <v>0</v>
      </c>
      <c r="O270" s="3115" t="s">
        <v>371</v>
      </c>
      <c r="P270" s="3107"/>
      <c r="Q270" s="3107">
        <f>'Part II-Development Team'!Q67</f>
        <v>0</v>
      </c>
      <c r="R270" s="3107">
        <f>'Part II-Development Team'!R67</f>
        <v>0</v>
      </c>
      <c r="S270" s="3107">
        <f>'Part II-Development Team'!S67</f>
        <v>0</v>
      </c>
    </row>
    <row r="271" spans="1:19">
      <c r="A271" s="3107"/>
      <c r="B271" s="3107"/>
      <c r="C271" s="3107"/>
      <c r="D271" s="3180"/>
      <c r="E271" s="3115" t="s">
        <v>42</v>
      </c>
      <c r="F271" s="3107"/>
      <c r="G271" s="3107"/>
      <c r="H271" s="3107">
        <f>'Part II-Development Team'!H68</f>
        <v>0</v>
      </c>
      <c r="I271" s="3107">
        <f>'Part II-Development Team'!I68</f>
        <v>0</v>
      </c>
      <c r="J271" s="3107">
        <f>'Part II-Development Team'!J68</f>
        <v>0</v>
      </c>
      <c r="K271" s="3112" t="s">
        <v>99</v>
      </c>
      <c r="L271" s="3107">
        <f>'Part II-Development Team'!L68</f>
        <v>0</v>
      </c>
      <c r="M271" s="3107">
        <f>'Part II-Development Team'!M68</f>
        <v>0</v>
      </c>
      <c r="N271" s="3107">
        <f>'Part II-Development Team'!N68</f>
        <v>0</v>
      </c>
      <c r="O271" s="3115" t="s">
        <v>49</v>
      </c>
      <c r="P271" s="3107"/>
      <c r="Q271" s="3128">
        <f>'Part II-Development Team'!Q68</f>
        <v>0</v>
      </c>
      <c r="R271" s="3128">
        <f>'Part II-Development Team'!R68</f>
        <v>0</v>
      </c>
      <c r="S271" s="3128">
        <f>'Part II-Development Team'!S68</f>
        <v>0</v>
      </c>
    </row>
    <row r="272" spans="1:19">
      <c r="A272" s="3107"/>
      <c r="B272" s="3107"/>
      <c r="C272" s="3107"/>
      <c r="D272" s="3107"/>
      <c r="E272" s="3115" t="s">
        <v>44</v>
      </c>
      <c r="F272" s="3107"/>
      <c r="G272" s="3107"/>
      <c r="H272" s="3115">
        <f>'Part II-Development Team'!H69</f>
        <v>0</v>
      </c>
      <c r="I272" s="3107"/>
      <c r="J272" s="3107"/>
      <c r="K272" s="3112" t="s">
        <v>46</v>
      </c>
      <c r="L272" s="3127">
        <f>'Part II-Development Team'!L69</f>
        <v>0</v>
      </c>
      <c r="M272" s="3127">
        <f>'Part II-Development Team'!M69</f>
        <v>0</v>
      </c>
      <c r="N272" s="3107"/>
      <c r="O272" s="3115" t="s">
        <v>52</v>
      </c>
      <c r="P272" s="3107"/>
      <c r="Q272" s="3128">
        <f>'Part II-Development Team'!Q69</f>
        <v>0</v>
      </c>
      <c r="R272" s="3128">
        <f>'Part II-Development Team'!R69</f>
        <v>0</v>
      </c>
      <c r="S272" s="3128">
        <f>'Part II-Development Team'!S69</f>
        <v>0</v>
      </c>
    </row>
    <row r="273" spans="1:19">
      <c r="A273" s="3107"/>
      <c r="B273" s="3107"/>
      <c r="C273" s="3107"/>
      <c r="D273" s="3180"/>
      <c r="E273" s="3115" t="s">
        <v>376</v>
      </c>
      <c r="F273" s="3107"/>
      <c r="G273" s="3107"/>
      <c r="H273" s="3128">
        <f>'Part II-Development Team'!H70</f>
        <v>0</v>
      </c>
      <c r="I273" s="3128">
        <f>'Part II-Development Team'!I70</f>
        <v>0</v>
      </c>
      <c r="J273" s="3132">
        <f>'Part II-Development Team'!J70</f>
        <v>0</v>
      </c>
      <c r="K273" s="3112" t="s">
        <v>50</v>
      </c>
      <c r="L273" s="3123">
        <f>'Part II-Development Team'!L70</f>
        <v>0</v>
      </c>
      <c r="M273" s="3123">
        <f>'Part II-Development Team'!M70</f>
        <v>0</v>
      </c>
      <c r="N273" s="3123">
        <f>'Part II-Development Team'!N70</f>
        <v>0</v>
      </c>
      <c r="O273" s="3123">
        <f>'Part II-Development Team'!O70</f>
        <v>0</v>
      </c>
      <c r="P273" s="3123">
        <f>'Part II-Development Team'!P70</f>
        <v>0</v>
      </c>
      <c r="Q273" s="3123">
        <f>'Part II-Development Team'!Q70</f>
        <v>0</v>
      </c>
      <c r="R273" s="3123">
        <f>'Part II-Development Team'!R70</f>
        <v>0</v>
      </c>
      <c r="S273" s="3123">
        <f>'Part II-Development Team'!S70</f>
        <v>0</v>
      </c>
    </row>
    <row r="274" spans="1:19">
      <c r="A274" s="3114"/>
      <c r="B274" s="3114"/>
      <c r="C274" s="3114"/>
      <c r="D274" s="3114"/>
      <c r="E274" s="3114"/>
      <c r="F274" s="3114"/>
      <c r="G274" s="3114"/>
      <c r="H274" s="3128"/>
      <c r="I274" s="3128"/>
      <c r="J274" s="3128"/>
      <c r="K274" s="3112"/>
      <c r="L274" s="3128"/>
      <c r="M274" s="3128"/>
      <c r="N274" s="3112"/>
      <c r="O274" s="3128"/>
      <c r="P274" s="3128"/>
      <c r="Q274" s="3112"/>
      <c r="R274" s="3128"/>
      <c r="S274" s="3128"/>
    </row>
    <row r="275" spans="1:19">
      <c r="A275" s="3107"/>
      <c r="B275" s="3104" t="s">
        <v>126</v>
      </c>
      <c r="C275" s="3104" t="s">
        <v>401</v>
      </c>
      <c r="D275" s="3107"/>
      <c r="E275" s="3107"/>
      <c r="F275" s="3107"/>
      <c r="G275" s="3107"/>
      <c r="H275" s="3107">
        <f>'Part II-Development Team'!H72</f>
        <v>0</v>
      </c>
      <c r="I275" s="3107">
        <f>'Part II-Development Team'!I72</f>
        <v>0</v>
      </c>
      <c r="J275" s="3107">
        <f>'Part II-Development Team'!J72</f>
        <v>0</v>
      </c>
      <c r="K275" s="3107">
        <f>'Part II-Development Team'!K72</f>
        <v>0</v>
      </c>
      <c r="L275" s="3107">
        <f>'Part II-Development Team'!L72</f>
        <v>0</v>
      </c>
      <c r="M275" s="3107">
        <f>'Part II-Development Team'!M72</f>
        <v>0</v>
      </c>
      <c r="N275" s="3107">
        <f>'Part II-Development Team'!N72</f>
        <v>0</v>
      </c>
      <c r="O275" s="3115" t="s">
        <v>370</v>
      </c>
      <c r="P275" s="3115"/>
      <c r="Q275" s="3107">
        <f>'Part II-Development Team'!Q72</f>
        <v>0</v>
      </c>
      <c r="R275" s="3107">
        <f>'Part II-Development Team'!R72</f>
        <v>0</v>
      </c>
      <c r="S275" s="3107">
        <f>'Part II-Development Team'!S72</f>
        <v>0</v>
      </c>
    </row>
    <row r="276" spans="1:19">
      <c r="A276" s="3107"/>
      <c r="B276" s="3107"/>
      <c r="C276" s="3107"/>
      <c r="D276" s="3180"/>
      <c r="E276" s="3115" t="s">
        <v>189</v>
      </c>
      <c r="F276" s="3118"/>
      <c r="G276" s="3107"/>
      <c r="H276" s="3107">
        <f>'Part II-Development Team'!H73</f>
        <v>0</v>
      </c>
      <c r="I276" s="3107">
        <f>'Part II-Development Team'!I73</f>
        <v>0</v>
      </c>
      <c r="J276" s="3107">
        <f>'Part II-Development Team'!J73</f>
        <v>0</v>
      </c>
      <c r="K276" s="3107">
        <f>'Part II-Development Team'!K73</f>
        <v>0</v>
      </c>
      <c r="L276" s="3107">
        <f>'Part II-Development Team'!L73</f>
        <v>0</v>
      </c>
      <c r="M276" s="3107">
        <f>'Part II-Development Team'!M73</f>
        <v>0</v>
      </c>
      <c r="N276" s="3107">
        <f>'Part II-Development Team'!N73</f>
        <v>0</v>
      </c>
      <c r="O276" s="3115" t="s">
        <v>371</v>
      </c>
      <c r="P276" s="3107"/>
      <c r="Q276" s="3107">
        <f>'Part II-Development Team'!Q73</f>
        <v>0</v>
      </c>
      <c r="R276" s="3107">
        <f>'Part II-Development Team'!R73</f>
        <v>0</v>
      </c>
      <c r="S276" s="3107">
        <f>'Part II-Development Team'!S73</f>
        <v>0</v>
      </c>
    </row>
    <row r="277" spans="1:19">
      <c r="A277" s="3107"/>
      <c r="B277" s="3107"/>
      <c r="C277" s="3107"/>
      <c r="D277" s="3180"/>
      <c r="E277" s="3115" t="s">
        <v>42</v>
      </c>
      <c r="F277" s="3107"/>
      <c r="G277" s="3107"/>
      <c r="H277" s="3107">
        <f>'Part II-Development Team'!H74</f>
        <v>0</v>
      </c>
      <c r="I277" s="3107">
        <f>'Part II-Development Team'!I74</f>
        <v>0</v>
      </c>
      <c r="J277" s="3107">
        <f>'Part II-Development Team'!J74</f>
        <v>0</v>
      </c>
      <c r="K277" s="3112" t="s">
        <v>99</v>
      </c>
      <c r="L277" s="3107">
        <f>'Part II-Development Team'!L74</f>
        <v>0</v>
      </c>
      <c r="M277" s="3107">
        <f>'Part II-Development Team'!M74</f>
        <v>0</v>
      </c>
      <c r="N277" s="3107">
        <f>'Part II-Development Team'!N74</f>
        <v>0</v>
      </c>
      <c r="O277" s="3115" t="s">
        <v>49</v>
      </c>
      <c r="P277" s="3107"/>
      <c r="Q277" s="3128">
        <f>'Part II-Development Team'!Q74</f>
        <v>0</v>
      </c>
      <c r="R277" s="3128">
        <f>'Part II-Development Team'!R74</f>
        <v>0</v>
      </c>
      <c r="S277" s="3128">
        <f>'Part II-Development Team'!S74</f>
        <v>0</v>
      </c>
    </row>
    <row r="278" spans="1:19">
      <c r="A278" s="3107"/>
      <c r="B278" s="3107"/>
      <c r="C278" s="3107"/>
      <c r="D278" s="3107"/>
      <c r="E278" s="3115" t="s">
        <v>44</v>
      </c>
      <c r="F278" s="3107"/>
      <c r="G278" s="3107"/>
      <c r="H278" s="3115">
        <f>'Part II-Development Team'!H75</f>
        <v>0</v>
      </c>
      <c r="I278" s="3107"/>
      <c r="J278" s="3107"/>
      <c r="K278" s="3112" t="s">
        <v>46</v>
      </c>
      <c r="L278" s="3127">
        <f>'Part II-Development Team'!L75</f>
        <v>0</v>
      </c>
      <c r="M278" s="3127">
        <f>'Part II-Development Team'!M75</f>
        <v>0</v>
      </c>
      <c r="N278" s="3107"/>
      <c r="O278" s="3115" t="s">
        <v>52</v>
      </c>
      <c r="P278" s="3107"/>
      <c r="Q278" s="3128">
        <f>'Part II-Development Team'!Q75</f>
        <v>0</v>
      </c>
      <c r="R278" s="3128">
        <f>'Part II-Development Team'!R75</f>
        <v>0</v>
      </c>
      <c r="S278" s="3128">
        <f>'Part II-Development Team'!S75</f>
        <v>0</v>
      </c>
    </row>
    <row r="279" spans="1:19">
      <c r="A279" s="3107"/>
      <c r="B279" s="3107"/>
      <c r="C279" s="3107"/>
      <c r="D279" s="3180"/>
      <c r="E279" s="3115" t="s">
        <v>376</v>
      </c>
      <c r="F279" s="3107"/>
      <c r="G279" s="3107"/>
      <c r="H279" s="3128">
        <f>'Part II-Development Team'!H76</f>
        <v>0</v>
      </c>
      <c r="I279" s="3128">
        <f>'Part II-Development Team'!I76</f>
        <v>0</v>
      </c>
      <c r="J279" s="3132">
        <f>'Part II-Development Team'!J76</f>
        <v>0</v>
      </c>
      <c r="K279" s="3112" t="s">
        <v>50</v>
      </c>
      <c r="L279" s="3123">
        <f>'Part II-Development Team'!L76</f>
        <v>0</v>
      </c>
      <c r="M279" s="3123">
        <f>'Part II-Development Team'!M76</f>
        <v>0</v>
      </c>
      <c r="N279" s="3123">
        <f>'Part II-Development Team'!N76</f>
        <v>0</v>
      </c>
      <c r="O279" s="3123">
        <f>'Part II-Development Team'!O76</f>
        <v>0</v>
      </c>
      <c r="P279" s="3123">
        <f>'Part II-Development Team'!P76</f>
        <v>0</v>
      </c>
      <c r="Q279" s="3123">
        <f>'Part II-Development Team'!Q76</f>
        <v>0</v>
      </c>
      <c r="R279" s="3123">
        <f>'Part II-Development Team'!R76</f>
        <v>0</v>
      </c>
      <c r="S279" s="3123">
        <f>'Part II-Development Team'!S76</f>
        <v>0</v>
      </c>
    </row>
    <row r="280" spans="1:19">
      <c r="A280" s="3114"/>
      <c r="B280" s="3114"/>
      <c r="C280" s="3114"/>
      <c r="D280" s="3114"/>
      <c r="E280" s="3114"/>
      <c r="F280" s="3114"/>
      <c r="G280" s="3114"/>
      <c r="H280" s="3114"/>
      <c r="I280" s="3114"/>
      <c r="J280" s="3114"/>
      <c r="K280" s="3114"/>
      <c r="L280" s="3114"/>
      <c r="M280" s="3114"/>
      <c r="N280" s="3114"/>
      <c r="O280" s="3114"/>
      <c r="P280" s="3114"/>
      <c r="Q280" s="3114"/>
      <c r="R280" s="3114"/>
      <c r="S280" s="3114"/>
    </row>
    <row r="281" spans="1:19" ht="13.5">
      <c r="A281" s="3108" t="s">
        <v>31</v>
      </c>
      <c r="B281" s="3108" t="s">
        <v>402</v>
      </c>
      <c r="C281" s="3115"/>
      <c r="D281" s="3108"/>
      <c r="E281" s="3115"/>
      <c r="F281" s="3108"/>
      <c r="G281" s="3108"/>
      <c r="H281" s="3108"/>
      <c r="I281" s="3108"/>
      <c r="J281" s="3108"/>
      <c r="K281" s="3109" t="s">
        <v>367</v>
      </c>
      <c r="L281" s="3108"/>
      <c r="M281" s="3108"/>
      <c r="N281" s="3115"/>
      <c r="O281" s="3115"/>
      <c r="P281" s="3115"/>
      <c r="Q281" s="3115"/>
      <c r="R281" s="3115"/>
      <c r="S281" s="3115"/>
    </row>
    <row r="282" spans="1:19">
      <c r="A282" s="3108"/>
      <c r="B282" s="3108"/>
      <c r="C282" s="3115"/>
      <c r="D282" s="3108"/>
      <c r="E282" s="3115"/>
      <c r="F282" s="3108"/>
      <c r="G282" s="3108"/>
      <c r="H282" s="3128"/>
      <c r="I282" s="3128"/>
      <c r="J282" s="3128"/>
      <c r="K282" s="3112"/>
      <c r="L282" s="3128"/>
      <c r="M282" s="3128"/>
      <c r="N282" s="3112"/>
      <c r="O282" s="3128"/>
      <c r="P282" s="3128"/>
      <c r="Q282" s="3112"/>
      <c r="R282" s="3128"/>
      <c r="S282" s="3128"/>
    </row>
    <row r="283" spans="1:19">
      <c r="A283" s="3107"/>
      <c r="B283" s="3104" t="s">
        <v>110</v>
      </c>
      <c r="C283" s="3104" t="s">
        <v>403</v>
      </c>
      <c r="D283" s="3107"/>
      <c r="E283" s="3107"/>
      <c r="F283" s="3107"/>
      <c r="G283" s="3107"/>
      <c r="H283" s="3107">
        <f>'Part II-Development Team'!H80</f>
        <v>0</v>
      </c>
      <c r="I283" s="3107">
        <f>'Part II-Development Team'!I80</f>
        <v>0</v>
      </c>
      <c r="J283" s="3107">
        <f>'Part II-Development Team'!J80</f>
        <v>0</v>
      </c>
      <c r="K283" s="3107">
        <f>'Part II-Development Team'!K80</f>
        <v>0</v>
      </c>
      <c r="L283" s="3107">
        <f>'Part II-Development Team'!L80</f>
        <v>0</v>
      </c>
      <c r="M283" s="3107">
        <f>'Part II-Development Team'!M80</f>
        <v>0</v>
      </c>
      <c r="N283" s="3107">
        <f>'Part II-Development Team'!N80</f>
        <v>0</v>
      </c>
      <c r="O283" s="3115" t="s">
        <v>370</v>
      </c>
      <c r="P283" s="3115"/>
      <c r="Q283" s="3107">
        <f>'Part II-Development Team'!Q80</f>
        <v>0</v>
      </c>
      <c r="R283" s="3107">
        <f>'Part II-Development Team'!R80</f>
        <v>0</v>
      </c>
      <c r="S283" s="3107">
        <f>'Part II-Development Team'!S80</f>
        <v>0</v>
      </c>
    </row>
    <row r="284" spans="1:19">
      <c r="A284" s="3107"/>
      <c r="B284" s="3107"/>
      <c r="C284" s="3107"/>
      <c r="D284" s="3180"/>
      <c r="E284" s="3115" t="s">
        <v>189</v>
      </c>
      <c r="F284" s="3118"/>
      <c r="G284" s="3107"/>
      <c r="H284" s="3107">
        <f>'Part II-Development Team'!H81</f>
        <v>0</v>
      </c>
      <c r="I284" s="3107">
        <f>'Part II-Development Team'!I81</f>
        <v>0</v>
      </c>
      <c r="J284" s="3107">
        <f>'Part II-Development Team'!J81</f>
        <v>0</v>
      </c>
      <c r="K284" s="3107">
        <f>'Part II-Development Team'!K81</f>
        <v>0</v>
      </c>
      <c r="L284" s="3107">
        <f>'Part II-Development Team'!L81</f>
        <v>0</v>
      </c>
      <c r="M284" s="3107">
        <f>'Part II-Development Team'!M81</f>
        <v>0</v>
      </c>
      <c r="N284" s="3107">
        <f>'Part II-Development Team'!N81</f>
        <v>0</v>
      </c>
      <c r="O284" s="3115" t="s">
        <v>371</v>
      </c>
      <c r="P284" s="3107"/>
      <c r="Q284" s="3107">
        <f>'Part II-Development Team'!Q81</f>
        <v>0</v>
      </c>
      <c r="R284" s="3107">
        <f>'Part II-Development Team'!R81</f>
        <v>0</v>
      </c>
      <c r="S284" s="3107">
        <f>'Part II-Development Team'!S81</f>
        <v>0</v>
      </c>
    </row>
    <row r="285" spans="1:19">
      <c r="A285" s="3107"/>
      <c r="B285" s="3107"/>
      <c r="C285" s="3107"/>
      <c r="D285" s="3180"/>
      <c r="E285" s="3115" t="s">
        <v>42</v>
      </c>
      <c r="F285" s="3107"/>
      <c r="G285" s="3107"/>
      <c r="H285" s="3107">
        <f>'Part II-Development Team'!H82</f>
        <v>0</v>
      </c>
      <c r="I285" s="3107">
        <f>'Part II-Development Team'!I82</f>
        <v>0</v>
      </c>
      <c r="J285" s="3107">
        <f>'Part II-Development Team'!J82</f>
        <v>0</v>
      </c>
      <c r="K285" s="3112" t="s">
        <v>99</v>
      </c>
      <c r="L285" s="3107">
        <f>'Part II-Development Team'!L82</f>
        <v>0</v>
      </c>
      <c r="M285" s="3107">
        <f>'Part II-Development Team'!M82</f>
        <v>0</v>
      </c>
      <c r="N285" s="3107">
        <f>'Part II-Development Team'!N82</f>
        <v>0</v>
      </c>
      <c r="O285" s="3115" t="s">
        <v>49</v>
      </c>
      <c r="P285" s="3107"/>
      <c r="Q285" s="3128">
        <f>'Part II-Development Team'!Q82</f>
        <v>0</v>
      </c>
      <c r="R285" s="3128">
        <f>'Part II-Development Team'!R82</f>
        <v>0</v>
      </c>
      <c r="S285" s="3128">
        <f>'Part II-Development Team'!S82</f>
        <v>0</v>
      </c>
    </row>
    <row r="286" spans="1:19">
      <c r="A286" s="3107"/>
      <c r="B286" s="3107"/>
      <c r="C286" s="3107"/>
      <c r="D286" s="3107"/>
      <c r="E286" s="3115" t="s">
        <v>44</v>
      </c>
      <c r="F286" s="3107"/>
      <c r="G286" s="3107"/>
      <c r="H286" s="3115">
        <f>'Part II-Development Team'!H83</f>
        <v>0</v>
      </c>
      <c r="I286" s="3107"/>
      <c r="J286" s="3107"/>
      <c r="K286" s="3112" t="s">
        <v>46</v>
      </c>
      <c r="L286" s="3127">
        <f>'Part II-Development Team'!L83</f>
        <v>0</v>
      </c>
      <c r="M286" s="3127">
        <f>'Part II-Development Team'!M83</f>
        <v>0</v>
      </c>
      <c r="N286" s="3107"/>
      <c r="O286" s="3115" t="s">
        <v>52</v>
      </c>
      <c r="P286" s="3107"/>
      <c r="Q286" s="3128">
        <f>'Part II-Development Team'!Q83</f>
        <v>0</v>
      </c>
      <c r="R286" s="3128">
        <f>'Part II-Development Team'!R83</f>
        <v>0</v>
      </c>
      <c r="S286" s="3128">
        <f>'Part II-Development Team'!S83</f>
        <v>0</v>
      </c>
    </row>
    <row r="287" spans="1:19">
      <c r="A287" s="3107"/>
      <c r="B287" s="3107"/>
      <c r="C287" s="3107"/>
      <c r="D287" s="3180"/>
      <c r="E287" s="3115" t="s">
        <v>376</v>
      </c>
      <c r="F287" s="3107"/>
      <c r="G287" s="3107"/>
      <c r="H287" s="3128">
        <f>'Part II-Development Team'!H84</f>
        <v>0</v>
      </c>
      <c r="I287" s="3128">
        <f>'Part II-Development Team'!I84</f>
        <v>0</v>
      </c>
      <c r="J287" s="3132">
        <f>'Part II-Development Team'!J84</f>
        <v>0</v>
      </c>
      <c r="K287" s="3112" t="s">
        <v>50</v>
      </c>
      <c r="L287" s="3123">
        <f>'Part II-Development Team'!L84</f>
        <v>0</v>
      </c>
      <c r="M287" s="3123">
        <f>'Part II-Development Team'!M84</f>
        <v>0</v>
      </c>
      <c r="N287" s="3123">
        <f>'Part II-Development Team'!N84</f>
        <v>0</v>
      </c>
      <c r="O287" s="3123">
        <f>'Part II-Development Team'!O84</f>
        <v>0</v>
      </c>
      <c r="P287" s="3123">
        <f>'Part II-Development Team'!P84</f>
        <v>0</v>
      </c>
      <c r="Q287" s="3123">
        <f>'Part II-Development Team'!Q84</f>
        <v>0</v>
      </c>
      <c r="R287" s="3123">
        <f>'Part II-Development Team'!R84</f>
        <v>0</v>
      </c>
      <c r="S287" s="3123">
        <f>'Part II-Development Team'!S84</f>
        <v>0</v>
      </c>
    </row>
    <row r="288" spans="1:19">
      <c r="A288" s="3114"/>
      <c r="B288" s="3114"/>
      <c r="C288" s="3114"/>
      <c r="D288" s="3114"/>
      <c r="E288" s="3114"/>
      <c r="F288" s="3114"/>
      <c r="G288" s="3114"/>
      <c r="H288" s="3128"/>
      <c r="I288" s="3128"/>
      <c r="J288" s="3128"/>
      <c r="K288" s="3112"/>
      <c r="L288" s="3128"/>
      <c r="M288" s="3128"/>
      <c r="N288" s="3112"/>
      <c r="O288" s="3128"/>
      <c r="P288" s="3128"/>
      <c r="Q288" s="3112"/>
      <c r="R288" s="3128"/>
      <c r="S288" s="3128"/>
    </row>
    <row r="289" spans="1:19">
      <c r="A289" s="3107"/>
      <c r="B289" s="3104" t="s">
        <v>121</v>
      </c>
      <c r="C289" s="3104" t="s">
        <v>404</v>
      </c>
      <c r="D289" s="3107"/>
      <c r="E289" s="3107"/>
      <c r="F289" s="3107"/>
      <c r="G289" s="3107"/>
      <c r="H289" s="3107" t="str">
        <f>'Part II-Development Team'!H86</f>
        <v>TISHCO Construction, Inc.</v>
      </c>
      <c r="I289" s="3107">
        <f>'Part II-Development Team'!I86</f>
        <v>0</v>
      </c>
      <c r="J289" s="3107">
        <f>'Part II-Development Team'!J86</f>
        <v>0</v>
      </c>
      <c r="K289" s="3107">
        <f>'Part II-Development Team'!K86</f>
        <v>0</v>
      </c>
      <c r="L289" s="3107">
        <f>'Part II-Development Team'!L86</f>
        <v>0</v>
      </c>
      <c r="M289" s="3107">
        <f>'Part II-Development Team'!M86</f>
        <v>0</v>
      </c>
      <c r="N289" s="3107">
        <f>'Part II-Development Team'!N86</f>
        <v>0</v>
      </c>
      <c r="O289" s="3115" t="s">
        <v>370</v>
      </c>
      <c r="P289" s="3115"/>
      <c r="Q289" s="3107" t="str">
        <f>'Part II-Development Team'!Q86</f>
        <v>Steven T. Johnson</v>
      </c>
      <c r="R289" s="3107">
        <f>'Part II-Development Team'!R86</f>
        <v>0</v>
      </c>
      <c r="S289" s="3107">
        <f>'Part II-Development Team'!S86</f>
        <v>0</v>
      </c>
    </row>
    <row r="290" spans="1:19">
      <c r="A290" s="3107"/>
      <c r="B290" s="3107"/>
      <c r="C290" s="3107"/>
      <c r="D290" s="3180"/>
      <c r="E290" s="3115" t="s">
        <v>189</v>
      </c>
      <c r="F290" s="3118"/>
      <c r="G290" s="3107"/>
      <c r="H290" s="3107" t="str">
        <f>'Part II-Development Team'!H87</f>
        <v>314 North Patterson Street</v>
      </c>
      <c r="I290" s="3107">
        <f>'Part II-Development Team'!I87</f>
        <v>0</v>
      </c>
      <c r="J290" s="3107">
        <f>'Part II-Development Team'!J87</f>
        <v>0</v>
      </c>
      <c r="K290" s="3107">
        <f>'Part II-Development Team'!K87</f>
        <v>0</v>
      </c>
      <c r="L290" s="3107">
        <f>'Part II-Development Team'!L87</f>
        <v>0</v>
      </c>
      <c r="M290" s="3107">
        <f>'Part II-Development Team'!M87</f>
        <v>0</v>
      </c>
      <c r="N290" s="3107">
        <f>'Part II-Development Team'!N87</f>
        <v>0</v>
      </c>
      <c r="O290" s="3115" t="s">
        <v>371</v>
      </c>
      <c r="P290" s="3107"/>
      <c r="Q290" s="3107" t="str">
        <f>'Part II-Development Team'!Q87</f>
        <v>President</v>
      </c>
      <c r="R290" s="3107">
        <f>'Part II-Development Team'!R87</f>
        <v>0</v>
      </c>
      <c r="S290" s="3107">
        <f>'Part II-Development Team'!S87</f>
        <v>0</v>
      </c>
    </row>
    <row r="291" spans="1:19">
      <c r="A291" s="3107"/>
      <c r="B291" s="3107"/>
      <c r="C291" s="3107"/>
      <c r="D291" s="3180"/>
      <c r="E291" s="3115" t="s">
        <v>42</v>
      </c>
      <c r="F291" s="3107"/>
      <c r="G291" s="3107"/>
      <c r="H291" s="3107" t="str">
        <f>'Part II-Development Team'!H88</f>
        <v>Valdosta</v>
      </c>
      <c r="I291" s="3107">
        <f>'Part II-Development Team'!I88</f>
        <v>0</v>
      </c>
      <c r="J291" s="3107">
        <f>'Part II-Development Team'!J88</f>
        <v>0</v>
      </c>
      <c r="K291" s="3112" t="s">
        <v>99</v>
      </c>
      <c r="L291" s="3107" t="str">
        <f>'Part II-Development Team'!L88</f>
        <v>http://www.tishcollc.com/</v>
      </c>
      <c r="M291" s="3107">
        <f>'Part II-Development Team'!M88</f>
        <v>0</v>
      </c>
      <c r="N291" s="3107">
        <f>'Part II-Development Team'!N88</f>
        <v>0</v>
      </c>
      <c r="O291" s="3115" t="s">
        <v>49</v>
      </c>
      <c r="P291" s="3107"/>
      <c r="Q291" s="3128">
        <f>'Part II-Development Team'!Q88</f>
        <v>2293162212</v>
      </c>
      <c r="R291" s="3128">
        <f>'Part II-Development Team'!R88</f>
        <v>0</v>
      </c>
      <c r="S291" s="3128">
        <f>'Part II-Development Team'!S88</f>
        <v>0</v>
      </c>
    </row>
    <row r="292" spans="1:19">
      <c r="A292" s="3107"/>
      <c r="B292" s="3107"/>
      <c r="C292" s="3107"/>
      <c r="D292" s="3107"/>
      <c r="E292" s="3115" t="s">
        <v>44</v>
      </c>
      <c r="F292" s="3107"/>
      <c r="G292" s="3107"/>
      <c r="H292" s="3115" t="str">
        <f>'Part II-Development Team'!H89</f>
        <v>GA</v>
      </c>
      <c r="I292" s="3107"/>
      <c r="J292" s="3107"/>
      <c r="K292" s="3112" t="s">
        <v>46</v>
      </c>
      <c r="L292" s="3127">
        <f>'Part II-Development Team'!L89</f>
        <v>316015526</v>
      </c>
      <c r="M292" s="3127">
        <f>'Part II-Development Team'!M89</f>
        <v>0</v>
      </c>
      <c r="N292" s="3107"/>
      <c r="O292" s="3115" t="s">
        <v>52</v>
      </c>
      <c r="P292" s="3107"/>
      <c r="Q292" s="3128">
        <f>'Part II-Development Team'!Q89</f>
        <v>8503401334</v>
      </c>
      <c r="R292" s="3128">
        <f>'Part II-Development Team'!R89</f>
        <v>0</v>
      </c>
      <c r="S292" s="3128">
        <f>'Part II-Development Team'!S89</f>
        <v>0</v>
      </c>
    </row>
    <row r="293" spans="1:19">
      <c r="A293" s="3107"/>
      <c r="B293" s="3107"/>
      <c r="C293" s="3107"/>
      <c r="D293" s="3180"/>
      <c r="E293" s="3115" t="s">
        <v>376</v>
      </c>
      <c r="F293" s="3107"/>
      <c r="G293" s="3107"/>
      <c r="H293" s="3128">
        <f>'Part II-Development Team'!H90</f>
        <v>2292427759</v>
      </c>
      <c r="I293" s="3128">
        <f>'Part II-Development Team'!I90</f>
        <v>0</v>
      </c>
      <c r="J293" s="3132">
        <f>'Part II-Development Team'!J90</f>
        <v>2212</v>
      </c>
      <c r="K293" s="3112" t="s">
        <v>50</v>
      </c>
      <c r="L293" s="3123" t="str">
        <f>'Part II-Development Team'!L90</f>
        <v>steve.johnson@tishcollc.com</v>
      </c>
      <c r="M293" s="3123">
        <f>'Part II-Development Team'!M90</f>
        <v>0</v>
      </c>
      <c r="N293" s="3123">
        <f>'Part II-Development Team'!N90</f>
        <v>0</v>
      </c>
      <c r="O293" s="3123">
        <f>'Part II-Development Team'!O90</f>
        <v>0</v>
      </c>
      <c r="P293" s="3123">
        <f>'Part II-Development Team'!P90</f>
        <v>0</v>
      </c>
      <c r="Q293" s="3123">
        <f>'Part II-Development Team'!Q90</f>
        <v>0</v>
      </c>
      <c r="R293" s="3123">
        <f>'Part II-Development Team'!R90</f>
        <v>0</v>
      </c>
      <c r="S293" s="3123">
        <f>'Part II-Development Team'!S90</f>
        <v>0</v>
      </c>
    </row>
    <row r="294" spans="1:19">
      <c r="A294" s="3114"/>
      <c r="B294" s="3114"/>
      <c r="C294" s="3114"/>
      <c r="D294" s="3114"/>
      <c r="E294" s="3114"/>
      <c r="F294" s="3114"/>
      <c r="G294" s="3114"/>
      <c r="H294" s="3128"/>
      <c r="I294" s="3128"/>
      <c r="J294" s="3128"/>
      <c r="K294" s="3112"/>
      <c r="L294" s="3128"/>
      <c r="M294" s="3128"/>
      <c r="N294" s="3112"/>
      <c r="O294" s="3128"/>
      <c r="P294" s="3128"/>
      <c r="Q294" s="3112"/>
      <c r="R294" s="3128"/>
      <c r="S294" s="3128"/>
    </row>
    <row r="295" spans="1:19">
      <c r="A295" s="3107"/>
      <c r="B295" s="3104" t="s">
        <v>123</v>
      </c>
      <c r="C295" s="3104" t="s">
        <v>406</v>
      </c>
      <c r="D295" s="3107"/>
      <c r="E295" s="3107"/>
      <c r="F295" s="3114"/>
      <c r="G295" s="3107"/>
      <c r="H295" s="3107" t="str">
        <f>'Part II-Development Team'!H92</f>
        <v>TISHCO Properties, LLC</v>
      </c>
      <c r="I295" s="3107">
        <f>'Part II-Development Team'!I92</f>
        <v>0</v>
      </c>
      <c r="J295" s="3107">
        <f>'Part II-Development Team'!J92</f>
        <v>0</v>
      </c>
      <c r="K295" s="3107">
        <f>'Part II-Development Team'!K92</f>
        <v>0</v>
      </c>
      <c r="L295" s="3107">
        <f>'Part II-Development Team'!L92</f>
        <v>0</v>
      </c>
      <c r="M295" s="3107">
        <f>'Part II-Development Team'!M92</f>
        <v>0</v>
      </c>
      <c r="N295" s="3107">
        <f>'Part II-Development Team'!N92</f>
        <v>0</v>
      </c>
      <c r="O295" s="3115" t="s">
        <v>370</v>
      </c>
      <c r="P295" s="3115"/>
      <c r="Q295" s="3107" t="str">
        <f>'Part II-Development Team'!Q92</f>
        <v>Mary T. Johnson</v>
      </c>
      <c r="R295" s="3107">
        <f>'Part II-Development Team'!R92</f>
        <v>0</v>
      </c>
      <c r="S295" s="3107">
        <f>'Part II-Development Team'!S92</f>
        <v>0</v>
      </c>
    </row>
    <row r="296" spans="1:19">
      <c r="A296" s="3107"/>
      <c r="B296" s="3107"/>
      <c r="C296" s="3107"/>
      <c r="D296" s="3180"/>
      <c r="E296" s="3115" t="s">
        <v>189</v>
      </c>
      <c r="F296" s="3118"/>
      <c r="G296" s="3107"/>
      <c r="H296" s="3107" t="str">
        <f>'Part II-Development Team'!H93</f>
        <v>314 North Patterson Street</v>
      </c>
      <c r="I296" s="3107">
        <f>'Part II-Development Team'!I93</f>
        <v>0</v>
      </c>
      <c r="J296" s="3107">
        <f>'Part II-Development Team'!J93</f>
        <v>0</v>
      </c>
      <c r="K296" s="3107">
        <f>'Part II-Development Team'!K93</f>
        <v>0</v>
      </c>
      <c r="L296" s="3107">
        <f>'Part II-Development Team'!L93</f>
        <v>0</v>
      </c>
      <c r="M296" s="3107">
        <f>'Part II-Development Team'!M93</f>
        <v>0</v>
      </c>
      <c r="N296" s="3107">
        <f>'Part II-Development Team'!N93</f>
        <v>0</v>
      </c>
      <c r="O296" s="3115" t="s">
        <v>371</v>
      </c>
      <c r="P296" s="3107"/>
      <c r="Q296" s="3107" t="str">
        <f>'Part II-Development Team'!Q93</f>
        <v>Managing Member</v>
      </c>
      <c r="R296" s="3107">
        <f>'Part II-Development Team'!R93</f>
        <v>0</v>
      </c>
      <c r="S296" s="3107">
        <f>'Part II-Development Team'!S93</f>
        <v>0</v>
      </c>
    </row>
    <row r="297" spans="1:19">
      <c r="A297" s="3107"/>
      <c r="B297" s="3107"/>
      <c r="C297" s="3107"/>
      <c r="D297" s="3180"/>
      <c r="E297" s="3115" t="s">
        <v>42</v>
      </c>
      <c r="F297" s="3107"/>
      <c r="G297" s="3107"/>
      <c r="H297" s="3107" t="str">
        <f>'Part II-Development Team'!H94</f>
        <v>Valdosta</v>
      </c>
      <c r="I297" s="3107">
        <f>'Part II-Development Team'!I94</f>
        <v>0</v>
      </c>
      <c r="J297" s="3107">
        <f>'Part II-Development Team'!J94</f>
        <v>0</v>
      </c>
      <c r="K297" s="3112" t="s">
        <v>99</v>
      </c>
      <c r="L297" s="3107" t="str">
        <f>'Part II-Development Team'!L94</f>
        <v>http://www.tishcollc.com/</v>
      </c>
      <c r="M297" s="3107">
        <f>'Part II-Development Team'!M94</f>
        <v>0</v>
      </c>
      <c r="N297" s="3107">
        <f>'Part II-Development Team'!N94</f>
        <v>0</v>
      </c>
      <c r="O297" s="3115" t="s">
        <v>49</v>
      </c>
      <c r="P297" s="3107"/>
      <c r="Q297" s="3128">
        <f>'Part II-Development Team'!Q94</f>
        <v>2293162232</v>
      </c>
      <c r="R297" s="3128">
        <f>'Part II-Development Team'!R94</f>
        <v>0</v>
      </c>
      <c r="S297" s="3128">
        <f>'Part II-Development Team'!S94</f>
        <v>0</v>
      </c>
    </row>
    <row r="298" spans="1:19">
      <c r="A298" s="3107"/>
      <c r="B298" s="3107"/>
      <c r="C298" s="3107"/>
      <c r="D298" s="3180"/>
      <c r="E298" s="3115" t="s">
        <v>44</v>
      </c>
      <c r="F298" s="3107"/>
      <c r="G298" s="3107"/>
      <c r="H298" s="3115" t="str">
        <f>'Part II-Development Team'!H95</f>
        <v>GA</v>
      </c>
      <c r="I298" s="3107"/>
      <c r="J298" s="3107"/>
      <c r="K298" s="3112" t="s">
        <v>46</v>
      </c>
      <c r="L298" s="3127">
        <f>'Part II-Development Team'!L95</f>
        <v>316015526</v>
      </c>
      <c r="M298" s="3127">
        <f>'Part II-Development Team'!M95</f>
        <v>0</v>
      </c>
      <c r="N298" s="3107"/>
      <c r="O298" s="3115" t="s">
        <v>52</v>
      </c>
      <c r="P298" s="3107"/>
      <c r="Q298" s="3128">
        <f>'Part II-Development Team'!Q95</f>
        <v>2295615959</v>
      </c>
      <c r="R298" s="3128">
        <f>'Part II-Development Team'!R95</f>
        <v>0</v>
      </c>
      <c r="S298" s="3128">
        <f>'Part II-Development Team'!S95</f>
        <v>0</v>
      </c>
    </row>
    <row r="299" spans="1:19">
      <c r="A299" s="3107"/>
      <c r="B299" s="3107"/>
      <c r="C299" s="3107"/>
      <c r="D299" s="3180"/>
      <c r="E299" s="3115" t="s">
        <v>376</v>
      </c>
      <c r="F299" s="3107"/>
      <c r="G299" s="3107"/>
      <c r="H299" s="3128">
        <f>'Part II-Development Team'!H96</f>
        <v>2292427759</v>
      </c>
      <c r="I299" s="3128">
        <f>'Part II-Development Team'!I96</f>
        <v>0</v>
      </c>
      <c r="J299" s="3132">
        <f>'Part II-Development Team'!J96</f>
        <v>2232</v>
      </c>
      <c r="K299" s="3112" t="s">
        <v>50</v>
      </c>
      <c r="L299" s="3123" t="str">
        <f>'Part II-Development Team'!L96</f>
        <v>tish.johnson@tishcollc.com</v>
      </c>
      <c r="M299" s="3123">
        <f>'Part II-Development Team'!M96</f>
        <v>0</v>
      </c>
      <c r="N299" s="3123">
        <f>'Part II-Development Team'!N96</f>
        <v>0</v>
      </c>
      <c r="O299" s="3123">
        <f>'Part II-Development Team'!O96</f>
        <v>0</v>
      </c>
      <c r="P299" s="3123">
        <f>'Part II-Development Team'!P96</f>
        <v>0</v>
      </c>
      <c r="Q299" s="3123">
        <f>'Part II-Development Team'!Q96</f>
        <v>0</v>
      </c>
      <c r="R299" s="3123">
        <f>'Part II-Development Team'!R96</f>
        <v>0</v>
      </c>
      <c r="S299" s="3123">
        <f>'Part II-Development Team'!S96</f>
        <v>0</v>
      </c>
    </row>
    <row r="300" spans="1:19">
      <c r="A300" s="3114"/>
      <c r="B300" s="3114"/>
      <c r="C300" s="3114"/>
      <c r="D300" s="3114"/>
      <c r="E300" s="3114"/>
      <c r="F300" s="3114"/>
      <c r="G300" s="3114"/>
      <c r="H300" s="3128"/>
      <c r="I300" s="3128"/>
      <c r="J300" s="3128"/>
      <c r="K300" s="3112"/>
      <c r="L300" s="3128"/>
      <c r="M300" s="3128"/>
      <c r="N300" s="3112"/>
      <c r="O300" s="3128"/>
      <c r="P300" s="3128"/>
      <c r="Q300" s="3112"/>
      <c r="R300" s="3128"/>
      <c r="S300" s="3128"/>
    </row>
    <row r="301" spans="1:19">
      <c r="A301" s="3107"/>
      <c r="B301" s="3104" t="s">
        <v>126</v>
      </c>
      <c r="C301" s="3104" t="s">
        <v>408</v>
      </c>
      <c r="D301" s="3107"/>
      <c r="E301" s="3107"/>
      <c r="F301" s="3107"/>
      <c r="G301" s="3107"/>
      <c r="H301" s="3107" t="str">
        <f>'Part II-Development Team'!H98</f>
        <v>Arnall Golden Gregory LLP</v>
      </c>
      <c r="I301" s="3107">
        <f>'Part II-Development Team'!I98</f>
        <v>0</v>
      </c>
      <c r="J301" s="3107">
        <f>'Part II-Development Team'!J98</f>
        <v>0</v>
      </c>
      <c r="K301" s="3107">
        <f>'Part II-Development Team'!K98</f>
        <v>0</v>
      </c>
      <c r="L301" s="3107">
        <f>'Part II-Development Team'!L98</f>
        <v>0</v>
      </c>
      <c r="M301" s="3107">
        <f>'Part II-Development Team'!M98</f>
        <v>0</v>
      </c>
      <c r="N301" s="3107">
        <f>'Part II-Development Team'!N98</f>
        <v>0</v>
      </c>
      <c r="O301" s="3115" t="s">
        <v>370</v>
      </c>
      <c r="P301" s="3115"/>
      <c r="Q301" s="3107" t="str">
        <f>'Part II-Development Team'!Q98</f>
        <v>Althea J.K. Broughton</v>
      </c>
      <c r="R301" s="3107">
        <f>'Part II-Development Team'!R98</f>
        <v>0</v>
      </c>
      <c r="S301" s="3107">
        <f>'Part II-Development Team'!S98</f>
        <v>0</v>
      </c>
    </row>
    <row r="302" spans="1:19">
      <c r="A302" s="3107"/>
      <c r="B302" s="3107"/>
      <c r="C302" s="3107"/>
      <c r="D302" s="3180"/>
      <c r="E302" s="3115" t="s">
        <v>189</v>
      </c>
      <c r="F302" s="3118"/>
      <c r="G302" s="3107"/>
      <c r="H302" s="3107" t="str">
        <f>'Part II-Development Team'!H99</f>
        <v>171 17th Street NW</v>
      </c>
      <c r="I302" s="3107">
        <f>'Part II-Development Team'!I99</f>
        <v>0</v>
      </c>
      <c r="J302" s="3107">
        <f>'Part II-Development Team'!J99</f>
        <v>0</v>
      </c>
      <c r="K302" s="3107">
        <f>'Part II-Development Team'!K99</f>
        <v>0</v>
      </c>
      <c r="L302" s="3107">
        <f>'Part II-Development Team'!L99</f>
        <v>0</v>
      </c>
      <c r="M302" s="3107">
        <f>'Part II-Development Team'!M99</f>
        <v>0</v>
      </c>
      <c r="N302" s="3107">
        <f>'Part II-Development Team'!N99</f>
        <v>0</v>
      </c>
      <c r="O302" s="3115" t="s">
        <v>371</v>
      </c>
      <c r="P302" s="3107"/>
      <c r="Q302" s="3107" t="str">
        <f>'Part II-Development Team'!Q99</f>
        <v>Partner</v>
      </c>
      <c r="R302" s="3107">
        <f>'Part II-Development Team'!R99</f>
        <v>0</v>
      </c>
      <c r="S302" s="3107">
        <f>'Part II-Development Team'!S99</f>
        <v>0</v>
      </c>
    </row>
    <row r="303" spans="1:19">
      <c r="A303" s="3107"/>
      <c r="B303" s="3107"/>
      <c r="C303" s="3107"/>
      <c r="D303" s="3180"/>
      <c r="E303" s="3115" t="s">
        <v>42</v>
      </c>
      <c r="F303" s="3107"/>
      <c r="G303" s="3107"/>
      <c r="H303" s="3107" t="str">
        <f>'Part II-Development Team'!H100</f>
        <v>Atlanta</v>
      </c>
      <c r="I303" s="3107">
        <f>'Part II-Development Team'!I100</f>
        <v>0</v>
      </c>
      <c r="J303" s="3107">
        <f>'Part II-Development Team'!J100</f>
        <v>0</v>
      </c>
      <c r="K303" s="3112" t="s">
        <v>99</v>
      </c>
      <c r="L303" s="3107" t="str">
        <f>'Part II-Development Team'!L100</f>
        <v>http://www.agg.com/</v>
      </c>
      <c r="M303" s="3107">
        <f>'Part II-Development Team'!M100</f>
        <v>0</v>
      </c>
      <c r="N303" s="3107">
        <f>'Part II-Development Team'!N100</f>
        <v>0</v>
      </c>
      <c r="O303" s="3115" t="s">
        <v>49</v>
      </c>
      <c r="P303" s="3107"/>
      <c r="Q303" s="3128">
        <f>'Part II-Development Team'!Q100</f>
        <v>4048738708</v>
      </c>
      <c r="R303" s="3128">
        <f>'Part II-Development Team'!R100</f>
        <v>0</v>
      </c>
      <c r="S303" s="3128">
        <f>'Part II-Development Team'!S100</f>
        <v>0</v>
      </c>
    </row>
    <row r="304" spans="1:19">
      <c r="A304" s="3107"/>
      <c r="B304" s="3107"/>
      <c r="C304" s="3107"/>
      <c r="D304" s="3180"/>
      <c r="E304" s="3115" t="s">
        <v>44</v>
      </c>
      <c r="F304" s="3107"/>
      <c r="G304" s="3107"/>
      <c r="H304" s="3115" t="str">
        <f>'Part II-Development Team'!H101</f>
        <v>GA</v>
      </c>
      <c r="I304" s="3107"/>
      <c r="J304" s="3107"/>
      <c r="K304" s="3112" t="s">
        <v>46</v>
      </c>
      <c r="L304" s="3127">
        <f>'Part II-Development Team'!L101</f>
        <v>303631028</v>
      </c>
      <c r="M304" s="3127">
        <f>'Part II-Development Team'!M101</f>
        <v>0</v>
      </c>
      <c r="N304" s="3107"/>
      <c r="O304" s="3115" t="s">
        <v>52</v>
      </c>
      <c r="P304" s="3107"/>
      <c r="Q304" s="3128">
        <f>'Part II-Development Team'!Q101</f>
        <v>4042810723</v>
      </c>
      <c r="R304" s="3128">
        <f>'Part II-Development Team'!R101</f>
        <v>0</v>
      </c>
      <c r="S304" s="3128">
        <f>'Part II-Development Team'!S101</f>
        <v>0</v>
      </c>
    </row>
    <row r="305" spans="1:19">
      <c r="A305" s="3114"/>
      <c r="B305" s="3114"/>
      <c r="C305" s="3114"/>
      <c r="D305" s="3114"/>
      <c r="E305" s="3115" t="s">
        <v>376</v>
      </c>
      <c r="F305" s="3107"/>
      <c r="G305" s="3107"/>
      <c r="H305" s="3128">
        <f>'Part II-Development Team'!H102</f>
        <v>4048738708</v>
      </c>
      <c r="I305" s="3128">
        <f>'Part II-Development Team'!I102</f>
        <v>0</v>
      </c>
      <c r="J305" s="3132">
        <f>'Part II-Development Team'!J102</f>
        <v>0</v>
      </c>
      <c r="K305" s="3112" t="s">
        <v>50</v>
      </c>
      <c r="L305" s="3123" t="str">
        <f>'Part II-Development Team'!L102</f>
        <v>althea.broughton@agg.com</v>
      </c>
      <c r="M305" s="3123">
        <f>'Part II-Development Team'!M102</f>
        <v>0</v>
      </c>
      <c r="N305" s="3123">
        <f>'Part II-Development Team'!N102</f>
        <v>0</v>
      </c>
      <c r="O305" s="3123">
        <f>'Part II-Development Team'!O102</f>
        <v>0</v>
      </c>
      <c r="P305" s="3123">
        <f>'Part II-Development Team'!P102</f>
        <v>0</v>
      </c>
      <c r="Q305" s="3123">
        <f>'Part II-Development Team'!Q102</f>
        <v>0</v>
      </c>
      <c r="R305" s="3123">
        <f>'Part II-Development Team'!R102</f>
        <v>0</v>
      </c>
      <c r="S305" s="3123">
        <f>'Part II-Development Team'!S102</f>
        <v>0</v>
      </c>
    </row>
    <row r="306" spans="1:19">
      <c r="A306" s="3114"/>
      <c r="B306" s="3114"/>
      <c r="C306" s="3114"/>
      <c r="D306" s="3114"/>
      <c r="E306" s="3115"/>
      <c r="F306" s="3107"/>
      <c r="G306" s="3107"/>
      <c r="H306" s="3128"/>
      <c r="I306" s="3128"/>
      <c r="J306" s="3128"/>
      <c r="K306" s="3112"/>
      <c r="L306" s="3128"/>
      <c r="M306" s="3128"/>
      <c r="N306" s="3112"/>
      <c r="O306" s="3128"/>
      <c r="P306" s="3128"/>
      <c r="Q306" s="3112"/>
      <c r="R306" s="3128"/>
      <c r="S306" s="3128"/>
    </row>
    <row r="307" spans="1:19">
      <c r="A307" s="3107"/>
      <c r="B307" s="3104" t="s">
        <v>140</v>
      </c>
      <c r="C307" s="3104" t="s">
        <v>416</v>
      </c>
      <c r="D307" s="3107"/>
      <c r="E307" s="3107"/>
      <c r="F307" s="3107"/>
      <c r="G307" s="3107"/>
      <c r="H307" s="3107" t="str">
        <f>'Part II-Development Team'!H104</f>
        <v>Aprio</v>
      </c>
      <c r="I307" s="3107">
        <f>'Part II-Development Team'!I104</f>
        <v>0</v>
      </c>
      <c r="J307" s="3107">
        <f>'Part II-Development Team'!J104</f>
        <v>0</v>
      </c>
      <c r="K307" s="3107">
        <f>'Part II-Development Team'!K104</f>
        <v>0</v>
      </c>
      <c r="L307" s="3107">
        <f>'Part II-Development Team'!L104</f>
        <v>0</v>
      </c>
      <c r="M307" s="3107">
        <f>'Part II-Development Team'!M104</f>
        <v>0</v>
      </c>
      <c r="N307" s="3107">
        <f>'Part II-Development Team'!N104</f>
        <v>0</v>
      </c>
      <c r="O307" s="3115" t="s">
        <v>370</v>
      </c>
      <c r="P307" s="3115"/>
      <c r="Q307" s="3107" t="str">
        <f>'Part II-Development Team'!Q104</f>
        <v>Alison Fossyl</v>
      </c>
      <c r="R307" s="3107">
        <f>'Part II-Development Team'!R104</f>
        <v>0</v>
      </c>
      <c r="S307" s="3107">
        <f>'Part II-Development Team'!S104</f>
        <v>0</v>
      </c>
    </row>
    <row r="308" spans="1:19">
      <c r="A308" s="3107"/>
      <c r="B308" s="3107"/>
      <c r="C308" s="3107"/>
      <c r="D308" s="3180"/>
      <c r="E308" s="3115" t="s">
        <v>189</v>
      </c>
      <c r="F308" s="3118"/>
      <c r="G308" s="3107"/>
      <c r="H308" s="3107" t="str">
        <f>'Part II-Development Team'!H105</f>
        <v>5 Concourse Parkway, Suite 1000</v>
      </c>
      <c r="I308" s="3107">
        <f>'Part II-Development Team'!I105</f>
        <v>0</v>
      </c>
      <c r="J308" s="3107">
        <f>'Part II-Development Team'!J105</f>
        <v>0</v>
      </c>
      <c r="K308" s="3107">
        <f>'Part II-Development Team'!K105</f>
        <v>0</v>
      </c>
      <c r="L308" s="3107">
        <f>'Part II-Development Team'!L105</f>
        <v>0</v>
      </c>
      <c r="M308" s="3107">
        <f>'Part II-Development Team'!M105</f>
        <v>0</v>
      </c>
      <c r="N308" s="3107">
        <f>'Part II-Development Team'!N105</f>
        <v>0</v>
      </c>
      <c r="O308" s="3115" t="s">
        <v>371</v>
      </c>
      <c r="P308" s="3107"/>
      <c r="Q308" s="3107" t="str">
        <f>'Part II-Development Team'!Q105</f>
        <v>Partner</v>
      </c>
      <c r="R308" s="3107">
        <f>'Part II-Development Team'!R105</f>
        <v>0</v>
      </c>
      <c r="S308" s="3107">
        <f>'Part II-Development Team'!S105</f>
        <v>0</v>
      </c>
    </row>
    <row r="309" spans="1:19">
      <c r="A309" s="3107"/>
      <c r="B309" s="3107"/>
      <c r="C309" s="3107"/>
      <c r="D309" s="3180"/>
      <c r="E309" s="3115" t="s">
        <v>42</v>
      </c>
      <c r="F309" s="3107"/>
      <c r="G309" s="3107"/>
      <c r="H309" s="3107" t="str">
        <f>'Part II-Development Team'!H106</f>
        <v>Atlanta</v>
      </c>
      <c r="I309" s="3107">
        <f>'Part II-Development Team'!I106</f>
        <v>0</v>
      </c>
      <c r="J309" s="3107">
        <f>'Part II-Development Team'!J106</f>
        <v>0</v>
      </c>
      <c r="K309" s="3112" t="s">
        <v>99</v>
      </c>
      <c r="L309" s="3107" t="str">
        <f>'Part II-Development Team'!L106</f>
        <v>http://www.aprio.com/</v>
      </c>
      <c r="M309" s="3107">
        <f>'Part II-Development Team'!M106</f>
        <v>0</v>
      </c>
      <c r="N309" s="3107">
        <f>'Part II-Development Team'!N106</f>
        <v>0</v>
      </c>
      <c r="O309" s="3115" t="s">
        <v>49</v>
      </c>
      <c r="P309" s="3107"/>
      <c r="Q309" s="3128">
        <f>'Part II-Development Team'!Q106</f>
        <v>7703537115</v>
      </c>
      <c r="R309" s="3128">
        <f>'Part II-Development Team'!R106</f>
        <v>0</v>
      </c>
      <c r="S309" s="3128">
        <f>'Part II-Development Team'!S106</f>
        <v>0</v>
      </c>
    </row>
    <row r="310" spans="1:19">
      <c r="A310" s="3107"/>
      <c r="B310" s="3107"/>
      <c r="C310" s="3107"/>
      <c r="D310" s="3180"/>
      <c r="E310" s="3115" t="s">
        <v>44</v>
      </c>
      <c r="F310" s="3107"/>
      <c r="G310" s="3107"/>
      <c r="H310" s="3115" t="str">
        <f>'Part II-Development Team'!H107</f>
        <v>GA</v>
      </c>
      <c r="I310" s="3107"/>
      <c r="J310" s="3107"/>
      <c r="K310" s="3112" t="s">
        <v>46</v>
      </c>
      <c r="L310" s="3127">
        <f>'Part II-Development Team'!L107</f>
        <v>303286132</v>
      </c>
      <c r="M310" s="3127">
        <f>'Part II-Development Team'!M107</f>
        <v>0</v>
      </c>
      <c r="N310" s="3107"/>
      <c r="O310" s="3115" t="s">
        <v>52</v>
      </c>
      <c r="P310" s="3107"/>
      <c r="Q310" s="3128">
        <f>'Part II-Development Team'!Q107</f>
        <v>4043142857</v>
      </c>
      <c r="R310" s="3128">
        <f>'Part II-Development Team'!R107</f>
        <v>0</v>
      </c>
      <c r="S310" s="3128">
        <f>'Part II-Development Team'!S107</f>
        <v>0</v>
      </c>
    </row>
    <row r="311" spans="1:19">
      <c r="A311" s="3114"/>
      <c r="B311" s="3114"/>
      <c r="C311" s="3114"/>
      <c r="D311" s="3114"/>
      <c r="E311" s="3115" t="s">
        <v>376</v>
      </c>
      <c r="F311" s="3107"/>
      <c r="G311" s="3107"/>
      <c r="H311" s="3128">
        <f>'Part II-Development Team'!H108</f>
        <v>7703537115</v>
      </c>
      <c r="I311" s="3128">
        <f>'Part II-Development Team'!I108</f>
        <v>0</v>
      </c>
      <c r="J311" s="3132">
        <f>'Part II-Development Team'!J108</f>
        <v>0</v>
      </c>
      <c r="K311" s="3112" t="s">
        <v>50</v>
      </c>
      <c r="L311" s="3123" t="str">
        <f>'Part II-Development Team'!L108</f>
        <v>alison.fossyl@aprio.com</v>
      </c>
      <c r="M311" s="3123">
        <f>'Part II-Development Team'!M108</f>
        <v>0</v>
      </c>
      <c r="N311" s="3123">
        <f>'Part II-Development Team'!N108</f>
        <v>0</v>
      </c>
      <c r="O311" s="3123">
        <f>'Part II-Development Team'!O108</f>
        <v>0</v>
      </c>
      <c r="P311" s="3123">
        <f>'Part II-Development Team'!P108</f>
        <v>0</v>
      </c>
      <c r="Q311" s="3123">
        <f>'Part II-Development Team'!Q108</f>
        <v>0</v>
      </c>
      <c r="R311" s="3123">
        <f>'Part II-Development Team'!R108</f>
        <v>0</v>
      </c>
      <c r="S311" s="3123">
        <f>'Part II-Development Team'!S108</f>
        <v>0</v>
      </c>
    </row>
    <row r="312" spans="1:19">
      <c r="A312" s="3114"/>
      <c r="B312" s="3114"/>
      <c r="C312" s="3114"/>
      <c r="D312" s="3114"/>
      <c r="E312" s="3115"/>
      <c r="F312" s="3107"/>
      <c r="G312" s="3107"/>
      <c r="H312" s="3128"/>
      <c r="I312" s="3128"/>
      <c r="J312" s="3128"/>
      <c r="K312" s="3112"/>
      <c r="L312" s="3128"/>
      <c r="M312" s="3128"/>
      <c r="N312" s="3112"/>
      <c r="O312" s="3128"/>
      <c r="P312" s="3128"/>
      <c r="Q312" s="3112"/>
      <c r="R312" s="3128"/>
      <c r="S312" s="3128"/>
    </row>
    <row r="313" spans="1:19">
      <c r="A313" s="3107"/>
      <c r="B313" s="3104" t="s">
        <v>147</v>
      </c>
      <c r="C313" s="3104" t="s">
        <v>422</v>
      </c>
      <c r="D313" s="3107"/>
      <c r="E313" s="3107"/>
      <c r="F313" s="3107"/>
      <c r="G313" s="3107"/>
      <c r="H313" s="3107" t="str">
        <f>'Part II-Development Team'!H110</f>
        <v>Studio 8 Design</v>
      </c>
      <c r="I313" s="3107">
        <f>'Part II-Development Team'!I110</f>
        <v>0</v>
      </c>
      <c r="J313" s="3107">
        <f>'Part II-Development Team'!J110</f>
        <v>0</v>
      </c>
      <c r="K313" s="3107">
        <f>'Part II-Development Team'!K110</f>
        <v>0</v>
      </c>
      <c r="L313" s="3107">
        <f>'Part II-Development Team'!L110</f>
        <v>0</v>
      </c>
      <c r="M313" s="3107">
        <f>'Part II-Development Team'!M110</f>
        <v>0</v>
      </c>
      <c r="N313" s="3107">
        <f>'Part II-Development Team'!N110</f>
        <v>0</v>
      </c>
      <c r="O313" s="3115" t="s">
        <v>370</v>
      </c>
      <c r="P313" s="3115"/>
      <c r="Q313" s="3107" t="str">
        <f>'Part II-Development Team'!Q110</f>
        <v>Robert Byington</v>
      </c>
      <c r="R313" s="3107">
        <f>'Part II-Development Team'!R110</f>
        <v>0</v>
      </c>
      <c r="S313" s="3107">
        <f>'Part II-Development Team'!S110</f>
        <v>0</v>
      </c>
    </row>
    <row r="314" spans="1:19">
      <c r="A314" s="3107"/>
      <c r="B314" s="3107"/>
      <c r="C314" s="3107"/>
      <c r="D314" s="3180"/>
      <c r="E314" s="3115" t="s">
        <v>189</v>
      </c>
      <c r="F314" s="3118"/>
      <c r="G314" s="3107"/>
      <c r="H314" s="3107" t="str">
        <f>'Part II-Development Team'!H111</f>
        <v>2722 North Oak Street</v>
      </c>
      <c r="I314" s="3107">
        <f>'Part II-Development Team'!I111</f>
        <v>0</v>
      </c>
      <c r="J314" s="3107">
        <f>'Part II-Development Team'!J111</f>
        <v>0</v>
      </c>
      <c r="K314" s="3107">
        <f>'Part II-Development Team'!K111</f>
        <v>0</v>
      </c>
      <c r="L314" s="3107">
        <f>'Part II-Development Team'!L111</f>
        <v>0</v>
      </c>
      <c r="M314" s="3107">
        <f>'Part II-Development Team'!M111</f>
        <v>0</v>
      </c>
      <c r="N314" s="3107">
        <f>'Part II-Development Team'!N111</f>
        <v>0</v>
      </c>
      <c r="O314" s="3115" t="s">
        <v>371</v>
      </c>
      <c r="P314" s="3107"/>
      <c r="Q314" s="3107" t="str">
        <f>'Part II-Development Team'!Q111</f>
        <v>Managing Partner</v>
      </c>
      <c r="R314" s="3107">
        <f>'Part II-Development Team'!R111</f>
        <v>0</v>
      </c>
      <c r="S314" s="3107">
        <f>'Part II-Development Team'!S111</f>
        <v>0</v>
      </c>
    </row>
    <row r="315" spans="1:19">
      <c r="A315" s="3107"/>
      <c r="B315" s="3107"/>
      <c r="C315" s="3107"/>
      <c r="D315" s="3180"/>
      <c r="E315" s="3115" t="s">
        <v>42</v>
      </c>
      <c r="F315" s="3107"/>
      <c r="G315" s="3107"/>
      <c r="H315" s="3107" t="str">
        <f>'Part II-Development Team'!H112</f>
        <v>Valdosta</v>
      </c>
      <c r="I315" s="3107">
        <f>'Part II-Development Team'!I112</f>
        <v>0</v>
      </c>
      <c r="J315" s="3107">
        <f>'Part II-Development Team'!J112</f>
        <v>0</v>
      </c>
      <c r="K315" s="3112" t="s">
        <v>99</v>
      </c>
      <c r="L315" s="3107" t="str">
        <f>'Part II-Development Team'!L112</f>
        <v>http://www.s8darchitects.com/</v>
      </c>
      <c r="M315" s="3107">
        <f>'Part II-Development Team'!M112</f>
        <v>0</v>
      </c>
      <c r="N315" s="3107">
        <f>'Part II-Development Team'!N112</f>
        <v>0</v>
      </c>
      <c r="O315" s="3115" t="s">
        <v>49</v>
      </c>
      <c r="P315" s="3107"/>
      <c r="Q315" s="3128">
        <f>'Part II-Development Team'!Q112</f>
        <v>0</v>
      </c>
      <c r="R315" s="3128">
        <f>'Part II-Development Team'!R112</f>
        <v>0</v>
      </c>
      <c r="S315" s="3128">
        <f>'Part II-Development Team'!S112</f>
        <v>0</v>
      </c>
    </row>
    <row r="316" spans="1:19">
      <c r="A316" s="3107"/>
      <c r="B316" s="3107"/>
      <c r="C316" s="3107"/>
      <c r="D316" s="3180"/>
      <c r="E316" s="3115" t="s">
        <v>44</v>
      </c>
      <c r="F316" s="3107"/>
      <c r="G316" s="3107"/>
      <c r="H316" s="3115" t="str">
        <f>'Part II-Development Team'!H113</f>
        <v>GA</v>
      </c>
      <c r="I316" s="3107"/>
      <c r="J316" s="3107"/>
      <c r="K316" s="3112" t="s">
        <v>46</v>
      </c>
      <c r="L316" s="3127">
        <f>'Part II-Development Team'!L113</f>
        <v>316021770</v>
      </c>
      <c r="M316" s="3127">
        <f>'Part II-Development Team'!M113</f>
        <v>0</v>
      </c>
      <c r="N316" s="3107"/>
      <c r="O316" s="3115" t="s">
        <v>52</v>
      </c>
      <c r="P316" s="3107"/>
      <c r="Q316" s="3128">
        <f>'Part II-Development Team'!Q113</f>
        <v>2295611863</v>
      </c>
      <c r="R316" s="3128">
        <f>'Part II-Development Team'!R113</f>
        <v>0</v>
      </c>
      <c r="S316" s="3128">
        <f>'Part II-Development Team'!S113</f>
        <v>0</v>
      </c>
    </row>
    <row r="317" spans="1:19">
      <c r="A317" s="3107"/>
      <c r="B317" s="3107"/>
      <c r="C317" s="3107"/>
      <c r="D317" s="3180"/>
      <c r="E317" s="3115" t="s">
        <v>376</v>
      </c>
      <c r="F317" s="3107"/>
      <c r="G317" s="3107"/>
      <c r="H317" s="3128">
        <f>'Part II-Development Team'!H114</f>
        <v>2292441188</v>
      </c>
      <c r="I317" s="3128">
        <f>'Part II-Development Team'!I114</f>
        <v>0</v>
      </c>
      <c r="J317" s="3132">
        <f>'Part II-Development Team'!J114</f>
        <v>0</v>
      </c>
      <c r="K317" s="3112" t="s">
        <v>50</v>
      </c>
      <c r="L317" s="3123" t="str">
        <f>'Part II-Development Team'!L114</f>
        <v>rbyington@s8darchitects.com</v>
      </c>
      <c r="M317" s="3123">
        <f>'Part II-Development Team'!M114</f>
        <v>0</v>
      </c>
      <c r="N317" s="3123">
        <f>'Part II-Development Team'!N114</f>
        <v>0</v>
      </c>
      <c r="O317" s="3123">
        <f>'Part II-Development Team'!O114</f>
        <v>0</v>
      </c>
      <c r="P317" s="3123">
        <f>'Part II-Development Team'!P114</f>
        <v>0</v>
      </c>
      <c r="Q317" s="3123">
        <f>'Part II-Development Team'!Q114</f>
        <v>0</v>
      </c>
      <c r="R317" s="3123">
        <f>'Part II-Development Team'!R114</f>
        <v>0</v>
      </c>
      <c r="S317" s="3123">
        <f>'Part II-Development Team'!S114</f>
        <v>0</v>
      </c>
    </row>
    <row r="318" spans="1:19">
      <c r="A318" s="3114"/>
      <c r="B318" s="3114"/>
      <c r="C318" s="3114"/>
      <c r="D318" s="3114"/>
      <c r="E318" s="3114"/>
      <c r="F318" s="3114"/>
      <c r="G318" s="3114"/>
      <c r="H318" s="3114"/>
      <c r="I318" s="3114"/>
      <c r="J318" s="3114"/>
      <c r="K318" s="3114"/>
      <c r="L318" s="3114"/>
      <c r="M318" s="3114"/>
      <c r="N318" s="3114"/>
      <c r="O318" s="3114"/>
      <c r="P318" s="3114"/>
      <c r="Q318" s="3114"/>
      <c r="R318" s="3114"/>
      <c r="S318" s="3114"/>
    </row>
    <row r="319" spans="1:19">
      <c r="A319" s="3104" t="s">
        <v>57</v>
      </c>
      <c r="B319" s="3104" t="s">
        <v>429</v>
      </c>
      <c r="C319" s="3107"/>
      <c r="D319" s="3107"/>
      <c r="E319" s="3107"/>
      <c r="F319" s="3104"/>
      <c r="G319" s="3112"/>
      <c r="H319" s="3112"/>
      <c r="I319" s="3112"/>
      <c r="J319" s="3112"/>
      <c r="K319" s="3112"/>
      <c r="L319" s="3112"/>
      <c r="M319" s="3112"/>
      <c r="N319" s="3112"/>
      <c r="O319" s="3112"/>
      <c r="P319" s="3112"/>
      <c r="Q319" s="3112"/>
      <c r="R319" s="3107"/>
      <c r="S319" s="3107"/>
    </row>
    <row r="320" spans="1:19">
      <c r="A320" s="3107"/>
      <c r="B320" s="3104" t="s">
        <v>110</v>
      </c>
      <c r="C320" s="3104" t="s">
        <v>4751</v>
      </c>
      <c r="D320" s="3107"/>
      <c r="E320" s="3107"/>
      <c r="F320" s="3107"/>
      <c r="G320" s="3107"/>
      <c r="H320" s="3107" t="str">
        <f>'Part II-Development Team'!H117</f>
        <v>JT Ball Ground, L.P.</v>
      </c>
      <c r="I320" s="3107">
        <f>'Part II-Development Team'!I117</f>
        <v>0</v>
      </c>
      <c r="J320" s="3107">
        <f>'Part II-Development Team'!J117</f>
        <v>0</v>
      </c>
      <c r="K320" s="3112" t="s">
        <v>55</v>
      </c>
      <c r="L320" s="3107" t="str">
        <f>'Part II-Development Team'!L117</f>
        <v>Mary T. Johnson</v>
      </c>
      <c r="M320" s="3107">
        <f>'Part II-Development Team'!M117</f>
        <v>0</v>
      </c>
      <c r="N320" s="3107">
        <f>'Part II-Development Team'!N117</f>
        <v>0</v>
      </c>
      <c r="O320" s="3115" t="s">
        <v>432</v>
      </c>
      <c r="P320" s="3107"/>
      <c r="Q320" s="3107" t="str">
        <f>'Part II-Development Team'!Q117</f>
        <v>(229) 561-5959</v>
      </c>
      <c r="R320" s="3107">
        <f>'Part II-Development Team'!R117</f>
        <v>0</v>
      </c>
      <c r="S320" s="3107">
        <f>'Part II-Development Team'!S117</f>
        <v>0</v>
      </c>
    </row>
    <row r="321" spans="1:19">
      <c r="A321" s="3107"/>
      <c r="B321" s="3107"/>
      <c r="C321" s="3107"/>
      <c r="D321" s="3180"/>
      <c r="E321" s="3115" t="s">
        <v>189</v>
      </c>
      <c r="F321" s="3118"/>
      <c r="G321" s="3107"/>
      <c r="H321" s="3107" t="str">
        <f>'Part II-Development Team'!H118</f>
        <v>314 North Patterson Street</v>
      </c>
      <c r="I321" s="3107">
        <f>'Part II-Development Team'!I118</f>
        <v>0</v>
      </c>
      <c r="J321" s="3107">
        <f>'Part II-Development Team'!J118</f>
        <v>0</v>
      </c>
      <c r="K321" s="3107">
        <f>'Part II-Development Team'!K118</f>
        <v>0</v>
      </c>
      <c r="L321" s="3107">
        <f>'Part II-Development Team'!L118</f>
        <v>0</v>
      </c>
      <c r="M321" s="3107">
        <f>'Part II-Development Team'!M118</f>
        <v>0</v>
      </c>
      <c r="N321" s="3107">
        <f>'Part II-Development Team'!N118</f>
        <v>0</v>
      </c>
      <c r="O321" s="3115" t="s">
        <v>42</v>
      </c>
      <c r="P321" s="3107"/>
      <c r="Q321" s="3107">
        <f>'Part II-Development Team'!Q118</f>
        <v>0</v>
      </c>
      <c r="R321" s="3107">
        <f>'Part II-Development Team'!R118</f>
        <v>0</v>
      </c>
      <c r="S321" s="3107">
        <f>'Part II-Development Team'!S118</f>
        <v>0</v>
      </c>
    </row>
    <row r="322" spans="1:19">
      <c r="A322" s="3107"/>
      <c r="B322" s="3107"/>
      <c r="C322" s="3107"/>
      <c r="D322" s="3180"/>
      <c r="E322" s="3115" t="s">
        <v>44</v>
      </c>
      <c r="F322" s="3107"/>
      <c r="G322" s="3107"/>
      <c r="H322" s="3115" t="str">
        <f>'Part II-Development Team'!H119</f>
        <v>GA</v>
      </c>
      <c r="I322" s="3112" t="s">
        <v>46</v>
      </c>
      <c r="J322" s="3127">
        <f>'Part II-Development Team'!J119</f>
        <v>316015526</v>
      </c>
      <c r="K322" s="3127">
        <f>'Part II-Development Team'!K119</f>
        <v>0</v>
      </c>
      <c r="L322" s="3112" t="s">
        <v>50</v>
      </c>
      <c r="M322" s="3123" t="str">
        <f>'Part II-Development Team'!M119</f>
        <v>tish.johnson.tishcollc.com</v>
      </c>
      <c r="N322" s="3123">
        <f>'Part II-Development Team'!N119</f>
        <v>0</v>
      </c>
      <c r="O322" s="3123">
        <f>'Part II-Development Team'!O119</f>
        <v>0</v>
      </c>
      <c r="P322" s="3123">
        <f>'Part II-Development Team'!P119</f>
        <v>0</v>
      </c>
      <c r="Q322" s="3123">
        <f>'Part II-Development Team'!Q119</f>
        <v>0</v>
      </c>
      <c r="R322" s="3123">
        <f>'Part II-Development Team'!R119</f>
        <v>0</v>
      </c>
      <c r="S322" s="3123">
        <f>'Part II-Development Team'!S119</f>
        <v>0</v>
      </c>
    </row>
    <row r="323" spans="1:19">
      <c r="A323" s="3114"/>
      <c r="B323" s="3104" t="s">
        <v>121</v>
      </c>
      <c r="C323" s="3104" t="s">
        <v>435</v>
      </c>
      <c r="D323" s="3114"/>
      <c r="E323" s="3114"/>
      <c r="F323" s="3114"/>
      <c r="G323" s="3114"/>
      <c r="H323" s="3103"/>
      <c r="I323" s="3103"/>
      <c r="J323" s="3103"/>
      <c r="K323" s="3103"/>
      <c r="L323" s="3103"/>
      <c r="M323" s="3103"/>
      <c r="N323" s="3103"/>
      <c r="O323" s="3103"/>
      <c r="P323" s="3103"/>
      <c r="Q323" s="3103"/>
      <c r="R323" s="3103"/>
      <c r="S323" s="3103"/>
    </row>
    <row r="324" spans="1:19" ht="12.75" customHeight="1">
      <c r="A324" s="3186" t="s">
        <v>436</v>
      </c>
      <c r="B324" s="3186"/>
      <c r="C324" s="3186"/>
      <c r="D324" s="3186"/>
      <c r="E324" s="3186"/>
      <c r="F324" s="3132" t="s">
        <v>437</v>
      </c>
      <c r="G324" s="3121" t="s">
        <v>438</v>
      </c>
      <c r="H324" s="3121"/>
      <c r="I324" s="3121"/>
      <c r="J324" s="3121"/>
      <c r="K324" s="3121"/>
      <c r="L324" s="3121"/>
      <c r="M324" s="3121"/>
      <c r="N324" s="3121"/>
      <c r="O324" s="3121"/>
      <c r="P324" s="3121"/>
      <c r="Q324" s="3121"/>
      <c r="R324" s="3121"/>
      <c r="S324" s="3121"/>
    </row>
    <row r="325" spans="1:19" ht="12.75" customHeight="1">
      <c r="A325" s="3107"/>
      <c r="B325" s="3169"/>
      <c r="C325" s="3187" t="s">
        <v>379</v>
      </c>
      <c r="D325" s="3103" t="s">
        <v>439</v>
      </c>
      <c r="E325" s="3103"/>
      <c r="F325" s="3188" t="str">
        <f>'Part II-Development Team'!F122</f>
        <v>Yes</v>
      </c>
      <c r="G325" s="3189" t="str">
        <f>'Part II-Development Team'!G122</f>
        <v>Identities of interest exist between the Developer and General Contractor and the principals therein.  Mary T. Johnson, Steven T. Johnson, and Rebekah E.J. Stevens each have various interests in each of these entities listed and all share familial relationships.</v>
      </c>
      <c r="H325" s="3189">
        <f>'Part II-Development Team'!H122</f>
        <v>0</v>
      </c>
      <c r="I325" s="3189">
        <f>'Part II-Development Team'!I122</f>
        <v>0</v>
      </c>
      <c r="J325" s="3189">
        <f>'Part II-Development Team'!J122</f>
        <v>0</v>
      </c>
      <c r="K325" s="3189">
        <f>'Part II-Development Team'!K122</f>
        <v>0</v>
      </c>
      <c r="L325" s="3189">
        <f>'Part II-Development Team'!L122</f>
        <v>0</v>
      </c>
      <c r="M325" s="3189">
        <f>'Part II-Development Team'!M122</f>
        <v>0</v>
      </c>
      <c r="N325" s="3189">
        <f>'Part II-Development Team'!N122</f>
        <v>0</v>
      </c>
      <c r="O325" s="3189">
        <f>'Part II-Development Team'!O122</f>
        <v>0</v>
      </c>
      <c r="P325" s="3189">
        <f>'Part II-Development Team'!P122</f>
        <v>0</v>
      </c>
      <c r="Q325" s="3189">
        <f>'Part II-Development Team'!Q122</f>
        <v>0</v>
      </c>
      <c r="R325" s="3189">
        <f>'Part II-Development Team'!R122</f>
        <v>0</v>
      </c>
      <c r="S325" s="3189">
        <f>'Part II-Development Team'!S122</f>
        <v>0</v>
      </c>
    </row>
    <row r="326" spans="1:19" ht="12.75" customHeight="1">
      <c r="A326" s="3107"/>
      <c r="B326" s="3169"/>
      <c r="C326" s="3187" t="s">
        <v>389</v>
      </c>
      <c r="D326" s="3103" t="s">
        <v>442</v>
      </c>
      <c r="E326" s="3103"/>
      <c r="F326" s="3188" t="str">
        <f>'Part II-Development Team'!F123</f>
        <v>Yes</v>
      </c>
      <c r="G326" s="3189" t="str">
        <f>'Part II-Development Team'!G123</f>
        <v>Identities of interest exist between the Buyer and Seller of the Property and the principals therein.  Mary T. Johnson, Steven T. Johnson, and Rebekah E.J. Stevens each have various interests in each of these entities listed and all share familial relationships.</v>
      </c>
      <c r="H326" s="3189">
        <f>'Part II-Development Team'!H123</f>
        <v>0</v>
      </c>
      <c r="I326" s="3189">
        <f>'Part II-Development Team'!I123</f>
        <v>0</v>
      </c>
      <c r="J326" s="3189">
        <f>'Part II-Development Team'!J123</f>
        <v>0</v>
      </c>
      <c r="K326" s="3189">
        <f>'Part II-Development Team'!K123</f>
        <v>0</v>
      </c>
      <c r="L326" s="3189">
        <f>'Part II-Development Team'!L123</f>
        <v>0</v>
      </c>
      <c r="M326" s="3189">
        <f>'Part II-Development Team'!M123</f>
        <v>0</v>
      </c>
      <c r="N326" s="3189">
        <f>'Part II-Development Team'!N123</f>
        <v>0</v>
      </c>
      <c r="O326" s="3189">
        <f>'Part II-Development Team'!O123</f>
        <v>0</v>
      </c>
      <c r="P326" s="3189">
        <f>'Part II-Development Team'!P123</f>
        <v>0</v>
      </c>
      <c r="Q326" s="3189">
        <f>'Part II-Development Team'!Q123</f>
        <v>0</v>
      </c>
      <c r="R326" s="3189">
        <f>'Part II-Development Team'!R123</f>
        <v>0</v>
      </c>
      <c r="S326" s="3189">
        <f>'Part II-Development Team'!S123</f>
        <v>0</v>
      </c>
    </row>
    <row r="327" spans="1:19" ht="12.75" customHeight="1">
      <c r="A327" s="3107"/>
      <c r="B327" s="3169"/>
      <c r="C327" s="3187" t="s">
        <v>393</v>
      </c>
      <c r="D327" s="3103" t="s">
        <v>443</v>
      </c>
      <c r="E327" s="3103"/>
      <c r="F327" s="3188" t="str">
        <f>'Part II-Development Team'!F124</f>
        <v>Yes</v>
      </c>
      <c r="G327" s="3189" t="str">
        <f>'Part II-Development Team'!G124</f>
        <v>Identities of interest exist between the Owner and General Contractor and the principals therein.  Mary T. Johnson, Steven T. Johnson, and Rebekah E.J. Stevens each have various interests in each of these entities listed and all share familial relationships.</v>
      </c>
      <c r="H327" s="3189">
        <f>'Part II-Development Team'!H124</f>
        <v>0</v>
      </c>
      <c r="I327" s="3189">
        <f>'Part II-Development Team'!I124</f>
        <v>0</v>
      </c>
      <c r="J327" s="3189">
        <f>'Part II-Development Team'!J124</f>
        <v>0</v>
      </c>
      <c r="K327" s="3189">
        <f>'Part II-Development Team'!K124</f>
        <v>0</v>
      </c>
      <c r="L327" s="3189">
        <f>'Part II-Development Team'!L124</f>
        <v>0</v>
      </c>
      <c r="M327" s="3189">
        <f>'Part II-Development Team'!M124</f>
        <v>0</v>
      </c>
      <c r="N327" s="3189">
        <f>'Part II-Development Team'!N124</f>
        <v>0</v>
      </c>
      <c r="O327" s="3189">
        <f>'Part II-Development Team'!O124</f>
        <v>0</v>
      </c>
      <c r="P327" s="3189">
        <f>'Part II-Development Team'!P124</f>
        <v>0</v>
      </c>
      <c r="Q327" s="3189">
        <f>'Part II-Development Team'!Q124</f>
        <v>0</v>
      </c>
      <c r="R327" s="3189">
        <f>'Part II-Development Team'!R124</f>
        <v>0</v>
      </c>
      <c r="S327" s="3189">
        <f>'Part II-Development Team'!S124</f>
        <v>0</v>
      </c>
    </row>
    <row r="328" spans="1:19" ht="12.75" customHeight="1">
      <c r="A328" s="3107"/>
      <c r="B328" s="3169"/>
      <c r="C328" s="3187" t="s">
        <v>445</v>
      </c>
      <c r="D328" s="3103" t="s">
        <v>446</v>
      </c>
      <c r="E328" s="3103"/>
      <c r="F328" s="3188" t="str">
        <f>'Part II-Development Team'!F125</f>
        <v>No</v>
      </c>
      <c r="G328" s="3189">
        <f>'Part II-Development Team'!G125</f>
        <v>0</v>
      </c>
      <c r="H328" s="3189">
        <f>'Part II-Development Team'!H125</f>
        <v>0</v>
      </c>
      <c r="I328" s="3189">
        <f>'Part II-Development Team'!I125</f>
        <v>0</v>
      </c>
      <c r="J328" s="3189">
        <f>'Part II-Development Team'!J125</f>
        <v>0</v>
      </c>
      <c r="K328" s="3189">
        <f>'Part II-Development Team'!K125</f>
        <v>0</v>
      </c>
      <c r="L328" s="3189">
        <f>'Part II-Development Team'!L125</f>
        <v>0</v>
      </c>
      <c r="M328" s="3189">
        <f>'Part II-Development Team'!M125</f>
        <v>0</v>
      </c>
      <c r="N328" s="3189">
        <f>'Part II-Development Team'!N125</f>
        <v>0</v>
      </c>
      <c r="O328" s="3189">
        <f>'Part II-Development Team'!O125</f>
        <v>0</v>
      </c>
      <c r="P328" s="3189">
        <f>'Part II-Development Team'!P125</f>
        <v>0</v>
      </c>
      <c r="Q328" s="3189">
        <f>'Part II-Development Team'!Q125</f>
        <v>0</v>
      </c>
      <c r="R328" s="3189">
        <f>'Part II-Development Team'!R125</f>
        <v>0</v>
      </c>
      <c r="S328" s="3189">
        <f>'Part II-Development Team'!S125</f>
        <v>0</v>
      </c>
    </row>
    <row r="329" spans="1:19" ht="12.75" customHeight="1">
      <c r="A329" s="3107"/>
      <c r="B329" s="3169"/>
      <c r="C329" s="3187" t="s">
        <v>447</v>
      </c>
      <c r="D329" s="3103" t="s">
        <v>448</v>
      </c>
      <c r="E329" s="3103"/>
      <c r="F329" s="3188" t="str">
        <f>'Part II-Development Team'!F126</f>
        <v>Yes</v>
      </c>
      <c r="G329" s="3189" t="str">
        <f>'Part II-Development Team'!G126</f>
        <v>Identities of interest exist between the State Syndicator and Developer and the principals therein. Mary T. Johnson, Steven T. Johnson and Rebekah E.J. Stevens each have various interests in each of these entities listed and all share familial relationships.</v>
      </c>
      <c r="H329" s="3189">
        <f>'Part II-Development Team'!H126</f>
        <v>0</v>
      </c>
      <c r="I329" s="3189">
        <f>'Part II-Development Team'!I126</f>
        <v>0</v>
      </c>
      <c r="J329" s="3189">
        <f>'Part II-Development Team'!J126</f>
        <v>0</v>
      </c>
      <c r="K329" s="3189">
        <f>'Part II-Development Team'!K126</f>
        <v>0</v>
      </c>
      <c r="L329" s="3189">
        <f>'Part II-Development Team'!L126</f>
        <v>0</v>
      </c>
      <c r="M329" s="3189">
        <f>'Part II-Development Team'!M126</f>
        <v>0</v>
      </c>
      <c r="N329" s="3189">
        <f>'Part II-Development Team'!N126</f>
        <v>0</v>
      </c>
      <c r="O329" s="3189">
        <f>'Part II-Development Team'!O126</f>
        <v>0</v>
      </c>
      <c r="P329" s="3189">
        <f>'Part II-Development Team'!P126</f>
        <v>0</v>
      </c>
      <c r="Q329" s="3189">
        <f>'Part II-Development Team'!Q126</f>
        <v>0</v>
      </c>
      <c r="R329" s="3189">
        <f>'Part II-Development Team'!R126</f>
        <v>0</v>
      </c>
      <c r="S329" s="3189">
        <f>'Part II-Development Team'!S126</f>
        <v>0</v>
      </c>
    </row>
    <row r="330" spans="1:19" ht="12.75" customHeight="1">
      <c r="A330" s="3107"/>
      <c r="B330" s="3169"/>
      <c r="C330" s="3187" t="s">
        <v>449</v>
      </c>
      <c r="D330" s="3103" t="s">
        <v>450</v>
      </c>
      <c r="E330" s="3103"/>
      <c r="F330" s="3188" t="str">
        <f>'Part II-Development Team'!F127</f>
        <v>Yes</v>
      </c>
      <c r="G330" s="3189" t="str">
        <f>'Part II-Development Team'!G127</f>
        <v>Identities of interest exist between the State Syndicator and General Contractor and the principals therein. Mary T. Johnson, Steven T. Johnson and Rebekah E.J. Stevens each have various interests in each of these entities listed and all share familial relationships.</v>
      </c>
      <c r="H330" s="3189">
        <f>'Part II-Development Team'!H127</f>
        <v>0</v>
      </c>
      <c r="I330" s="3189">
        <f>'Part II-Development Team'!I127</f>
        <v>0</v>
      </c>
      <c r="J330" s="3189">
        <f>'Part II-Development Team'!J127</f>
        <v>0</v>
      </c>
      <c r="K330" s="3189">
        <f>'Part II-Development Team'!K127</f>
        <v>0</v>
      </c>
      <c r="L330" s="3189">
        <f>'Part II-Development Team'!L127</f>
        <v>0</v>
      </c>
      <c r="M330" s="3189">
        <f>'Part II-Development Team'!M127</f>
        <v>0</v>
      </c>
      <c r="N330" s="3189">
        <f>'Part II-Development Team'!N127</f>
        <v>0</v>
      </c>
      <c r="O330" s="3189">
        <f>'Part II-Development Team'!O127</f>
        <v>0</v>
      </c>
      <c r="P330" s="3189">
        <f>'Part II-Development Team'!P127</f>
        <v>0</v>
      </c>
      <c r="Q330" s="3189">
        <f>'Part II-Development Team'!Q127</f>
        <v>0</v>
      </c>
      <c r="R330" s="3189">
        <f>'Part II-Development Team'!R127</f>
        <v>0</v>
      </c>
      <c r="S330" s="3189">
        <f>'Part II-Development Team'!S127</f>
        <v>0</v>
      </c>
    </row>
    <row r="331" spans="1:19" ht="12.75" customHeight="1">
      <c r="A331" s="3107"/>
      <c r="B331" s="3169"/>
      <c r="C331" s="3187" t="s">
        <v>451</v>
      </c>
      <c r="D331" s="3103" t="s">
        <v>452</v>
      </c>
      <c r="E331" s="3103"/>
      <c r="F331" s="3188" t="str">
        <f>'Part II-Development Team'!F128</f>
        <v>No</v>
      </c>
      <c r="G331" s="3189">
        <f>'Part II-Development Team'!G128</f>
        <v>0</v>
      </c>
      <c r="H331" s="3189">
        <f>'Part II-Development Team'!H128</f>
        <v>0</v>
      </c>
      <c r="I331" s="3189">
        <f>'Part II-Development Team'!I128</f>
        <v>0</v>
      </c>
      <c r="J331" s="3189">
        <f>'Part II-Development Team'!J128</f>
        <v>0</v>
      </c>
      <c r="K331" s="3189">
        <f>'Part II-Development Team'!K128</f>
        <v>0</v>
      </c>
      <c r="L331" s="3189">
        <f>'Part II-Development Team'!L128</f>
        <v>0</v>
      </c>
      <c r="M331" s="3189">
        <f>'Part II-Development Team'!M128</f>
        <v>0</v>
      </c>
      <c r="N331" s="3189">
        <f>'Part II-Development Team'!N128</f>
        <v>0</v>
      </c>
      <c r="O331" s="3189">
        <f>'Part II-Development Team'!O128</f>
        <v>0</v>
      </c>
      <c r="P331" s="3189">
        <f>'Part II-Development Team'!P128</f>
        <v>0</v>
      </c>
      <c r="Q331" s="3189">
        <f>'Part II-Development Team'!Q128</f>
        <v>0</v>
      </c>
      <c r="R331" s="3189">
        <f>'Part II-Development Team'!R128</f>
        <v>0</v>
      </c>
      <c r="S331" s="3189">
        <f>'Part II-Development Team'!S128</f>
        <v>0</v>
      </c>
    </row>
    <row r="332" spans="1:19" ht="12.75" customHeight="1">
      <c r="A332" s="3107"/>
      <c r="B332" s="3169"/>
      <c r="C332" s="3187" t="s">
        <v>453</v>
      </c>
      <c r="D332" s="3103" t="str">
        <f>'Part II-Development Team'!D129</f>
        <v>Other (Various Parties)</v>
      </c>
      <c r="E332" s="3103">
        <f>'Part II-Development Team'!E129</f>
        <v>0</v>
      </c>
      <c r="F332" s="3188" t="str">
        <f>'Part II-Development Team'!F129</f>
        <v>Yes</v>
      </c>
      <c r="G332" s="3189" t="str">
        <f>'Part II-Development Team'!G129</f>
        <v>Identities of interest exist between the Owner, General Partner, Developer, General Contractor, State Syndicator, potential subcontractors, management company and the principals therein. Mary T. Johnson, Steven T. Johnson and Rebekah E.J. Stevens each have various interests in each of these entities listed here and all share familial relationships.</v>
      </c>
      <c r="H332" s="3189">
        <f>'Part II-Development Team'!H129</f>
        <v>0</v>
      </c>
      <c r="I332" s="3189">
        <f>'Part II-Development Team'!I129</f>
        <v>0</v>
      </c>
      <c r="J332" s="3189">
        <f>'Part II-Development Team'!J129</f>
        <v>0</v>
      </c>
      <c r="K332" s="3189">
        <f>'Part II-Development Team'!K129</f>
        <v>0</v>
      </c>
      <c r="L332" s="3189">
        <f>'Part II-Development Team'!L129</f>
        <v>0</v>
      </c>
      <c r="M332" s="3189">
        <f>'Part II-Development Team'!M129</f>
        <v>0</v>
      </c>
      <c r="N332" s="3189">
        <f>'Part II-Development Team'!N129</f>
        <v>0</v>
      </c>
      <c r="O332" s="3189">
        <f>'Part II-Development Team'!O129</f>
        <v>0</v>
      </c>
      <c r="P332" s="3189">
        <f>'Part II-Development Team'!P129</f>
        <v>0</v>
      </c>
      <c r="Q332" s="3189">
        <f>'Part II-Development Team'!Q129</f>
        <v>0</v>
      </c>
      <c r="R332" s="3189">
        <f>'Part II-Development Team'!R129</f>
        <v>0</v>
      </c>
      <c r="S332" s="3189">
        <f>'Part II-Development Team'!S129</f>
        <v>0</v>
      </c>
    </row>
    <row r="333" spans="1:19">
      <c r="A333" s="3104" t="s">
        <v>108</v>
      </c>
      <c r="B333" s="3104" t="s">
        <v>4752</v>
      </c>
      <c r="C333" s="3107"/>
      <c r="D333" s="3107"/>
      <c r="E333" s="3107"/>
      <c r="F333" s="3104"/>
      <c r="G333" s="3112"/>
      <c r="H333" s="3112"/>
      <c r="I333" s="3112"/>
      <c r="J333" s="3112"/>
      <c r="K333" s="3112"/>
      <c r="L333" s="3112"/>
      <c r="M333" s="3112"/>
      <c r="N333" s="3112"/>
      <c r="O333" s="3112"/>
      <c r="P333" s="3112"/>
      <c r="Q333" s="3112"/>
      <c r="R333" s="3107"/>
      <c r="S333" s="3107"/>
    </row>
    <row r="334" spans="1:19">
      <c r="A334" s="3104"/>
      <c r="B334" s="3104"/>
      <c r="C334" s="3107"/>
      <c r="D334" s="3107"/>
      <c r="E334" s="3107"/>
      <c r="F334" s="3104"/>
      <c r="G334" s="3112"/>
      <c r="H334" s="3112"/>
      <c r="I334" s="3112"/>
      <c r="J334" s="3112"/>
      <c r="K334" s="3112"/>
      <c r="L334" s="3112"/>
      <c r="M334" s="3112"/>
      <c r="N334" s="3112"/>
      <c r="O334" s="3112"/>
      <c r="P334" s="3112"/>
      <c r="Q334" s="3112"/>
      <c r="R334" s="3107"/>
      <c r="S334" s="3107"/>
    </row>
    <row r="335" spans="1:19">
      <c r="A335" s="3114"/>
      <c r="B335" s="3104" t="s">
        <v>123</v>
      </c>
      <c r="C335" s="3104" t="s">
        <v>455</v>
      </c>
      <c r="D335" s="3114"/>
      <c r="E335" s="3114"/>
      <c r="F335" s="3114"/>
      <c r="G335" s="3114"/>
      <c r="H335" s="3114"/>
      <c r="I335" s="3114"/>
      <c r="J335" s="3114"/>
      <c r="K335" s="3114"/>
      <c r="L335" s="3114"/>
      <c r="M335" s="3114"/>
      <c r="N335" s="3114"/>
      <c r="O335" s="3114"/>
      <c r="P335" s="3114"/>
      <c r="Q335" s="3114"/>
      <c r="R335" s="3114"/>
      <c r="S335" s="3114"/>
    </row>
    <row r="336" spans="1:19" ht="12.75" customHeight="1">
      <c r="A336" s="3103" t="s">
        <v>456</v>
      </c>
      <c r="B336" s="3103"/>
      <c r="C336" s="3103"/>
      <c r="D336" s="3103"/>
      <c r="E336" s="3103" t="s">
        <v>457</v>
      </c>
      <c r="F336" s="3103"/>
      <c r="G336" s="3103"/>
      <c r="H336" s="3103"/>
      <c r="I336" s="3103"/>
      <c r="J336" s="3103" t="s">
        <v>458</v>
      </c>
      <c r="K336" s="3190" t="s">
        <v>4753</v>
      </c>
      <c r="L336" s="3190" t="s">
        <v>4754</v>
      </c>
      <c r="M336" s="3190" t="s">
        <v>4755</v>
      </c>
      <c r="N336" s="3190"/>
      <c r="O336" s="3190"/>
      <c r="P336" s="3190"/>
      <c r="Q336" s="3190"/>
      <c r="R336" s="3190"/>
      <c r="S336" s="3190"/>
    </row>
    <row r="337" spans="1:19">
      <c r="A337" s="3103"/>
      <c r="B337" s="3103"/>
      <c r="C337" s="3103"/>
      <c r="D337" s="3103"/>
      <c r="E337" s="3103"/>
      <c r="F337" s="3103"/>
      <c r="G337" s="3103"/>
      <c r="H337" s="3103"/>
      <c r="I337" s="3103"/>
      <c r="J337" s="3103"/>
      <c r="K337" s="3190"/>
      <c r="L337" s="3190"/>
      <c r="M337" s="3190"/>
      <c r="N337" s="3190"/>
      <c r="O337" s="3190"/>
      <c r="P337" s="3190"/>
      <c r="Q337" s="3190"/>
      <c r="R337" s="3190"/>
      <c r="S337" s="3190"/>
    </row>
    <row r="338" spans="1:19">
      <c r="A338" s="3103"/>
      <c r="B338" s="3103"/>
      <c r="C338" s="3103"/>
      <c r="D338" s="3103"/>
      <c r="E338" s="3103"/>
      <c r="F338" s="3103"/>
      <c r="G338" s="3103"/>
      <c r="H338" s="3103"/>
      <c r="I338" s="3103"/>
      <c r="J338" s="3103"/>
      <c r="K338" s="3190"/>
      <c r="L338" s="3190"/>
      <c r="M338" s="3190"/>
      <c r="N338" s="3190"/>
      <c r="O338" s="3190"/>
      <c r="P338" s="3190"/>
      <c r="Q338" s="3190"/>
      <c r="R338" s="3190"/>
      <c r="S338" s="3190"/>
    </row>
    <row r="339" spans="1:19" ht="12.75" customHeight="1">
      <c r="A339" s="3103"/>
      <c r="B339" s="3103"/>
      <c r="C339" s="3103"/>
      <c r="D339" s="3103"/>
      <c r="E339" s="3191" t="s">
        <v>4756</v>
      </c>
      <c r="F339" s="3191"/>
      <c r="G339" s="3191"/>
      <c r="H339" s="3191"/>
      <c r="I339" s="3190"/>
      <c r="J339" s="3103"/>
      <c r="K339" s="3190"/>
      <c r="L339" s="3190"/>
      <c r="M339" s="3190"/>
      <c r="N339" s="3190"/>
      <c r="O339" s="3190"/>
      <c r="P339" s="3190"/>
      <c r="Q339" s="3190"/>
      <c r="R339" s="3190"/>
      <c r="S339" s="3190"/>
    </row>
    <row r="340" spans="1:19" ht="12.75" customHeight="1">
      <c r="A340" s="3103"/>
      <c r="B340" s="3103"/>
      <c r="C340" s="3103"/>
      <c r="D340" s="3103"/>
      <c r="E340" s="3191"/>
      <c r="F340" s="3191"/>
      <c r="G340" s="3191"/>
      <c r="H340" s="3191"/>
      <c r="I340" s="3192" t="s">
        <v>437</v>
      </c>
      <c r="J340" s="3103"/>
      <c r="K340" s="3190"/>
      <c r="L340" s="3190"/>
      <c r="M340" s="3132" t="s">
        <v>437</v>
      </c>
      <c r="N340" s="3138" t="s">
        <v>463</v>
      </c>
      <c r="O340" s="3138"/>
      <c r="P340" s="3138"/>
      <c r="Q340" s="3138"/>
      <c r="R340" s="3138"/>
      <c r="S340" s="3138"/>
    </row>
    <row r="341" spans="1:19" ht="13.5" customHeight="1">
      <c r="A341" s="3179" t="s">
        <v>464</v>
      </c>
      <c r="B341" s="3179"/>
      <c r="C341" s="3179"/>
      <c r="D341" s="3179"/>
      <c r="E341" s="3189">
        <f>'Part II-Development Team'!E138</f>
        <v>0</v>
      </c>
      <c r="F341" s="3189">
        <f>'Part II-Development Team'!F138</f>
        <v>0</v>
      </c>
      <c r="G341" s="3189">
        <f>'Part II-Development Team'!G138</f>
        <v>0</v>
      </c>
      <c r="H341" s="3189">
        <f>'Part II-Development Team'!H138</f>
        <v>0</v>
      </c>
      <c r="I341" s="3188" t="str">
        <f>'Part II-Development Team'!I138</f>
        <v>No</v>
      </c>
      <c r="J341" s="3188" t="str">
        <f>'Part II-Development Team'!J138</f>
        <v>No</v>
      </c>
      <c r="K341" s="3193" t="str">
        <f>'Part II-Development Team'!K138</f>
        <v>For Profit</v>
      </c>
      <c r="L341" s="3194">
        <f>'Part II-Development Team'!L138</f>
        <v>1E-4</v>
      </c>
      <c r="M341" s="3188" t="str">
        <f>'Part II-Development Team'!M138</f>
        <v>Yes</v>
      </c>
      <c r="N341" s="3189" t="str">
        <f>'Part II-Development Team'!N138</f>
        <v>Identities of interest exist between the Owner, General Partner, Developer, General Contractor, State Syndicator, potential subcontractors, management company and the principals therein. Mary T. Johnson, Steven T. Johnson and Rebekah E.J. Stevens each have various interests in each of these entities listed here and all share familial relationships.</v>
      </c>
      <c r="O341" s="3189">
        <f>'Part II-Development Team'!O138</f>
        <v>0</v>
      </c>
      <c r="P341" s="3189">
        <f>'Part II-Development Team'!P138</f>
        <v>0</v>
      </c>
      <c r="Q341" s="3189">
        <f>'Part II-Development Team'!Q138</f>
        <v>0</v>
      </c>
      <c r="R341" s="3189">
        <f>'Part II-Development Team'!R138</f>
        <v>0</v>
      </c>
      <c r="S341" s="3189">
        <f>'Part II-Development Team'!S138</f>
        <v>0</v>
      </c>
    </row>
    <row r="342" spans="1:19" ht="13.5" customHeight="1">
      <c r="A342" s="3179" t="s">
        <v>466</v>
      </c>
      <c r="B342" s="3179"/>
      <c r="C342" s="3179"/>
      <c r="D342" s="3179"/>
      <c r="E342" s="3189">
        <f>'Part II-Development Team'!E139</f>
        <v>0</v>
      </c>
      <c r="F342" s="3189">
        <f>'Part II-Development Team'!F139</f>
        <v>0</v>
      </c>
      <c r="G342" s="3189">
        <f>'Part II-Development Team'!G139</f>
        <v>0</v>
      </c>
      <c r="H342" s="3189">
        <f>'Part II-Development Team'!H139</f>
        <v>0</v>
      </c>
      <c r="I342" s="3188">
        <f>'Part II-Development Team'!I139</f>
        <v>0</v>
      </c>
      <c r="J342" s="3188">
        <f>'Part II-Development Team'!J139</f>
        <v>0</v>
      </c>
      <c r="K342" s="3193">
        <f>'Part II-Development Team'!K139</f>
        <v>0</v>
      </c>
      <c r="L342" s="3194">
        <f>'Part II-Development Team'!L139</f>
        <v>0</v>
      </c>
      <c r="M342" s="3188">
        <f>'Part II-Development Team'!M139</f>
        <v>0</v>
      </c>
      <c r="N342" s="3189">
        <f>'Part II-Development Team'!N139</f>
        <v>0</v>
      </c>
      <c r="O342" s="3189">
        <f>'Part II-Development Team'!O139</f>
        <v>0</v>
      </c>
      <c r="P342" s="3189">
        <f>'Part II-Development Team'!P139</f>
        <v>0</v>
      </c>
      <c r="Q342" s="3189">
        <f>'Part II-Development Team'!Q139</f>
        <v>0</v>
      </c>
      <c r="R342" s="3189">
        <f>'Part II-Development Team'!R139</f>
        <v>0</v>
      </c>
      <c r="S342" s="3189">
        <f>'Part II-Development Team'!S139</f>
        <v>0</v>
      </c>
    </row>
    <row r="343" spans="1:19" ht="13.5" customHeight="1">
      <c r="A343" s="3179" t="s">
        <v>467</v>
      </c>
      <c r="B343" s="3179"/>
      <c r="C343" s="3179"/>
      <c r="D343" s="3179"/>
      <c r="E343" s="3189">
        <f>'Part II-Development Team'!E140</f>
        <v>0</v>
      </c>
      <c r="F343" s="3189">
        <f>'Part II-Development Team'!F140</f>
        <v>0</v>
      </c>
      <c r="G343" s="3189">
        <f>'Part II-Development Team'!G140</f>
        <v>0</v>
      </c>
      <c r="H343" s="3189">
        <f>'Part II-Development Team'!H140</f>
        <v>0</v>
      </c>
      <c r="I343" s="3188">
        <f>'Part II-Development Team'!I140</f>
        <v>0</v>
      </c>
      <c r="J343" s="3188">
        <f>'Part II-Development Team'!J140</f>
        <v>0</v>
      </c>
      <c r="K343" s="3193">
        <f>'Part II-Development Team'!K140</f>
        <v>0</v>
      </c>
      <c r="L343" s="3194">
        <f>'Part II-Development Team'!L140</f>
        <v>0</v>
      </c>
      <c r="M343" s="3188">
        <f>'Part II-Development Team'!M140</f>
        <v>0</v>
      </c>
      <c r="N343" s="3189">
        <f>'Part II-Development Team'!N140</f>
        <v>0</v>
      </c>
      <c r="O343" s="3189">
        <f>'Part II-Development Team'!O140</f>
        <v>0</v>
      </c>
      <c r="P343" s="3189">
        <f>'Part II-Development Team'!P140</f>
        <v>0</v>
      </c>
      <c r="Q343" s="3189">
        <f>'Part II-Development Team'!Q140</f>
        <v>0</v>
      </c>
      <c r="R343" s="3189">
        <f>'Part II-Development Team'!R140</f>
        <v>0</v>
      </c>
      <c r="S343" s="3189">
        <f>'Part II-Development Team'!S140</f>
        <v>0</v>
      </c>
    </row>
    <row r="344" spans="1:19" ht="13.5" customHeight="1">
      <c r="A344" s="3179" t="s">
        <v>468</v>
      </c>
      <c r="B344" s="3179"/>
      <c r="C344" s="3179"/>
      <c r="D344" s="3179"/>
      <c r="E344" s="3189">
        <f>'Part II-Development Team'!E141</f>
        <v>0</v>
      </c>
      <c r="F344" s="3189">
        <f>'Part II-Development Team'!F141</f>
        <v>0</v>
      </c>
      <c r="G344" s="3189">
        <f>'Part II-Development Team'!G141</f>
        <v>0</v>
      </c>
      <c r="H344" s="3189">
        <f>'Part II-Development Team'!H141</f>
        <v>0</v>
      </c>
      <c r="I344" s="3188" t="str">
        <f>'Part II-Development Team'!I141</f>
        <v>No</v>
      </c>
      <c r="J344" s="3188" t="str">
        <f>'Part II-Development Team'!J141</f>
        <v>No</v>
      </c>
      <c r="K344" s="3193" t="str">
        <f>'Part II-Development Team'!K141</f>
        <v>For Profit</v>
      </c>
      <c r="L344" s="3194">
        <f>'Part II-Development Team'!L141</f>
        <v>0.9899</v>
      </c>
      <c r="M344" s="3188" t="str">
        <f>'Part II-Development Team'!M141</f>
        <v>No</v>
      </c>
      <c r="N344" s="3189">
        <f>'Part II-Development Team'!N141</f>
        <v>0</v>
      </c>
      <c r="O344" s="3189">
        <f>'Part II-Development Team'!O141</f>
        <v>0</v>
      </c>
      <c r="P344" s="3189">
        <f>'Part II-Development Team'!P141</f>
        <v>0</v>
      </c>
      <c r="Q344" s="3189">
        <f>'Part II-Development Team'!Q141</f>
        <v>0</v>
      </c>
      <c r="R344" s="3189">
        <f>'Part II-Development Team'!R141</f>
        <v>0</v>
      </c>
      <c r="S344" s="3189">
        <f>'Part II-Development Team'!S141</f>
        <v>0</v>
      </c>
    </row>
    <row r="345" spans="1:19" ht="13.5" customHeight="1">
      <c r="A345" s="3179" t="s">
        <v>469</v>
      </c>
      <c r="B345" s="3179"/>
      <c r="C345" s="3179"/>
      <c r="D345" s="3179"/>
      <c r="E345" s="3189">
        <f>'Part II-Development Team'!E142</f>
        <v>0</v>
      </c>
      <c r="F345" s="3189">
        <f>'Part II-Development Team'!F142</f>
        <v>0</v>
      </c>
      <c r="G345" s="3189">
        <f>'Part II-Development Team'!G142</f>
        <v>0</v>
      </c>
      <c r="H345" s="3189">
        <f>'Part II-Development Team'!H142</f>
        <v>0</v>
      </c>
      <c r="I345" s="3188" t="str">
        <f>'Part II-Development Team'!I142</f>
        <v>No</v>
      </c>
      <c r="J345" s="3188" t="str">
        <f>'Part II-Development Team'!J142</f>
        <v>No</v>
      </c>
      <c r="K345" s="3193" t="str">
        <f>'Part II-Development Team'!K142</f>
        <v>For Profit</v>
      </c>
      <c r="L345" s="3194">
        <f>'Part II-Development Team'!L142</f>
        <v>0.01</v>
      </c>
      <c r="M345" s="3188" t="str">
        <f>'Part II-Development Team'!M142</f>
        <v>Yes</v>
      </c>
      <c r="N345" s="3189" t="str">
        <f>'Part II-Development Team'!N142</f>
        <v>Identities of interest exist between the Owner, General Partner, Developer, General Contractor, State Syndicator, potential subcontractors, management company and the principals therein. Mary T. Johnson, Steven T. Johnson and Rebekah E.J. Stevens each have various interests in each of these entities listed here and all share familial relationships.</v>
      </c>
      <c r="O345" s="3189">
        <f>'Part II-Development Team'!O142</f>
        <v>0</v>
      </c>
      <c r="P345" s="3189">
        <f>'Part II-Development Team'!P142</f>
        <v>0</v>
      </c>
      <c r="Q345" s="3189">
        <f>'Part II-Development Team'!Q142</f>
        <v>0</v>
      </c>
      <c r="R345" s="3189">
        <f>'Part II-Development Team'!R142</f>
        <v>0</v>
      </c>
      <c r="S345" s="3189">
        <f>'Part II-Development Team'!S142</f>
        <v>0</v>
      </c>
    </row>
    <row r="346" spans="1:19" ht="13.5" customHeight="1">
      <c r="A346" s="3179" t="s">
        <v>470</v>
      </c>
      <c r="B346" s="3179"/>
      <c r="C346" s="3179"/>
      <c r="D346" s="3179"/>
      <c r="E346" s="3189">
        <f>'Part II-Development Team'!E143</f>
        <v>0</v>
      </c>
      <c r="F346" s="3189">
        <f>'Part II-Development Team'!F143</f>
        <v>0</v>
      </c>
      <c r="G346" s="3189">
        <f>'Part II-Development Team'!G143</f>
        <v>0</v>
      </c>
      <c r="H346" s="3189">
        <f>'Part II-Development Team'!H143</f>
        <v>0</v>
      </c>
      <c r="I346" s="3188">
        <f>'Part II-Development Team'!I143</f>
        <v>0</v>
      </c>
      <c r="J346" s="3188">
        <f>'Part II-Development Team'!J143</f>
        <v>0</v>
      </c>
      <c r="K346" s="3193">
        <f>'Part II-Development Team'!K143</f>
        <v>0</v>
      </c>
      <c r="L346" s="3194">
        <f>'Part II-Development Team'!L143</f>
        <v>0</v>
      </c>
      <c r="M346" s="3188">
        <f>'Part II-Development Team'!M143</f>
        <v>0</v>
      </c>
      <c r="N346" s="3189">
        <f>'Part II-Development Team'!N143</f>
        <v>0</v>
      </c>
      <c r="O346" s="3189">
        <f>'Part II-Development Team'!O143</f>
        <v>0</v>
      </c>
      <c r="P346" s="3189">
        <f>'Part II-Development Team'!P143</f>
        <v>0</v>
      </c>
      <c r="Q346" s="3189">
        <f>'Part II-Development Team'!Q143</f>
        <v>0</v>
      </c>
      <c r="R346" s="3189">
        <f>'Part II-Development Team'!R143</f>
        <v>0</v>
      </c>
      <c r="S346" s="3189">
        <f>'Part II-Development Team'!S143</f>
        <v>0</v>
      </c>
    </row>
    <row r="347" spans="1:19" ht="382.5">
      <c r="A347" s="3179" t="s">
        <v>471</v>
      </c>
      <c r="B347" s="3179"/>
      <c r="C347" s="3179"/>
      <c r="D347" s="3179"/>
      <c r="E347" s="3189">
        <f>'Part II-Development Team'!E144</f>
        <v>0</v>
      </c>
      <c r="F347" s="3189">
        <f>'Part II-Development Team'!F144</f>
        <v>0</v>
      </c>
      <c r="G347" s="3189">
        <f>'Part II-Development Team'!G144</f>
        <v>0</v>
      </c>
      <c r="H347" s="3189">
        <f>'Part II-Development Team'!H144</f>
        <v>0</v>
      </c>
      <c r="I347" s="3188" t="str">
        <f>'Part II-Development Team'!I144</f>
        <v>No</v>
      </c>
      <c r="J347" s="3188" t="str">
        <f>'Part II-Development Team'!J144</f>
        <v>No</v>
      </c>
      <c r="K347" s="3193" t="str">
        <f>'Part II-Development Team'!K144</f>
        <v>For Profit</v>
      </c>
      <c r="L347" s="3194">
        <f>'Part II-Development Team'!L144</f>
        <v>0</v>
      </c>
      <c r="M347" s="3188" t="str">
        <f>'Part II-Development Team'!M144</f>
        <v>Yes</v>
      </c>
      <c r="N347" s="3189" t="str">
        <f>'Part II-Development Team'!N144</f>
        <v>Identities of interest exist between the Owner, General Partner, Developer, General Contractor, State Syndicator, potential subcontractors, management company and the principals therein. Mary T. Johnson, Steven T. Johnson and Rebekah E.J. Stevens each have various interests in each of these entities listed here and all share familial relationships.</v>
      </c>
      <c r="O347" s="3189">
        <f>'Part II-Development Team'!O144</f>
        <v>0</v>
      </c>
      <c r="P347" s="3189">
        <f>'Part II-Development Team'!P144</f>
        <v>0</v>
      </c>
      <c r="Q347" s="3189">
        <f>'Part II-Development Team'!Q144</f>
        <v>0</v>
      </c>
      <c r="R347" s="3189">
        <f>'Part II-Development Team'!R144</f>
        <v>0</v>
      </c>
      <c r="S347" s="3189">
        <f>'Part II-Development Team'!S144</f>
        <v>0</v>
      </c>
    </row>
    <row r="348" spans="1:19" ht="13.5" customHeight="1">
      <c r="A348" s="3179" t="s">
        <v>472</v>
      </c>
      <c r="B348" s="3179"/>
      <c r="C348" s="3179"/>
      <c r="D348" s="3179"/>
      <c r="E348" s="3189">
        <f>'Part II-Development Team'!E145</f>
        <v>0</v>
      </c>
      <c r="F348" s="3189">
        <f>'Part II-Development Team'!F145</f>
        <v>0</v>
      </c>
      <c r="G348" s="3189">
        <f>'Part II-Development Team'!G145</f>
        <v>0</v>
      </c>
      <c r="H348" s="3189">
        <f>'Part II-Development Team'!H145</f>
        <v>0</v>
      </c>
      <c r="I348" s="3188">
        <f>'Part II-Development Team'!I145</f>
        <v>0</v>
      </c>
      <c r="J348" s="3188">
        <f>'Part II-Development Team'!J145</f>
        <v>0</v>
      </c>
      <c r="K348" s="3193">
        <f>'Part II-Development Team'!K145</f>
        <v>0</v>
      </c>
      <c r="L348" s="3194">
        <f>'Part II-Development Team'!L145</f>
        <v>0</v>
      </c>
      <c r="M348" s="3188">
        <f>'Part II-Development Team'!M145</f>
        <v>0</v>
      </c>
      <c r="N348" s="3189">
        <f>'Part II-Development Team'!N145</f>
        <v>0</v>
      </c>
      <c r="O348" s="3189">
        <f>'Part II-Development Team'!O145</f>
        <v>0</v>
      </c>
      <c r="P348" s="3189">
        <f>'Part II-Development Team'!P145</f>
        <v>0</v>
      </c>
      <c r="Q348" s="3189">
        <f>'Part II-Development Team'!Q145</f>
        <v>0</v>
      </c>
      <c r="R348" s="3189">
        <f>'Part II-Development Team'!R145</f>
        <v>0</v>
      </c>
      <c r="S348" s="3189">
        <f>'Part II-Development Team'!S145</f>
        <v>0</v>
      </c>
    </row>
    <row r="349" spans="1:19" ht="13.5" customHeight="1">
      <c r="A349" s="3179" t="s">
        <v>473</v>
      </c>
      <c r="B349" s="3179"/>
      <c r="C349" s="3179"/>
      <c r="D349" s="3179"/>
      <c r="E349" s="3189">
        <f>'Part II-Development Team'!E146</f>
        <v>0</v>
      </c>
      <c r="F349" s="3189">
        <f>'Part II-Development Team'!F146</f>
        <v>0</v>
      </c>
      <c r="G349" s="3189">
        <f>'Part II-Development Team'!G146</f>
        <v>0</v>
      </c>
      <c r="H349" s="3189">
        <f>'Part II-Development Team'!H146</f>
        <v>0</v>
      </c>
      <c r="I349" s="3188">
        <f>'Part II-Development Team'!I146</f>
        <v>0</v>
      </c>
      <c r="J349" s="3188">
        <f>'Part II-Development Team'!J146</f>
        <v>0</v>
      </c>
      <c r="K349" s="3193">
        <f>'Part II-Development Team'!K146</f>
        <v>0</v>
      </c>
      <c r="L349" s="3194">
        <f>'Part II-Development Team'!L146</f>
        <v>0</v>
      </c>
      <c r="M349" s="3188">
        <f>'Part II-Development Team'!M146</f>
        <v>0</v>
      </c>
      <c r="N349" s="3189">
        <f>'Part II-Development Team'!N146</f>
        <v>0</v>
      </c>
      <c r="O349" s="3189">
        <f>'Part II-Development Team'!O146</f>
        <v>0</v>
      </c>
      <c r="P349" s="3189">
        <f>'Part II-Development Team'!P146</f>
        <v>0</v>
      </c>
      <c r="Q349" s="3189">
        <f>'Part II-Development Team'!Q146</f>
        <v>0</v>
      </c>
      <c r="R349" s="3189">
        <f>'Part II-Development Team'!R146</f>
        <v>0</v>
      </c>
      <c r="S349" s="3189">
        <f>'Part II-Development Team'!S146</f>
        <v>0</v>
      </c>
    </row>
    <row r="350" spans="1:19" ht="13.5" customHeight="1">
      <c r="A350" s="3179" t="s">
        <v>474</v>
      </c>
      <c r="B350" s="3179"/>
      <c r="C350" s="3179"/>
      <c r="D350" s="3179"/>
      <c r="E350" s="3189">
        <f>'Part II-Development Team'!E147</f>
        <v>0</v>
      </c>
      <c r="F350" s="3189">
        <f>'Part II-Development Team'!F147</f>
        <v>0</v>
      </c>
      <c r="G350" s="3189">
        <f>'Part II-Development Team'!G147</f>
        <v>0</v>
      </c>
      <c r="H350" s="3189">
        <f>'Part II-Development Team'!H147</f>
        <v>0</v>
      </c>
      <c r="I350" s="3188">
        <f>'Part II-Development Team'!I147</f>
        <v>0</v>
      </c>
      <c r="J350" s="3188">
        <f>'Part II-Development Team'!J147</f>
        <v>0</v>
      </c>
      <c r="K350" s="3193">
        <f>'Part II-Development Team'!K147</f>
        <v>0</v>
      </c>
      <c r="L350" s="3194">
        <f>'Part II-Development Team'!L147</f>
        <v>0</v>
      </c>
      <c r="M350" s="3188">
        <f>'Part II-Development Team'!M147</f>
        <v>0</v>
      </c>
      <c r="N350" s="3189">
        <f>'Part II-Development Team'!N147</f>
        <v>0</v>
      </c>
      <c r="O350" s="3189">
        <f>'Part II-Development Team'!O147</f>
        <v>0</v>
      </c>
      <c r="P350" s="3189">
        <f>'Part II-Development Team'!P147</f>
        <v>0</v>
      </c>
      <c r="Q350" s="3189">
        <f>'Part II-Development Team'!Q147</f>
        <v>0</v>
      </c>
      <c r="R350" s="3189">
        <f>'Part II-Development Team'!R147</f>
        <v>0</v>
      </c>
      <c r="S350" s="3189">
        <f>'Part II-Development Team'!S147</f>
        <v>0</v>
      </c>
    </row>
    <row r="351" spans="1:19" ht="13.5" customHeight="1">
      <c r="A351" s="3179" t="s">
        <v>475</v>
      </c>
      <c r="B351" s="3179"/>
      <c r="C351" s="3179"/>
      <c r="D351" s="3179"/>
      <c r="E351" s="3189">
        <f>'Part II-Development Team'!E148</f>
        <v>0</v>
      </c>
      <c r="F351" s="3189">
        <f>'Part II-Development Team'!F148</f>
        <v>0</v>
      </c>
      <c r="G351" s="3189">
        <f>'Part II-Development Team'!G148</f>
        <v>0</v>
      </c>
      <c r="H351" s="3189">
        <f>'Part II-Development Team'!H148</f>
        <v>0</v>
      </c>
      <c r="I351" s="3188">
        <f>'Part II-Development Team'!I148</f>
        <v>0</v>
      </c>
      <c r="J351" s="3188">
        <f>'Part II-Development Team'!J148</f>
        <v>0</v>
      </c>
      <c r="K351" s="3193">
        <f>'Part II-Development Team'!K148</f>
        <v>0</v>
      </c>
      <c r="L351" s="3194">
        <f>'Part II-Development Team'!L148</f>
        <v>0</v>
      </c>
      <c r="M351" s="3188">
        <f>'Part II-Development Team'!M148</f>
        <v>0</v>
      </c>
      <c r="N351" s="3189">
        <f>'Part II-Development Team'!N148</f>
        <v>0</v>
      </c>
      <c r="O351" s="3189">
        <f>'Part II-Development Team'!O148</f>
        <v>0</v>
      </c>
      <c r="P351" s="3189">
        <f>'Part II-Development Team'!P148</f>
        <v>0</v>
      </c>
      <c r="Q351" s="3189">
        <f>'Part II-Development Team'!Q148</f>
        <v>0</v>
      </c>
      <c r="R351" s="3189">
        <f>'Part II-Development Team'!R148</f>
        <v>0</v>
      </c>
      <c r="S351" s="3189">
        <f>'Part II-Development Team'!S148</f>
        <v>0</v>
      </c>
    </row>
    <row r="352" spans="1:19" ht="382.5">
      <c r="A352" s="3179" t="s">
        <v>476</v>
      </c>
      <c r="B352" s="3179"/>
      <c r="C352" s="3179"/>
      <c r="D352" s="3179"/>
      <c r="E352" s="3189">
        <f>'Part II-Development Team'!E149</f>
        <v>0</v>
      </c>
      <c r="F352" s="3189">
        <f>'Part II-Development Team'!F149</f>
        <v>0</v>
      </c>
      <c r="G352" s="3189">
        <f>'Part II-Development Team'!G149</f>
        <v>0</v>
      </c>
      <c r="H352" s="3189">
        <f>'Part II-Development Team'!H149</f>
        <v>0</v>
      </c>
      <c r="I352" s="3188" t="str">
        <f>'Part II-Development Team'!I149</f>
        <v>No</v>
      </c>
      <c r="J352" s="3188" t="str">
        <f>'Part II-Development Team'!J149</f>
        <v>No</v>
      </c>
      <c r="K352" s="3193" t="str">
        <f>'Part II-Development Team'!K149</f>
        <v>For Profit</v>
      </c>
      <c r="L352" s="3194">
        <f>'Part II-Development Team'!L149</f>
        <v>0</v>
      </c>
      <c r="M352" s="3188" t="str">
        <f>'Part II-Development Team'!M149</f>
        <v>Yes</v>
      </c>
      <c r="N352" s="3189" t="str">
        <f>'Part II-Development Team'!N149</f>
        <v>Identities of interest exist between the Owner, General Partner, Developer, General Contractor, State Syndicator, potential subcontractors, management company and the principals therein. Mary T. Johnson, Steven T. Johnson and Rebekah E.J. Stevens each have various interests in each of these entities listed here and all share familial relationships.</v>
      </c>
      <c r="O352" s="3189">
        <f>'Part II-Development Team'!O149</f>
        <v>0</v>
      </c>
      <c r="P352" s="3189">
        <f>'Part II-Development Team'!P149</f>
        <v>0</v>
      </c>
      <c r="Q352" s="3189">
        <f>'Part II-Development Team'!Q149</f>
        <v>0</v>
      </c>
      <c r="R352" s="3189">
        <f>'Part II-Development Team'!R149</f>
        <v>0</v>
      </c>
      <c r="S352" s="3189">
        <f>'Part II-Development Team'!S149</f>
        <v>0</v>
      </c>
    </row>
    <row r="353" spans="1:19" ht="13.5" customHeight="1">
      <c r="A353" s="3179" t="s">
        <v>477</v>
      </c>
      <c r="B353" s="3179"/>
      <c r="C353" s="3179"/>
      <c r="D353" s="3179"/>
      <c r="E353" s="3189">
        <f>'Part II-Development Team'!E150</f>
        <v>0</v>
      </c>
      <c r="F353" s="3189">
        <f>'Part II-Development Team'!F150</f>
        <v>0</v>
      </c>
      <c r="G353" s="3189">
        <f>'Part II-Development Team'!G150</f>
        <v>0</v>
      </c>
      <c r="H353" s="3189">
        <f>'Part II-Development Team'!H150</f>
        <v>0</v>
      </c>
      <c r="I353" s="3188" t="str">
        <f>'Part II-Development Team'!I150</f>
        <v>No</v>
      </c>
      <c r="J353" s="3188" t="str">
        <f>'Part II-Development Team'!J150</f>
        <v>No</v>
      </c>
      <c r="K353" s="3193" t="str">
        <f>'Part II-Development Team'!K150</f>
        <v>For Profit</v>
      </c>
      <c r="L353" s="3194">
        <f>'Part II-Development Team'!L150</f>
        <v>0</v>
      </c>
      <c r="M353" s="3188" t="str">
        <f>'Part II-Development Team'!M150</f>
        <v>Yes</v>
      </c>
      <c r="N353" s="3189" t="str">
        <f>'Part II-Development Team'!N150</f>
        <v>Identities of interest exist between the Owner, General Partner, Developer, General Contractor, State Syndicator, potential subcontractors, management company and the principals therein. Mary T. Johnson, Steven T. Johnson and Rebekah E.J. Stevens each have various interests in each of these entities listed here and all share familial relationships.</v>
      </c>
      <c r="O353" s="3189">
        <f>'Part II-Development Team'!O150</f>
        <v>0</v>
      </c>
      <c r="P353" s="3189">
        <f>'Part II-Development Team'!P150</f>
        <v>0</v>
      </c>
      <c r="Q353" s="3189">
        <f>'Part II-Development Team'!Q150</f>
        <v>0</v>
      </c>
      <c r="R353" s="3189">
        <f>'Part II-Development Team'!R150</f>
        <v>0</v>
      </c>
      <c r="S353" s="3189">
        <f>'Part II-Development Team'!S150</f>
        <v>0</v>
      </c>
    </row>
    <row r="354" spans="1:19">
      <c r="A354" s="3107"/>
      <c r="B354" s="3107"/>
      <c r="C354" s="3107"/>
      <c r="D354" s="3107"/>
      <c r="E354" s="3107"/>
      <c r="F354" s="3107"/>
      <c r="G354" s="3104"/>
      <c r="H354" s="3104"/>
      <c r="I354" s="3104"/>
      <c r="J354" s="3112"/>
      <c r="K354" s="3159" t="s">
        <v>478</v>
      </c>
      <c r="L354" s="3195">
        <f>SUM(L341:S353)</f>
        <v>1</v>
      </c>
      <c r="M354" s="3112"/>
      <c r="N354" s="3107"/>
      <c r="O354" s="3107"/>
      <c r="P354" s="3114"/>
      <c r="Q354" s="3107"/>
      <c r="R354" s="3107"/>
      <c r="S354" s="3107"/>
    </row>
    <row r="355" spans="1:19">
      <c r="A355" s="3155" t="s">
        <v>150</v>
      </c>
      <c r="B355" s="3157"/>
      <c r="C355" s="3155" t="s">
        <v>259</v>
      </c>
      <c r="D355" s="3114"/>
      <c r="E355" s="3114"/>
      <c r="F355" s="3114"/>
      <c r="G355" s="3114"/>
      <c r="H355" s="3114"/>
      <c r="I355" s="3114"/>
      <c r="J355" s="3114"/>
      <c r="K355" s="3114"/>
      <c r="L355" s="3114"/>
      <c r="M355" s="3114"/>
      <c r="N355" s="3155" t="s">
        <v>150</v>
      </c>
      <c r="O355" s="3155" t="s">
        <v>261</v>
      </c>
      <c r="P355" s="3114"/>
      <c r="Q355" s="3114"/>
      <c r="R355" s="3114"/>
      <c r="S355" s="3114"/>
    </row>
    <row r="356" spans="1:19" ht="12.75" customHeight="1">
      <c r="A356" s="3179" t="str">
        <f>'Part II-Development Team'!A153</f>
        <v>Identities of interest exist between the Owner, General Partner, Developer, General Contractor, State Syndicator, potential subcontractors, management company and the principals therein. Mary T. Johnson, Steven T. Johnson and Rebekah E.J. Stevens each have various interests in each of these entities listed here and all share familial relationships.</v>
      </c>
      <c r="B356" s="3179">
        <f>'Part II-Development Team'!B153</f>
        <v>0</v>
      </c>
      <c r="C356" s="3179">
        <f>'Part II-Development Team'!C153</f>
        <v>0</v>
      </c>
      <c r="D356" s="3179">
        <f>'Part II-Development Team'!D153</f>
        <v>0</v>
      </c>
      <c r="E356" s="3179">
        <f>'Part II-Development Team'!E153</f>
        <v>0</v>
      </c>
      <c r="F356" s="3179">
        <f>'Part II-Development Team'!F153</f>
        <v>0</v>
      </c>
      <c r="G356" s="3179">
        <f>'Part II-Development Team'!G153</f>
        <v>0</v>
      </c>
      <c r="H356" s="3179">
        <f>'Part II-Development Team'!H153</f>
        <v>0</v>
      </c>
      <c r="I356" s="3179">
        <f>'Part II-Development Team'!I153</f>
        <v>0</v>
      </c>
      <c r="J356" s="3179">
        <f>'Part II-Development Team'!J153</f>
        <v>0</v>
      </c>
      <c r="K356" s="3179">
        <f>'Part II-Development Team'!K153</f>
        <v>0</v>
      </c>
      <c r="L356" s="3179">
        <f>'Part II-Development Team'!L153</f>
        <v>0</v>
      </c>
      <c r="M356" s="3179">
        <f>'Part II-Development Team'!M153</f>
        <v>0</v>
      </c>
      <c r="N356" s="3179">
        <f>'Part II-Development Team'!N153</f>
        <v>0</v>
      </c>
      <c r="O356" s="3179">
        <f>'Part II-Development Team'!O153</f>
        <v>0</v>
      </c>
      <c r="P356" s="3179">
        <f>'Part II-Development Team'!P153</f>
        <v>0</v>
      </c>
      <c r="Q356" s="3179">
        <f>'Part II-Development Team'!Q153</f>
        <v>0</v>
      </c>
      <c r="R356" s="3179">
        <f>'Part II-Development Team'!R153</f>
        <v>0</v>
      </c>
      <c r="S356" s="3179">
        <f>'Part II-Development Team'!S153</f>
        <v>0</v>
      </c>
    </row>
    <row r="364" spans="1:19">
      <c r="A364" s="3104" t="str">
        <f>CONCATENATE("PART THREE - SOURCES OF FUNDS","  -  ",'Part I-Project Information'!$O$6," ",'Part I-Project Information'!$F$34,", ",'Part I-Project Information'!$F$38,", ",'Part I-Project Information'!$J$39," County")</f>
        <v>PART THREE - SOURCES OF FUNDS  -  2018-008 Mill at Stone Valley, Ball Ground, Cherokee County</v>
      </c>
      <c r="B364" s="3104"/>
      <c r="C364" s="3104"/>
      <c r="D364" s="3104"/>
      <c r="E364" s="3104"/>
      <c r="F364" s="3104"/>
      <c r="G364" s="3104"/>
      <c r="H364" s="3104"/>
      <c r="I364" s="3104"/>
      <c r="J364" s="3104"/>
      <c r="K364" s="3104"/>
      <c r="L364" s="3104"/>
      <c r="M364" s="3104"/>
      <c r="N364" s="3104"/>
      <c r="O364" s="3104"/>
      <c r="P364" s="3104"/>
      <c r="Q364" s="3104"/>
    </row>
    <row r="365" spans="1:19">
      <c r="A365" s="3114"/>
      <c r="B365" s="3114"/>
      <c r="C365" s="3114"/>
      <c r="D365" s="3114"/>
      <c r="E365" s="3114"/>
      <c r="F365" s="3114"/>
      <c r="G365" s="3111"/>
      <c r="H365" s="3111"/>
      <c r="I365" s="3111"/>
      <c r="J365" s="3111"/>
      <c r="K365" s="3111"/>
      <c r="L365" s="3111"/>
      <c r="M365" s="3114"/>
      <c r="N365" s="3114"/>
      <c r="O365" s="3114"/>
      <c r="P365" s="3114"/>
      <c r="Q365" s="3114"/>
    </row>
    <row r="366" spans="1:19" ht="13.5">
      <c r="A366" s="3104" t="s">
        <v>9</v>
      </c>
      <c r="B366" s="3155" t="s">
        <v>529</v>
      </c>
      <c r="C366" s="3107"/>
      <c r="D366" s="3107"/>
      <c r="E366" s="3107"/>
      <c r="F366" s="3107"/>
      <c r="G366" s="3107"/>
      <c r="H366" s="3119"/>
      <c r="I366" s="3119"/>
      <c r="J366" s="3107"/>
      <c r="K366" s="3119"/>
      <c r="L366" s="3119"/>
      <c r="M366" s="3119"/>
      <c r="N366" s="3119"/>
      <c r="O366" s="3119"/>
      <c r="P366" s="3119"/>
      <c r="Q366" s="3119"/>
    </row>
    <row r="367" spans="1:19" ht="13.5">
      <c r="A367" s="3155"/>
      <c r="B367" s="3105"/>
      <c r="C367" s="3155"/>
      <c r="D367" s="3107"/>
      <c r="E367" s="3107"/>
      <c r="F367" s="3107"/>
      <c r="G367" s="3107"/>
      <c r="H367" s="3119"/>
      <c r="I367" s="3119"/>
      <c r="J367" s="3119"/>
      <c r="K367" s="3119"/>
      <c r="L367" s="3119"/>
      <c r="M367" s="3119"/>
      <c r="N367" s="3119"/>
      <c r="O367" s="3119"/>
      <c r="P367" s="3119"/>
      <c r="Q367" s="3119"/>
    </row>
    <row r="368" spans="1:19" ht="13.5">
      <c r="A368" s="3105"/>
      <c r="B368" s="3112" t="str">
        <f>'Part III-Sources of Funds'!B5</f>
        <v>Yes</v>
      </c>
      <c r="C368" s="3115" t="s">
        <v>531</v>
      </c>
      <c r="D368" s="3107"/>
      <c r="E368" s="3119"/>
      <c r="F368" s="3119"/>
      <c r="G368" s="3119"/>
      <c r="H368" s="3112" t="str">
        <f>'Part III-Sources of Funds'!H5</f>
        <v>No</v>
      </c>
      <c r="I368" s="3115" t="s">
        <v>532</v>
      </c>
      <c r="J368" s="3119"/>
      <c r="K368" s="3119"/>
      <c r="L368" s="3112" t="str">
        <f>'Part III-Sources of Funds'!L5</f>
        <v>No</v>
      </c>
      <c r="M368" s="3107" t="s">
        <v>533</v>
      </c>
      <c r="N368" s="3119"/>
      <c r="O368" s="3119"/>
      <c r="P368" s="3119"/>
      <c r="Q368" s="3119"/>
    </row>
    <row r="369" spans="1:17" ht="13.5">
      <c r="A369" s="3105"/>
      <c r="B369" s="3112" t="str">
        <f>'Part III-Sources of Funds'!B6</f>
        <v>No</v>
      </c>
      <c r="C369" s="3115" t="s">
        <v>534</v>
      </c>
      <c r="D369" s="3107"/>
      <c r="E369" s="3119"/>
      <c r="F369" s="3119"/>
      <c r="G369" s="3119"/>
      <c r="H369" s="3112" t="str">
        <f>'Part III-Sources of Funds'!H6</f>
        <v>No</v>
      </c>
      <c r="I369" s="3115" t="s">
        <v>535</v>
      </c>
      <c r="J369" s="3119"/>
      <c r="K369" s="3119"/>
      <c r="L369" s="3112" t="str">
        <f>'Part III-Sources of Funds'!L6</f>
        <v>No</v>
      </c>
      <c r="M369" s="3115" t="s">
        <v>536</v>
      </c>
      <c r="N369" s="3119"/>
      <c r="O369" s="3119"/>
      <c r="P369" s="3119"/>
      <c r="Q369" s="3119"/>
    </row>
    <row r="370" spans="1:17" ht="13.5">
      <c r="A370" s="3107"/>
      <c r="B370" s="3112" t="str">
        <f>'Part III-Sources of Funds'!B7</f>
        <v>No</v>
      </c>
      <c r="C370" s="3115" t="s">
        <v>537</v>
      </c>
      <c r="D370" s="3119"/>
      <c r="E370" s="3119"/>
      <c r="F370" s="3165">
        <f>'Part III-Sources of Funds'!F7</f>
        <v>0</v>
      </c>
      <c r="G370" s="3165">
        <f>'Part III-Sources of Funds'!G7</f>
        <v>0</v>
      </c>
      <c r="H370" s="3112" t="str">
        <f>'Part III-Sources of Funds'!H7</f>
        <v>No</v>
      </c>
      <c r="I370" s="3115" t="s">
        <v>538</v>
      </c>
      <c r="J370" s="3119"/>
      <c r="K370" s="3119"/>
      <c r="L370" s="3112" t="str">
        <f>'Part III-Sources of Funds'!L7</f>
        <v>No</v>
      </c>
      <c r="M370" s="3115" t="s">
        <v>539</v>
      </c>
      <c r="N370" s="3119"/>
      <c r="O370" s="3119"/>
      <c r="P370" s="3119"/>
      <c r="Q370" s="3119"/>
    </row>
    <row r="371" spans="1:17" ht="13.5">
      <c r="A371" s="3105"/>
      <c r="B371" s="3112" t="str">
        <f>'Part III-Sources of Funds'!B8</f>
        <v>No</v>
      </c>
      <c r="C371" s="3115" t="s">
        <v>540</v>
      </c>
      <c r="D371" s="3107"/>
      <c r="E371" s="3119"/>
      <c r="F371" s="3119"/>
      <c r="G371" s="3119"/>
      <c r="H371" s="3112" t="str">
        <f>'Part III-Sources of Funds'!H8</f>
        <v>No</v>
      </c>
      <c r="I371" s="3107" t="s">
        <v>541</v>
      </c>
      <c r="J371" s="3119"/>
      <c r="K371" s="3119"/>
      <c r="L371" s="3112" t="str">
        <f>'Part III-Sources of Funds'!L8</f>
        <v>No</v>
      </c>
      <c r="M371" s="3115" t="s">
        <v>542</v>
      </c>
      <c r="N371" s="3119"/>
      <c r="O371" s="3119"/>
      <c r="P371" s="3119"/>
      <c r="Q371" s="3119"/>
    </row>
    <row r="372" spans="1:17" ht="13.5">
      <c r="A372" s="3105"/>
      <c r="B372" s="3112" t="str">
        <f>'Part III-Sources of Funds'!B9</f>
        <v>No</v>
      </c>
      <c r="C372" s="3115" t="s">
        <v>543</v>
      </c>
      <c r="D372" s="3119"/>
      <c r="E372" s="3119"/>
      <c r="F372" s="3119"/>
      <c r="G372" s="3119"/>
      <c r="H372" s="3112" t="str">
        <f>'Part III-Sources of Funds'!H9</f>
        <v>No</v>
      </c>
      <c r="I372" s="3107" t="s">
        <v>544</v>
      </c>
      <c r="J372" s="3119"/>
      <c r="K372" s="3119"/>
      <c r="L372" s="3112" t="str">
        <f>'Part III-Sources of Funds'!L9</f>
        <v>No</v>
      </c>
      <c r="M372" s="3115" t="s">
        <v>545</v>
      </c>
      <c r="N372" s="3119"/>
      <c r="O372" s="3119"/>
      <c r="P372" s="3119"/>
      <c r="Q372" s="3119"/>
    </row>
    <row r="373" spans="1:17" ht="13.5">
      <c r="A373" s="3105"/>
      <c r="B373" s="3112" t="str">
        <f>'Part III-Sources of Funds'!B10</f>
        <v>No</v>
      </c>
      <c r="C373" s="3115" t="s">
        <v>546</v>
      </c>
      <c r="D373" s="3119"/>
      <c r="E373" s="3119"/>
      <c r="F373" s="3119"/>
      <c r="G373" s="3196"/>
      <c r="H373" s="3112" t="str">
        <f>'Part III-Sources of Funds'!H10</f>
        <v>No</v>
      </c>
      <c r="I373" s="3107" t="s">
        <v>547</v>
      </c>
      <c r="J373" s="3103"/>
      <c r="K373" s="3103"/>
      <c r="L373" s="3112" t="str">
        <f>'Part III-Sources of Funds'!L10</f>
        <v>No</v>
      </c>
      <c r="M373" s="3115" t="s">
        <v>548</v>
      </c>
      <c r="N373" s="3119"/>
      <c r="O373" s="3119" t="str">
        <f>'Part III-Sources of Funds'!O10</f>
        <v>Specify Other PBRA Source here</v>
      </c>
      <c r="P373" s="3119">
        <f>'Part III-Sources of Funds'!P10</f>
        <v>0</v>
      </c>
      <c r="Q373" s="3119">
        <f>'Part III-Sources of Funds'!Q10</f>
        <v>0</v>
      </c>
    </row>
    <row r="374" spans="1:17" ht="13.5">
      <c r="A374" s="3105"/>
      <c r="B374" s="3112" t="str">
        <f>'Part III-Sources of Funds'!B11</f>
        <v>No</v>
      </c>
      <c r="C374" s="3115" t="s">
        <v>4757</v>
      </c>
      <c r="D374" s="3107"/>
      <c r="E374" s="3197">
        <f>'Part III-Sources of Funds'!E11</f>
        <v>0</v>
      </c>
      <c r="F374" s="3198">
        <f>'Part III-Sources of Funds'!F11</f>
        <v>0</v>
      </c>
      <c r="G374" s="3119"/>
      <c r="H374" s="3112" t="str">
        <f>'Part III-Sources of Funds'!H11</f>
        <v>No</v>
      </c>
      <c r="I374" s="3107" t="s">
        <v>551</v>
      </c>
      <c r="J374" s="3119"/>
      <c r="K374" s="3119"/>
      <c r="L374" s="3112" t="str">
        <f>'Part III-Sources of Funds'!L11</f>
        <v>No</v>
      </c>
      <c r="M374" s="3107" t="s">
        <v>552</v>
      </c>
      <c r="N374" s="3119"/>
      <c r="O374" s="3119"/>
      <c r="P374" s="3119"/>
      <c r="Q374" s="3119"/>
    </row>
    <row r="375" spans="1:17" ht="13.5">
      <c r="A375" s="3105"/>
      <c r="B375" s="3112" t="str">
        <f>'Part III-Sources of Funds'!B12</f>
        <v>No</v>
      </c>
      <c r="C375" s="3115" t="s">
        <v>4758</v>
      </c>
      <c r="D375" s="3119"/>
      <c r="E375" s="3197">
        <f>'Part III-Sources of Funds'!E12</f>
        <v>0</v>
      </c>
      <c r="F375" s="3198">
        <f>'Part III-Sources of Funds'!F12</f>
        <v>0</v>
      </c>
      <c r="G375" s="3119"/>
      <c r="H375" s="3112" t="str">
        <f>'Part III-Sources of Funds'!H12</f>
        <v>No</v>
      </c>
      <c r="I375" s="3169" t="s">
        <v>554</v>
      </c>
      <c r="J375" s="3169"/>
      <c r="K375" s="3169"/>
      <c r="L375" s="3112" t="str">
        <f>'Part III-Sources of Funds'!L12</f>
        <v>No</v>
      </c>
      <c r="M375" s="3119" t="str">
        <f>'Part III-Sources of Funds'!M12</f>
        <v>Other Type of Funding - describe type/program here</v>
      </c>
      <c r="N375" s="3119">
        <f>'Part III-Sources of Funds'!N12</f>
        <v>0</v>
      </c>
      <c r="O375" s="3119">
        <f>'Part III-Sources of Funds'!O12</f>
        <v>0</v>
      </c>
      <c r="P375" s="3119">
        <f>'Part III-Sources of Funds'!P12</f>
        <v>0</v>
      </c>
      <c r="Q375" s="3119">
        <f>'Part III-Sources of Funds'!Q12</f>
        <v>0</v>
      </c>
    </row>
    <row r="376" spans="1:17" ht="13.5">
      <c r="A376" s="3105"/>
      <c r="B376" s="3119"/>
      <c r="C376" s="3119" t="s">
        <v>556</v>
      </c>
      <c r="D376" s="3119"/>
      <c r="E376" s="3119" t="str">
        <f>'Part III-Sources of Funds'!E13</f>
        <v>Specify Other HOME Source here</v>
      </c>
      <c r="F376" s="3119">
        <f>'Part III-Sources of Funds'!F13</f>
        <v>0</v>
      </c>
      <c r="G376" s="3119">
        <f>'Part III-Sources of Funds'!G13</f>
        <v>0</v>
      </c>
      <c r="H376" s="3112" t="str">
        <f>'Part III-Sources of Funds'!H13</f>
        <v>No</v>
      </c>
      <c r="I376" s="3115" t="s">
        <v>558</v>
      </c>
      <c r="J376" s="3169"/>
      <c r="K376" s="3169"/>
      <c r="L376" s="3119"/>
      <c r="M376" s="3119" t="str">
        <f>'Part III-Sources of Funds'!M13</f>
        <v>Specify Administrator of Other Funding Type here</v>
      </c>
      <c r="N376" s="3119">
        <f>'Part III-Sources of Funds'!N13</f>
        <v>0</v>
      </c>
      <c r="O376" s="3119">
        <f>'Part III-Sources of Funds'!O13</f>
        <v>0</v>
      </c>
      <c r="P376" s="3119">
        <f>'Part III-Sources of Funds'!P13</f>
        <v>0</v>
      </c>
      <c r="Q376" s="3119">
        <f>'Part III-Sources of Funds'!Q13</f>
        <v>0</v>
      </c>
    </row>
    <row r="377" spans="1:17" ht="13.5">
      <c r="A377" s="3105"/>
      <c r="B377" s="3119" t="s">
        <v>560</v>
      </c>
      <c r="C377" s="3107"/>
      <c r="D377" s="3107"/>
      <c r="E377" s="3107"/>
      <c r="F377" s="3107"/>
      <c r="G377" s="3107"/>
      <c r="H377" s="3107"/>
      <c r="I377" s="3107"/>
      <c r="J377" s="3107"/>
      <c r="K377" s="3107"/>
      <c r="L377" s="3107"/>
      <c r="M377" s="3138"/>
      <c r="N377" s="3107"/>
      <c r="O377" s="3107"/>
      <c r="P377" s="3107"/>
      <c r="Q377" s="3107"/>
    </row>
    <row r="378" spans="1:17" ht="13.5">
      <c r="A378" s="3105"/>
      <c r="B378" s="3119"/>
      <c r="C378" s="3119"/>
      <c r="D378" s="3119"/>
      <c r="E378" s="3119"/>
      <c r="F378" s="3119"/>
      <c r="G378" s="3119"/>
      <c r="H378" s="3119"/>
      <c r="I378" s="3119"/>
      <c r="J378" s="3119"/>
      <c r="K378" s="3119"/>
      <c r="L378" s="3107"/>
      <c r="M378" s="3138"/>
      <c r="N378" s="3107"/>
      <c r="O378" s="3107"/>
      <c r="P378" s="3107"/>
      <c r="Q378" s="3107"/>
    </row>
    <row r="379" spans="1:17" ht="13.5">
      <c r="A379" s="3104" t="s">
        <v>13</v>
      </c>
      <c r="B379" s="3108" t="s">
        <v>561</v>
      </c>
      <c r="C379" s="3107"/>
      <c r="D379" s="3107"/>
      <c r="E379" s="3107"/>
      <c r="F379" s="3107"/>
      <c r="G379" s="3107"/>
      <c r="H379" s="3119"/>
      <c r="I379" s="3177"/>
      <c r="J379" s="3177"/>
      <c r="K379" s="3177"/>
      <c r="L379" s="3107"/>
      <c r="M379" s="3107"/>
      <c r="N379" s="3107"/>
      <c r="O379" s="3107"/>
      <c r="P379" s="3107"/>
      <c r="Q379" s="3107"/>
    </row>
    <row r="380" spans="1:17" ht="13.5">
      <c r="A380" s="3104"/>
      <c r="B380" s="3108"/>
      <c r="C380" s="3107"/>
      <c r="D380" s="3177"/>
      <c r="E380" s="3177"/>
      <c r="F380" s="3177"/>
      <c r="G380" s="3177"/>
      <c r="H380" s="3177"/>
      <c r="I380" s="3177"/>
      <c r="J380" s="3177"/>
      <c r="K380" s="3107"/>
      <c r="L380" s="3107"/>
      <c r="M380" s="3107"/>
      <c r="N380" s="3112"/>
      <c r="O380" s="3112"/>
      <c r="P380" s="3107"/>
      <c r="Q380" s="3107"/>
    </row>
    <row r="381" spans="1:17">
      <c r="A381" s="3107"/>
      <c r="B381" s="3115" t="s">
        <v>562</v>
      </c>
      <c r="C381" s="3107"/>
      <c r="D381" s="3107"/>
      <c r="E381" s="3107"/>
      <c r="F381" s="3107"/>
      <c r="G381" s="3107"/>
      <c r="H381" s="3107" t="s">
        <v>563</v>
      </c>
      <c r="I381" s="3107"/>
      <c r="J381" s="3107"/>
      <c r="K381" s="3107"/>
      <c r="L381" s="3107" t="s">
        <v>564</v>
      </c>
      <c r="M381" s="3107"/>
      <c r="N381" s="3107" t="s">
        <v>565</v>
      </c>
      <c r="O381" s="3107"/>
      <c r="P381" s="3107" t="s">
        <v>566</v>
      </c>
      <c r="Q381" s="3107"/>
    </row>
    <row r="382" spans="1:17">
      <c r="A382" s="3107"/>
      <c r="B382" s="3107" t="s">
        <v>567</v>
      </c>
      <c r="C382" s="3107"/>
      <c r="D382" s="3107"/>
      <c r="E382" s="3107"/>
      <c r="F382" s="3107"/>
      <c r="G382" s="3107"/>
      <c r="H382" s="3186" t="str">
        <f>'Part III-Sources of Funds'!H19</f>
        <v>Guardian Bank</v>
      </c>
      <c r="I382" s="3186">
        <f>'Part III-Sources of Funds'!I19</f>
        <v>0</v>
      </c>
      <c r="J382" s="3186">
        <f>'Part III-Sources of Funds'!J19</f>
        <v>0</v>
      </c>
      <c r="K382" s="3186">
        <f>'Part III-Sources of Funds'!K19</f>
        <v>0</v>
      </c>
      <c r="L382" s="3122">
        <f>'Part III-Sources of Funds'!L19</f>
        <v>2267374</v>
      </c>
      <c r="M382" s="3122">
        <f>'Part III-Sources of Funds'!M19</f>
        <v>0</v>
      </c>
      <c r="N382" s="3199">
        <f>'Part III-Sources of Funds'!N19</f>
        <v>0.05</v>
      </c>
      <c r="O382" s="3199">
        <f>'Part III-Sources of Funds'!O19</f>
        <v>0</v>
      </c>
      <c r="P382" s="3200">
        <f>'Part III-Sources of Funds'!P19</f>
        <v>20</v>
      </c>
      <c r="Q382" s="3200">
        <f>'Part III-Sources of Funds'!Q19</f>
        <v>0</v>
      </c>
    </row>
    <row r="383" spans="1:17">
      <c r="A383" s="3107"/>
      <c r="B383" s="3107" t="s">
        <v>568</v>
      </c>
      <c r="C383" s="3107"/>
      <c r="D383" s="3107"/>
      <c r="E383" s="3107"/>
      <c r="F383" s="3107"/>
      <c r="G383" s="3107"/>
      <c r="H383" s="3186">
        <f>'Part III-Sources of Funds'!H20</f>
        <v>0</v>
      </c>
      <c r="I383" s="3186">
        <f>'Part III-Sources of Funds'!I20</f>
        <v>0</v>
      </c>
      <c r="J383" s="3186">
        <f>'Part III-Sources of Funds'!J20</f>
        <v>0</v>
      </c>
      <c r="K383" s="3186">
        <f>'Part III-Sources of Funds'!K20</f>
        <v>0</v>
      </c>
      <c r="L383" s="3122">
        <f>'Part III-Sources of Funds'!L20</f>
        <v>0</v>
      </c>
      <c r="M383" s="3122">
        <f>'Part III-Sources of Funds'!M20</f>
        <v>0</v>
      </c>
      <c r="N383" s="3199">
        <f>'Part III-Sources of Funds'!N20</f>
        <v>0</v>
      </c>
      <c r="O383" s="3199">
        <f>'Part III-Sources of Funds'!O20</f>
        <v>0</v>
      </c>
      <c r="P383" s="3200">
        <f>'Part III-Sources of Funds'!P20</f>
        <v>0</v>
      </c>
      <c r="Q383" s="3200">
        <f>'Part III-Sources of Funds'!Q20</f>
        <v>0</v>
      </c>
    </row>
    <row r="384" spans="1:17">
      <c r="A384" s="3107"/>
      <c r="B384" s="3107" t="s">
        <v>569</v>
      </c>
      <c r="C384" s="3107"/>
      <c r="D384" s="3107"/>
      <c r="E384" s="3107"/>
      <c r="F384" s="3107"/>
      <c r="G384" s="3107"/>
      <c r="H384" s="3186">
        <f>'Part III-Sources of Funds'!H21</f>
        <v>0</v>
      </c>
      <c r="I384" s="3186">
        <f>'Part III-Sources of Funds'!I21</f>
        <v>0</v>
      </c>
      <c r="J384" s="3186">
        <f>'Part III-Sources of Funds'!J21</f>
        <v>0</v>
      </c>
      <c r="K384" s="3186">
        <f>'Part III-Sources of Funds'!K21</f>
        <v>0</v>
      </c>
      <c r="L384" s="3122">
        <f>'Part III-Sources of Funds'!L21</f>
        <v>0</v>
      </c>
      <c r="M384" s="3122">
        <f>'Part III-Sources of Funds'!M21</f>
        <v>0</v>
      </c>
      <c r="N384" s="3199">
        <f>'Part III-Sources of Funds'!N21</f>
        <v>0</v>
      </c>
      <c r="O384" s="3199">
        <f>'Part III-Sources of Funds'!O21</f>
        <v>0</v>
      </c>
      <c r="P384" s="3200">
        <f>'Part III-Sources of Funds'!P21</f>
        <v>0</v>
      </c>
      <c r="Q384" s="3200">
        <f>'Part III-Sources of Funds'!Q21</f>
        <v>0</v>
      </c>
    </row>
    <row r="385" spans="1:17">
      <c r="A385" s="3107"/>
      <c r="B385" s="3107" t="s">
        <v>570</v>
      </c>
      <c r="C385" s="3107"/>
      <c r="D385" s="3107"/>
      <c r="E385" s="3107"/>
      <c r="F385" s="3107"/>
      <c r="G385" s="3107"/>
      <c r="H385" s="3186">
        <f>'Part III-Sources of Funds'!H22</f>
        <v>0</v>
      </c>
      <c r="I385" s="3186">
        <f>'Part III-Sources of Funds'!I22</f>
        <v>0</v>
      </c>
      <c r="J385" s="3186">
        <f>'Part III-Sources of Funds'!J22</f>
        <v>0</v>
      </c>
      <c r="K385" s="3186">
        <f>'Part III-Sources of Funds'!K22</f>
        <v>0</v>
      </c>
      <c r="L385" s="3122">
        <f>'Part III-Sources of Funds'!L22</f>
        <v>0</v>
      </c>
      <c r="M385" s="3122">
        <f>'Part III-Sources of Funds'!M22</f>
        <v>0</v>
      </c>
      <c r="N385" s="3199"/>
      <c r="O385" s="3199"/>
      <c r="P385" s="3107"/>
      <c r="Q385" s="3107"/>
    </row>
    <row r="386" spans="1:17" ht="13.5">
      <c r="A386" s="3107"/>
      <c r="B386" s="3107" t="s">
        <v>571</v>
      </c>
      <c r="C386" s="3107"/>
      <c r="D386" s="3107"/>
      <c r="E386" s="3107"/>
      <c r="F386" s="3119"/>
      <c r="G386" s="3119"/>
      <c r="H386" s="3186">
        <f>'Part III-Sources of Funds'!H23</f>
        <v>0</v>
      </c>
      <c r="I386" s="3186">
        <f>'Part III-Sources of Funds'!I23</f>
        <v>0</v>
      </c>
      <c r="J386" s="3186">
        <f>'Part III-Sources of Funds'!J23</f>
        <v>0</v>
      </c>
      <c r="K386" s="3186">
        <f>'Part III-Sources of Funds'!K23</f>
        <v>0</v>
      </c>
      <c r="L386" s="3122">
        <f>'Part III-Sources of Funds'!L23</f>
        <v>0</v>
      </c>
      <c r="M386" s="3122">
        <f>'Part III-Sources of Funds'!M23</f>
        <v>0</v>
      </c>
      <c r="N386" s="3199"/>
      <c r="O386" s="3199"/>
      <c r="P386" s="3107"/>
      <c r="Q386" s="3107"/>
    </row>
    <row r="387" spans="1:17" ht="13.5">
      <c r="A387" s="3107"/>
      <c r="B387" s="3107" t="s">
        <v>572</v>
      </c>
      <c r="C387" s="3107"/>
      <c r="D387" s="3107"/>
      <c r="E387" s="3107"/>
      <c r="F387" s="3119"/>
      <c r="G387" s="3119"/>
      <c r="H387" s="3186">
        <f>'Part III-Sources of Funds'!H24</f>
        <v>0</v>
      </c>
      <c r="I387" s="3186">
        <f>'Part III-Sources of Funds'!I24</f>
        <v>0</v>
      </c>
      <c r="J387" s="3186">
        <f>'Part III-Sources of Funds'!J24</f>
        <v>0</v>
      </c>
      <c r="K387" s="3186">
        <f>'Part III-Sources of Funds'!K24</f>
        <v>0</v>
      </c>
      <c r="L387" s="3122">
        <f>'Part III-Sources of Funds'!L24</f>
        <v>0</v>
      </c>
      <c r="M387" s="3122">
        <f>'Part III-Sources of Funds'!M24</f>
        <v>0</v>
      </c>
      <c r="N387" s="3199"/>
      <c r="O387" s="3199"/>
      <c r="P387" s="3107"/>
      <c r="Q387" s="3107"/>
    </row>
    <row r="388" spans="1:17" ht="25.5">
      <c r="A388" s="3107"/>
      <c r="B388" s="3107" t="s">
        <v>573</v>
      </c>
      <c r="C388" s="3107"/>
      <c r="D388" s="3107"/>
      <c r="E388" s="3107"/>
      <c r="F388" s="3119"/>
      <c r="G388" s="3119"/>
      <c r="H388" s="3186" t="str">
        <f>'Part III-Sources of Funds'!H25</f>
        <v>Stratford Capital Group</v>
      </c>
      <c r="I388" s="3186">
        <f>'Part III-Sources of Funds'!I25</f>
        <v>0</v>
      </c>
      <c r="J388" s="3186">
        <f>'Part III-Sources of Funds'!J25</f>
        <v>0</v>
      </c>
      <c r="K388" s="3186">
        <f>'Part III-Sources of Funds'!K25</f>
        <v>0</v>
      </c>
      <c r="L388" s="3122">
        <f>'Part III-Sources of Funds'!L25</f>
        <v>5925000</v>
      </c>
      <c r="M388" s="3122">
        <f>'Part III-Sources of Funds'!M25</f>
        <v>0</v>
      </c>
      <c r="N388" s="3107"/>
      <c r="O388" s="3107"/>
      <c r="P388" s="3107"/>
      <c r="Q388" s="3107"/>
    </row>
    <row r="389" spans="1:17" ht="13.5">
      <c r="A389" s="3107"/>
      <c r="B389" s="3107" t="s">
        <v>574</v>
      </c>
      <c r="C389" s="3107"/>
      <c r="D389" s="3107"/>
      <c r="E389" s="3107"/>
      <c r="F389" s="3119"/>
      <c r="G389" s="3119"/>
      <c r="H389" s="3186" t="str">
        <f>'Part III-Sources of Funds'!H26</f>
        <v>TSR SI LLC</v>
      </c>
      <c r="I389" s="3186">
        <f>'Part III-Sources of Funds'!I26</f>
        <v>0</v>
      </c>
      <c r="J389" s="3186">
        <f>'Part III-Sources of Funds'!J26</f>
        <v>0</v>
      </c>
      <c r="K389" s="3186">
        <f>'Part III-Sources of Funds'!K26</f>
        <v>0</v>
      </c>
      <c r="L389" s="3122">
        <f>'Part III-Sources of Funds'!L26</f>
        <v>3655000</v>
      </c>
      <c r="M389" s="3122">
        <f>'Part III-Sources of Funds'!M26</f>
        <v>0</v>
      </c>
      <c r="N389" s="3107"/>
      <c r="O389" s="3119"/>
      <c r="P389" s="3119"/>
      <c r="Q389" s="3107"/>
    </row>
    <row r="390" spans="1:17" ht="51">
      <c r="A390" s="3107"/>
      <c r="B390" s="3107" t="s">
        <v>575</v>
      </c>
      <c r="C390" s="3107"/>
      <c r="D390" s="3186" t="str">
        <f>'Part III-Sources of Funds'!D27</f>
        <v>State investors 1% of equity for federal credits</v>
      </c>
      <c r="E390" s="3186">
        <f>'Part III-Sources of Funds'!E27</f>
        <v>0</v>
      </c>
      <c r="F390" s="3186">
        <f>'Part III-Sources of Funds'!F27</f>
        <v>0</v>
      </c>
      <c r="G390" s="3186">
        <f>'Part III-Sources of Funds'!G27</f>
        <v>0</v>
      </c>
      <c r="H390" s="3186" t="str">
        <f>'Part III-Sources of Funds'!H27</f>
        <v>TSR SI LLC</v>
      </c>
      <c r="I390" s="3186">
        <f>'Part III-Sources of Funds'!I27</f>
        <v>0</v>
      </c>
      <c r="J390" s="3186">
        <f>'Part III-Sources of Funds'!J27</f>
        <v>0</v>
      </c>
      <c r="K390" s="3186">
        <f>'Part III-Sources of Funds'!K27</f>
        <v>0</v>
      </c>
      <c r="L390" s="3122">
        <f>'Part III-Sources of Funds'!L27</f>
        <v>74800</v>
      </c>
      <c r="M390" s="3122">
        <f>'Part III-Sources of Funds'!M27</f>
        <v>0</v>
      </c>
      <c r="N390" s="3107"/>
      <c r="O390" s="3119"/>
      <c r="P390" s="3119"/>
      <c r="Q390" s="3107"/>
    </row>
    <row r="391" spans="1:17" ht="13.5">
      <c r="A391" s="3107"/>
      <c r="B391" s="3107" t="s">
        <v>575</v>
      </c>
      <c r="C391" s="3107"/>
      <c r="D391" s="3186">
        <f>'Part III-Sources of Funds'!D28</f>
        <v>0</v>
      </c>
      <c r="E391" s="3186">
        <f>'Part III-Sources of Funds'!E28</f>
        <v>0</v>
      </c>
      <c r="F391" s="3186">
        <f>'Part III-Sources of Funds'!F28</f>
        <v>0</v>
      </c>
      <c r="G391" s="3186">
        <f>'Part III-Sources of Funds'!G28</f>
        <v>0</v>
      </c>
      <c r="H391" s="3186">
        <f>'Part III-Sources of Funds'!H28</f>
        <v>0</v>
      </c>
      <c r="I391" s="3186">
        <f>'Part III-Sources of Funds'!I28</f>
        <v>0</v>
      </c>
      <c r="J391" s="3186">
        <f>'Part III-Sources of Funds'!J28</f>
        <v>0</v>
      </c>
      <c r="K391" s="3186">
        <f>'Part III-Sources of Funds'!K28</f>
        <v>0</v>
      </c>
      <c r="L391" s="3122">
        <f>'Part III-Sources of Funds'!L28</f>
        <v>0</v>
      </c>
      <c r="M391" s="3122">
        <f>'Part III-Sources of Funds'!M28</f>
        <v>0</v>
      </c>
      <c r="N391" s="3107"/>
      <c r="O391" s="3119"/>
      <c r="P391" s="3119"/>
      <c r="Q391" s="3119"/>
    </row>
    <row r="392" spans="1:17" ht="13.5">
      <c r="A392" s="3107"/>
      <c r="B392" s="3107" t="s">
        <v>575</v>
      </c>
      <c r="C392" s="3107"/>
      <c r="D392" s="3186">
        <f>'Part III-Sources of Funds'!D29</f>
        <v>0</v>
      </c>
      <c r="E392" s="3186">
        <f>'Part III-Sources of Funds'!E29</f>
        <v>0</v>
      </c>
      <c r="F392" s="3186">
        <f>'Part III-Sources of Funds'!F29</f>
        <v>0</v>
      </c>
      <c r="G392" s="3186">
        <f>'Part III-Sources of Funds'!G29</f>
        <v>0</v>
      </c>
      <c r="H392" s="3186">
        <f>'Part III-Sources of Funds'!H29</f>
        <v>0</v>
      </c>
      <c r="I392" s="3186">
        <f>'Part III-Sources of Funds'!I29</f>
        <v>0</v>
      </c>
      <c r="J392" s="3186">
        <f>'Part III-Sources of Funds'!J29</f>
        <v>0</v>
      </c>
      <c r="K392" s="3186">
        <f>'Part III-Sources of Funds'!K29</f>
        <v>0</v>
      </c>
      <c r="L392" s="3122">
        <f>'Part III-Sources of Funds'!L29</f>
        <v>0</v>
      </c>
      <c r="M392" s="3122">
        <f>'Part III-Sources of Funds'!M29</f>
        <v>0</v>
      </c>
      <c r="N392" s="3107"/>
      <c r="O392" s="3119"/>
      <c r="P392" s="3119"/>
      <c r="Q392" s="3119"/>
    </row>
    <row r="393" spans="1:17" ht="13.5">
      <c r="A393" s="3107"/>
      <c r="B393" s="3108" t="s">
        <v>576</v>
      </c>
      <c r="C393" s="3107"/>
      <c r="D393" s="3107"/>
      <c r="E393" s="3107"/>
      <c r="F393" s="3107"/>
      <c r="G393" s="3107"/>
      <c r="H393" s="3107"/>
      <c r="I393" s="3107"/>
      <c r="J393" s="3119"/>
      <c r="K393" s="3119"/>
      <c r="L393" s="3201">
        <f>SUM(L382:L392)</f>
        <v>11922174</v>
      </c>
      <c r="M393" s="3201"/>
      <c r="N393" s="3114"/>
      <c r="O393" s="3119"/>
      <c r="P393" s="3119"/>
      <c r="Q393" s="3119"/>
    </row>
    <row r="394" spans="1:17" ht="13.5">
      <c r="A394" s="3107"/>
      <c r="B394" s="3115" t="s">
        <v>577</v>
      </c>
      <c r="C394" s="3107"/>
      <c r="D394" s="3107"/>
      <c r="E394" s="3107"/>
      <c r="F394" s="3107"/>
      <c r="G394" s="3107"/>
      <c r="H394" s="3107"/>
      <c r="I394" s="3107"/>
      <c r="J394" s="3119"/>
      <c r="K394" s="3119"/>
      <c r="L394" s="3201">
        <f>'Part III-Sources of Funds'!L31</f>
        <v>11922174</v>
      </c>
      <c r="M394" s="3201">
        <f>'Part III-Sources of Funds'!M31</f>
        <v>0</v>
      </c>
      <c r="N394" s="3121"/>
      <c r="O394" s="3119"/>
      <c r="P394" s="3119"/>
      <c r="Q394" s="3119"/>
    </row>
    <row r="395" spans="1:17" ht="13.5">
      <c r="A395" s="3107"/>
      <c r="B395" s="3115" t="s">
        <v>578</v>
      </c>
      <c r="C395" s="3107"/>
      <c r="D395" s="3107"/>
      <c r="E395" s="3107"/>
      <c r="F395" s="3107"/>
      <c r="G395" s="3107"/>
      <c r="H395" s="3107"/>
      <c r="I395" s="3107"/>
      <c r="J395" s="3119"/>
      <c r="K395" s="3119"/>
      <c r="L395" s="3202">
        <f>L393-L394</f>
        <v>0</v>
      </c>
      <c r="M395" s="3202"/>
      <c r="N395" s="3121"/>
      <c r="O395" s="3119"/>
      <c r="P395" s="3119"/>
      <c r="Q395" s="3119"/>
    </row>
    <row r="396" spans="1:17" ht="13.5">
      <c r="A396" s="3155"/>
      <c r="B396" s="3108"/>
      <c r="C396" s="3114"/>
      <c r="D396" s="3114"/>
      <c r="E396" s="3114"/>
      <c r="F396" s="3114"/>
      <c r="G396" s="3114"/>
      <c r="H396" s="3114"/>
      <c r="I396" s="3114"/>
      <c r="J396" s="3114"/>
      <c r="K396" s="3114"/>
      <c r="L396" s="3114"/>
      <c r="M396" s="3112"/>
      <c r="N396" s="3112"/>
      <c r="O396" s="3203"/>
      <c r="P396" s="3203"/>
      <c r="Q396" s="3203"/>
    </row>
    <row r="397" spans="1:17" ht="13.5">
      <c r="A397" s="3104" t="s">
        <v>31</v>
      </c>
      <c r="B397" s="3108" t="s">
        <v>579</v>
      </c>
      <c r="C397" s="3114"/>
      <c r="D397" s="3114"/>
      <c r="E397" s="3114"/>
      <c r="F397" s="3114"/>
      <c r="G397" s="3114"/>
      <c r="H397" s="3114"/>
      <c r="I397" s="3114"/>
      <c r="J397" s="3114"/>
      <c r="K397" s="3114"/>
      <c r="L397" s="3114"/>
      <c r="M397" s="3112"/>
      <c r="N397" s="3112"/>
      <c r="O397" s="3114"/>
      <c r="P397" s="3203"/>
      <c r="Q397" s="3203"/>
    </row>
    <row r="398" spans="1:17" ht="13.5" customHeight="1">
      <c r="A398" s="3107"/>
      <c r="B398" s="3107"/>
      <c r="C398" s="3107"/>
      <c r="D398" s="3107"/>
      <c r="E398" s="3107"/>
      <c r="F398" s="3112"/>
      <c r="G398" s="3112"/>
      <c r="H398" s="3107"/>
      <c r="I398" s="3107"/>
      <c r="J398" s="3119"/>
      <c r="K398" s="3132" t="s">
        <v>580</v>
      </c>
      <c r="L398" s="3112" t="s">
        <v>581</v>
      </c>
      <c r="M398" s="3112" t="s">
        <v>582</v>
      </c>
      <c r="N398" s="3121" t="s">
        <v>583</v>
      </c>
      <c r="O398" s="3121"/>
      <c r="P398" s="3112"/>
      <c r="Q398" s="3104"/>
    </row>
    <row r="399" spans="1:17">
      <c r="A399" s="3107"/>
      <c r="B399" s="3115" t="s">
        <v>562</v>
      </c>
      <c r="C399" s="3107"/>
      <c r="D399" s="3107"/>
      <c r="E399" s="3107" t="s">
        <v>563</v>
      </c>
      <c r="F399" s="3107"/>
      <c r="G399" s="3107"/>
      <c r="H399" s="3107"/>
      <c r="I399" s="3107" t="s">
        <v>584</v>
      </c>
      <c r="J399" s="3107"/>
      <c r="K399" s="3112" t="s">
        <v>585</v>
      </c>
      <c r="L399" s="3112" t="s">
        <v>586</v>
      </c>
      <c r="M399" s="3112" t="s">
        <v>586</v>
      </c>
      <c r="N399" s="3121"/>
      <c r="O399" s="3121"/>
      <c r="P399" s="3107" t="s">
        <v>587</v>
      </c>
      <c r="Q399" s="3107"/>
    </row>
    <row r="400" spans="1:17" ht="25.5">
      <c r="A400" s="3107"/>
      <c r="B400" s="3107" t="s">
        <v>588</v>
      </c>
      <c r="C400" s="3107"/>
      <c r="D400" s="3107"/>
      <c r="E400" s="3186" t="str">
        <f>'Part III-Sources of Funds'!E37</f>
        <v>Guardian Bank</v>
      </c>
      <c r="F400" s="3186">
        <f>'Part III-Sources of Funds'!F37</f>
        <v>0</v>
      </c>
      <c r="G400" s="3186">
        <f>'Part III-Sources of Funds'!G37</f>
        <v>0</v>
      </c>
      <c r="H400" s="3186">
        <f>'Part III-Sources of Funds'!H37</f>
        <v>0</v>
      </c>
      <c r="I400" s="3143">
        <f>'Part III-Sources of Funds'!I37</f>
        <v>2650000</v>
      </c>
      <c r="J400" s="3107">
        <f>'Part III-Sources of Funds'!J37</f>
        <v>0</v>
      </c>
      <c r="K400" s="3204">
        <f>'Part III-Sources of Funds'!K37</f>
        <v>5.2499999999999998E-2</v>
      </c>
      <c r="L400" s="3112">
        <f>'Part III-Sources of Funds'!L37</f>
        <v>20</v>
      </c>
      <c r="M400" s="3112">
        <f>'Part III-Sources of Funds'!M37</f>
        <v>40</v>
      </c>
      <c r="N400" s="3205">
        <f>'Part III-Sources of Funds'!N37</f>
        <v>158640.76725498866</v>
      </c>
      <c r="O400" s="3205">
        <f>'Part III-Sources of Funds'!O37</f>
        <v>0</v>
      </c>
      <c r="P400" s="3107" t="str">
        <f>'Part III-Sources of Funds'!P37</f>
        <v>Amortizing</v>
      </c>
      <c r="Q400" s="3107">
        <f>'Part III-Sources of Funds'!Q37</f>
        <v>0</v>
      </c>
    </row>
    <row r="401" spans="1:17">
      <c r="A401" s="3107"/>
      <c r="B401" s="3107" t="s">
        <v>590</v>
      </c>
      <c r="C401" s="3107"/>
      <c r="D401" s="3107"/>
      <c r="E401" s="3186">
        <f>'Part III-Sources of Funds'!E38</f>
        <v>0</v>
      </c>
      <c r="F401" s="3186">
        <f>'Part III-Sources of Funds'!F38</f>
        <v>0</v>
      </c>
      <c r="G401" s="3186">
        <f>'Part III-Sources of Funds'!G38</f>
        <v>0</v>
      </c>
      <c r="H401" s="3186">
        <f>'Part III-Sources of Funds'!H38</f>
        <v>0</v>
      </c>
      <c r="I401" s="3143">
        <f>'Part III-Sources of Funds'!I38</f>
        <v>0</v>
      </c>
      <c r="J401" s="3107">
        <f>'Part III-Sources of Funds'!J38</f>
        <v>0</v>
      </c>
      <c r="K401" s="3204">
        <f>'Part III-Sources of Funds'!K38</f>
        <v>0</v>
      </c>
      <c r="L401" s="3112">
        <f>'Part III-Sources of Funds'!L38</f>
        <v>0</v>
      </c>
      <c r="M401" s="3112">
        <f>'Part III-Sources of Funds'!M38</f>
        <v>0</v>
      </c>
      <c r="N401" s="3205" t="str">
        <f>'Part III-Sources of Funds'!N38</f>
        <v/>
      </c>
      <c r="O401" s="3205">
        <f>'Part III-Sources of Funds'!O38</f>
        <v>0</v>
      </c>
      <c r="P401" s="3107">
        <f>'Part III-Sources of Funds'!P38</f>
        <v>0</v>
      </c>
      <c r="Q401" s="3107">
        <f>'Part III-Sources of Funds'!Q38</f>
        <v>0</v>
      </c>
    </row>
    <row r="402" spans="1:17">
      <c r="A402" s="3107"/>
      <c r="B402" s="3107" t="s">
        <v>591</v>
      </c>
      <c r="C402" s="3107"/>
      <c r="D402" s="3107"/>
      <c r="E402" s="3186">
        <f>'Part III-Sources of Funds'!E39</f>
        <v>0</v>
      </c>
      <c r="F402" s="3186">
        <f>'Part III-Sources of Funds'!F39</f>
        <v>0</v>
      </c>
      <c r="G402" s="3186">
        <f>'Part III-Sources of Funds'!G39</f>
        <v>0</v>
      </c>
      <c r="H402" s="3186">
        <f>'Part III-Sources of Funds'!H39</f>
        <v>0</v>
      </c>
      <c r="I402" s="3143">
        <f>'Part III-Sources of Funds'!I39</f>
        <v>0</v>
      </c>
      <c r="J402" s="3107">
        <f>'Part III-Sources of Funds'!J39</f>
        <v>0</v>
      </c>
      <c r="K402" s="3204">
        <f>'Part III-Sources of Funds'!K39</f>
        <v>0</v>
      </c>
      <c r="L402" s="3112">
        <f>'Part III-Sources of Funds'!L39</f>
        <v>0</v>
      </c>
      <c r="M402" s="3112">
        <f>'Part III-Sources of Funds'!M39</f>
        <v>0</v>
      </c>
      <c r="N402" s="3205" t="str">
        <f>'Part III-Sources of Funds'!N39</f>
        <v/>
      </c>
      <c r="O402" s="3205">
        <f>'Part III-Sources of Funds'!O39</f>
        <v>0</v>
      </c>
      <c r="P402" s="3107">
        <f>'Part III-Sources of Funds'!P39</f>
        <v>0</v>
      </c>
      <c r="Q402" s="3107">
        <f>'Part III-Sources of Funds'!Q39</f>
        <v>0</v>
      </c>
    </row>
    <row r="403" spans="1:17">
      <c r="A403" s="3107"/>
      <c r="B403" s="3107" t="s">
        <v>592</v>
      </c>
      <c r="C403" s="3186">
        <f>'Part III-Sources of Funds'!C40</f>
        <v>0</v>
      </c>
      <c r="D403" s="3186">
        <f>'Part III-Sources of Funds'!D40</f>
        <v>0</v>
      </c>
      <c r="E403" s="3186">
        <f>'Part III-Sources of Funds'!E40</f>
        <v>0</v>
      </c>
      <c r="F403" s="3186">
        <f>'Part III-Sources of Funds'!F40</f>
        <v>0</v>
      </c>
      <c r="G403" s="3186">
        <f>'Part III-Sources of Funds'!G40</f>
        <v>0</v>
      </c>
      <c r="H403" s="3186">
        <f>'Part III-Sources of Funds'!H40</f>
        <v>0</v>
      </c>
      <c r="I403" s="3143">
        <f>'Part III-Sources of Funds'!I40</f>
        <v>0</v>
      </c>
      <c r="J403" s="3107">
        <f>'Part III-Sources of Funds'!J40</f>
        <v>0</v>
      </c>
      <c r="K403" s="3204">
        <f>'Part III-Sources of Funds'!K40</f>
        <v>0</v>
      </c>
      <c r="L403" s="3112">
        <f>'Part III-Sources of Funds'!L40</f>
        <v>0</v>
      </c>
      <c r="M403" s="3112">
        <f>'Part III-Sources of Funds'!M40</f>
        <v>0</v>
      </c>
      <c r="N403" s="3205" t="str">
        <f>'Part III-Sources of Funds'!N40</f>
        <v/>
      </c>
      <c r="O403" s="3205">
        <f>'Part III-Sources of Funds'!O40</f>
        <v>0</v>
      </c>
      <c r="P403" s="3107">
        <f>'Part III-Sources of Funds'!P40</f>
        <v>0</v>
      </c>
      <c r="Q403" s="3107">
        <f>'Part III-Sources of Funds'!Q40</f>
        <v>0</v>
      </c>
    </row>
    <row r="404" spans="1:17">
      <c r="A404" s="3107"/>
      <c r="B404" s="3107" t="s">
        <v>593</v>
      </c>
      <c r="C404" s="3107"/>
      <c r="D404" s="3107"/>
      <c r="E404" s="3186">
        <f>'Part III-Sources of Funds'!E41</f>
        <v>0</v>
      </c>
      <c r="F404" s="3186">
        <f>'Part III-Sources of Funds'!F41</f>
        <v>0</v>
      </c>
      <c r="G404" s="3186">
        <f>'Part III-Sources of Funds'!G41</f>
        <v>0</v>
      </c>
      <c r="H404" s="3186">
        <f>'Part III-Sources of Funds'!H41</f>
        <v>0</v>
      </c>
      <c r="I404" s="3143">
        <f>'Part III-Sources of Funds'!I41</f>
        <v>0</v>
      </c>
      <c r="J404" s="3107">
        <f>'Part III-Sources of Funds'!J41</f>
        <v>0</v>
      </c>
      <c r="K404" s="3204"/>
      <c r="L404" s="3112"/>
      <c r="M404" s="3112"/>
      <c r="N404" s="3205" t="str">
        <f t="shared" ref="N404" si="0">IF(OR(I404&lt;=0,I404=""),"",IF(P404="Amortizing",-PMT(K404/12,M404*12,I404,0,0)*12,""))</f>
        <v/>
      </c>
      <c r="O404" s="3205"/>
      <c r="P404" s="3107"/>
      <c r="Q404" s="3107"/>
    </row>
    <row r="405" spans="1:17">
      <c r="A405" s="3107"/>
      <c r="B405" s="3107" t="s">
        <v>594</v>
      </c>
      <c r="C405" s="3107"/>
      <c r="D405" s="3206">
        <f>'Part III-Sources of Funds'!D42</f>
        <v>6.3955910543130989E-2</v>
      </c>
      <c r="E405" s="3186">
        <f>'Part III-Sources of Funds'!E42</f>
        <v>0</v>
      </c>
      <c r="F405" s="3186">
        <f>'Part III-Sources of Funds'!F42</f>
        <v>0</v>
      </c>
      <c r="G405" s="3186">
        <f>'Part III-Sources of Funds'!G42</f>
        <v>0</v>
      </c>
      <c r="H405" s="3186">
        <f>'Part III-Sources of Funds'!H42</f>
        <v>0</v>
      </c>
      <c r="I405" s="3143">
        <f>'Part III-Sources of Funds'!I42</f>
        <v>100091</v>
      </c>
      <c r="J405" s="3107">
        <f>'Part III-Sources of Funds'!J42</f>
        <v>0</v>
      </c>
      <c r="K405" s="3204">
        <f>'Part III-Sources of Funds'!K42</f>
        <v>0</v>
      </c>
      <c r="L405" s="3112">
        <f>'Part III-Sources of Funds'!L42</f>
        <v>12</v>
      </c>
      <c r="M405" s="3112">
        <f>'Part III-Sources of Funds'!M42</f>
        <v>12</v>
      </c>
      <c r="N405" s="3205">
        <f>'Part III-Sources of Funds'!N42</f>
        <v>0</v>
      </c>
      <c r="O405" s="3205">
        <f>'Part III-Sources of Funds'!O42</f>
        <v>0</v>
      </c>
      <c r="P405" s="3107" t="str">
        <f>'Part III-Sources of Funds'!P42</f>
        <v>Cash Flow</v>
      </c>
      <c r="Q405" s="3107">
        <f>'Part III-Sources of Funds'!Q42</f>
        <v>0</v>
      </c>
    </row>
    <row r="406" spans="1:17" ht="13.5">
      <c r="A406" s="3107"/>
      <c r="B406" s="3107"/>
      <c r="C406" s="3107"/>
      <c r="D406" s="3107"/>
      <c r="E406" s="3107"/>
      <c r="F406" s="3107"/>
      <c r="G406" s="3107"/>
      <c r="H406" s="3107"/>
      <c r="I406" s="3207"/>
      <c r="J406" s="3208"/>
      <c r="K406" s="3204"/>
      <c r="L406" s="3112"/>
      <c r="M406" s="3112"/>
      <c r="N406" s="3209"/>
      <c r="O406" s="3209"/>
      <c r="P406" s="3112"/>
      <c r="Q406" s="3112"/>
    </row>
    <row r="407" spans="1:17" ht="13.5">
      <c r="A407" s="3107"/>
      <c r="B407" s="3119" t="s">
        <v>596</v>
      </c>
      <c r="C407" s="3107"/>
      <c r="D407" s="3119"/>
      <c r="E407" s="3119" t="s">
        <v>597</v>
      </c>
      <c r="F407" s="3210">
        <f>'Part III-Sources of Funds'!F44</f>
        <v>371390.19736789865</v>
      </c>
      <c r="G407" s="3119"/>
      <c r="H407" s="3196" t="s">
        <v>598</v>
      </c>
      <c r="I407" s="3210">
        <f>'Part III-Sources of Funds'!I44</f>
        <v>100091</v>
      </c>
      <c r="J407" s="3119"/>
      <c r="K407" s="3204"/>
      <c r="L407" s="3112"/>
      <c r="M407" s="3112"/>
      <c r="N407" s="3209"/>
      <c r="O407" s="3209"/>
      <c r="P407" s="3112"/>
      <c r="Q407" s="3112"/>
    </row>
    <row r="408" spans="1:17" ht="13.5">
      <c r="A408" s="3107"/>
      <c r="B408" s="3119" t="s">
        <v>4759</v>
      </c>
      <c r="C408" s="3107"/>
      <c r="D408" s="3206"/>
      <c r="E408" s="3119"/>
      <c r="F408" s="3211">
        <f>'Part III-Sources of Funds'!F45</f>
        <v>0.26950361293690794</v>
      </c>
      <c r="G408" s="3211">
        <f>'Part III-Sources of Funds'!G45</f>
        <v>0</v>
      </c>
      <c r="H408" s="3196" t="s">
        <v>600</v>
      </c>
      <c r="I408" s="3211">
        <f>'Part III-Sources of Funds'!I45</f>
        <v>0.26950361293690794</v>
      </c>
      <c r="J408" s="3211">
        <f>'Part III-Sources of Funds'!J45</f>
        <v>0</v>
      </c>
      <c r="K408" s="3204"/>
      <c r="L408" s="3112"/>
      <c r="M408" s="3112"/>
      <c r="N408" s="3209"/>
      <c r="O408" s="3209"/>
      <c r="P408" s="3112"/>
      <c r="Q408" s="3112"/>
    </row>
    <row r="409" spans="1:17" ht="13.5">
      <c r="A409" s="3107"/>
      <c r="B409" s="3107"/>
      <c r="C409" s="3107"/>
      <c r="D409" s="3107"/>
      <c r="E409" s="3107"/>
      <c r="F409" s="3107"/>
      <c r="G409" s="3107"/>
      <c r="H409" s="3107"/>
      <c r="I409" s="3207"/>
      <c r="J409" s="3208"/>
      <c r="K409" s="3204"/>
      <c r="L409" s="3112"/>
      <c r="M409" s="3112"/>
      <c r="N409" s="3209"/>
      <c r="O409" s="3209"/>
      <c r="P409" s="3112"/>
      <c r="Q409" s="3112"/>
    </row>
    <row r="410" spans="1:17">
      <c r="A410" s="3107"/>
      <c r="B410" s="3107" t="s">
        <v>570</v>
      </c>
      <c r="C410" s="3107"/>
      <c r="D410" s="3107"/>
      <c r="E410" s="3186">
        <f>'Part III-Sources of Funds'!E47</f>
        <v>0</v>
      </c>
      <c r="F410" s="3186">
        <f>'Part III-Sources of Funds'!F47</f>
        <v>0</v>
      </c>
      <c r="G410" s="3186">
        <f>'Part III-Sources of Funds'!G47</f>
        <v>0</v>
      </c>
      <c r="H410" s="3186">
        <f>'Part III-Sources of Funds'!H47</f>
        <v>0</v>
      </c>
      <c r="I410" s="3143">
        <f>'Part III-Sources of Funds'!I47</f>
        <v>0</v>
      </c>
      <c r="J410" s="3107">
        <f>'Part III-Sources of Funds'!J47</f>
        <v>0</v>
      </c>
      <c r="K410" s="3107"/>
      <c r="L410" s="3107"/>
      <c r="M410" s="3107"/>
      <c r="N410" s="3107"/>
      <c r="O410" s="3107"/>
      <c r="P410" s="3107"/>
      <c r="Q410" s="3107"/>
    </row>
    <row r="411" spans="1:17" ht="13.5">
      <c r="A411" s="3107"/>
      <c r="B411" s="3107" t="s">
        <v>571</v>
      </c>
      <c r="C411" s="3107"/>
      <c r="D411" s="3107"/>
      <c r="E411" s="3186">
        <f>'Part III-Sources of Funds'!E48</f>
        <v>0</v>
      </c>
      <c r="F411" s="3186">
        <f>'Part III-Sources of Funds'!F48</f>
        <v>0</v>
      </c>
      <c r="G411" s="3186">
        <f>'Part III-Sources of Funds'!G48</f>
        <v>0</v>
      </c>
      <c r="H411" s="3186">
        <f>'Part III-Sources of Funds'!H48</f>
        <v>0</v>
      </c>
      <c r="I411" s="3143">
        <f>'Part III-Sources of Funds'!I48</f>
        <v>0</v>
      </c>
      <c r="J411" s="3107">
        <f>'Part III-Sources of Funds'!J48</f>
        <v>0</v>
      </c>
      <c r="K411" s="3119"/>
      <c r="L411" s="3212" t="s">
        <v>601</v>
      </c>
      <c r="M411" s="3212"/>
      <c r="N411" s="3213" t="s">
        <v>602</v>
      </c>
      <c r="O411" s="3213"/>
      <c r="P411" s="3112" t="s">
        <v>603</v>
      </c>
      <c r="Q411" s="3107"/>
    </row>
    <row r="412" spans="1:17" ht="51">
      <c r="A412" s="3107"/>
      <c r="B412" s="3107" t="s">
        <v>573</v>
      </c>
      <c r="C412" s="3107"/>
      <c r="D412" s="3107"/>
      <c r="E412" s="3186" t="str">
        <f>'Part III-Sources of Funds'!E49</f>
        <v>Stratford Capital 98.98%; TSR SI 1.00%</v>
      </c>
      <c r="F412" s="3186">
        <f>'Part III-Sources of Funds'!F49</f>
        <v>0</v>
      </c>
      <c r="G412" s="3186">
        <f>'Part III-Sources of Funds'!G49</f>
        <v>0</v>
      </c>
      <c r="H412" s="3186">
        <f>'Part III-Sources of Funds'!H49</f>
        <v>0</v>
      </c>
      <c r="I412" s="3143">
        <f>'Part III-Sources of Funds'!I49</f>
        <v>7480000</v>
      </c>
      <c r="J412" s="3107">
        <f>'Part III-Sources of Funds'!J49</f>
        <v>0</v>
      </c>
      <c r="K412" s="3119"/>
      <c r="L412" s="3214">
        <f>'Part IV-A-Uses of Funds'!$J$175*10*'Part IV-A-Uses of Funds'!$N$168</f>
        <v>7480000</v>
      </c>
      <c r="M412" s="3214"/>
      <c r="N412" s="3215">
        <f>I412-L412</f>
        <v>0</v>
      </c>
      <c r="O412" s="3215"/>
      <c r="P412" s="3216" t="s">
        <v>604</v>
      </c>
      <c r="Q412" s="3107"/>
    </row>
    <row r="413" spans="1:17" ht="13.5">
      <c r="A413" s="3107"/>
      <c r="B413" s="3107" t="s">
        <v>574</v>
      </c>
      <c r="C413" s="3107"/>
      <c r="D413" s="3107"/>
      <c r="E413" s="3186" t="str">
        <f>'Part III-Sources of Funds'!E50</f>
        <v>TSR SI LLC</v>
      </c>
      <c r="F413" s="3186">
        <f>'Part III-Sources of Funds'!F50</f>
        <v>0</v>
      </c>
      <c r="G413" s="3186">
        <f>'Part III-Sources of Funds'!G50</f>
        <v>0</v>
      </c>
      <c r="H413" s="3186">
        <f>'Part III-Sources of Funds'!H50</f>
        <v>0</v>
      </c>
      <c r="I413" s="3143">
        <f>'Part III-Sources of Funds'!I50</f>
        <v>3655000</v>
      </c>
      <c r="J413" s="3107">
        <f>'Part III-Sources of Funds'!J50</f>
        <v>0</v>
      </c>
      <c r="K413" s="3119"/>
      <c r="L413" s="3214">
        <f>'Part IV-A-Uses of Funds'!$J$175*10*'Part IV-A-Uses of Funds'!$Q$168</f>
        <v>3655000</v>
      </c>
      <c r="M413" s="3214"/>
      <c r="N413" s="3215">
        <f>I413-L413</f>
        <v>0</v>
      </c>
      <c r="O413" s="3215"/>
      <c r="P413" s="3217">
        <f>I412/I422</f>
        <v>0.53870730843607728</v>
      </c>
      <c r="Q413" s="3107"/>
    </row>
    <row r="414" spans="1:17" ht="13.5">
      <c r="A414" s="3107"/>
      <c r="B414" s="3107" t="s">
        <v>605</v>
      </c>
      <c r="C414" s="3107"/>
      <c r="D414" s="3107"/>
      <c r="E414" s="3186">
        <f>'Part III-Sources of Funds'!E51</f>
        <v>0</v>
      </c>
      <c r="F414" s="3186">
        <f>'Part III-Sources of Funds'!F51</f>
        <v>0</v>
      </c>
      <c r="G414" s="3186">
        <f>'Part III-Sources of Funds'!G51</f>
        <v>0</v>
      </c>
      <c r="H414" s="3186">
        <f>'Part III-Sources of Funds'!H51</f>
        <v>0</v>
      </c>
      <c r="I414" s="3143">
        <f>'Part III-Sources of Funds'!I51</f>
        <v>0</v>
      </c>
      <c r="J414" s="3107">
        <f>'Part III-Sources of Funds'!J51</f>
        <v>0</v>
      </c>
      <c r="K414" s="3119"/>
      <c r="L414" s="3119"/>
      <c r="M414" s="3119"/>
      <c r="N414" s="3119"/>
      <c r="O414" s="3119"/>
      <c r="P414" s="3217">
        <f>I413/I422</f>
        <v>0.26323198025853772</v>
      </c>
      <c r="Q414" s="3107"/>
    </row>
    <row r="415" spans="1:17" ht="13.5">
      <c r="A415" s="3107"/>
      <c r="B415" s="3107" t="s">
        <v>606</v>
      </c>
      <c r="C415" s="3107"/>
      <c r="D415" s="3107"/>
      <c r="E415" s="3186">
        <f>'Part III-Sources of Funds'!E52</f>
        <v>0</v>
      </c>
      <c r="F415" s="3186">
        <f>'Part III-Sources of Funds'!F52</f>
        <v>0</v>
      </c>
      <c r="G415" s="3186">
        <f>'Part III-Sources of Funds'!G52</f>
        <v>0</v>
      </c>
      <c r="H415" s="3186">
        <f>'Part III-Sources of Funds'!H52</f>
        <v>0</v>
      </c>
      <c r="I415" s="3143">
        <f>'Part III-Sources of Funds'!I52</f>
        <v>0</v>
      </c>
      <c r="J415" s="3107">
        <f>'Part III-Sources of Funds'!J52</f>
        <v>0</v>
      </c>
      <c r="K415" s="3107"/>
      <c r="L415" s="3119"/>
      <c r="M415" s="3119"/>
      <c r="N415" s="3119"/>
      <c r="O415" s="3119"/>
      <c r="P415" s="3217">
        <f>SUM(P413:P414)</f>
        <v>0.80193928869461506</v>
      </c>
      <c r="Q415" s="3107"/>
    </row>
    <row r="416" spans="1:17" ht="13.5">
      <c r="A416" s="3107"/>
      <c r="B416" s="3107" t="s">
        <v>607</v>
      </c>
      <c r="C416" s="3107"/>
      <c r="D416" s="3107"/>
      <c r="E416" s="3186">
        <f>'Part III-Sources of Funds'!E53</f>
        <v>0</v>
      </c>
      <c r="F416" s="3186">
        <f>'Part III-Sources of Funds'!F53</f>
        <v>0</v>
      </c>
      <c r="G416" s="3186">
        <f>'Part III-Sources of Funds'!G53</f>
        <v>0</v>
      </c>
      <c r="H416" s="3186">
        <f>'Part III-Sources of Funds'!H53</f>
        <v>0</v>
      </c>
      <c r="I416" s="3143">
        <f>'Part III-Sources of Funds'!I53</f>
        <v>0</v>
      </c>
      <c r="J416" s="3107">
        <f>'Part III-Sources of Funds'!J53</f>
        <v>0</v>
      </c>
      <c r="K416" s="3119"/>
      <c r="L416" s="3119"/>
      <c r="M416" s="3119"/>
      <c r="N416" s="3186"/>
      <c r="O416" s="3186"/>
      <c r="P416" s="3186"/>
      <c r="Q416" s="3107"/>
    </row>
    <row r="417" spans="1:17" ht="13.5">
      <c r="A417" s="3107"/>
      <c r="B417" s="3107" t="s">
        <v>608</v>
      </c>
      <c r="C417" s="3107"/>
      <c r="D417" s="3107"/>
      <c r="E417" s="3186">
        <f>'Part III-Sources of Funds'!E54</f>
        <v>0</v>
      </c>
      <c r="F417" s="3186">
        <f>'Part III-Sources of Funds'!F54</f>
        <v>0</v>
      </c>
      <c r="G417" s="3186">
        <f>'Part III-Sources of Funds'!G54</f>
        <v>0</v>
      </c>
      <c r="H417" s="3186">
        <f>'Part III-Sources of Funds'!H54</f>
        <v>0</v>
      </c>
      <c r="I417" s="3143">
        <f>'Part III-Sources of Funds'!I54</f>
        <v>0</v>
      </c>
      <c r="J417" s="3107">
        <f>'Part III-Sources of Funds'!J54</f>
        <v>0</v>
      </c>
      <c r="K417" s="3119"/>
      <c r="L417" s="3119"/>
      <c r="M417" s="3186"/>
      <c r="N417" s="3186"/>
      <c r="O417" s="3186"/>
      <c r="P417" s="3186"/>
      <c r="Q417" s="3107"/>
    </row>
    <row r="418" spans="1:17" ht="13.5">
      <c r="A418" s="3107"/>
      <c r="B418" s="3107" t="s">
        <v>592</v>
      </c>
      <c r="C418" s="3186">
        <f>'Part III-Sources of Funds'!C55</f>
        <v>0</v>
      </c>
      <c r="D418" s="3186">
        <f>'Part III-Sources of Funds'!D55</f>
        <v>0</v>
      </c>
      <c r="E418" s="3186">
        <f>'Part III-Sources of Funds'!E55</f>
        <v>0</v>
      </c>
      <c r="F418" s="3186">
        <f>'Part III-Sources of Funds'!F55</f>
        <v>0</v>
      </c>
      <c r="G418" s="3186">
        <f>'Part III-Sources of Funds'!G55</f>
        <v>0</v>
      </c>
      <c r="H418" s="3186">
        <f>'Part III-Sources of Funds'!H55</f>
        <v>0</v>
      </c>
      <c r="I418" s="3143">
        <f>'Part III-Sources of Funds'!I55</f>
        <v>0</v>
      </c>
      <c r="J418" s="3107">
        <f>'Part III-Sources of Funds'!J55</f>
        <v>0</v>
      </c>
      <c r="K418" s="3119"/>
      <c r="L418" s="3119"/>
      <c r="M418" s="3186"/>
      <c r="N418" s="3186"/>
      <c r="O418" s="3186"/>
      <c r="P418" s="3186"/>
      <c r="Q418" s="3107"/>
    </row>
    <row r="419" spans="1:17">
      <c r="A419" s="3107"/>
      <c r="B419" s="3107" t="s">
        <v>592</v>
      </c>
      <c r="C419" s="3186">
        <f>'Part III-Sources of Funds'!C56</f>
        <v>0</v>
      </c>
      <c r="D419" s="3186">
        <f>'Part III-Sources of Funds'!D56</f>
        <v>0</v>
      </c>
      <c r="E419" s="3186">
        <f>'Part III-Sources of Funds'!E56</f>
        <v>0</v>
      </c>
      <c r="F419" s="3186">
        <f>'Part III-Sources of Funds'!F56</f>
        <v>0</v>
      </c>
      <c r="G419" s="3186">
        <f>'Part III-Sources of Funds'!G56</f>
        <v>0</v>
      </c>
      <c r="H419" s="3186">
        <f>'Part III-Sources of Funds'!H56</f>
        <v>0</v>
      </c>
      <c r="I419" s="3143">
        <f>'Part III-Sources of Funds'!I56</f>
        <v>0</v>
      </c>
      <c r="J419" s="3107">
        <f>'Part III-Sources of Funds'!J56</f>
        <v>0</v>
      </c>
      <c r="K419" s="3107"/>
      <c r="L419" s="3112"/>
      <c r="M419" s="3186"/>
      <c r="N419" s="3186"/>
      <c r="O419" s="3186"/>
      <c r="P419" s="3186"/>
      <c r="Q419" s="3107"/>
    </row>
    <row r="420" spans="1:17">
      <c r="A420" s="3107"/>
      <c r="B420" s="3107" t="s">
        <v>592</v>
      </c>
      <c r="C420" s="3186">
        <f>'Part III-Sources of Funds'!C57</f>
        <v>0</v>
      </c>
      <c r="D420" s="3186">
        <f>'Part III-Sources of Funds'!D57</f>
        <v>0</v>
      </c>
      <c r="E420" s="3186">
        <f>'Part III-Sources of Funds'!E57</f>
        <v>0</v>
      </c>
      <c r="F420" s="3186">
        <f>'Part III-Sources of Funds'!F57</f>
        <v>0</v>
      </c>
      <c r="G420" s="3186">
        <f>'Part III-Sources of Funds'!G57</f>
        <v>0</v>
      </c>
      <c r="H420" s="3186">
        <f>'Part III-Sources of Funds'!H57</f>
        <v>0</v>
      </c>
      <c r="I420" s="3143">
        <f>'Part III-Sources of Funds'!I57</f>
        <v>0</v>
      </c>
      <c r="J420" s="3107">
        <f>'Part III-Sources of Funds'!J57</f>
        <v>0</v>
      </c>
      <c r="K420" s="3107"/>
      <c r="L420" s="3112"/>
      <c r="M420" s="3186"/>
      <c r="N420" s="3186"/>
      <c r="O420" s="3186"/>
      <c r="P420" s="3186"/>
      <c r="Q420" s="3107"/>
    </row>
    <row r="421" spans="1:17" ht="13.5">
      <c r="A421" s="3107"/>
      <c r="B421" s="3115" t="s">
        <v>609</v>
      </c>
      <c r="C421" s="3107"/>
      <c r="D421" s="3107"/>
      <c r="E421" s="3107"/>
      <c r="F421" s="3107"/>
      <c r="G421" s="3107"/>
      <c r="H421" s="3119"/>
      <c r="I421" s="3201">
        <f>SUM(I400:J405)+SUM(I410:J420)</f>
        <v>13885091</v>
      </c>
      <c r="J421" s="3201"/>
      <c r="K421" s="3107"/>
      <c r="L421" s="3112"/>
      <c r="M421" s="3186"/>
      <c r="N421" s="3186"/>
      <c r="O421" s="3186"/>
      <c r="P421" s="3186"/>
      <c r="Q421" s="3107"/>
    </row>
    <row r="422" spans="1:17" ht="13.5">
      <c r="A422" s="3107"/>
      <c r="B422" s="3115" t="s">
        <v>610</v>
      </c>
      <c r="C422" s="3107"/>
      <c r="D422" s="3107"/>
      <c r="E422" s="3107"/>
      <c r="F422" s="3107"/>
      <c r="G422" s="3107"/>
      <c r="H422" s="3119"/>
      <c r="I422" s="3201">
        <f>'Part IV-A-Uses of Funds'!$G$132</f>
        <v>13885091</v>
      </c>
      <c r="J422" s="3201"/>
      <c r="K422" s="3107"/>
      <c r="L422" s="3112"/>
      <c r="M422" s="3186"/>
      <c r="N422" s="3186"/>
      <c r="O422" s="3186"/>
      <c r="P422" s="3186"/>
      <c r="Q422" s="3107"/>
    </row>
    <row r="423" spans="1:17" ht="13.5">
      <c r="A423" s="3107"/>
      <c r="B423" s="3115" t="s">
        <v>611</v>
      </c>
      <c r="C423" s="3107"/>
      <c r="D423" s="3107"/>
      <c r="E423" s="3107"/>
      <c r="F423" s="3107"/>
      <c r="G423" s="3107"/>
      <c r="H423" s="3119"/>
      <c r="I423" s="3202">
        <f>I421-I422</f>
        <v>0</v>
      </c>
      <c r="J423" s="3202"/>
      <c r="K423" s="3107"/>
      <c r="L423" s="3112"/>
      <c r="M423" s="3186"/>
      <c r="N423" s="3186"/>
      <c r="O423" s="3186"/>
      <c r="P423" s="3186"/>
      <c r="Q423" s="3107"/>
    </row>
    <row r="424" spans="1:17">
      <c r="A424" s="3107" t="s">
        <v>612</v>
      </c>
      <c r="B424" s="3115"/>
      <c r="C424" s="3107"/>
      <c r="D424" s="3107"/>
      <c r="E424" s="3107"/>
      <c r="F424" s="3107"/>
      <c r="G424" s="3107"/>
      <c r="H424" s="3208"/>
      <c r="I424" s="3208"/>
      <c r="J424" s="3114"/>
      <c r="K424" s="3107"/>
      <c r="L424" s="3112"/>
      <c r="M424" s="3186"/>
      <c r="N424" s="3186"/>
      <c r="O424" s="3186"/>
      <c r="P424" s="3186"/>
      <c r="Q424" s="3107"/>
    </row>
    <row r="425" spans="1:17">
      <c r="A425" s="3114"/>
      <c r="B425" s="3114"/>
      <c r="C425" s="3114"/>
      <c r="D425" s="3114"/>
      <c r="E425" s="3114"/>
      <c r="F425" s="3114"/>
      <c r="G425" s="3114"/>
      <c r="H425" s="3114"/>
      <c r="I425" s="3114"/>
      <c r="J425" s="3114"/>
      <c r="K425" s="3114"/>
      <c r="L425" s="3114"/>
      <c r="M425" s="3114"/>
      <c r="N425" s="3114"/>
      <c r="O425" s="3114"/>
      <c r="P425" s="3114"/>
      <c r="Q425" s="3114"/>
    </row>
    <row r="426" spans="1:17" ht="13.5">
      <c r="A426" s="3104" t="s">
        <v>57</v>
      </c>
      <c r="B426" s="3104" t="s">
        <v>259</v>
      </c>
      <c r="C426" s="3114"/>
      <c r="D426" s="3114"/>
      <c r="E426" s="3114"/>
      <c r="F426" s="3114"/>
      <c r="G426" s="3114"/>
      <c r="H426" s="3114"/>
      <c r="I426" s="3114"/>
      <c r="J426" s="3114"/>
      <c r="K426" s="3203"/>
      <c r="L426" s="3203"/>
      <c r="M426" s="3104" t="s">
        <v>57</v>
      </c>
      <c r="N426" s="3104" t="s">
        <v>261</v>
      </c>
      <c r="O426" s="3114"/>
      <c r="P426" s="3114"/>
      <c r="Q426" s="3114"/>
    </row>
    <row r="427" spans="1:17" ht="12.75" customHeight="1">
      <c r="A427" s="3179" t="str">
        <f>'Part III-Sources of Funds'!A64</f>
        <v>Total Federal Housing Credit Equity is the total of Stratford Capital's investment (for 98.98% partnership interest) of $7,405,200, and TSR S1 LLC's investment (for 1.00% partnership interest) of $74,800.</v>
      </c>
      <c r="B427" s="3179">
        <f>'Part III-Sources of Funds'!B64</f>
        <v>0</v>
      </c>
      <c r="C427" s="3179">
        <f>'Part III-Sources of Funds'!C64</f>
        <v>0</v>
      </c>
      <c r="D427" s="3179">
        <f>'Part III-Sources of Funds'!D64</f>
        <v>0</v>
      </c>
      <c r="E427" s="3179">
        <f>'Part III-Sources of Funds'!E64</f>
        <v>0</v>
      </c>
      <c r="F427" s="3179">
        <f>'Part III-Sources of Funds'!F64</f>
        <v>0</v>
      </c>
      <c r="G427" s="3179">
        <f>'Part III-Sources of Funds'!G64</f>
        <v>0</v>
      </c>
      <c r="H427" s="3179">
        <f>'Part III-Sources of Funds'!H64</f>
        <v>0</v>
      </c>
      <c r="I427" s="3179">
        <f>'Part III-Sources of Funds'!I64</f>
        <v>0</v>
      </c>
      <c r="J427" s="3179">
        <f>'Part III-Sources of Funds'!J64</f>
        <v>0</v>
      </c>
      <c r="K427" s="3179">
        <f>'Part III-Sources of Funds'!K64</f>
        <v>0</v>
      </c>
      <c r="L427" s="3179">
        <f>'Part III-Sources of Funds'!L64</f>
        <v>0</v>
      </c>
      <c r="M427" s="3179">
        <f>'Part III-Sources of Funds'!M64</f>
        <v>0</v>
      </c>
      <c r="N427" s="3179">
        <f>'Part III-Sources of Funds'!N64</f>
        <v>0</v>
      </c>
      <c r="O427" s="3179">
        <f>'Part III-Sources of Funds'!O64</f>
        <v>0</v>
      </c>
      <c r="P427" s="3179">
        <f>'Part III-Sources of Funds'!P64</f>
        <v>0</v>
      </c>
      <c r="Q427" s="3179">
        <f>'Part III-Sources of Funds'!Q64</f>
        <v>0</v>
      </c>
    </row>
    <row r="437" spans="1:24">
      <c r="A437" s="3104" t="str">
        <f>CONCATENATE("PART FOUR -  USES OF FUNDS","  -  ",'Part I-Project Information'!$O$6," ",'Part I-Project Information'!$F$34,", ",'Part I-Project Information'!F474,", ",'Part I-Project Information'!J475," County")</f>
        <v>PART FOUR -  USES OF FUNDS  -  2018-008 Mill at Stone Valley, ,  County</v>
      </c>
      <c r="B437" s="3104"/>
      <c r="C437" s="3104"/>
      <c r="D437" s="3104"/>
      <c r="E437" s="3104"/>
      <c r="F437" s="3104"/>
      <c r="G437" s="3104"/>
      <c r="H437" s="3104"/>
      <c r="I437" s="3104"/>
      <c r="J437" s="3104"/>
      <c r="K437" s="3104"/>
      <c r="L437" s="3104"/>
      <c r="M437" s="3104"/>
      <c r="N437" s="3104"/>
      <c r="O437" s="3104"/>
      <c r="P437" s="3104"/>
      <c r="Q437" s="3104"/>
      <c r="R437" s="3104"/>
      <c r="S437" s="3104"/>
      <c r="T437" s="3104"/>
      <c r="U437" s="3107"/>
      <c r="V437" s="3107"/>
      <c r="W437" s="3104" t="str">
        <f>A437</f>
        <v>PART FOUR -  USES OF FUNDS  -  2018-008 Mill at Stone Valley, ,  County</v>
      </c>
      <c r="X437" s="3104"/>
    </row>
    <row r="438" spans="1:24">
      <c r="A438" s="3114"/>
      <c r="B438" s="3114"/>
      <c r="C438" s="3114"/>
      <c r="D438" s="3114"/>
      <c r="E438" s="3114"/>
      <c r="F438" s="3114"/>
      <c r="G438" s="3114"/>
      <c r="H438" s="3114"/>
      <c r="I438" s="3114"/>
      <c r="J438" s="3114"/>
      <c r="K438" s="3114"/>
      <c r="L438" s="3114"/>
      <c r="M438" s="3114"/>
      <c r="N438" s="3114"/>
      <c r="O438" s="3114"/>
      <c r="P438" s="3114"/>
      <c r="Q438" s="3114"/>
      <c r="R438" s="3114"/>
      <c r="S438" s="3114"/>
      <c r="T438" s="3114"/>
      <c r="U438" s="3114"/>
      <c r="V438" s="3114"/>
      <c r="W438" s="3114"/>
      <c r="X438" s="3114"/>
    </row>
    <row r="439" spans="1:24">
      <c r="A439" s="3104"/>
      <c r="B439" s="3104"/>
      <c r="C439" s="3104"/>
      <c r="D439" s="3104"/>
      <c r="E439" s="3104"/>
      <c r="F439" s="3104"/>
      <c r="G439" s="3104"/>
      <c r="H439" s="3104"/>
      <c r="I439" s="3104"/>
      <c r="J439" s="3104"/>
      <c r="K439" s="3104"/>
      <c r="L439" s="3104"/>
      <c r="M439" s="3104"/>
      <c r="N439" s="3104"/>
      <c r="O439" s="3104"/>
      <c r="P439" s="3104"/>
      <c r="Q439" s="3104"/>
      <c r="R439" s="3104"/>
      <c r="S439" s="3104"/>
      <c r="T439" s="3104"/>
      <c r="U439" s="3107"/>
      <c r="V439" s="3107"/>
      <c r="W439" s="3107"/>
      <c r="X439" s="3107"/>
    </row>
    <row r="440" spans="1:24" ht="16.5">
      <c r="A440" s="3105"/>
      <c r="B440" s="3105"/>
      <c r="C440" s="3105"/>
      <c r="D440" s="3218"/>
      <c r="E440" s="3218"/>
      <c r="F440" s="3218"/>
      <c r="G440" s="3218"/>
      <c r="H440" s="3218"/>
      <c r="I440" s="3104"/>
      <c r="J440" s="3105"/>
      <c r="K440" s="3105"/>
      <c r="L440" s="3105"/>
      <c r="M440" s="3105"/>
      <c r="N440" s="3105"/>
      <c r="O440" s="3105"/>
      <c r="P440" s="3105"/>
      <c r="Q440" s="3105"/>
      <c r="R440" s="3105"/>
      <c r="S440" s="3105"/>
      <c r="T440" s="3105"/>
      <c r="U440" s="3107"/>
      <c r="V440" s="3107"/>
      <c r="W440" s="3107"/>
      <c r="X440" s="3107"/>
    </row>
    <row r="441" spans="1:24" ht="17.25" customHeight="1">
      <c r="A441" s="3218" t="s">
        <v>9</v>
      </c>
      <c r="B441" s="3218" t="s">
        <v>650</v>
      </c>
      <c r="C441" s="3107"/>
      <c r="D441" s="3107"/>
      <c r="E441" s="3107"/>
      <c r="F441" s="3107"/>
      <c r="G441" s="3107"/>
      <c r="H441" s="3218"/>
      <c r="I441" s="3218"/>
      <c r="J441" s="3106" t="s">
        <v>651</v>
      </c>
      <c r="K441" s="3106"/>
      <c r="L441" s="3122"/>
      <c r="M441" s="3219" t="s">
        <v>652</v>
      </c>
      <c r="N441" s="3219"/>
      <c r="O441" s="3107"/>
      <c r="P441" s="3106" t="s">
        <v>653</v>
      </c>
      <c r="Q441" s="3106"/>
      <c r="R441" s="3107"/>
      <c r="S441" s="3106" t="s">
        <v>654</v>
      </c>
      <c r="T441" s="3106"/>
      <c r="U441" s="3107"/>
      <c r="V441" s="3220" t="str">
        <f>B441</f>
        <v>DEVELOPMENT BUDGET</v>
      </c>
      <c r="W441" s="3107"/>
      <c r="X441" s="3107"/>
    </row>
    <row r="442" spans="1:24">
      <c r="A442" s="3107"/>
      <c r="B442" s="3107"/>
      <c r="C442" s="3107"/>
      <c r="D442" s="3107"/>
      <c r="E442" s="3107"/>
      <c r="F442" s="3107"/>
      <c r="G442" s="3104" t="s">
        <v>655</v>
      </c>
      <c r="H442" s="3104"/>
      <c r="I442" s="3107"/>
      <c r="J442" s="3106"/>
      <c r="K442" s="3106"/>
      <c r="L442" s="3122"/>
      <c r="M442" s="3219"/>
      <c r="N442" s="3219"/>
      <c r="O442" s="3107"/>
      <c r="P442" s="3106"/>
      <c r="Q442" s="3106"/>
      <c r="R442" s="3107"/>
      <c r="S442" s="3106"/>
      <c r="T442" s="3106"/>
      <c r="U442" s="3107"/>
      <c r="V442" s="3157" t="s">
        <v>530</v>
      </c>
      <c r="W442" s="3107"/>
      <c r="X442" s="3157"/>
    </row>
    <row r="443" spans="1:24">
      <c r="A443" s="3107"/>
      <c r="B443" s="3104" t="s">
        <v>656</v>
      </c>
      <c r="C443" s="3107"/>
      <c r="D443" s="3107"/>
      <c r="E443" s="3107"/>
      <c r="F443" s="3107"/>
      <c r="G443" s="3107"/>
      <c r="H443" s="3107"/>
      <c r="I443" s="3107"/>
      <c r="J443" s="3107"/>
      <c r="K443" s="3107"/>
      <c r="L443" s="3107"/>
      <c r="M443" s="3107"/>
      <c r="N443" s="3107"/>
      <c r="O443" s="3105" t="str">
        <f>B443</f>
        <v>PRE-DEVELOPMENT COSTS</v>
      </c>
      <c r="P443" s="3107"/>
      <c r="Q443" s="3107"/>
      <c r="R443" s="3107"/>
      <c r="S443" s="3107"/>
      <c r="T443" s="3107"/>
      <c r="U443" s="3107"/>
      <c r="V443" s="3107"/>
      <c r="W443" s="3107" t="str">
        <f>B443</f>
        <v>PRE-DEVELOPMENT COSTS</v>
      </c>
      <c r="X443" s="3107"/>
    </row>
    <row r="444" spans="1:24">
      <c r="A444" s="3107"/>
      <c r="B444" s="3107" t="s">
        <v>657</v>
      </c>
      <c r="C444" s="3107"/>
      <c r="D444" s="3107"/>
      <c r="E444" s="3107"/>
      <c r="F444" s="3107"/>
      <c r="G444" s="3122">
        <f>'Part IV-A-Uses of Funds'!G8</f>
        <v>1200</v>
      </c>
      <c r="H444" s="3122">
        <f>'Part IV-A-Uses of Funds'!H8</f>
        <v>0</v>
      </c>
      <c r="I444" s="3107"/>
      <c r="J444" s="3122">
        <f>'Part IV-A-Uses of Funds'!J8</f>
        <v>1200</v>
      </c>
      <c r="K444" s="3122">
        <f>'Part IV-A-Uses of Funds'!K8</f>
        <v>0</v>
      </c>
      <c r="L444" s="3137"/>
      <c r="M444" s="3122">
        <f>'Part IV-A-Uses of Funds'!M8</f>
        <v>0</v>
      </c>
      <c r="N444" s="3122">
        <f>'Part IV-A-Uses of Funds'!N8</f>
        <v>0</v>
      </c>
      <c r="O444" s="3107"/>
      <c r="P444" s="3122">
        <f>'Part IV-A-Uses of Funds'!P8</f>
        <v>0</v>
      </c>
      <c r="Q444" s="3122">
        <f>'Part IV-A-Uses of Funds'!Q8</f>
        <v>0</v>
      </c>
      <c r="R444" s="3107"/>
      <c r="S444" s="3122">
        <f>'Part IV-A-Uses of Funds'!S8</f>
        <v>0</v>
      </c>
      <c r="T444" s="3122">
        <f>'Part IV-A-Uses of Funds'!T8</f>
        <v>0</v>
      </c>
      <c r="U444" s="3107"/>
      <c r="V444" s="3221"/>
      <c r="W444" s="1086">
        <f>'Part IV-A-Uses of Funds'!W8</f>
        <v>0</v>
      </c>
      <c r="X444" s="1086">
        <f>'Part IV-A-Uses of Funds'!X8</f>
        <v>0</v>
      </c>
    </row>
    <row r="445" spans="1:24">
      <c r="A445" s="3107"/>
      <c r="B445" s="3107" t="s">
        <v>658</v>
      </c>
      <c r="C445" s="3107"/>
      <c r="D445" s="3107"/>
      <c r="E445" s="3107"/>
      <c r="F445" s="3107"/>
      <c r="G445" s="3122">
        <f>'Part IV-A-Uses of Funds'!G9</f>
        <v>4500</v>
      </c>
      <c r="H445" s="3122">
        <f>'Part IV-A-Uses of Funds'!H9</f>
        <v>0</v>
      </c>
      <c r="I445" s="3107"/>
      <c r="J445" s="3122">
        <f>'Part IV-A-Uses of Funds'!J9</f>
        <v>4500</v>
      </c>
      <c r="K445" s="3122">
        <f>'Part IV-A-Uses of Funds'!K9</f>
        <v>0</v>
      </c>
      <c r="L445" s="3137"/>
      <c r="M445" s="3122">
        <f>'Part IV-A-Uses of Funds'!M9</f>
        <v>0</v>
      </c>
      <c r="N445" s="3122">
        <f>'Part IV-A-Uses of Funds'!N9</f>
        <v>0</v>
      </c>
      <c r="O445" s="3107"/>
      <c r="P445" s="3122">
        <f>'Part IV-A-Uses of Funds'!P9</f>
        <v>0</v>
      </c>
      <c r="Q445" s="3122">
        <f>'Part IV-A-Uses of Funds'!Q9</f>
        <v>0</v>
      </c>
      <c r="R445" s="3107"/>
      <c r="S445" s="3122">
        <f>'Part IV-A-Uses of Funds'!S9</f>
        <v>0</v>
      </c>
      <c r="T445" s="3122">
        <f>'Part IV-A-Uses of Funds'!T9</f>
        <v>0</v>
      </c>
      <c r="U445" s="3107"/>
      <c r="V445" s="3221"/>
      <c r="W445" s="1086">
        <f>'Part IV-A-Uses of Funds'!W9</f>
        <v>0</v>
      </c>
      <c r="X445" s="1086">
        <f>'Part IV-A-Uses of Funds'!X9</f>
        <v>0</v>
      </c>
    </row>
    <row r="446" spans="1:24">
      <c r="A446" s="3107"/>
      <c r="B446" s="3107" t="s">
        <v>659</v>
      </c>
      <c r="C446" s="3107"/>
      <c r="D446" s="3107"/>
      <c r="E446" s="3107"/>
      <c r="F446" s="3107"/>
      <c r="G446" s="3122">
        <f>'Part IV-A-Uses of Funds'!G10</f>
        <v>10400</v>
      </c>
      <c r="H446" s="3122">
        <f>'Part IV-A-Uses of Funds'!H10</f>
        <v>0</v>
      </c>
      <c r="I446" s="3107"/>
      <c r="J446" s="3122">
        <f>'Part IV-A-Uses of Funds'!J10</f>
        <v>10400</v>
      </c>
      <c r="K446" s="3122">
        <f>'Part IV-A-Uses of Funds'!K10</f>
        <v>0</v>
      </c>
      <c r="L446" s="3137"/>
      <c r="M446" s="3122">
        <f>'Part IV-A-Uses of Funds'!M10</f>
        <v>0</v>
      </c>
      <c r="N446" s="3122">
        <f>'Part IV-A-Uses of Funds'!N10</f>
        <v>0</v>
      </c>
      <c r="O446" s="3107"/>
      <c r="P446" s="3122">
        <f>'Part IV-A-Uses of Funds'!P10</f>
        <v>0</v>
      </c>
      <c r="Q446" s="3122">
        <f>'Part IV-A-Uses of Funds'!Q10</f>
        <v>0</v>
      </c>
      <c r="R446" s="3107"/>
      <c r="S446" s="3122">
        <f>'Part IV-A-Uses of Funds'!S10</f>
        <v>0</v>
      </c>
      <c r="T446" s="3122">
        <f>'Part IV-A-Uses of Funds'!T10</f>
        <v>0</v>
      </c>
      <c r="U446" s="3107"/>
      <c r="V446" s="3221"/>
      <c r="W446" s="1086">
        <f>'Part IV-A-Uses of Funds'!W10</f>
        <v>0</v>
      </c>
      <c r="X446" s="1086">
        <f>'Part IV-A-Uses of Funds'!X10</f>
        <v>0</v>
      </c>
    </row>
    <row r="447" spans="1:24">
      <c r="A447" s="3107"/>
      <c r="B447" s="3107" t="s">
        <v>660</v>
      </c>
      <c r="C447" s="3107"/>
      <c r="D447" s="3107"/>
      <c r="E447" s="3107"/>
      <c r="F447" s="3107"/>
      <c r="G447" s="3122">
        <f>'Part IV-A-Uses of Funds'!G11</f>
        <v>7500</v>
      </c>
      <c r="H447" s="3122">
        <f>'Part IV-A-Uses of Funds'!H11</f>
        <v>0</v>
      </c>
      <c r="I447" s="3107"/>
      <c r="J447" s="3122">
        <f>'Part IV-A-Uses of Funds'!J11</f>
        <v>7500</v>
      </c>
      <c r="K447" s="3122">
        <f>'Part IV-A-Uses of Funds'!K11</f>
        <v>0</v>
      </c>
      <c r="L447" s="3137"/>
      <c r="M447" s="3122">
        <f>'Part IV-A-Uses of Funds'!M11</f>
        <v>0</v>
      </c>
      <c r="N447" s="3122">
        <f>'Part IV-A-Uses of Funds'!N11</f>
        <v>0</v>
      </c>
      <c r="O447" s="3107"/>
      <c r="P447" s="3122">
        <f>'Part IV-A-Uses of Funds'!P11</f>
        <v>0</v>
      </c>
      <c r="Q447" s="3122">
        <f>'Part IV-A-Uses of Funds'!Q11</f>
        <v>0</v>
      </c>
      <c r="R447" s="3107"/>
      <c r="S447" s="3122">
        <f>'Part IV-A-Uses of Funds'!S11</f>
        <v>0</v>
      </c>
      <c r="T447" s="3122">
        <f>'Part IV-A-Uses of Funds'!T11</f>
        <v>0</v>
      </c>
      <c r="U447" s="3107"/>
      <c r="V447" s="3221"/>
      <c r="W447" s="1086">
        <f>'Part IV-A-Uses of Funds'!W11</f>
        <v>0</v>
      </c>
      <c r="X447" s="1086">
        <f>'Part IV-A-Uses of Funds'!X11</f>
        <v>0</v>
      </c>
    </row>
    <row r="448" spans="1:24">
      <c r="A448" s="3107"/>
      <c r="B448" s="3107" t="s">
        <v>661</v>
      </c>
      <c r="C448" s="3107"/>
      <c r="D448" s="3107"/>
      <c r="E448" s="3107"/>
      <c r="F448" s="3107"/>
      <c r="G448" s="3122">
        <f>'Part IV-A-Uses of Funds'!G12</f>
        <v>15000</v>
      </c>
      <c r="H448" s="3122">
        <f>'Part IV-A-Uses of Funds'!H12</f>
        <v>0</v>
      </c>
      <c r="I448" s="3107"/>
      <c r="J448" s="3122">
        <f>'Part IV-A-Uses of Funds'!J12</f>
        <v>15000</v>
      </c>
      <c r="K448" s="3122">
        <f>'Part IV-A-Uses of Funds'!K12</f>
        <v>0</v>
      </c>
      <c r="L448" s="3137"/>
      <c r="M448" s="3122">
        <f>'Part IV-A-Uses of Funds'!M12</f>
        <v>0</v>
      </c>
      <c r="N448" s="3122">
        <f>'Part IV-A-Uses of Funds'!N12</f>
        <v>0</v>
      </c>
      <c r="O448" s="3107"/>
      <c r="P448" s="3122">
        <f>'Part IV-A-Uses of Funds'!P12</f>
        <v>0</v>
      </c>
      <c r="Q448" s="3122">
        <f>'Part IV-A-Uses of Funds'!Q12</f>
        <v>0</v>
      </c>
      <c r="R448" s="3107"/>
      <c r="S448" s="3122">
        <f>'Part IV-A-Uses of Funds'!S12</f>
        <v>0</v>
      </c>
      <c r="T448" s="3122">
        <f>'Part IV-A-Uses of Funds'!T12</f>
        <v>0</v>
      </c>
      <c r="U448" s="3107"/>
      <c r="V448" s="3221"/>
      <c r="W448" s="1086">
        <f>'Part IV-A-Uses of Funds'!W12</f>
        <v>0</v>
      </c>
      <c r="X448" s="1086">
        <f>'Part IV-A-Uses of Funds'!X12</f>
        <v>0</v>
      </c>
    </row>
    <row r="449" spans="1:24">
      <c r="A449" s="3107"/>
      <c r="B449" s="3107" t="s">
        <v>662</v>
      </c>
      <c r="C449" s="3107"/>
      <c r="D449" s="3107"/>
      <c r="E449" s="3107"/>
      <c r="F449" s="3107"/>
      <c r="G449" s="3122">
        <f>'Part IV-A-Uses of Funds'!G13</f>
        <v>1000</v>
      </c>
      <c r="H449" s="3122">
        <f>'Part IV-A-Uses of Funds'!H13</f>
        <v>0</v>
      </c>
      <c r="I449" s="3107"/>
      <c r="J449" s="3122">
        <f>'Part IV-A-Uses of Funds'!J13</f>
        <v>1000</v>
      </c>
      <c r="K449" s="3122">
        <f>'Part IV-A-Uses of Funds'!K13</f>
        <v>0</v>
      </c>
      <c r="L449" s="3137"/>
      <c r="M449" s="3122">
        <f>'Part IV-A-Uses of Funds'!M13</f>
        <v>0</v>
      </c>
      <c r="N449" s="3122">
        <f>'Part IV-A-Uses of Funds'!N13</f>
        <v>0</v>
      </c>
      <c r="O449" s="3107"/>
      <c r="P449" s="3122">
        <f>'Part IV-A-Uses of Funds'!P13</f>
        <v>0</v>
      </c>
      <c r="Q449" s="3122">
        <f>'Part IV-A-Uses of Funds'!Q13</f>
        <v>0</v>
      </c>
      <c r="R449" s="3107"/>
      <c r="S449" s="3122">
        <f>'Part IV-A-Uses of Funds'!S13</f>
        <v>0</v>
      </c>
      <c r="T449" s="3122">
        <f>'Part IV-A-Uses of Funds'!T13</f>
        <v>0</v>
      </c>
      <c r="U449" s="3107"/>
      <c r="V449" s="3221"/>
      <c r="W449" s="1086">
        <f>'Part IV-A-Uses of Funds'!W13</f>
        <v>0</v>
      </c>
      <c r="X449" s="1086">
        <f>'Part IV-A-Uses of Funds'!X13</f>
        <v>0</v>
      </c>
    </row>
    <row r="450" spans="1:24" ht="15.75" customHeight="1">
      <c r="A450" s="3222" t="str">
        <f>IF(AND(G450&gt;0,OR(C450="",C450="&lt;Enter detailed description here; use Comments section if needed&gt;")),"X","")</f>
        <v/>
      </c>
      <c r="B450" s="3107" t="s">
        <v>592</v>
      </c>
      <c r="C450" s="3125" t="str">
        <f>'Part IV-A-Uses of Funds'!C14</f>
        <v>Front End Analysis</v>
      </c>
      <c r="D450" s="3125">
        <f>'Part IV-A-Uses of Funds'!D14</f>
        <v>0</v>
      </c>
      <c r="E450" s="3125">
        <f>'Part IV-A-Uses of Funds'!E14</f>
        <v>0</v>
      </c>
      <c r="F450" s="3125">
        <f>'Part IV-A-Uses of Funds'!F14</f>
        <v>0</v>
      </c>
      <c r="G450" s="3122">
        <f>'Part IV-A-Uses of Funds'!G14</f>
        <v>4000</v>
      </c>
      <c r="H450" s="3122">
        <f>'Part IV-A-Uses of Funds'!H14</f>
        <v>0</v>
      </c>
      <c r="I450" s="3107"/>
      <c r="J450" s="3122">
        <f>'Part IV-A-Uses of Funds'!J14</f>
        <v>4000</v>
      </c>
      <c r="K450" s="3122">
        <f>'Part IV-A-Uses of Funds'!K14</f>
        <v>0</v>
      </c>
      <c r="L450" s="3137"/>
      <c r="M450" s="3122">
        <f>'Part IV-A-Uses of Funds'!M14</f>
        <v>0</v>
      </c>
      <c r="N450" s="3122">
        <f>'Part IV-A-Uses of Funds'!N14</f>
        <v>0</v>
      </c>
      <c r="O450" s="3107"/>
      <c r="P450" s="3122">
        <f>'Part IV-A-Uses of Funds'!P14</f>
        <v>0</v>
      </c>
      <c r="Q450" s="3122">
        <f>'Part IV-A-Uses of Funds'!Q14</f>
        <v>0</v>
      </c>
      <c r="R450" s="3107"/>
      <c r="S450" s="3122">
        <f>'Part IV-A-Uses of Funds'!S14</f>
        <v>0</v>
      </c>
      <c r="T450" s="3122">
        <f>'Part IV-A-Uses of Funds'!T14</f>
        <v>0</v>
      </c>
      <c r="U450" s="3108" t="str">
        <f>IF(AND(G450&gt;0,OR(C450="",C450="&lt;Enter detailed description here; use Comments section if needed&gt;")),"NO DESCRIPTION PROVIDED - please enter detailed description in Other box at left; use Comments section below if needed.","")</f>
        <v/>
      </c>
      <c r="V450" s="3223"/>
      <c r="W450" s="1086">
        <f>'Part IV-A-Uses of Funds'!W14</f>
        <v>0</v>
      </c>
      <c r="X450" s="1086">
        <f>'Part IV-A-Uses of Funds'!X14</f>
        <v>0</v>
      </c>
    </row>
    <row r="451" spans="1:24" ht="15.75" customHeight="1">
      <c r="A451" s="3222" t="str">
        <f>IF(AND(G451&gt;0,OR(C451="",C451="&lt;Enter detailed description here; use Comments section if needed&gt;")),"X","")</f>
        <v/>
      </c>
      <c r="B451" s="3107" t="s">
        <v>592</v>
      </c>
      <c r="C451" s="3125">
        <f>'Part IV-A-Uses of Funds'!C15</f>
        <v>0</v>
      </c>
      <c r="D451" s="3125">
        <f>'Part IV-A-Uses of Funds'!D15</f>
        <v>0</v>
      </c>
      <c r="E451" s="3125">
        <f>'Part IV-A-Uses of Funds'!E15</f>
        <v>0</v>
      </c>
      <c r="F451" s="3125">
        <f>'Part IV-A-Uses of Funds'!F15</f>
        <v>0</v>
      </c>
      <c r="G451" s="3122">
        <f>'Part IV-A-Uses of Funds'!G15</f>
        <v>0</v>
      </c>
      <c r="H451" s="3122">
        <f>'Part IV-A-Uses of Funds'!H15</f>
        <v>0</v>
      </c>
      <c r="I451" s="3107"/>
      <c r="J451" s="3122">
        <f>'Part IV-A-Uses of Funds'!J15</f>
        <v>0</v>
      </c>
      <c r="K451" s="3122">
        <f>'Part IV-A-Uses of Funds'!K15</f>
        <v>0</v>
      </c>
      <c r="L451" s="3137"/>
      <c r="M451" s="3122">
        <f>'Part IV-A-Uses of Funds'!M15</f>
        <v>0</v>
      </c>
      <c r="N451" s="3122">
        <f>'Part IV-A-Uses of Funds'!N15</f>
        <v>0</v>
      </c>
      <c r="O451" s="3107"/>
      <c r="P451" s="3122">
        <f>'Part IV-A-Uses of Funds'!P15</f>
        <v>0</v>
      </c>
      <c r="Q451" s="3122">
        <f>'Part IV-A-Uses of Funds'!Q15</f>
        <v>0</v>
      </c>
      <c r="R451" s="3107"/>
      <c r="S451" s="3122">
        <f>'Part IV-A-Uses of Funds'!S15</f>
        <v>0</v>
      </c>
      <c r="T451" s="3122">
        <f>'Part IV-A-Uses of Funds'!T15</f>
        <v>0</v>
      </c>
      <c r="U451" s="3108" t="str">
        <f>IF(AND(G451&gt;0,OR(C451="",C451="&lt;Enter detailed description here; use Comments section if needed&gt;")),"NO DESCRIPTION PROVIDED - please enter detailed description in Other box at left; use Comments section below if needed.","")</f>
        <v/>
      </c>
      <c r="V451" s="3223"/>
      <c r="W451" s="1086">
        <f>'Part IV-A-Uses of Funds'!W15</f>
        <v>0</v>
      </c>
      <c r="X451" s="1086">
        <f>'Part IV-A-Uses of Funds'!X15</f>
        <v>0</v>
      </c>
    </row>
    <row r="452" spans="1:24" ht="16.5" customHeight="1">
      <c r="A452" s="3222" t="str">
        <f>IF(AND(G452&gt;0,OR(C452="",C452="&lt;Enter detailed description here; use Comments section if needed&gt;")),"X","")</f>
        <v/>
      </c>
      <c r="B452" s="3107" t="s">
        <v>592</v>
      </c>
      <c r="C452" s="3125" t="str">
        <f>'Part IV-A-Uses of Funds'!C16</f>
        <v>&lt;&lt; Enter description here; provide detail &amp; justification in tab Part IV-b &gt;&gt;</v>
      </c>
      <c r="D452" s="3125">
        <f>'Part IV-A-Uses of Funds'!D16</f>
        <v>0</v>
      </c>
      <c r="E452" s="3125">
        <f>'Part IV-A-Uses of Funds'!E16</f>
        <v>0</v>
      </c>
      <c r="F452" s="3125">
        <f>'Part IV-A-Uses of Funds'!F16</f>
        <v>0</v>
      </c>
      <c r="G452" s="3122">
        <f>'Part IV-A-Uses of Funds'!G16</f>
        <v>0</v>
      </c>
      <c r="H452" s="3122">
        <f>'Part IV-A-Uses of Funds'!H16</f>
        <v>0</v>
      </c>
      <c r="I452" s="3107"/>
      <c r="J452" s="3122">
        <f>'Part IV-A-Uses of Funds'!J16</f>
        <v>0</v>
      </c>
      <c r="K452" s="3122">
        <f>'Part IV-A-Uses of Funds'!K16</f>
        <v>0</v>
      </c>
      <c r="L452" s="3137"/>
      <c r="M452" s="3122">
        <f>'Part IV-A-Uses of Funds'!M16</f>
        <v>0</v>
      </c>
      <c r="N452" s="3122">
        <f>'Part IV-A-Uses of Funds'!N16</f>
        <v>0</v>
      </c>
      <c r="O452" s="3107"/>
      <c r="P452" s="3122">
        <f>'Part IV-A-Uses of Funds'!P16</f>
        <v>0</v>
      </c>
      <c r="Q452" s="3122">
        <f>'Part IV-A-Uses of Funds'!Q16</f>
        <v>0</v>
      </c>
      <c r="R452" s="3107"/>
      <c r="S452" s="3122">
        <f>'Part IV-A-Uses of Funds'!S16</f>
        <v>0</v>
      </c>
      <c r="T452" s="3122">
        <f>'Part IV-A-Uses of Funds'!T16</f>
        <v>0</v>
      </c>
      <c r="U452" s="3108" t="str">
        <f>IF(AND(G452&gt;0,OR(C452="",C452="&lt;Enter detailed description here; use Comments section if needed&gt;")),"NO DESCRIPTION PROVIDED - please enter detailed description in Other box at left; use Comments section below if needed.","")</f>
        <v/>
      </c>
      <c r="V452" s="3223"/>
      <c r="W452" s="1086">
        <f>'Part IV-A-Uses of Funds'!W16</f>
        <v>0</v>
      </c>
      <c r="X452" s="1086">
        <f>'Part IV-A-Uses of Funds'!X16</f>
        <v>0</v>
      </c>
    </row>
    <row r="453" spans="1:24">
      <c r="A453" s="3107"/>
      <c r="B453" s="3107"/>
      <c r="C453" s="3107"/>
      <c r="D453" s="3107"/>
      <c r="E453" s="3107"/>
      <c r="F453" s="3224" t="s">
        <v>665</v>
      </c>
      <c r="G453" s="3122">
        <f>SUM(G444:H452)</f>
        <v>43600</v>
      </c>
      <c r="H453" s="3122"/>
      <c r="I453" s="3107"/>
      <c r="J453" s="3122">
        <f>SUM(J444:K452)</f>
        <v>43600</v>
      </c>
      <c r="K453" s="3138"/>
      <c r="L453" s="3137"/>
      <c r="M453" s="3122">
        <f>SUM(M444:N452)</f>
        <v>0</v>
      </c>
      <c r="N453" s="3122"/>
      <c r="O453" s="3107"/>
      <c r="P453" s="3122">
        <f>SUM(P444:Q452)</f>
        <v>0</v>
      </c>
      <c r="Q453" s="3122"/>
      <c r="R453" s="3107"/>
      <c r="S453" s="3122">
        <f>SUM(S444:T452)</f>
        <v>0</v>
      </c>
      <c r="T453" s="3122"/>
      <c r="U453" s="3107"/>
      <c r="V453" s="3221">
        <f>SUM(V444:V452)</f>
        <v>0</v>
      </c>
      <c r="W453" s="1086"/>
      <c r="X453" s="1086"/>
    </row>
    <row r="454" spans="1:24">
      <c r="A454" s="3107"/>
      <c r="B454" s="3104" t="s">
        <v>666</v>
      </c>
      <c r="C454" s="3107"/>
      <c r="D454" s="3107"/>
      <c r="E454" s="3107"/>
      <c r="F454" s="3107"/>
      <c r="G454" s="3107"/>
      <c r="H454" s="3107"/>
      <c r="I454" s="3107"/>
      <c r="J454" s="3122"/>
      <c r="K454" s="3122"/>
      <c r="L454" s="3107"/>
      <c r="M454" s="3122"/>
      <c r="N454" s="3122"/>
      <c r="O454" s="3225" t="str">
        <f>B454</f>
        <v>ACQUISITION</v>
      </c>
      <c r="P454" s="3122"/>
      <c r="Q454" s="3122"/>
      <c r="R454" s="3107"/>
      <c r="S454" s="3122"/>
      <c r="T454" s="3122"/>
      <c r="U454" s="3107"/>
      <c r="V454" s="3221"/>
      <c r="W454" s="3107" t="str">
        <f>B454</f>
        <v>ACQUISITION</v>
      </c>
      <c r="X454" s="3107"/>
    </row>
    <row r="455" spans="1:24">
      <c r="A455" s="3107"/>
      <c r="B455" s="3107" t="s">
        <v>667</v>
      </c>
      <c r="C455" s="3107"/>
      <c r="D455" s="3107"/>
      <c r="E455" s="3107"/>
      <c r="F455" s="3107"/>
      <c r="G455" s="3122">
        <f>'Part IV-A-Uses of Funds'!G19</f>
        <v>950000</v>
      </c>
      <c r="H455" s="3122">
        <f>'Part IV-A-Uses of Funds'!H19</f>
        <v>0</v>
      </c>
      <c r="I455" s="3107"/>
      <c r="J455" s="3137"/>
      <c r="K455" s="3122"/>
      <c r="L455" s="3137"/>
      <c r="M455" s="3137"/>
      <c r="N455" s="3122"/>
      <c r="O455" s="3107"/>
      <c r="P455" s="3137"/>
      <c r="Q455" s="3122"/>
      <c r="R455" s="3107"/>
      <c r="S455" s="3122">
        <f>'Part IV-A-Uses of Funds'!S19</f>
        <v>950000</v>
      </c>
      <c r="T455" s="3122">
        <f>'Part IV-A-Uses of Funds'!T19</f>
        <v>0</v>
      </c>
      <c r="U455" s="3107"/>
      <c r="V455" s="3221"/>
      <c r="W455" s="1086">
        <f>'Part IV-A-Uses of Funds'!W19</f>
        <v>0</v>
      </c>
      <c r="X455" s="1086">
        <f>'Part IV-A-Uses of Funds'!X19</f>
        <v>0</v>
      </c>
    </row>
    <row r="456" spans="1:24">
      <c r="A456" s="3107"/>
      <c r="B456" s="3107" t="s">
        <v>668</v>
      </c>
      <c r="C456" s="3107"/>
      <c r="D456" s="3107"/>
      <c r="E456" s="3107"/>
      <c r="F456" s="3107"/>
      <c r="G456" s="3122">
        <f>'Part IV-A-Uses of Funds'!G20</f>
        <v>0</v>
      </c>
      <c r="H456" s="3122">
        <f>'Part IV-A-Uses of Funds'!H20</f>
        <v>0</v>
      </c>
      <c r="I456" s="3107"/>
      <c r="J456" s="3137"/>
      <c r="K456" s="3122"/>
      <c r="L456" s="3137"/>
      <c r="M456" s="3137"/>
      <c r="N456" s="3122"/>
      <c r="O456" s="3107"/>
      <c r="P456" s="3137"/>
      <c r="Q456" s="3122"/>
      <c r="R456" s="3107"/>
      <c r="S456" s="3122">
        <f>'Part IV-A-Uses of Funds'!S20</f>
        <v>0</v>
      </c>
      <c r="T456" s="3122">
        <f>'Part IV-A-Uses of Funds'!T20</f>
        <v>0</v>
      </c>
      <c r="U456" s="3107"/>
      <c r="V456" s="3221"/>
      <c r="W456" s="1086">
        <f>'Part IV-A-Uses of Funds'!W20</f>
        <v>0</v>
      </c>
      <c r="X456" s="1086">
        <f>'Part IV-A-Uses of Funds'!X20</f>
        <v>0</v>
      </c>
    </row>
    <row r="457" spans="1:24">
      <c r="A457" s="3107"/>
      <c r="B457" s="3107" t="s">
        <v>669</v>
      </c>
      <c r="C457" s="3107"/>
      <c r="D457" s="3107"/>
      <c r="E457" s="3107"/>
      <c r="F457" s="3107"/>
      <c r="G457" s="3122">
        <f>'Part IV-A-Uses of Funds'!G21</f>
        <v>0</v>
      </c>
      <c r="H457" s="3122">
        <f>'Part IV-A-Uses of Funds'!H21</f>
        <v>0</v>
      </c>
      <c r="I457" s="3107"/>
      <c r="J457" s="3137"/>
      <c r="K457" s="3122"/>
      <c r="L457" s="3137"/>
      <c r="M457" s="3122">
        <f>'Part IV-A-Uses of Funds'!M21</f>
        <v>0</v>
      </c>
      <c r="N457" s="3122">
        <f>'Part IV-A-Uses of Funds'!N21</f>
        <v>0</v>
      </c>
      <c r="O457" s="3107"/>
      <c r="P457" s="3137"/>
      <c r="Q457" s="3122"/>
      <c r="R457" s="3107"/>
      <c r="S457" s="3122">
        <f>'Part IV-A-Uses of Funds'!S21</f>
        <v>0</v>
      </c>
      <c r="T457" s="3122">
        <f>'Part IV-A-Uses of Funds'!T21</f>
        <v>0</v>
      </c>
      <c r="U457" s="3107"/>
      <c r="V457" s="3221"/>
      <c r="W457" s="1086">
        <f>'Part IV-A-Uses of Funds'!W21</f>
        <v>0</v>
      </c>
      <c r="X457" s="1086">
        <f>'Part IV-A-Uses of Funds'!X21</f>
        <v>0</v>
      </c>
    </row>
    <row r="458" spans="1:24">
      <c r="A458" s="3107"/>
      <c r="B458" s="3107" t="s">
        <v>670</v>
      </c>
      <c r="C458" s="3107"/>
      <c r="D458" s="3107"/>
      <c r="E458" s="3107"/>
      <c r="F458" s="3107"/>
      <c r="G458" s="3122">
        <f>'Part IV-A-Uses of Funds'!G22</f>
        <v>0</v>
      </c>
      <c r="H458" s="3122">
        <f>'Part IV-A-Uses of Funds'!H22</f>
        <v>0</v>
      </c>
      <c r="I458" s="3107"/>
      <c r="J458" s="3137"/>
      <c r="K458" s="3122"/>
      <c r="L458" s="3137"/>
      <c r="M458" s="3122">
        <f>'Part IV-A-Uses of Funds'!M22</f>
        <v>0</v>
      </c>
      <c r="N458" s="3122">
        <f>'Part IV-A-Uses of Funds'!N22</f>
        <v>0</v>
      </c>
      <c r="O458" s="3107"/>
      <c r="P458" s="3137"/>
      <c r="Q458" s="3122"/>
      <c r="R458" s="3107"/>
      <c r="S458" s="3122">
        <f>'Part IV-A-Uses of Funds'!S22</f>
        <v>0</v>
      </c>
      <c r="T458" s="3122">
        <f>'Part IV-A-Uses of Funds'!T22</f>
        <v>0</v>
      </c>
      <c r="U458" s="3107"/>
      <c r="V458" s="3221"/>
      <c r="W458" s="1086">
        <f>'Part IV-A-Uses of Funds'!W22</f>
        <v>0</v>
      </c>
      <c r="X458" s="1086">
        <f>'Part IV-A-Uses of Funds'!X22</f>
        <v>0</v>
      </c>
    </row>
    <row r="459" spans="1:24">
      <c r="A459" s="3107"/>
      <c r="B459" s="3107"/>
      <c r="C459" s="3107"/>
      <c r="D459" s="3107"/>
      <c r="E459" s="3107"/>
      <c r="F459" s="3224" t="s">
        <v>665</v>
      </c>
      <c r="G459" s="3122">
        <f>SUM(G455:H458)</f>
        <v>950000</v>
      </c>
      <c r="H459" s="3122"/>
      <c r="I459" s="3107"/>
      <c r="J459" s="3137"/>
      <c r="K459" s="3122"/>
      <c r="L459" s="3137"/>
      <c r="M459" s="3122">
        <f>SUM(M457:N458)</f>
        <v>0</v>
      </c>
      <c r="N459" s="3122"/>
      <c r="O459" s="3107"/>
      <c r="P459" s="3137"/>
      <c r="Q459" s="3122"/>
      <c r="R459" s="3107"/>
      <c r="S459" s="3122">
        <f>SUM(S455:T458)</f>
        <v>950000</v>
      </c>
      <c r="T459" s="3122"/>
      <c r="U459" s="3107"/>
      <c r="V459" s="3221">
        <f>SUM(V455:V458)</f>
        <v>0</v>
      </c>
      <c r="W459" s="1086"/>
      <c r="X459" s="1086"/>
    </row>
    <row r="460" spans="1:24">
      <c r="A460" s="3107"/>
      <c r="B460" s="3104" t="s">
        <v>671</v>
      </c>
      <c r="C460" s="3107"/>
      <c r="D460" s="3107"/>
      <c r="E460" s="3107"/>
      <c r="F460" s="3107"/>
      <c r="G460" s="3107"/>
      <c r="H460" s="3107"/>
      <c r="I460" s="3107"/>
      <c r="J460" s="3137"/>
      <c r="K460" s="3122"/>
      <c r="L460" s="3107"/>
      <c r="M460" s="3137"/>
      <c r="N460" s="3122"/>
      <c r="O460" s="3225" t="str">
        <f>B460</f>
        <v>LAND IMPROVEMENTS</v>
      </c>
      <c r="P460" s="3137"/>
      <c r="Q460" s="3122"/>
      <c r="R460" s="3107"/>
      <c r="S460" s="3137"/>
      <c r="T460" s="3122"/>
      <c r="U460" s="3107"/>
      <c r="V460" s="3221"/>
      <c r="W460" s="3107" t="str">
        <f>B460</f>
        <v>LAND IMPROVEMENTS</v>
      </c>
      <c r="X460" s="3107"/>
    </row>
    <row r="461" spans="1:24">
      <c r="A461" s="3107"/>
      <c r="B461" s="3107" t="s">
        <v>672</v>
      </c>
      <c r="C461" s="3107"/>
      <c r="D461" s="3107"/>
      <c r="E461" s="3171" t="s">
        <v>673</v>
      </c>
      <c r="F461" s="3173">
        <f>IF('Part I-Project Information'!$O$37="","",G461/'Part I-Project Information'!$O$37)</f>
        <v>145888.59416445624</v>
      </c>
      <c r="G461" s="3122">
        <f>'Part IV-A-Uses of Funds'!G25</f>
        <v>1100000</v>
      </c>
      <c r="H461" s="3122">
        <f>'Part IV-A-Uses of Funds'!H25</f>
        <v>0</v>
      </c>
      <c r="I461" s="3107"/>
      <c r="J461" s="3122">
        <f>'Part IV-A-Uses of Funds'!J25</f>
        <v>1100000</v>
      </c>
      <c r="K461" s="3122">
        <f>'Part IV-A-Uses of Funds'!K25</f>
        <v>0</v>
      </c>
      <c r="L461" s="3137"/>
      <c r="M461" s="3122">
        <f>'Part IV-A-Uses of Funds'!M25</f>
        <v>0</v>
      </c>
      <c r="N461" s="3122">
        <f>'Part IV-A-Uses of Funds'!N25</f>
        <v>0</v>
      </c>
      <c r="O461" s="3107"/>
      <c r="P461" s="3122">
        <f>'Part IV-A-Uses of Funds'!P25</f>
        <v>0</v>
      </c>
      <c r="Q461" s="3122">
        <f>'Part IV-A-Uses of Funds'!Q25</f>
        <v>0</v>
      </c>
      <c r="R461" s="3107"/>
      <c r="S461" s="3122">
        <f>'Part IV-A-Uses of Funds'!S25</f>
        <v>0</v>
      </c>
      <c r="T461" s="3122">
        <f>'Part IV-A-Uses of Funds'!T25</f>
        <v>0</v>
      </c>
      <c r="U461" s="3107"/>
      <c r="V461" s="3221"/>
      <c r="W461" s="1086">
        <f>'Part IV-A-Uses of Funds'!W25</f>
        <v>0</v>
      </c>
      <c r="X461" s="1086">
        <f>'Part IV-A-Uses of Funds'!X25</f>
        <v>0</v>
      </c>
    </row>
    <row r="462" spans="1:24">
      <c r="A462" s="3107"/>
      <c r="B462" s="3107" t="s">
        <v>674</v>
      </c>
      <c r="C462" s="3107"/>
      <c r="D462" s="3107"/>
      <c r="E462" s="3107"/>
      <c r="F462" s="3107"/>
      <c r="G462" s="3122">
        <f>'Part IV-A-Uses of Funds'!G26</f>
        <v>0</v>
      </c>
      <c r="H462" s="3122">
        <f>'Part IV-A-Uses of Funds'!H26</f>
        <v>0</v>
      </c>
      <c r="I462" s="3107"/>
      <c r="J462" s="3122">
        <f>'Part IV-A-Uses of Funds'!J26</f>
        <v>0</v>
      </c>
      <c r="K462" s="3122">
        <f>'Part IV-A-Uses of Funds'!K26</f>
        <v>0</v>
      </c>
      <c r="L462" s="3226"/>
      <c r="M462" s="3122"/>
      <c r="N462" s="3122"/>
      <c r="O462" s="3107"/>
      <c r="P462" s="3122"/>
      <c r="Q462" s="3122"/>
      <c r="R462" s="3107"/>
      <c r="S462" s="3122">
        <f>'Part IV-A-Uses of Funds'!S26</f>
        <v>0</v>
      </c>
      <c r="T462" s="3122">
        <f>'Part IV-A-Uses of Funds'!T26</f>
        <v>0</v>
      </c>
      <c r="U462" s="3107"/>
      <c r="V462" s="3221"/>
      <c r="W462" s="1086">
        <f>'Part IV-A-Uses of Funds'!W26</f>
        <v>0</v>
      </c>
      <c r="X462" s="1086">
        <f>'Part IV-A-Uses of Funds'!X26</f>
        <v>0</v>
      </c>
    </row>
    <row r="463" spans="1:24">
      <c r="A463" s="3107"/>
      <c r="B463" s="3107"/>
      <c r="C463" s="3107"/>
      <c r="D463" s="3107"/>
      <c r="E463" s="3107"/>
      <c r="F463" s="3224" t="s">
        <v>665</v>
      </c>
      <c r="G463" s="3122">
        <f>SUM(G461:H462)</f>
        <v>1100000</v>
      </c>
      <c r="H463" s="3122"/>
      <c r="I463" s="3107"/>
      <c r="J463" s="3122">
        <f>SUM(J461:K462)</f>
        <v>1100000</v>
      </c>
      <c r="K463" s="3122"/>
      <c r="L463" s="3137"/>
      <c r="M463" s="3122">
        <f>M461</f>
        <v>0</v>
      </c>
      <c r="N463" s="3122"/>
      <c r="O463" s="3107"/>
      <c r="P463" s="3122">
        <f>P461</f>
        <v>0</v>
      </c>
      <c r="Q463" s="3122"/>
      <c r="R463" s="3107"/>
      <c r="S463" s="3122">
        <f>SUM(S461:T462)</f>
        <v>0</v>
      </c>
      <c r="T463" s="3122"/>
      <c r="U463" s="3107"/>
      <c r="V463" s="3221">
        <f>SUM(V461:V462)</f>
        <v>0</v>
      </c>
      <c r="W463" s="1086"/>
      <c r="X463" s="1086"/>
    </row>
    <row r="464" spans="1:24">
      <c r="A464" s="3107"/>
      <c r="B464" s="3104" t="s">
        <v>675</v>
      </c>
      <c r="C464" s="3107"/>
      <c r="D464" s="3107"/>
      <c r="E464" s="3107"/>
      <c r="F464" s="3107"/>
      <c r="G464" s="3107"/>
      <c r="H464" s="3107"/>
      <c r="I464" s="3107"/>
      <c r="J464" s="3137"/>
      <c r="K464" s="3122"/>
      <c r="L464" s="3107"/>
      <c r="M464" s="3137"/>
      <c r="N464" s="3122"/>
      <c r="O464" s="3225" t="str">
        <f>B464</f>
        <v>STRUCTURES</v>
      </c>
      <c r="P464" s="3137"/>
      <c r="Q464" s="3122"/>
      <c r="R464" s="3107"/>
      <c r="S464" s="3137"/>
      <c r="T464" s="3122"/>
      <c r="U464" s="3107"/>
      <c r="V464" s="3221"/>
      <c r="W464" s="3107" t="str">
        <f>B464</f>
        <v>STRUCTURES</v>
      </c>
      <c r="X464" s="3107"/>
    </row>
    <row r="465" spans="1:24">
      <c r="A465" s="3107"/>
      <c r="B465" s="3107" t="s">
        <v>676</v>
      </c>
      <c r="C465" s="3107"/>
      <c r="D465" s="3107"/>
      <c r="E465" s="3107"/>
      <c r="F465" s="3107"/>
      <c r="G465" s="3122">
        <f>'Part IV-A-Uses of Funds'!G29</f>
        <v>6400000</v>
      </c>
      <c r="H465" s="3122">
        <f>'Part IV-A-Uses of Funds'!H29</f>
        <v>0</v>
      </c>
      <c r="I465" s="3107"/>
      <c r="J465" s="3122">
        <f>'Part IV-A-Uses of Funds'!J29</f>
        <v>6400000</v>
      </c>
      <c r="K465" s="3122">
        <f>'Part IV-A-Uses of Funds'!K29</f>
        <v>0</v>
      </c>
      <c r="L465" s="3137"/>
      <c r="M465" s="3122">
        <f>'Part IV-A-Uses of Funds'!M29</f>
        <v>0</v>
      </c>
      <c r="N465" s="3122">
        <f>'Part IV-A-Uses of Funds'!N29</f>
        <v>0</v>
      </c>
      <c r="O465" s="3107"/>
      <c r="P465" s="3122">
        <f>'Part IV-A-Uses of Funds'!P29</f>
        <v>0</v>
      </c>
      <c r="Q465" s="3122">
        <f>'Part IV-A-Uses of Funds'!Q29</f>
        <v>0</v>
      </c>
      <c r="R465" s="3107"/>
      <c r="S465" s="3122">
        <f>'Part IV-A-Uses of Funds'!S29</f>
        <v>0</v>
      </c>
      <c r="T465" s="3122">
        <f>'Part IV-A-Uses of Funds'!T29</f>
        <v>0</v>
      </c>
      <c r="U465" s="3107"/>
      <c r="V465" s="3221"/>
      <c r="W465" s="1086">
        <f>'Part IV-A-Uses of Funds'!W29</f>
        <v>0</v>
      </c>
      <c r="X465" s="1086">
        <f>'Part IV-A-Uses of Funds'!X29</f>
        <v>0</v>
      </c>
    </row>
    <row r="466" spans="1:24">
      <c r="A466" s="3107"/>
      <c r="B466" s="3107" t="s">
        <v>677</v>
      </c>
      <c r="C466" s="3107"/>
      <c r="D466" s="3107"/>
      <c r="E466" s="3107"/>
      <c r="F466" s="3107"/>
      <c r="G466" s="3122">
        <f>'Part IV-A-Uses of Funds'!G30</f>
        <v>0</v>
      </c>
      <c r="H466" s="3122">
        <f>'Part IV-A-Uses of Funds'!H30</f>
        <v>0</v>
      </c>
      <c r="I466" s="3107"/>
      <c r="J466" s="3122">
        <f>'Part IV-A-Uses of Funds'!J30</f>
        <v>0</v>
      </c>
      <c r="K466" s="3122">
        <f>'Part IV-A-Uses of Funds'!K30</f>
        <v>0</v>
      </c>
      <c r="L466" s="3137"/>
      <c r="M466" s="3122">
        <f>'Part IV-A-Uses of Funds'!M30</f>
        <v>0</v>
      </c>
      <c r="N466" s="3122">
        <f>'Part IV-A-Uses of Funds'!N30</f>
        <v>0</v>
      </c>
      <c r="O466" s="3107"/>
      <c r="P466" s="3122">
        <f>'Part IV-A-Uses of Funds'!P30</f>
        <v>0</v>
      </c>
      <c r="Q466" s="3122">
        <f>'Part IV-A-Uses of Funds'!Q30</f>
        <v>0</v>
      </c>
      <c r="R466" s="3107"/>
      <c r="S466" s="3122">
        <f>'Part IV-A-Uses of Funds'!S30</f>
        <v>0</v>
      </c>
      <c r="T466" s="3122">
        <f>'Part IV-A-Uses of Funds'!T30</f>
        <v>0</v>
      </c>
      <c r="U466" s="3107"/>
      <c r="V466" s="3221"/>
      <c r="W466" s="1086">
        <f>'Part IV-A-Uses of Funds'!W30</f>
        <v>0</v>
      </c>
      <c r="X466" s="1086">
        <f>'Part IV-A-Uses of Funds'!X30</f>
        <v>0</v>
      </c>
    </row>
    <row r="467" spans="1:24">
      <c r="A467" s="3107"/>
      <c r="B467" s="3107" t="s">
        <v>678</v>
      </c>
      <c r="C467" s="3107"/>
      <c r="D467" s="3107"/>
      <c r="E467" s="3107"/>
      <c r="F467" s="3107"/>
      <c r="G467" s="3122">
        <f>'Part IV-A-Uses of Funds'!G31</f>
        <v>235000</v>
      </c>
      <c r="H467" s="3122">
        <f>'Part IV-A-Uses of Funds'!H31</f>
        <v>0</v>
      </c>
      <c r="I467" s="3107"/>
      <c r="J467" s="3122">
        <f>'Part IV-A-Uses of Funds'!J31</f>
        <v>235000</v>
      </c>
      <c r="K467" s="3122">
        <f>'Part IV-A-Uses of Funds'!K31</f>
        <v>0</v>
      </c>
      <c r="L467" s="3137"/>
      <c r="M467" s="3122">
        <f>'Part IV-A-Uses of Funds'!M31</f>
        <v>0</v>
      </c>
      <c r="N467" s="3122">
        <f>'Part IV-A-Uses of Funds'!N31</f>
        <v>0</v>
      </c>
      <c r="O467" s="3107"/>
      <c r="P467" s="3122">
        <f>'Part IV-A-Uses of Funds'!P31</f>
        <v>0</v>
      </c>
      <c r="Q467" s="3122">
        <f>'Part IV-A-Uses of Funds'!Q31</f>
        <v>0</v>
      </c>
      <c r="R467" s="3107"/>
      <c r="S467" s="3122">
        <f>'Part IV-A-Uses of Funds'!S31</f>
        <v>0</v>
      </c>
      <c r="T467" s="3122">
        <f>'Part IV-A-Uses of Funds'!T31</f>
        <v>0</v>
      </c>
      <c r="U467" s="3107"/>
      <c r="V467" s="3221"/>
      <c r="W467" s="1086">
        <f>'Part IV-A-Uses of Funds'!W31</f>
        <v>0</v>
      </c>
      <c r="X467" s="1086">
        <f>'Part IV-A-Uses of Funds'!X31</f>
        <v>0</v>
      </c>
    </row>
    <row r="468" spans="1:24">
      <c r="A468" s="3114"/>
      <c r="B468" s="3107" t="s">
        <v>679</v>
      </c>
      <c r="C468" s="3114"/>
      <c r="D468" s="3114"/>
      <c r="E468" s="3114"/>
      <c r="F468" s="3114"/>
      <c r="G468" s="3122">
        <f>'Part IV-A-Uses of Funds'!G32</f>
        <v>0</v>
      </c>
      <c r="H468" s="3122">
        <f>'Part IV-A-Uses of Funds'!H32</f>
        <v>0</v>
      </c>
      <c r="I468" s="3107"/>
      <c r="J468" s="3122">
        <f>'Part IV-A-Uses of Funds'!J32</f>
        <v>0</v>
      </c>
      <c r="K468" s="3122">
        <f>'Part IV-A-Uses of Funds'!K32</f>
        <v>0</v>
      </c>
      <c r="L468" s="3137"/>
      <c r="M468" s="3122">
        <f>'Part IV-A-Uses of Funds'!M32</f>
        <v>0</v>
      </c>
      <c r="N468" s="3122">
        <f>'Part IV-A-Uses of Funds'!N32</f>
        <v>0</v>
      </c>
      <c r="O468" s="3107"/>
      <c r="P468" s="3122">
        <f>'Part IV-A-Uses of Funds'!P32</f>
        <v>0</v>
      </c>
      <c r="Q468" s="3122">
        <f>'Part IV-A-Uses of Funds'!Q32</f>
        <v>0</v>
      </c>
      <c r="R468" s="3107"/>
      <c r="S468" s="3122">
        <f>'Part IV-A-Uses of Funds'!S32</f>
        <v>0</v>
      </c>
      <c r="T468" s="3122">
        <f>'Part IV-A-Uses of Funds'!T32</f>
        <v>0</v>
      </c>
      <c r="U468" s="3114"/>
      <c r="V468" s="3221"/>
      <c r="W468" s="1086">
        <f>'Part IV-A-Uses of Funds'!W32</f>
        <v>0</v>
      </c>
      <c r="X468" s="1086">
        <f>'Part IV-A-Uses of Funds'!X32</f>
        <v>0</v>
      </c>
    </row>
    <row r="469" spans="1:24">
      <c r="A469" s="3107"/>
      <c r="B469" s="3107"/>
      <c r="C469" s="3227"/>
      <c r="D469" s="3227"/>
      <c r="E469" s="3228"/>
      <c r="F469" s="3224" t="s">
        <v>665</v>
      </c>
      <c r="G469" s="3122">
        <f>SUM(G465:H468)</f>
        <v>6635000</v>
      </c>
      <c r="H469" s="3122"/>
      <c r="I469" s="3107"/>
      <c r="J469" s="3122">
        <f>SUM(J465:K468)</f>
        <v>6635000</v>
      </c>
      <c r="K469" s="3122"/>
      <c r="L469" s="3137"/>
      <c r="M469" s="3122">
        <f>SUM(M465:N468)</f>
        <v>0</v>
      </c>
      <c r="N469" s="3122"/>
      <c r="O469" s="3107"/>
      <c r="P469" s="3122">
        <f>SUM(P465:Q468)</f>
        <v>0</v>
      </c>
      <c r="Q469" s="3122"/>
      <c r="R469" s="3107"/>
      <c r="S469" s="3122">
        <f>SUM(S465:T468)</f>
        <v>0</v>
      </c>
      <c r="T469" s="3122"/>
      <c r="U469" s="3107"/>
      <c r="V469" s="3221">
        <f>SUM(V465:V468)</f>
        <v>0</v>
      </c>
      <c r="W469" s="1086"/>
      <c r="X469" s="1086"/>
    </row>
    <row r="470" spans="1:24" ht="13.5">
      <c r="A470" s="3107"/>
      <c r="B470" s="3104" t="s">
        <v>680</v>
      </c>
      <c r="C470" s="3107"/>
      <c r="D470" s="3177" t="s">
        <v>681</v>
      </c>
      <c r="E470" s="3177"/>
      <c r="F470" s="3229" t="e">
        <f>SUM(F471:F473)</f>
        <v>#VALUE!</v>
      </c>
      <c r="G470" s="3230" t="str">
        <f>IF(G471&gt;E471,"Proposed Builder Profit exceeds DCA Maximum!!!",IF(G472&gt;E472,"Proposed Builder Overhead exceeds DCA Maximum!!!",IF(G473&gt;E473,"Proposed General Requirements exceeds DCA Maximum!!!",IF(G474&gt;E474,"Proposed Contractor Services amount exceeds DCA Maximum!!!",""))))</f>
        <v/>
      </c>
      <c r="H470" s="3114"/>
      <c r="I470" s="3114"/>
      <c r="J470" s="3137"/>
      <c r="K470" s="3122"/>
      <c r="L470" s="3107"/>
      <c r="M470" s="3137"/>
      <c r="N470" s="3122"/>
      <c r="O470" s="3225" t="str">
        <f>B470</f>
        <v>CONTRACTOR SERVICES</v>
      </c>
      <c r="P470" s="3137"/>
      <c r="Q470" s="3122"/>
      <c r="R470" s="3107"/>
      <c r="S470" s="3137"/>
      <c r="T470" s="3122"/>
      <c r="U470" s="3107"/>
      <c r="V470" s="3221"/>
      <c r="W470" s="3107" t="str">
        <f>B470</f>
        <v>CONTRACTOR SERVICES</v>
      </c>
      <c r="X470" s="3107"/>
    </row>
    <row r="471" spans="1:24" ht="13.5">
      <c r="A471" s="3107"/>
      <c r="B471" s="3107" t="s">
        <v>682</v>
      </c>
      <c r="C471" s="3107"/>
      <c r="D471" s="3231">
        <f>'DCA Underwriting Assumptions'!$R$74</f>
        <v>0.06</v>
      </c>
      <c r="E471" s="3232">
        <f>D471*(G463+G469)</f>
        <v>464100</v>
      </c>
      <c r="F471" s="3231" t="e">
        <f>IF(($G$27+$G$33)=0,0,G471/($G$27+$G$33))</f>
        <v>#VALUE!</v>
      </c>
      <c r="G471" s="3122">
        <f>'Part IV-A-Uses of Funds'!G35</f>
        <v>464100</v>
      </c>
      <c r="H471" s="3122">
        <f>'Part IV-A-Uses of Funds'!H35</f>
        <v>0</v>
      </c>
      <c r="I471" s="3114"/>
      <c r="J471" s="3122">
        <f>'Part IV-A-Uses of Funds'!J35</f>
        <v>464100</v>
      </c>
      <c r="K471" s="3122">
        <f>'Part IV-A-Uses of Funds'!K35</f>
        <v>0</v>
      </c>
      <c r="L471" s="3137"/>
      <c r="M471" s="3122">
        <f>'Part IV-A-Uses of Funds'!M35</f>
        <v>0</v>
      </c>
      <c r="N471" s="3122">
        <f>'Part IV-A-Uses of Funds'!N35</f>
        <v>0</v>
      </c>
      <c r="O471" s="3107"/>
      <c r="P471" s="3122">
        <f>'Part IV-A-Uses of Funds'!P35</f>
        <v>0</v>
      </c>
      <c r="Q471" s="3122">
        <f>'Part IV-A-Uses of Funds'!Q35</f>
        <v>0</v>
      </c>
      <c r="R471" s="3107"/>
      <c r="S471" s="3122">
        <f>'Part IV-A-Uses of Funds'!S35</f>
        <v>0</v>
      </c>
      <c r="T471" s="3122">
        <f>'Part IV-A-Uses of Funds'!T35</f>
        <v>0</v>
      </c>
      <c r="U471" s="3107"/>
      <c r="V471" s="3221"/>
      <c r="W471" s="1086">
        <f>'Part IV-A-Uses of Funds'!W35</f>
        <v>0</v>
      </c>
      <c r="X471" s="1086">
        <f>'Part IV-A-Uses of Funds'!X35</f>
        <v>0</v>
      </c>
    </row>
    <row r="472" spans="1:24" ht="13.5">
      <c r="A472" s="3107"/>
      <c r="B472" s="3107" t="s">
        <v>683</v>
      </c>
      <c r="C472" s="3107"/>
      <c r="D472" s="3231">
        <f>'DCA Underwriting Assumptions'!$R$75</f>
        <v>0.02</v>
      </c>
      <c r="E472" s="3232">
        <f>D472*(G463+G469)</f>
        <v>154700</v>
      </c>
      <c r="F472" s="3231" t="e">
        <f>IF(($G$27+$G$33)=0,0,G472/($G$27+$G$33))</f>
        <v>#VALUE!</v>
      </c>
      <c r="G472" s="3122">
        <f>'Part IV-A-Uses of Funds'!G36</f>
        <v>154700</v>
      </c>
      <c r="H472" s="3122">
        <f>'Part IV-A-Uses of Funds'!H36</f>
        <v>0</v>
      </c>
      <c r="I472" s="3114"/>
      <c r="J472" s="3122">
        <f>'Part IV-A-Uses of Funds'!J36</f>
        <v>154700</v>
      </c>
      <c r="K472" s="3122">
        <f>'Part IV-A-Uses of Funds'!K36</f>
        <v>0</v>
      </c>
      <c r="L472" s="3137"/>
      <c r="M472" s="3122">
        <f>'Part IV-A-Uses of Funds'!M36</f>
        <v>0</v>
      </c>
      <c r="N472" s="3122">
        <f>'Part IV-A-Uses of Funds'!N36</f>
        <v>0</v>
      </c>
      <c r="O472" s="3107"/>
      <c r="P472" s="3122">
        <f>'Part IV-A-Uses of Funds'!P36</f>
        <v>0</v>
      </c>
      <c r="Q472" s="3122">
        <f>'Part IV-A-Uses of Funds'!Q36</f>
        <v>0</v>
      </c>
      <c r="R472" s="3107"/>
      <c r="S472" s="3122">
        <f>'Part IV-A-Uses of Funds'!S36</f>
        <v>0</v>
      </c>
      <c r="T472" s="3122">
        <f>'Part IV-A-Uses of Funds'!T36</f>
        <v>0</v>
      </c>
      <c r="U472" s="3107"/>
      <c r="V472" s="3221"/>
      <c r="W472" s="1086">
        <f>'Part IV-A-Uses of Funds'!W36</f>
        <v>0</v>
      </c>
      <c r="X472" s="1086">
        <f>'Part IV-A-Uses of Funds'!X36</f>
        <v>0</v>
      </c>
    </row>
    <row r="473" spans="1:24" ht="13.5">
      <c r="A473" s="3107"/>
      <c r="B473" s="3107" t="s">
        <v>684</v>
      </c>
      <c r="C473" s="3107"/>
      <c r="D473" s="3231">
        <f>'DCA Underwriting Assumptions'!$R$76</f>
        <v>0.06</v>
      </c>
      <c r="E473" s="3232">
        <f>D473*(G463+G469)</f>
        <v>464100</v>
      </c>
      <c r="F473" s="3231" t="e">
        <f>IF(($G$27+$G$33)=0,0,G473/($G$27+$G$33))</f>
        <v>#VALUE!</v>
      </c>
      <c r="G473" s="3122">
        <f>'Part IV-A-Uses of Funds'!G37</f>
        <v>464100</v>
      </c>
      <c r="H473" s="3122">
        <f>'Part IV-A-Uses of Funds'!H37</f>
        <v>0</v>
      </c>
      <c r="I473" s="3114"/>
      <c r="J473" s="3122">
        <f>'Part IV-A-Uses of Funds'!J37</f>
        <v>464100</v>
      </c>
      <c r="K473" s="3122">
        <f>'Part IV-A-Uses of Funds'!K37</f>
        <v>0</v>
      </c>
      <c r="L473" s="3137"/>
      <c r="M473" s="3122">
        <f>'Part IV-A-Uses of Funds'!M37</f>
        <v>0</v>
      </c>
      <c r="N473" s="3122">
        <f>'Part IV-A-Uses of Funds'!N37</f>
        <v>0</v>
      </c>
      <c r="O473" s="3107"/>
      <c r="P473" s="3122">
        <f>'Part IV-A-Uses of Funds'!P37</f>
        <v>0</v>
      </c>
      <c r="Q473" s="3122">
        <f>'Part IV-A-Uses of Funds'!Q37</f>
        <v>0</v>
      </c>
      <c r="R473" s="3107"/>
      <c r="S473" s="3122">
        <f>'Part IV-A-Uses of Funds'!S37</f>
        <v>0</v>
      </c>
      <c r="T473" s="3122">
        <f>'Part IV-A-Uses of Funds'!T37</f>
        <v>0</v>
      </c>
      <c r="U473" s="3107"/>
      <c r="V473" s="3221"/>
      <c r="W473" s="1086">
        <f>'Part IV-A-Uses of Funds'!W37</f>
        <v>0</v>
      </c>
      <c r="X473" s="1086">
        <f>'Part IV-A-Uses of Funds'!X37</f>
        <v>0</v>
      </c>
    </row>
    <row r="474" spans="1:24" ht="13.5">
      <c r="A474" s="3107"/>
      <c r="B474" s="3113" t="s">
        <v>685</v>
      </c>
      <c r="C474" s="3107"/>
      <c r="D474" s="3229">
        <f>SUM(D471:D473)</f>
        <v>0.14000000000000001</v>
      </c>
      <c r="E474" s="3233">
        <f>SUM(E471:E473)</f>
        <v>1082900</v>
      </c>
      <c r="F474" s="3224" t="s">
        <v>665</v>
      </c>
      <c r="G474" s="3122">
        <f>SUM(G471:H473)</f>
        <v>1082900</v>
      </c>
      <c r="H474" s="3122"/>
      <c r="I474" s="3107"/>
      <c r="J474" s="3122">
        <f>SUM(J471:K473)</f>
        <v>1082900</v>
      </c>
      <c r="K474" s="3122"/>
      <c r="L474" s="3137"/>
      <c r="M474" s="3122">
        <f>SUM(M471:N473)</f>
        <v>0</v>
      </c>
      <c r="N474" s="3122"/>
      <c r="O474" s="3107"/>
      <c r="P474" s="3122">
        <f>SUM(P471:Q473)</f>
        <v>0</v>
      </c>
      <c r="Q474" s="3122"/>
      <c r="R474" s="3107"/>
      <c r="S474" s="3122">
        <f>SUM(S471:T473)</f>
        <v>0</v>
      </c>
      <c r="T474" s="3122"/>
      <c r="U474" s="3107"/>
      <c r="V474" s="3221">
        <f>SUM(V471:V473)</f>
        <v>0</v>
      </c>
      <c r="W474" s="1086"/>
      <c r="X474" s="1086"/>
    </row>
    <row r="475" spans="1:24">
      <c r="A475" s="3105"/>
      <c r="B475" s="3105"/>
      <c r="C475" s="3105"/>
      <c r="D475" s="3105"/>
      <c r="E475" s="3105"/>
      <c r="F475" s="3105"/>
      <c r="G475" s="3105"/>
      <c r="H475" s="3105"/>
      <c r="I475" s="3105"/>
      <c r="J475" s="3105"/>
      <c r="K475" s="3105"/>
      <c r="L475" s="3105"/>
      <c r="M475" s="3105"/>
      <c r="N475" s="3105"/>
      <c r="O475" s="3105"/>
      <c r="P475" s="3105"/>
      <c r="Q475" s="3105"/>
      <c r="R475" s="3105"/>
      <c r="S475" s="3105"/>
      <c r="T475" s="3105"/>
      <c r="U475" s="3107"/>
      <c r="V475" s="3221"/>
      <c r="W475" s="3107"/>
      <c r="X475" s="3107"/>
    </row>
    <row r="476" spans="1:24">
      <c r="A476" s="3107"/>
      <c r="B476" s="3104" t="s">
        <v>4760</v>
      </c>
      <c r="C476" s="3107"/>
      <c r="D476" s="3107"/>
      <c r="E476" s="3107"/>
      <c r="F476" s="3107"/>
      <c r="G476" s="3107"/>
      <c r="H476" s="3107"/>
      <c r="I476" s="3107"/>
      <c r="J476" s="3137"/>
      <c r="K476" s="3122"/>
      <c r="L476" s="3107"/>
      <c r="M476" s="3137"/>
      <c r="N476" s="3122"/>
      <c r="O476" s="3225" t="str">
        <f>B476</f>
        <v>OTHER CONSTRUCTION HARD COSTS (Non-GC work scope items done by Owner)</v>
      </c>
      <c r="P476" s="3137"/>
      <c r="Q476" s="3122"/>
      <c r="R476" s="3107"/>
      <c r="S476" s="3137"/>
      <c r="T476" s="3122"/>
      <c r="U476" s="3107"/>
      <c r="V476" s="3221"/>
      <c r="W476" s="3107" t="str">
        <f>B476</f>
        <v>OTHER CONSTRUCTION HARD COSTS (Non-GC work scope items done by Owner)</v>
      </c>
      <c r="X476" s="3107"/>
    </row>
    <row r="477" spans="1:24" ht="12.75" customHeight="1">
      <c r="A477" s="3114"/>
      <c r="B477" s="3107" t="s">
        <v>592</v>
      </c>
      <c r="C477" s="3125" t="str">
        <f>'Part IV-A-Uses of Funds'!C41</f>
        <v>&lt;&lt; Enter description here; provide detail &amp; justification in tab Part IV-b &gt;&gt;</v>
      </c>
      <c r="D477" s="3234">
        <f>'Part IV-A-Uses of Funds'!D41</f>
        <v>0</v>
      </c>
      <c r="E477" s="3234">
        <f>'Part IV-A-Uses of Funds'!E41</f>
        <v>0</v>
      </c>
      <c r="F477" s="3234">
        <f>'Part IV-A-Uses of Funds'!F41</f>
        <v>0</v>
      </c>
      <c r="G477" s="3122">
        <f>'Part IV-A-Uses of Funds'!G41</f>
        <v>0</v>
      </c>
      <c r="H477" s="3122">
        <f>'Part IV-A-Uses of Funds'!H41</f>
        <v>0</v>
      </c>
      <c r="I477" s="3107"/>
      <c r="J477" s="3122">
        <f>'Part IV-A-Uses of Funds'!J41</f>
        <v>0</v>
      </c>
      <c r="K477" s="3122">
        <f>'Part IV-A-Uses of Funds'!K41</f>
        <v>0</v>
      </c>
      <c r="L477" s="3137"/>
      <c r="M477" s="3122">
        <f>'Part IV-A-Uses of Funds'!M41</f>
        <v>0</v>
      </c>
      <c r="N477" s="3122">
        <f>'Part IV-A-Uses of Funds'!N41</f>
        <v>0</v>
      </c>
      <c r="O477" s="3107"/>
      <c r="P477" s="3122">
        <f>'Part IV-A-Uses of Funds'!P41</f>
        <v>0</v>
      </c>
      <c r="Q477" s="3122">
        <f>'Part IV-A-Uses of Funds'!Q41</f>
        <v>0</v>
      </c>
      <c r="R477" s="3107"/>
      <c r="S477" s="3122">
        <f>'Part IV-A-Uses of Funds'!S41</f>
        <v>0</v>
      </c>
      <c r="T477" s="3122">
        <f>'Part IV-A-Uses of Funds'!T41</f>
        <v>0</v>
      </c>
      <c r="U477" s="3114"/>
      <c r="V477" s="3221"/>
      <c r="W477" s="1086">
        <f>'Part IV-A-Uses of Funds'!W41</f>
        <v>0</v>
      </c>
      <c r="X477" s="1086">
        <f>'Part IV-A-Uses of Funds'!X41</f>
        <v>0</v>
      </c>
    </row>
    <row r="478" spans="1:24">
      <c r="A478" s="3105"/>
      <c r="B478" s="3105"/>
      <c r="C478" s="3105"/>
      <c r="D478" s="3105"/>
      <c r="E478" s="3105"/>
      <c r="F478" s="3105"/>
      <c r="G478" s="3105"/>
      <c r="H478" s="3105"/>
      <c r="I478" s="3105"/>
      <c r="J478" s="3105"/>
      <c r="K478" s="3105"/>
      <c r="L478" s="3105"/>
      <c r="M478" s="3105"/>
      <c r="N478" s="3105"/>
      <c r="O478" s="3105"/>
      <c r="P478" s="3105"/>
      <c r="Q478" s="3105"/>
      <c r="R478" s="3105"/>
      <c r="S478" s="3105"/>
      <c r="T478" s="3105"/>
      <c r="U478" s="3107"/>
      <c r="V478" s="3221"/>
      <c r="W478" s="1086">
        <f>'Part IV-A-Uses of Funds'!W42</f>
        <v>0</v>
      </c>
      <c r="X478" s="1086">
        <f>'Part IV-A-Uses of Funds'!X42</f>
        <v>0</v>
      </c>
    </row>
    <row r="479" spans="1:24" ht="12.75" customHeight="1">
      <c r="A479" s="3107"/>
      <c r="B479" s="3235" t="s">
        <v>4761</v>
      </c>
      <c r="C479" s="3236"/>
      <c r="D479" s="3107"/>
      <c r="E479" s="3106" t="s">
        <v>688</v>
      </c>
      <c r="F479" s="3237">
        <f>B480/'Part VI-Revenues &amp; Expenses'!$O$60</f>
        <v>122470.83333333333</v>
      </c>
      <c r="G479" s="3238" t="s">
        <v>4762</v>
      </c>
      <c r="H479" s="3107"/>
      <c r="I479" s="3107"/>
      <c r="J479" s="3239">
        <f>B480/'Part VI-Revenues &amp; Expenses'!$O$62</f>
        <v>119160.81081081081</v>
      </c>
      <c r="K479" s="3239"/>
      <c r="L479" s="3107"/>
      <c r="M479" s="3240" t="s">
        <v>690</v>
      </c>
      <c r="N479" s="3240"/>
      <c r="O479" s="3107"/>
      <c r="P479" s="3239">
        <f>B480/'Part I-Project Information'!$P$71</f>
        <v>107.23197781885398</v>
      </c>
      <c r="Q479" s="3239"/>
      <c r="R479" s="3107"/>
      <c r="S479" s="3146" t="s">
        <v>691</v>
      </c>
      <c r="T479" s="3146"/>
      <c r="U479" s="3107"/>
      <c r="V479" s="3221"/>
      <c r="W479" s="1086">
        <f>'Part IV-A-Uses of Funds'!W43</f>
        <v>0</v>
      </c>
      <c r="X479" s="1086">
        <f>'Part IV-A-Uses of Funds'!X43</f>
        <v>0</v>
      </c>
    </row>
    <row r="480" spans="1:24">
      <c r="A480" s="3107"/>
      <c r="B480" s="3241">
        <f>G463+G469+G474+G477</f>
        <v>8817900</v>
      </c>
      <c r="C480" s="3241"/>
      <c r="D480" s="3107"/>
      <c r="E480" s="3106"/>
      <c r="F480" s="3237">
        <f>B480/'Part VI-Revenues &amp; Expenses'!$O$117</f>
        <v>113.50401606425703</v>
      </c>
      <c r="G480" s="3146" t="s">
        <v>4763</v>
      </c>
      <c r="H480" s="3107"/>
      <c r="I480" s="3107"/>
      <c r="J480" s="3239">
        <f>B480/'Part VI-Revenues &amp; Expenses'!$O$119</f>
        <v>110.04218040233614</v>
      </c>
      <c r="K480" s="3239"/>
      <c r="L480" s="3107"/>
      <c r="M480" s="3146" t="s">
        <v>693</v>
      </c>
      <c r="N480" s="3146"/>
      <c r="O480" s="3107"/>
      <c r="P480" s="3107"/>
      <c r="Q480" s="3107"/>
      <c r="R480" s="3107"/>
      <c r="S480" s="3107"/>
      <c r="T480" s="3107"/>
      <c r="U480" s="3107"/>
      <c r="V480" s="3221"/>
      <c r="W480" s="1086">
        <f>'Part IV-A-Uses of Funds'!W44</f>
        <v>0</v>
      </c>
      <c r="X480" s="1086">
        <f>'Part IV-A-Uses of Funds'!X44</f>
        <v>0</v>
      </c>
    </row>
    <row r="481" spans="1:24">
      <c r="A481" s="3105"/>
      <c r="B481" s="3105"/>
      <c r="C481" s="3105"/>
      <c r="D481" s="3105"/>
      <c r="E481" s="3105"/>
      <c r="F481" s="3105"/>
      <c r="G481" s="3105"/>
      <c r="H481" s="3105"/>
      <c r="I481" s="3105"/>
      <c r="J481" s="3105"/>
      <c r="K481" s="3105"/>
      <c r="L481" s="3105"/>
      <c r="M481" s="3105"/>
      <c r="N481" s="3105"/>
      <c r="O481" s="3105"/>
      <c r="P481" s="3105"/>
      <c r="Q481" s="3105"/>
      <c r="R481" s="3105"/>
      <c r="S481" s="3105"/>
      <c r="T481" s="3105"/>
      <c r="U481" s="3107"/>
      <c r="V481" s="3221"/>
      <c r="W481" s="3107"/>
      <c r="X481" s="3107"/>
    </row>
    <row r="482" spans="1:24">
      <c r="A482" s="3107"/>
      <c r="B482" s="3104" t="s">
        <v>694</v>
      </c>
      <c r="C482" s="3107"/>
      <c r="D482" s="3107"/>
      <c r="E482" s="3107"/>
      <c r="F482" s="3242" t="s">
        <v>695</v>
      </c>
      <c r="G482" s="3107"/>
      <c r="H482" s="3107"/>
      <c r="I482" s="3107"/>
      <c r="J482" s="3137"/>
      <c r="K482" s="3122"/>
      <c r="L482" s="3107"/>
      <c r="M482" s="3137"/>
      <c r="N482" s="3122"/>
      <c r="O482" s="3225" t="str">
        <f>B482</f>
        <v>CONSTRUCTION CONTINGENCY</v>
      </c>
      <c r="P482" s="3137"/>
      <c r="Q482" s="3122"/>
      <c r="R482" s="3107"/>
      <c r="S482" s="3137"/>
      <c r="T482" s="3122"/>
      <c r="U482" s="3107"/>
      <c r="V482" s="3221"/>
      <c r="W482" s="3107" t="str">
        <f>B482</f>
        <v>CONSTRUCTION CONTINGENCY</v>
      </c>
      <c r="X482" s="3107"/>
    </row>
    <row r="483" spans="1:24" ht="13.5">
      <c r="A483" s="3114"/>
      <c r="B483" s="3107" t="s">
        <v>696</v>
      </c>
      <c r="C483" s="3114"/>
      <c r="D483" s="3243" t="s">
        <v>697</v>
      </c>
      <c r="E483" s="3244">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440895</v>
      </c>
      <c r="F483" s="3245">
        <f>G483/B480</f>
        <v>4.9898501910885809E-2</v>
      </c>
      <c r="G483" s="3122">
        <f>'Part IV-A-Uses of Funds'!G47</f>
        <v>440000</v>
      </c>
      <c r="H483" s="3122">
        <f>'Part IV-A-Uses of Funds'!H47</f>
        <v>0</v>
      </c>
      <c r="I483" s="3107"/>
      <c r="J483" s="3122">
        <f>'Part IV-A-Uses of Funds'!J47</f>
        <v>440000</v>
      </c>
      <c r="K483" s="3122">
        <f>'Part IV-A-Uses of Funds'!K47</f>
        <v>0</v>
      </c>
      <c r="L483" s="3137"/>
      <c r="M483" s="3122">
        <f>'Part IV-A-Uses of Funds'!M47</f>
        <v>0</v>
      </c>
      <c r="N483" s="3122">
        <f>'Part IV-A-Uses of Funds'!N47</f>
        <v>0</v>
      </c>
      <c r="O483" s="3107"/>
      <c r="P483" s="3122">
        <f>'Part IV-A-Uses of Funds'!P47</f>
        <v>0</v>
      </c>
      <c r="Q483" s="3122">
        <f>'Part IV-A-Uses of Funds'!Q47</f>
        <v>0</v>
      </c>
      <c r="R483" s="3107"/>
      <c r="S483" s="3122">
        <f>'Part IV-A-Uses of Funds'!S47</f>
        <v>0</v>
      </c>
      <c r="T483" s="3122">
        <f>'Part IV-A-Uses of Funds'!T47</f>
        <v>0</v>
      </c>
      <c r="U483" s="3114"/>
      <c r="V483" s="3221"/>
      <c r="W483" s="1086">
        <f>'Part IV-A-Uses of Funds'!W47</f>
        <v>0</v>
      </c>
      <c r="X483" s="1086">
        <f>'Part IV-A-Uses of Funds'!X47</f>
        <v>0</v>
      </c>
    </row>
    <row r="484" spans="1:24">
      <c r="A484" s="3105"/>
      <c r="B484" s="3105"/>
      <c r="C484" s="3105"/>
      <c r="D484" s="3105"/>
      <c r="E484" s="3105"/>
      <c r="F484" s="3105"/>
      <c r="G484" s="3105"/>
      <c r="H484" s="3105"/>
      <c r="I484" s="3105"/>
      <c r="J484" s="3105"/>
      <c r="K484" s="3105"/>
      <c r="L484" s="3105"/>
      <c r="M484" s="3105"/>
      <c r="N484" s="3105"/>
      <c r="O484" s="3105"/>
      <c r="P484" s="3105"/>
      <c r="Q484" s="3105"/>
      <c r="R484" s="3105"/>
      <c r="S484" s="3105"/>
      <c r="T484" s="3105"/>
      <c r="U484" s="3107"/>
      <c r="V484" s="3221"/>
      <c r="W484" s="3107"/>
      <c r="X484" s="3107"/>
    </row>
    <row r="485" spans="1:24" ht="17.25" customHeight="1">
      <c r="A485" s="3218" t="s">
        <v>9</v>
      </c>
      <c r="B485" s="3218" t="s">
        <v>4764</v>
      </c>
      <c r="C485" s="3107"/>
      <c r="D485" s="3107"/>
      <c r="E485" s="3107"/>
      <c r="F485" s="3107"/>
      <c r="G485" s="3107"/>
      <c r="H485" s="3107"/>
      <c r="I485" s="3107"/>
      <c r="J485" s="3106" t="s">
        <v>651</v>
      </c>
      <c r="K485" s="3106"/>
      <c r="L485" s="3122"/>
      <c r="M485" s="3219" t="s">
        <v>652</v>
      </c>
      <c r="N485" s="3219"/>
      <c r="O485" s="3107"/>
      <c r="P485" s="3106" t="s">
        <v>653</v>
      </c>
      <c r="Q485" s="3106"/>
      <c r="R485" s="3107"/>
      <c r="S485" s="3106" t="s">
        <v>654</v>
      </c>
      <c r="T485" s="3106"/>
      <c r="U485" s="3107"/>
      <c r="V485" s="3221"/>
      <c r="W485" s="3220" t="str">
        <f>B485</f>
        <v>DEVELOPMENT BUDGET (cont'd)</v>
      </c>
      <c r="X485" s="3107"/>
    </row>
    <row r="486" spans="1:24">
      <c r="A486" s="3107"/>
      <c r="B486" s="3107"/>
      <c r="C486" s="3107"/>
      <c r="D486" s="3107"/>
      <c r="E486" s="3107"/>
      <c r="F486" s="3107"/>
      <c r="G486" s="3104" t="s">
        <v>655</v>
      </c>
      <c r="H486" s="3104"/>
      <c r="I486" s="3107"/>
      <c r="J486" s="3106"/>
      <c r="K486" s="3106"/>
      <c r="L486" s="3122"/>
      <c r="M486" s="3219"/>
      <c r="N486" s="3219"/>
      <c r="O486" s="3107"/>
      <c r="P486" s="3106"/>
      <c r="Q486" s="3106"/>
      <c r="R486" s="3107"/>
      <c r="S486" s="3106"/>
      <c r="T486" s="3106"/>
      <c r="U486" s="3107"/>
      <c r="V486" s="3221"/>
      <c r="W486" s="3157" t="s">
        <v>530</v>
      </c>
      <c r="X486" s="3157"/>
    </row>
    <row r="487" spans="1:24">
      <c r="A487" s="3107"/>
      <c r="B487" s="3104" t="s">
        <v>699</v>
      </c>
      <c r="C487" s="3107"/>
      <c r="D487" s="3107"/>
      <c r="E487" s="3107"/>
      <c r="F487" s="3107"/>
      <c r="G487" s="3107"/>
      <c r="H487" s="3107"/>
      <c r="I487" s="3107"/>
      <c r="J487" s="3137"/>
      <c r="K487" s="3122"/>
      <c r="L487" s="3107"/>
      <c r="M487" s="3137"/>
      <c r="N487" s="3122"/>
      <c r="O487" s="3225" t="str">
        <f>B487</f>
        <v>CONSTRUCTION PERIOD FINANCING</v>
      </c>
      <c r="P487" s="3137"/>
      <c r="Q487" s="3122"/>
      <c r="R487" s="3107"/>
      <c r="S487" s="3137"/>
      <c r="T487" s="3122"/>
      <c r="U487" s="3107"/>
      <c r="V487" s="3221"/>
      <c r="W487" s="3107" t="str">
        <f>B487</f>
        <v>CONSTRUCTION PERIOD FINANCING</v>
      </c>
      <c r="X487" s="3107"/>
    </row>
    <row r="488" spans="1:24">
      <c r="A488" s="3107"/>
      <c r="B488" s="3107" t="s">
        <v>700</v>
      </c>
      <c r="C488" s="3107"/>
      <c r="D488" s="3107"/>
      <c r="E488" s="3107"/>
      <c r="F488" s="3107"/>
      <c r="G488" s="3122">
        <f>'Part IV-A-Uses of Funds'!G52</f>
        <v>0</v>
      </c>
      <c r="H488" s="3122">
        <f>'Part IV-A-Uses of Funds'!H52</f>
        <v>0</v>
      </c>
      <c r="I488" s="3107"/>
      <c r="J488" s="3122">
        <f>'Part IV-A-Uses of Funds'!J52</f>
        <v>0</v>
      </c>
      <c r="K488" s="3122">
        <f>'Part IV-A-Uses of Funds'!K52</f>
        <v>0</v>
      </c>
      <c r="L488" s="3137"/>
      <c r="M488" s="3122">
        <f>'Part IV-A-Uses of Funds'!M52</f>
        <v>0</v>
      </c>
      <c r="N488" s="3122">
        <f>'Part IV-A-Uses of Funds'!N52</f>
        <v>0</v>
      </c>
      <c r="O488" s="3107"/>
      <c r="P488" s="3122">
        <f>'Part IV-A-Uses of Funds'!P52</f>
        <v>0</v>
      </c>
      <c r="Q488" s="3122">
        <f>'Part IV-A-Uses of Funds'!Q52</f>
        <v>0</v>
      </c>
      <c r="R488" s="3107"/>
      <c r="S488" s="3122">
        <f>'Part IV-A-Uses of Funds'!S52</f>
        <v>0</v>
      </c>
      <c r="T488" s="3122">
        <f>'Part IV-A-Uses of Funds'!T52</f>
        <v>0</v>
      </c>
      <c r="U488" s="3107"/>
      <c r="V488" s="3221"/>
      <c r="W488" s="1086"/>
      <c r="X488" s="1086"/>
    </row>
    <row r="489" spans="1:24">
      <c r="A489" s="3107"/>
      <c r="B489" s="3107" t="s">
        <v>701</v>
      </c>
      <c r="C489" s="3107"/>
      <c r="D489" s="3107"/>
      <c r="E489" s="3107"/>
      <c r="F489" s="3107"/>
      <c r="G489" s="3122">
        <f>'Part IV-A-Uses of Funds'!G53</f>
        <v>0</v>
      </c>
      <c r="H489" s="3122">
        <f>'Part IV-A-Uses of Funds'!H53</f>
        <v>0</v>
      </c>
      <c r="I489" s="3107"/>
      <c r="J489" s="3122">
        <f>'Part IV-A-Uses of Funds'!J53</f>
        <v>0</v>
      </c>
      <c r="K489" s="3122">
        <f>'Part IV-A-Uses of Funds'!K53</f>
        <v>0</v>
      </c>
      <c r="L489" s="3137"/>
      <c r="M489" s="3122">
        <f>'Part IV-A-Uses of Funds'!M53</f>
        <v>0</v>
      </c>
      <c r="N489" s="3122">
        <f>'Part IV-A-Uses of Funds'!N53</f>
        <v>0</v>
      </c>
      <c r="O489" s="3107"/>
      <c r="P489" s="3122">
        <f>'Part IV-A-Uses of Funds'!P53</f>
        <v>0</v>
      </c>
      <c r="Q489" s="3122">
        <f>'Part IV-A-Uses of Funds'!Q53</f>
        <v>0</v>
      </c>
      <c r="R489" s="3107"/>
      <c r="S489" s="3122">
        <f>'Part IV-A-Uses of Funds'!S53</f>
        <v>0</v>
      </c>
      <c r="T489" s="3122">
        <f>'Part IV-A-Uses of Funds'!T53</f>
        <v>0</v>
      </c>
      <c r="U489" s="3107"/>
      <c r="V489" s="3221"/>
      <c r="W489" s="1086"/>
      <c r="X489" s="1086"/>
    </row>
    <row r="490" spans="1:24">
      <c r="A490" s="3107"/>
      <c r="B490" s="3107" t="s">
        <v>702</v>
      </c>
      <c r="C490" s="3107"/>
      <c r="D490" s="3107"/>
      <c r="E490" s="3107"/>
      <c r="F490" s="3107"/>
      <c r="G490" s="3122">
        <f>'Part IV-A-Uses of Funds'!G54</f>
        <v>23000</v>
      </c>
      <c r="H490" s="3122">
        <f>'Part IV-A-Uses of Funds'!H54</f>
        <v>0</v>
      </c>
      <c r="I490" s="3107"/>
      <c r="J490" s="3122">
        <f>'Part IV-A-Uses of Funds'!J54</f>
        <v>23000</v>
      </c>
      <c r="K490" s="3122">
        <f>'Part IV-A-Uses of Funds'!K54</f>
        <v>0</v>
      </c>
      <c r="L490" s="3137"/>
      <c r="M490" s="3122">
        <f>'Part IV-A-Uses of Funds'!M54</f>
        <v>0</v>
      </c>
      <c r="N490" s="3122">
        <f>'Part IV-A-Uses of Funds'!N54</f>
        <v>0</v>
      </c>
      <c r="O490" s="3107"/>
      <c r="P490" s="3122">
        <f>'Part IV-A-Uses of Funds'!P54</f>
        <v>0</v>
      </c>
      <c r="Q490" s="3122">
        <f>'Part IV-A-Uses of Funds'!Q54</f>
        <v>0</v>
      </c>
      <c r="R490" s="3107"/>
      <c r="S490" s="3122">
        <f>'Part IV-A-Uses of Funds'!S54</f>
        <v>0</v>
      </c>
      <c r="T490" s="3122">
        <f>'Part IV-A-Uses of Funds'!T54</f>
        <v>0</v>
      </c>
      <c r="U490" s="3107"/>
      <c r="V490" s="3221"/>
      <c r="W490" s="1086"/>
      <c r="X490" s="1086"/>
    </row>
    <row r="491" spans="1:24">
      <c r="A491" s="3107"/>
      <c r="B491" s="3107" t="s">
        <v>703</v>
      </c>
      <c r="C491" s="3107"/>
      <c r="D491" s="3107"/>
      <c r="E491" s="3107"/>
      <c r="F491" s="3107"/>
      <c r="G491" s="3122">
        <f>'Part IV-A-Uses of Funds'!G55</f>
        <v>95800</v>
      </c>
      <c r="H491" s="3122">
        <f>'Part IV-A-Uses of Funds'!H55</f>
        <v>0</v>
      </c>
      <c r="I491" s="3107"/>
      <c r="J491" s="3122">
        <f>'Part IV-A-Uses of Funds'!J55</f>
        <v>23950</v>
      </c>
      <c r="K491" s="3122">
        <f>'Part IV-A-Uses of Funds'!K55</f>
        <v>0</v>
      </c>
      <c r="L491" s="3137"/>
      <c r="M491" s="3122">
        <f>'Part IV-A-Uses of Funds'!M55</f>
        <v>0</v>
      </c>
      <c r="N491" s="3122">
        <f>'Part IV-A-Uses of Funds'!N55</f>
        <v>0</v>
      </c>
      <c r="O491" s="3107"/>
      <c r="P491" s="3122">
        <f>'Part IV-A-Uses of Funds'!P55</f>
        <v>0</v>
      </c>
      <c r="Q491" s="3122">
        <f>'Part IV-A-Uses of Funds'!Q55</f>
        <v>0</v>
      </c>
      <c r="R491" s="3107"/>
      <c r="S491" s="3122">
        <f>'Part IV-A-Uses of Funds'!S55</f>
        <v>71850</v>
      </c>
      <c r="T491" s="3122">
        <f>'Part IV-A-Uses of Funds'!T55</f>
        <v>0</v>
      </c>
      <c r="U491" s="3107"/>
      <c r="V491" s="3221"/>
      <c r="W491" s="1086"/>
      <c r="X491" s="1086"/>
    </row>
    <row r="492" spans="1:24">
      <c r="A492" s="3107"/>
      <c r="B492" s="3107" t="s">
        <v>704</v>
      </c>
      <c r="C492" s="3107"/>
      <c r="D492" s="3107"/>
      <c r="E492" s="3107"/>
      <c r="F492" s="3107"/>
      <c r="G492" s="3122">
        <f>'Part IV-A-Uses of Funds'!G56</f>
        <v>10000</v>
      </c>
      <c r="H492" s="3122">
        <f>'Part IV-A-Uses of Funds'!H56</f>
        <v>0</v>
      </c>
      <c r="I492" s="3107"/>
      <c r="J492" s="3122">
        <f>'Part IV-A-Uses of Funds'!J56</f>
        <v>10000</v>
      </c>
      <c r="K492" s="3122">
        <f>'Part IV-A-Uses of Funds'!K56</f>
        <v>0</v>
      </c>
      <c r="L492" s="3137"/>
      <c r="M492" s="3122">
        <f>'Part IV-A-Uses of Funds'!M56</f>
        <v>0</v>
      </c>
      <c r="N492" s="3122">
        <f>'Part IV-A-Uses of Funds'!N56</f>
        <v>0</v>
      </c>
      <c r="O492" s="3107"/>
      <c r="P492" s="3122">
        <f>'Part IV-A-Uses of Funds'!P56</f>
        <v>0</v>
      </c>
      <c r="Q492" s="3122">
        <f>'Part IV-A-Uses of Funds'!Q56</f>
        <v>0</v>
      </c>
      <c r="R492" s="3107"/>
      <c r="S492" s="3122">
        <f>'Part IV-A-Uses of Funds'!S56</f>
        <v>0</v>
      </c>
      <c r="T492" s="3122">
        <f>'Part IV-A-Uses of Funds'!T56</f>
        <v>0</v>
      </c>
      <c r="U492" s="3107"/>
      <c r="V492" s="3221"/>
      <c r="W492" s="1086"/>
      <c r="X492" s="1086"/>
    </row>
    <row r="493" spans="1:24">
      <c r="A493" s="3107"/>
      <c r="B493" s="3107" t="s">
        <v>705</v>
      </c>
      <c r="C493" s="3107"/>
      <c r="D493" s="3107"/>
      <c r="E493" s="3107"/>
      <c r="F493" s="3107"/>
      <c r="G493" s="3122">
        <f>'Part IV-A-Uses of Funds'!G57</f>
        <v>19500</v>
      </c>
      <c r="H493" s="3122">
        <f>'Part IV-A-Uses of Funds'!H57</f>
        <v>0</v>
      </c>
      <c r="I493" s="3107"/>
      <c r="J493" s="3122">
        <f>'Part IV-A-Uses of Funds'!J57</f>
        <v>19500</v>
      </c>
      <c r="K493" s="3122">
        <f>'Part IV-A-Uses of Funds'!K57</f>
        <v>0</v>
      </c>
      <c r="L493" s="3137"/>
      <c r="M493" s="3122">
        <f>'Part IV-A-Uses of Funds'!M57</f>
        <v>0</v>
      </c>
      <c r="N493" s="3122">
        <f>'Part IV-A-Uses of Funds'!N57</f>
        <v>0</v>
      </c>
      <c r="O493" s="3107"/>
      <c r="P493" s="3122">
        <f>'Part IV-A-Uses of Funds'!P57</f>
        <v>0</v>
      </c>
      <c r="Q493" s="3122">
        <f>'Part IV-A-Uses of Funds'!Q57</f>
        <v>0</v>
      </c>
      <c r="R493" s="3107"/>
      <c r="S493" s="3122">
        <f>'Part IV-A-Uses of Funds'!S57</f>
        <v>0</v>
      </c>
      <c r="T493" s="3122">
        <f>'Part IV-A-Uses of Funds'!T57</f>
        <v>0</v>
      </c>
      <c r="U493" s="3107"/>
      <c r="V493" s="3221"/>
      <c r="W493" s="1086"/>
      <c r="X493" s="1086"/>
    </row>
    <row r="494" spans="1:24">
      <c r="A494" s="3107"/>
      <c r="B494" s="3107" t="s">
        <v>706</v>
      </c>
      <c r="C494" s="3107"/>
      <c r="D494" s="3107"/>
      <c r="E494" s="3107"/>
      <c r="F494" s="3107"/>
      <c r="G494" s="3122">
        <f>'Part IV-A-Uses of Funds'!G58</f>
        <v>6500</v>
      </c>
      <c r="H494" s="3122">
        <f>'Part IV-A-Uses of Funds'!H58</f>
        <v>0</v>
      </c>
      <c r="I494" s="3107"/>
      <c r="J494" s="3122">
        <f>'Part IV-A-Uses of Funds'!J58</f>
        <v>6500</v>
      </c>
      <c r="K494" s="3122">
        <f>'Part IV-A-Uses of Funds'!K58</f>
        <v>0</v>
      </c>
      <c r="L494" s="3137"/>
      <c r="M494" s="3122">
        <f>'Part IV-A-Uses of Funds'!M58</f>
        <v>0</v>
      </c>
      <c r="N494" s="3122">
        <f>'Part IV-A-Uses of Funds'!N58</f>
        <v>0</v>
      </c>
      <c r="O494" s="3107"/>
      <c r="P494" s="3122">
        <f>'Part IV-A-Uses of Funds'!P58</f>
        <v>0</v>
      </c>
      <c r="Q494" s="3122">
        <f>'Part IV-A-Uses of Funds'!Q58</f>
        <v>0</v>
      </c>
      <c r="R494" s="3107"/>
      <c r="S494" s="3122">
        <f>'Part IV-A-Uses of Funds'!S58</f>
        <v>0</v>
      </c>
      <c r="T494" s="3122">
        <f>'Part IV-A-Uses of Funds'!T58</f>
        <v>0</v>
      </c>
      <c r="U494" s="3107"/>
      <c r="V494" s="3221"/>
      <c r="W494" s="1086"/>
      <c r="X494" s="1086"/>
    </row>
    <row r="495" spans="1:24">
      <c r="A495" s="3107"/>
      <c r="B495" s="3107" t="s">
        <v>707</v>
      </c>
      <c r="C495" s="3107"/>
      <c r="D495" s="3107"/>
      <c r="E495" s="3107"/>
      <c r="F495" s="3107"/>
      <c r="G495" s="3122">
        <f>'Part IV-A-Uses of Funds'!G59</f>
        <v>53000</v>
      </c>
      <c r="H495" s="3122">
        <f>'Part IV-A-Uses of Funds'!H59</f>
        <v>0</v>
      </c>
      <c r="I495" s="3107"/>
      <c r="J495" s="3122">
        <f>'Part IV-A-Uses of Funds'!J59</f>
        <v>53000</v>
      </c>
      <c r="K495" s="3122">
        <f>'Part IV-A-Uses of Funds'!K59</f>
        <v>0</v>
      </c>
      <c r="L495" s="3137"/>
      <c r="M495" s="3122">
        <f>'Part IV-A-Uses of Funds'!M59</f>
        <v>0</v>
      </c>
      <c r="N495" s="3122">
        <f>'Part IV-A-Uses of Funds'!N59</f>
        <v>0</v>
      </c>
      <c r="O495" s="3107"/>
      <c r="P495" s="3122">
        <f>'Part IV-A-Uses of Funds'!P59</f>
        <v>0</v>
      </c>
      <c r="Q495" s="3122">
        <f>'Part IV-A-Uses of Funds'!Q59</f>
        <v>0</v>
      </c>
      <c r="R495" s="3107"/>
      <c r="S495" s="3122">
        <f>'Part IV-A-Uses of Funds'!S59</f>
        <v>0</v>
      </c>
      <c r="T495" s="3122">
        <f>'Part IV-A-Uses of Funds'!T59</f>
        <v>0</v>
      </c>
      <c r="U495" s="3107"/>
      <c r="V495" s="3221"/>
      <c r="W495" s="1086"/>
      <c r="X495" s="1086"/>
    </row>
    <row r="496" spans="1:24">
      <c r="A496" s="3107"/>
      <c r="B496" s="3107" t="s">
        <v>708</v>
      </c>
      <c r="C496" s="3107"/>
      <c r="D496" s="3107"/>
      <c r="E496" s="3107"/>
      <c r="F496" s="3107"/>
      <c r="G496" s="3122">
        <f>'Part IV-A-Uses of Funds'!G60</f>
        <v>0</v>
      </c>
      <c r="H496" s="3122">
        <f>'Part IV-A-Uses of Funds'!H60</f>
        <v>0</v>
      </c>
      <c r="I496" s="3107"/>
      <c r="J496" s="3122">
        <f>'Part IV-A-Uses of Funds'!J60</f>
        <v>0</v>
      </c>
      <c r="K496" s="3122">
        <f>'Part IV-A-Uses of Funds'!K60</f>
        <v>0</v>
      </c>
      <c r="L496" s="3137"/>
      <c r="M496" s="3122">
        <f>'Part IV-A-Uses of Funds'!M60</f>
        <v>0</v>
      </c>
      <c r="N496" s="3122">
        <f>'Part IV-A-Uses of Funds'!N60</f>
        <v>0</v>
      </c>
      <c r="O496" s="3107"/>
      <c r="P496" s="3122">
        <f>'Part IV-A-Uses of Funds'!P60</f>
        <v>0</v>
      </c>
      <c r="Q496" s="3122">
        <f>'Part IV-A-Uses of Funds'!Q60</f>
        <v>0</v>
      </c>
      <c r="R496" s="3107"/>
      <c r="S496" s="3122">
        <f>'Part IV-A-Uses of Funds'!S60</f>
        <v>0</v>
      </c>
      <c r="T496" s="3122">
        <f>'Part IV-A-Uses of Funds'!T60</f>
        <v>0</v>
      </c>
      <c r="U496" s="3107"/>
      <c r="V496" s="3221"/>
      <c r="W496" s="1086"/>
      <c r="X496" s="1086"/>
    </row>
    <row r="497" spans="1:24">
      <c r="A497" s="3107"/>
      <c r="B497" s="3246" t="s">
        <v>709</v>
      </c>
      <c r="C497" s="3107"/>
      <c r="D497" s="3245"/>
      <c r="E497" s="3245"/>
      <c r="F497" s="3247"/>
      <c r="G497" s="3122">
        <f>'Part IV-A-Uses of Funds'!G61</f>
        <v>0</v>
      </c>
      <c r="H497" s="3122">
        <f>'Part IV-A-Uses of Funds'!H61</f>
        <v>0</v>
      </c>
      <c r="I497" s="3114"/>
      <c r="J497" s="3122">
        <f>'Part IV-A-Uses of Funds'!J61</f>
        <v>0</v>
      </c>
      <c r="K497" s="3122">
        <f>'Part IV-A-Uses of Funds'!K61</f>
        <v>0</v>
      </c>
      <c r="L497" s="3137"/>
      <c r="M497" s="3122">
        <f>'Part IV-A-Uses of Funds'!M61</f>
        <v>0</v>
      </c>
      <c r="N497" s="3122">
        <f>'Part IV-A-Uses of Funds'!N61</f>
        <v>0</v>
      </c>
      <c r="O497" s="3107"/>
      <c r="P497" s="3122">
        <f>'Part IV-A-Uses of Funds'!P61</f>
        <v>0</v>
      </c>
      <c r="Q497" s="3122">
        <f>'Part IV-A-Uses of Funds'!Q61</f>
        <v>0</v>
      </c>
      <c r="R497" s="3107"/>
      <c r="S497" s="3122">
        <f>'Part IV-A-Uses of Funds'!S61</f>
        <v>0</v>
      </c>
      <c r="T497" s="3122">
        <f>'Part IV-A-Uses of Funds'!T61</f>
        <v>0</v>
      </c>
      <c r="U497" s="3107"/>
      <c r="V497" s="3221"/>
      <c r="W497" s="1086"/>
      <c r="X497" s="1086"/>
    </row>
    <row r="498" spans="1:24" ht="15.75" customHeight="1">
      <c r="A498" s="3222" t="str">
        <f>IF(AND(G498&gt;0,OR(C498="",C498="&lt;Enter detailed description here; use Comments section if needed&gt;")),"X","")</f>
        <v/>
      </c>
      <c r="B498" s="3107" t="s">
        <v>592</v>
      </c>
      <c r="C498" s="3125" t="str">
        <f>'Part IV-A-Uses of Funds'!C62</f>
        <v>&lt;&lt; Enter description here; provide detail &amp; justification in tab Part IV-b &gt;&gt;</v>
      </c>
      <c r="D498" s="3125">
        <f>'Part IV-A-Uses of Funds'!D62</f>
        <v>0</v>
      </c>
      <c r="E498" s="3125">
        <f>'Part IV-A-Uses of Funds'!E62</f>
        <v>0</v>
      </c>
      <c r="F498" s="3125">
        <f>'Part IV-A-Uses of Funds'!F62</f>
        <v>0</v>
      </c>
      <c r="G498" s="3122">
        <f>'Part IV-A-Uses of Funds'!G62</f>
        <v>0</v>
      </c>
      <c r="H498" s="3122">
        <f>'Part IV-A-Uses of Funds'!H62</f>
        <v>0</v>
      </c>
      <c r="I498" s="3107"/>
      <c r="J498" s="3122">
        <f>'Part IV-A-Uses of Funds'!J62</f>
        <v>0</v>
      </c>
      <c r="K498" s="3122">
        <f>'Part IV-A-Uses of Funds'!K62</f>
        <v>0</v>
      </c>
      <c r="L498" s="3137"/>
      <c r="M498" s="3122">
        <f>'Part IV-A-Uses of Funds'!M62</f>
        <v>0</v>
      </c>
      <c r="N498" s="3122">
        <f>'Part IV-A-Uses of Funds'!N62</f>
        <v>0</v>
      </c>
      <c r="O498" s="3107"/>
      <c r="P498" s="3122">
        <f>'Part IV-A-Uses of Funds'!P62</f>
        <v>0</v>
      </c>
      <c r="Q498" s="3122">
        <f>'Part IV-A-Uses of Funds'!Q62</f>
        <v>0</v>
      </c>
      <c r="R498" s="3107"/>
      <c r="S498" s="3122">
        <f>'Part IV-A-Uses of Funds'!S62</f>
        <v>0</v>
      </c>
      <c r="T498" s="3122">
        <f>'Part IV-A-Uses of Funds'!T62</f>
        <v>0</v>
      </c>
      <c r="U498" s="3108" t="str">
        <f>IF(AND(G498&gt;0,OR(C498="",C498="&lt;Enter detailed description here; use Comments section if needed&gt;")),"NO DESCRIPTION PROVIDED - please enter detailed description in Other box at left; use Comments section below if needed.","")</f>
        <v/>
      </c>
      <c r="V498" s="3221"/>
      <c r="W498" s="1086"/>
      <c r="X498" s="1086"/>
    </row>
    <row r="499" spans="1:24" ht="16.5" customHeight="1">
      <c r="A499" s="3222" t="str">
        <f>IF(AND(G499&gt;0,OR(C499="",C499="&lt;Enter detailed description here; use Comments section if needed&gt;")),"X","")</f>
        <v/>
      </c>
      <c r="B499" s="3107" t="s">
        <v>592</v>
      </c>
      <c r="C499" s="3125" t="str">
        <f>'Part IV-A-Uses of Funds'!C63</f>
        <v>&lt;&lt; Enter description here; provide detail &amp; justification in tab Part IV-b &gt;&gt;</v>
      </c>
      <c r="D499" s="3125">
        <f>'Part IV-A-Uses of Funds'!D63</f>
        <v>0</v>
      </c>
      <c r="E499" s="3125">
        <f>'Part IV-A-Uses of Funds'!E63</f>
        <v>0</v>
      </c>
      <c r="F499" s="3125">
        <f>'Part IV-A-Uses of Funds'!F63</f>
        <v>0</v>
      </c>
      <c r="G499" s="3122">
        <f>'Part IV-A-Uses of Funds'!G63</f>
        <v>0</v>
      </c>
      <c r="H499" s="3122">
        <f>'Part IV-A-Uses of Funds'!H63</f>
        <v>0</v>
      </c>
      <c r="I499" s="3107"/>
      <c r="J499" s="3122">
        <f>'Part IV-A-Uses of Funds'!J63</f>
        <v>0</v>
      </c>
      <c r="K499" s="3122">
        <f>'Part IV-A-Uses of Funds'!K63</f>
        <v>0</v>
      </c>
      <c r="L499" s="3137"/>
      <c r="M499" s="3122">
        <f>'Part IV-A-Uses of Funds'!M63</f>
        <v>0</v>
      </c>
      <c r="N499" s="3122">
        <f>'Part IV-A-Uses of Funds'!N63</f>
        <v>0</v>
      </c>
      <c r="O499" s="3107"/>
      <c r="P499" s="3122">
        <f>'Part IV-A-Uses of Funds'!P63</f>
        <v>0</v>
      </c>
      <c r="Q499" s="3122">
        <f>'Part IV-A-Uses of Funds'!Q63</f>
        <v>0</v>
      </c>
      <c r="R499" s="3107"/>
      <c r="S499" s="3122">
        <f>'Part IV-A-Uses of Funds'!S63</f>
        <v>0</v>
      </c>
      <c r="T499" s="3122">
        <f>'Part IV-A-Uses of Funds'!T63</f>
        <v>0</v>
      </c>
      <c r="U499" s="3108" t="str">
        <f>IF(AND(G499&gt;0,OR(C499="",C499="&lt;Enter detailed description here; use Comments section if needed&gt;")),"NO DESCRIPTION PROVIDED - please enter detailed description in Other box at left; use Comments section below if needed.","")</f>
        <v/>
      </c>
      <c r="V499" s="3221"/>
      <c r="W499" s="1086"/>
      <c r="X499" s="1086"/>
    </row>
    <row r="500" spans="1:24">
      <c r="A500" s="3107"/>
      <c r="B500" s="3107"/>
      <c r="C500" s="3107"/>
      <c r="D500" s="3107"/>
      <c r="E500" s="3107"/>
      <c r="F500" s="3224" t="s">
        <v>665</v>
      </c>
      <c r="G500" s="3122">
        <f>SUM(G488:H499)</f>
        <v>207800</v>
      </c>
      <c r="H500" s="3122"/>
      <c r="I500" s="3107"/>
      <c r="J500" s="3122">
        <f>SUM(J488:K499)</f>
        <v>135950</v>
      </c>
      <c r="K500" s="3122"/>
      <c r="L500" s="3137"/>
      <c r="M500" s="3122">
        <f>SUM(M488:N499)</f>
        <v>0</v>
      </c>
      <c r="N500" s="3122"/>
      <c r="O500" s="3107"/>
      <c r="P500" s="3122">
        <f>SUM(P488:Q499)</f>
        <v>0</v>
      </c>
      <c r="Q500" s="3122"/>
      <c r="R500" s="3107"/>
      <c r="S500" s="3122">
        <f>SUM(S488:T499)</f>
        <v>71850</v>
      </c>
      <c r="T500" s="3122"/>
      <c r="U500" s="3107"/>
      <c r="V500" s="3221">
        <f>SUM(V488:V499)</f>
        <v>0</v>
      </c>
      <c r="W500" s="1086"/>
      <c r="X500" s="1086"/>
    </row>
    <row r="501" spans="1:24">
      <c r="A501" s="3107"/>
      <c r="B501" s="3104" t="s">
        <v>710</v>
      </c>
      <c r="C501" s="3107"/>
      <c r="D501" s="3107"/>
      <c r="E501" s="3107"/>
      <c r="F501" s="3107"/>
      <c r="G501" s="3122"/>
      <c r="H501" s="3122"/>
      <c r="I501" s="3107"/>
      <c r="J501" s="3122"/>
      <c r="K501" s="3122"/>
      <c r="L501" s="3107"/>
      <c r="M501" s="3122"/>
      <c r="N501" s="3122"/>
      <c r="O501" s="3225" t="str">
        <f>B501</f>
        <v>PROFESSIONAL SERVICES</v>
      </c>
      <c r="P501" s="3122"/>
      <c r="Q501" s="3122"/>
      <c r="R501" s="3107"/>
      <c r="S501" s="3122"/>
      <c r="T501" s="3122"/>
      <c r="U501" s="3107"/>
      <c r="V501" s="3221"/>
      <c r="W501" s="3107" t="str">
        <f>B501</f>
        <v>PROFESSIONAL SERVICES</v>
      </c>
      <c r="X501" s="3107"/>
    </row>
    <row r="502" spans="1:24">
      <c r="A502" s="3107"/>
      <c r="B502" s="3107" t="s">
        <v>711</v>
      </c>
      <c r="C502" s="3107"/>
      <c r="D502" s="3107"/>
      <c r="E502" s="3107"/>
      <c r="F502" s="3107"/>
      <c r="G502" s="3122">
        <f>'Part IV-A-Uses of Funds'!G66</f>
        <v>219000</v>
      </c>
      <c r="H502" s="3122">
        <f>'Part IV-A-Uses of Funds'!H66</f>
        <v>0</v>
      </c>
      <c r="I502" s="3107"/>
      <c r="J502" s="3122">
        <f>'Part IV-A-Uses of Funds'!J66</f>
        <v>219000</v>
      </c>
      <c r="K502" s="3122">
        <f>'Part IV-A-Uses of Funds'!K66</f>
        <v>0</v>
      </c>
      <c r="L502" s="3137"/>
      <c r="M502" s="3122">
        <f>'Part IV-A-Uses of Funds'!M66</f>
        <v>0</v>
      </c>
      <c r="N502" s="3122">
        <f>'Part IV-A-Uses of Funds'!N66</f>
        <v>0</v>
      </c>
      <c r="O502" s="3107"/>
      <c r="P502" s="3122">
        <f>'Part IV-A-Uses of Funds'!P66</f>
        <v>0</v>
      </c>
      <c r="Q502" s="3122">
        <f>'Part IV-A-Uses of Funds'!Q66</f>
        <v>0</v>
      </c>
      <c r="R502" s="3107"/>
      <c r="S502" s="3122">
        <f>'Part IV-A-Uses of Funds'!S66</f>
        <v>0</v>
      </c>
      <c r="T502" s="3122">
        <f>'Part IV-A-Uses of Funds'!T66</f>
        <v>0</v>
      </c>
      <c r="U502" s="3107"/>
      <c r="V502" s="3221"/>
      <c r="W502" s="1086"/>
      <c r="X502" s="1086"/>
    </row>
    <row r="503" spans="1:24">
      <c r="A503" s="3107"/>
      <c r="B503" s="3107" t="s">
        <v>712</v>
      </c>
      <c r="C503" s="3107"/>
      <c r="D503" s="3107"/>
      <c r="E503" s="3107"/>
      <c r="F503" s="3107"/>
      <c r="G503" s="3122">
        <f>'Part IV-A-Uses of Funds'!G67</f>
        <v>52000</v>
      </c>
      <c r="H503" s="3122">
        <f>'Part IV-A-Uses of Funds'!H67</f>
        <v>0</v>
      </c>
      <c r="I503" s="3107"/>
      <c r="J503" s="3122">
        <f>'Part IV-A-Uses of Funds'!J67</f>
        <v>52000</v>
      </c>
      <c r="K503" s="3122">
        <f>'Part IV-A-Uses of Funds'!K67</f>
        <v>0</v>
      </c>
      <c r="L503" s="3137"/>
      <c r="M503" s="3122">
        <f>'Part IV-A-Uses of Funds'!M67</f>
        <v>0</v>
      </c>
      <c r="N503" s="3122">
        <f>'Part IV-A-Uses of Funds'!N67</f>
        <v>0</v>
      </c>
      <c r="O503" s="3107"/>
      <c r="P503" s="3122">
        <f>'Part IV-A-Uses of Funds'!P67</f>
        <v>0</v>
      </c>
      <c r="Q503" s="3122">
        <f>'Part IV-A-Uses of Funds'!Q67</f>
        <v>0</v>
      </c>
      <c r="R503" s="3107"/>
      <c r="S503" s="3122">
        <f>'Part IV-A-Uses of Funds'!S67</f>
        <v>0</v>
      </c>
      <c r="T503" s="3122">
        <f>'Part IV-A-Uses of Funds'!T67</f>
        <v>0</v>
      </c>
      <c r="U503" s="3107"/>
      <c r="V503" s="3221"/>
      <c r="W503" s="1086"/>
      <c r="X503" s="1086"/>
    </row>
    <row r="504" spans="1:24">
      <c r="A504" s="3107"/>
      <c r="B504" s="3107" t="s">
        <v>713</v>
      </c>
      <c r="C504" s="3107"/>
      <c r="D504" s="3118" t="s">
        <v>714</v>
      </c>
      <c r="E504" s="3248">
        <f>'DCA Underwriting Assumptions'!R513</f>
        <v>0</v>
      </c>
      <c r="F504" s="3104" t="str">
        <f>IF(G504&gt;E504,"CHECK!!!","")</f>
        <v>CHECK!!!</v>
      </c>
      <c r="G504" s="3122">
        <f>'Part IV-A-Uses of Funds'!G68</f>
        <v>5000</v>
      </c>
      <c r="H504" s="3122">
        <f>'Part IV-A-Uses of Funds'!H68</f>
        <v>0</v>
      </c>
      <c r="I504" s="3107"/>
      <c r="J504" s="3122">
        <f>'Part IV-A-Uses of Funds'!J68</f>
        <v>5000</v>
      </c>
      <c r="K504" s="3122">
        <f>'Part IV-A-Uses of Funds'!K68</f>
        <v>0</v>
      </c>
      <c r="L504" s="3137"/>
      <c r="M504" s="3122">
        <f>'Part IV-A-Uses of Funds'!M68</f>
        <v>0</v>
      </c>
      <c r="N504" s="3122">
        <f>'Part IV-A-Uses of Funds'!N68</f>
        <v>0</v>
      </c>
      <c r="O504" s="3107"/>
      <c r="P504" s="3122">
        <f>'Part IV-A-Uses of Funds'!P68</f>
        <v>0</v>
      </c>
      <c r="Q504" s="3122">
        <f>'Part IV-A-Uses of Funds'!Q68</f>
        <v>0</v>
      </c>
      <c r="R504" s="3107"/>
      <c r="S504" s="3122">
        <f>'Part IV-A-Uses of Funds'!S68</f>
        <v>0</v>
      </c>
      <c r="T504" s="3122">
        <f>'Part IV-A-Uses of Funds'!T68</f>
        <v>0</v>
      </c>
      <c r="U504" s="3107"/>
      <c r="V504" s="3221"/>
      <c r="W504" s="1086"/>
      <c r="X504" s="1086"/>
    </row>
    <row r="505" spans="1:24">
      <c r="A505" s="3107"/>
      <c r="B505" s="3107" t="s">
        <v>715</v>
      </c>
      <c r="C505" s="3107"/>
      <c r="D505" s="3107"/>
      <c r="E505" s="3107"/>
      <c r="F505" s="3107"/>
      <c r="G505" s="3122">
        <f>'Part IV-A-Uses of Funds'!G69</f>
        <v>35000</v>
      </c>
      <c r="H505" s="3122">
        <f>'Part IV-A-Uses of Funds'!H69</f>
        <v>0</v>
      </c>
      <c r="I505" s="3107"/>
      <c r="J505" s="3122">
        <f>'Part IV-A-Uses of Funds'!J69</f>
        <v>35000</v>
      </c>
      <c r="K505" s="3122">
        <f>'Part IV-A-Uses of Funds'!K69</f>
        <v>0</v>
      </c>
      <c r="L505" s="3137"/>
      <c r="M505" s="3122">
        <f>'Part IV-A-Uses of Funds'!M69</f>
        <v>0</v>
      </c>
      <c r="N505" s="3122">
        <f>'Part IV-A-Uses of Funds'!N69</f>
        <v>0</v>
      </c>
      <c r="O505" s="3107"/>
      <c r="P505" s="3122">
        <f>'Part IV-A-Uses of Funds'!P69</f>
        <v>0</v>
      </c>
      <c r="Q505" s="3122">
        <f>'Part IV-A-Uses of Funds'!Q69</f>
        <v>0</v>
      </c>
      <c r="R505" s="3107"/>
      <c r="S505" s="3122">
        <f>'Part IV-A-Uses of Funds'!S69</f>
        <v>0</v>
      </c>
      <c r="T505" s="3122">
        <f>'Part IV-A-Uses of Funds'!T69</f>
        <v>0</v>
      </c>
      <c r="U505" s="3107"/>
      <c r="V505" s="3221"/>
      <c r="W505" s="1086"/>
      <c r="X505" s="1086"/>
    </row>
    <row r="506" spans="1:24">
      <c r="A506" s="3107"/>
      <c r="B506" s="3107" t="s">
        <v>716</v>
      </c>
      <c r="C506" s="3107"/>
      <c r="D506" s="3107"/>
      <c r="E506" s="3107"/>
      <c r="F506" s="3107"/>
      <c r="G506" s="3122">
        <f>'Part IV-A-Uses of Funds'!G70</f>
        <v>2000</v>
      </c>
      <c r="H506" s="3122">
        <f>'Part IV-A-Uses of Funds'!H70</f>
        <v>0</v>
      </c>
      <c r="I506" s="3107"/>
      <c r="J506" s="3122">
        <f>'Part IV-A-Uses of Funds'!J70</f>
        <v>2000</v>
      </c>
      <c r="K506" s="3122">
        <f>'Part IV-A-Uses of Funds'!K70</f>
        <v>0</v>
      </c>
      <c r="L506" s="3137"/>
      <c r="M506" s="3122">
        <f>'Part IV-A-Uses of Funds'!M70</f>
        <v>0</v>
      </c>
      <c r="N506" s="3122">
        <f>'Part IV-A-Uses of Funds'!N70</f>
        <v>0</v>
      </c>
      <c r="O506" s="3107"/>
      <c r="P506" s="3122">
        <f>'Part IV-A-Uses of Funds'!P70</f>
        <v>0</v>
      </c>
      <c r="Q506" s="3122">
        <f>'Part IV-A-Uses of Funds'!Q70</f>
        <v>0</v>
      </c>
      <c r="R506" s="3107"/>
      <c r="S506" s="3122">
        <f>'Part IV-A-Uses of Funds'!S70</f>
        <v>0</v>
      </c>
      <c r="T506" s="3122">
        <f>'Part IV-A-Uses of Funds'!T70</f>
        <v>0</v>
      </c>
      <c r="U506" s="3107"/>
      <c r="V506" s="3221"/>
      <c r="W506" s="1086"/>
      <c r="X506" s="1086"/>
    </row>
    <row r="507" spans="1:24">
      <c r="A507" s="3107"/>
      <c r="B507" s="3107" t="s">
        <v>717</v>
      </c>
      <c r="C507" s="3107"/>
      <c r="D507" s="3107"/>
      <c r="E507" s="3107"/>
      <c r="F507" s="3107"/>
      <c r="G507" s="3122">
        <f>'Part IV-A-Uses of Funds'!G71</f>
        <v>20000</v>
      </c>
      <c r="H507" s="3122">
        <f>'Part IV-A-Uses of Funds'!H71</f>
        <v>0</v>
      </c>
      <c r="I507" s="3107"/>
      <c r="J507" s="3122">
        <f>'Part IV-A-Uses of Funds'!J71</f>
        <v>20000</v>
      </c>
      <c r="K507" s="3122">
        <f>'Part IV-A-Uses of Funds'!K71</f>
        <v>0</v>
      </c>
      <c r="L507" s="3137"/>
      <c r="M507" s="3122">
        <f>'Part IV-A-Uses of Funds'!M71</f>
        <v>0</v>
      </c>
      <c r="N507" s="3122">
        <f>'Part IV-A-Uses of Funds'!N71</f>
        <v>0</v>
      </c>
      <c r="O507" s="3107"/>
      <c r="P507" s="3122">
        <f>'Part IV-A-Uses of Funds'!P71</f>
        <v>0</v>
      </c>
      <c r="Q507" s="3122">
        <f>'Part IV-A-Uses of Funds'!Q71</f>
        <v>0</v>
      </c>
      <c r="R507" s="3107"/>
      <c r="S507" s="3122">
        <f>'Part IV-A-Uses of Funds'!S71</f>
        <v>0</v>
      </c>
      <c r="T507" s="3122">
        <f>'Part IV-A-Uses of Funds'!T71</f>
        <v>0</v>
      </c>
      <c r="U507" s="3107"/>
      <c r="V507" s="3221"/>
      <c r="W507" s="1086"/>
      <c r="X507" s="1086"/>
    </row>
    <row r="508" spans="1:24">
      <c r="A508" s="3107"/>
      <c r="B508" s="3107" t="s">
        <v>718</v>
      </c>
      <c r="C508" s="3107"/>
      <c r="D508" s="3107"/>
      <c r="E508" s="3107"/>
      <c r="F508" s="3107"/>
      <c r="G508" s="3122">
        <f>'Part IV-A-Uses of Funds'!G72</f>
        <v>47885</v>
      </c>
      <c r="H508" s="3122">
        <f>'Part IV-A-Uses of Funds'!H72</f>
        <v>0</v>
      </c>
      <c r="I508" s="3107"/>
      <c r="J508" s="3122">
        <f>'Part IV-A-Uses of Funds'!J72</f>
        <v>47885</v>
      </c>
      <c r="K508" s="3122">
        <f>'Part IV-A-Uses of Funds'!K72</f>
        <v>0</v>
      </c>
      <c r="L508" s="3137"/>
      <c r="M508" s="3122">
        <f>'Part IV-A-Uses of Funds'!M72</f>
        <v>0</v>
      </c>
      <c r="N508" s="3122">
        <f>'Part IV-A-Uses of Funds'!N72</f>
        <v>0</v>
      </c>
      <c r="O508" s="3107"/>
      <c r="P508" s="3122">
        <f>'Part IV-A-Uses of Funds'!P72</f>
        <v>0</v>
      </c>
      <c r="Q508" s="3122">
        <f>'Part IV-A-Uses of Funds'!Q72</f>
        <v>0</v>
      </c>
      <c r="R508" s="3107"/>
      <c r="S508" s="3122">
        <f>'Part IV-A-Uses of Funds'!S72</f>
        <v>0</v>
      </c>
      <c r="T508" s="3122">
        <f>'Part IV-A-Uses of Funds'!T72</f>
        <v>0</v>
      </c>
      <c r="U508" s="3107"/>
      <c r="V508" s="3221"/>
      <c r="W508" s="1086"/>
      <c r="X508" s="1086"/>
    </row>
    <row r="509" spans="1:24">
      <c r="A509" s="3107"/>
      <c r="B509" s="3107" t="s">
        <v>719</v>
      </c>
      <c r="C509" s="3107"/>
      <c r="D509" s="3107"/>
      <c r="E509" s="3107"/>
      <c r="F509" s="3107"/>
      <c r="G509" s="3122">
        <f>'Part IV-A-Uses of Funds'!G73</f>
        <v>85000</v>
      </c>
      <c r="H509" s="3122">
        <f>'Part IV-A-Uses of Funds'!H73</f>
        <v>0</v>
      </c>
      <c r="I509" s="3107"/>
      <c r="J509" s="3122">
        <f>'Part IV-A-Uses of Funds'!J73</f>
        <v>85000</v>
      </c>
      <c r="K509" s="3122">
        <f>'Part IV-A-Uses of Funds'!K73</f>
        <v>0</v>
      </c>
      <c r="L509" s="3137"/>
      <c r="M509" s="3122">
        <f>'Part IV-A-Uses of Funds'!M73</f>
        <v>0</v>
      </c>
      <c r="N509" s="3122">
        <f>'Part IV-A-Uses of Funds'!N73</f>
        <v>0</v>
      </c>
      <c r="O509" s="3107"/>
      <c r="P509" s="3122">
        <f>'Part IV-A-Uses of Funds'!P73</f>
        <v>0</v>
      </c>
      <c r="Q509" s="3122">
        <f>'Part IV-A-Uses of Funds'!Q73</f>
        <v>0</v>
      </c>
      <c r="R509" s="3107"/>
      <c r="S509" s="3122">
        <f>'Part IV-A-Uses of Funds'!S73</f>
        <v>0</v>
      </c>
      <c r="T509" s="3122">
        <f>'Part IV-A-Uses of Funds'!T73</f>
        <v>0</v>
      </c>
      <c r="U509" s="3107"/>
      <c r="V509" s="3221"/>
      <c r="W509" s="1086"/>
      <c r="X509" s="1086"/>
    </row>
    <row r="510" spans="1:24">
      <c r="A510" s="3107"/>
      <c r="B510" s="3107" t="s">
        <v>720</v>
      </c>
      <c r="C510" s="3107"/>
      <c r="D510" s="3107"/>
      <c r="E510" s="3107"/>
      <c r="F510" s="3107"/>
      <c r="G510" s="3122">
        <f>'Part IV-A-Uses of Funds'!G74</f>
        <v>31500</v>
      </c>
      <c r="H510" s="3122">
        <f>'Part IV-A-Uses of Funds'!H74</f>
        <v>0</v>
      </c>
      <c r="I510" s="3107"/>
      <c r="J510" s="3122">
        <f>'Part IV-A-Uses of Funds'!J74</f>
        <v>31500</v>
      </c>
      <c r="K510" s="3122">
        <f>'Part IV-A-Uses of Funds'!K74</f>
        <v>0</v>
      </c>
      <c r="L510" s="3137"/>
      <c r="M510" s="3122">
        <f>'Part IV-A-Uses of Funds'!M74</f>
        <v>0</v>
      </c>
      <c r="N510" s="3122">
        <f>'Part IV-A-Uses of Funds'!N74</f>
        <v>0</v>
      </c>
      <c r="O510" s="3107"/>
      <c r="P510" s="3122">
        <f>'Part IV-A-Uses of Funds'!P74</f>
        <v>0</v>
      </c>
      <c r="Q510" s="3122">
        <f>'Part IV-A-Uses of Funds'!Q74</f>
        <v>0</v>
      </c>
      <c r="R510" s="3107"/>
      <c r="S510" s="3122">
        <f>'Part IV-A-Uses of Funds'!S74</f>
        <v>0</v>
      </c>
      <c r="T510" s="3122">
        <f>'Part IV-A-Uses of Funds'!T74</f>
        <v>0</v>
      </c>
      <c r="U510" s="3107"/>
      <c r="V510" s="3221"/>
      <c r="W510" s="1086"/>
      <c r="X510" s="1086"/>
    </row>
    <row r="511" spans="1:24">
      <c r="A511" s="3107"/>
      <c r="B511" s="3107" t="s">
        <v>721</v>
      </c>
      <c r="C511" s="3107"/>
      <c r="D511" s="3107"/>
      <c r="E511" s="3107"/>
      <c r="F511" s="3107"/>
      <c r="G511" s="3122">
        <f>'Part IV-A-Uses of Funds'!G75</f>
        <v>5000</v>
      </c>
      <c r="H511" s="3122">
        <f>'Part IV-A-Uses of Funds'!H75</f>
        <v>0</v>
      </c>
      <c r="I511" s="3107"/>
      <c r="J511" s="3122">
        <f>'Part IV-A-Uses of Funds'!J75</f>
        <v>5000</v>
      </c>
      <c r="K511" s="3122">
        <f>'Part IV-A-Uses of Funds'!K75</f>
        <v>0</v>
      </c>
      <c r="L511" s="3137"/>
      <c r="M511" s="3122">
        <f>'Part IV-A-Uses of Funds'!M75</f>
        <v>0</v>
      </c>
      <c r="N511" s="3122">
        <f>'Part IV-A-Uses of Funds'!N75</f>
        <v>0</v>
      </c>
      <c r="O511" s="3107"/>
      <c r="P511" s="3122">
        <f>'Part IV-A-Uses of Funds'!P75</f>
        <v>0</v>
      </c>
      <c r="Q511" s="3122">
        <f>'Part IV-A-Uses of Funds'!Q75</f>
        <v>0</v>
      </c>
      <c r="R511" s="3107"/>
      <c r="S511" s="3122">
        <f>'Part IV-A-Uses of Funds'!S75</f>
        <v>0</v>
      </c>
      <c r="T511" s="3122">
        <f>'Part IV-A-Uses of Funds'!T75</f>
        <v>0</v>
      </c>
      <c r="U511" s="3107"/>
      <c r="V511" s="3221"/>
      <c r="W511" s="1086"/>
      <c r="X511" s="1086"/>
    </row>
    <row r="512" spans="1:24" ht="16.5" customHeight="1">
      <c r="A512" s="3222" t="str">
        <f>IF(AND(G512&gt;0,OR(C512="",C512="&lt;Enter detailed description here; use Comments section if needed&gt;")),"X","")</f>
        <v/>
      </c>
      <c r="B512" s="3107" t="s">
        <v>592</v>
      </c>
      <c r="C512" s="3125" t="str">
        <f>'Part IV-A-Uses of Funds'!C76</f>
        <v>&lt;&lt; Enter description here; provide detail &amp; justification in tab Part IV-b &gt;&gt;</v>
      </c>
      <c r="D512" s="3125">
        <f>'Part IV-A-Uses of Funds'!D76</f>
        <v>0</v>
      </c>
      <c r="E512" s="3125">
        <f>'Part IV-A-Uses of Funds'!E76</f>
        <v>0</v>
      </c>
      <c r="F512" s="3125">
        <f>'Part IV-A-Uses of Funds'!F76</f>
        <v>0</v>
      </c>
      <c r="G512" s="3122">
        <f>'Part IV-A-Uses of Funds'!G76</f>
        <v>0</v>
      </c>
      <c r="H512" s="3122">
        <f>'Part IV-A-Uses of Funds'!H76</f>
        <v>0</v>
      </c>
      <c r="I512" s="3107"/>
      <c r="J512" s="3122">
        <f>'Part IV-A-Uses of Funds'!J76</f>
        <v>0</v>
      </c>
      <c r="K512" s="3122">
        <f>'Part IV-A-Uses of Funds'!K76</f>
        <v>0</v>
      </c>
      <c r="L512" s="3137"/>
      <c r="M512" s="3122">
        <f>'Part IV-A-Uses of Funds'!M76</f>
        <v>0</v>
      </c>
      <c r="N512" s="3122">
        <f>'Part IV-A-Uses of Funds'!N76</f>
        <v>0</v>
      </c>
      <c r="O512" s="3107"/>
      <c r="P512" s="3122">
        <f>'Part IV-A-Uses of Funds'!P76</f>
        <v>0</v>
      </c>
      <c r="Q512" s="3122">
        <f>'Part IV-A-Uses of Funds'!Q76</f>
        <v>0</v>
      </c>
      <c r="R512" s="3107"/>
      <c r="S512" s="3122">
        <f>'Part IV-A-Uses of Funds'!S76</f>
        <v>0</v>
      </c>
      <c r="T512" s="3122">
        <f>'Part IV-A-Uses of Funds'!T76</f>
        <v>0</v>
      </c>
      <c r="U512" s="3108" t="str">
        <f>IF(AND(G512&gt;0,OR(C512="",C512="&lt;Enter detailed description here; use Comments section if needed&gt;")),"NO DESCRIPTION PROVIDED - please enter detailed description in Other box at left; use Comments section below if needed.","")</f>
        <v/>
      </c>
      <c r="V512" s="3221"/>
      <c r="W512" s="1086"/>
      <c r="X512" s="1086"/>
    </row>
    <row r="513" spans="1:24">
      <c r="A513" s="3107"/>
      <c r="B513" s="3107"/>
      <c r="C513" s="3107"/>
      <c r="D513" s="3107"/>
      <c r="E513" s="3107"/>
      <c r="F513" s="3224" t="s">
        <v>665</v>
      </c>
      <c r="G513" s="3122">
        <f>SUM(G502:H512)</f>
        <v>502385</v>
      </c>
      <c r="H513" s="3122"/>
      <c r="I513" s="3107"/>
      <c r="J513" s="3122">
        <f>SUM(J502:K512)</f>
        <v>502385</v>
      </c>
      <c r="K513" s="3122"/>
      <c r="L513" s="3137"/>
      <c r="M513" s="3122">
        <f>SUM(M502:N512)</f>
        <v>0</v>
      </c>
      <c r="N513" s="3122"/>
      <c r="O513" s="3107"/>
      <c r="P513" s="3122">
        <f>SUM(P502:Q512)</f>
        <v>0</v>
      </c>
      <c r="Q513" s="3122"/>
      <c r="R513" s="3107"/>
      <c r="S513" s="3122">
        <f>SUM(S502:T512)</f>
        <v>0</v>
      </c>
      <c r="T513" s="3122"/>
      <c r="U513" s="3107"/>
      <c r="V513" s="3221">
        <f>SUM(V502:V512)</f>
        <v>0</v>
      </c>
      <c r="W513" s="1086"/>
      <c r="X513" s="1086"/>
    </row>
    <row r="514" spans="1:24">
      <c r="A514" s="3107"/>
      <c r="B514" s="3104" t="s">
        <v>722</v>
      </c>
      <c r="C514" s="3107"/>
      <c r="D514" s="3249" t="s">
        <v>723</v>
      </c>
      <c r="E514" s="3250">
        <f>G519/'Part VI-Revenues &amp; Expenses'!$O$62</f>
        <v>7472.8243243243242</v>
      </c>
      <c r="F514" s="3107"/>
      <c r="G514" s="3107"/>
      <c r="H514" s="3107"/>
      <c r="I514" s="3107"/>
      <c r="J514" s="3137"/>
      <c r="K514" s="3137"/>
      <c r="L514" s="3114"/>
      <c r="M514" s="3137"/>
      <c r="N514" s="3137"/>
      <c r="O514" s="3225" t="str">
        <f>B514</f>
        <v>LOCAL GOVERNMENT FEES</v>
      </c>
      <c r="P514" s="3137"/>
      <c r="Q514" s="3137"/>
      <c r="R514" s="3114"/>
      <c r="S514" s="3137"/>
      <c r="T514" s="3137"/>
      <c r="U514" s="3114"/>
      <c r="V514" s="3221"/>
      <c r="W514" s="3107" t="str">
        <f>B514</f>
        <v>LOCAL GOVERNMENT FEES</v>
      </c>
      <c r="X514" s="3114"/>
    </row>
    <row r="515" spans="1:24">
      <c r="A515" s="3107"/>
      <c r="B515" s="3107" t="s">
        <v>724</v>
      </c>
      <c r="C515" s="3107"/>
      <c r="D515" s="3107"/>
      <c r="E515" s="3107"/>
      <c r="F515" s="3107"/>
      <c r="G515" s="3122">
        <f>'Part IV-A-Uses of Funds'!G79</f>
        <v>39989</v>
      </c>
      <c r="H515" s="3122">
        <f>'Part IV-A-Uses of Funds'!H79</f>
        <v>0</v>
      </c>
      <c r="I515" s="3107"/>
      <c r="J515" s="3122">
        <f>'Part IV-A-Uses of Funds'!J79</f>
        <v>39989</v>
      </c>
      <c r="K515" s="3122">
        <f>'Part IV-A-Uses of Funds'!K79</f>
        <v>0</v>
      </c>
      <c r="L515" s="3137"/>
      <c r="M515" s="3122">
        <f>'Part IV-A-Uses of Funds'!M79</f>
        <v>0</v>
      </c>
      <c r="N515" s="3122">
        <f>'Part IV-A-Uses of Funds'!N79</f>
        <v>0</v>
      </c>
      <c r="O515" s="3107"/>
      <c r="P515" s="3122">
        <f>'Part IV-A-Uses of Funds'!P79</f>
        <v>0</v>
      </c>
      <c r="Q515" s="3122">
        <f>'Part IV-A-Uses of Funds'!Q79</f>
        <v>0</v>
      </c>
      <c r="R515" s="3107"/>
      <c r="S515" s="3122">
        <f>'Part IV-A-Uses of Funds'!S79</f>
        <v>0</v>
      </c>
      <c r="T515" s="3122">
        <f>'Part IV-A-Uses of Funds'!T79</f>
        <v>0</v>
      </c>
      <c r="U515" s="3107"/>
      <c r="V515" s="3221"/>
      <c r="W515" s="1086"/>
      <c r="X515" s="1086"/>
    </row>
    <row r="516" spans="1:24">
      <c r="A516" s="3107"/>
      <c r="B516" s="3107" t="s">
        <v>725</v>
      </c>
      <c r="C516" s="3107"/>
      <c r="D516" s="3107"/>
      <c r="E516" s="3107"/>
      <c r="F516" s="3107"/>
      <c r="G516" s="3122">
        <f>'Part IV-A-Uses of Funds'!G80</f>
        <v>0</v>
      </c>
      <c r="H516" s="3122">
        <f>'Part IV-A-Uses of Funds'!H80</f>
        <v>0</v>
      </c>
      <c r="I516" s="3107"/>
      <c r="J516" s="3122">
        <f>'Part IV-A-Uses of Funds'!J80</f>
        <v>0</v>
      </c>
      <c r="K516" s="3122">
        <f>'Part IV-A-Uses of Funds'!K80</f>
        <v>0</v>
      </c>
      <c r="L516" s="3137"/>
      <c r="M516" s="3122">
        <f>'Part IV-A-Uses of Funds'!M80</f>
        <v>0</v>
      </c>
      <c r="N516" s="3122">
        <f>'Part IV-A-Uses of Funds'!N80</f>
        <v>0</v>
      </c>
      <c r="O516" s="3107"/>
      <c r="P516" s="3122">
        <f>'Part IV-A-Uses of Funds'!P80</f>
        <v>0</v>
      </c>
      <c r="Q516" s="3122">
        <f>'Part IV-A-Uses of Funds'!Q80</f>
        <v>0</v>
      </c>
      <c r="R516" s="3107"/>
      <c r="S516" s="3122">
        <f>'Part IV-A-Uses of Funds'!S80</f>
        <v>0</v>
      </c>
      <c r="T516" s="3122">
        <f>'Part IV-A-Uses of Funds'!T80</f>
        <v>0</v>
      </c>
      <c r="U516" s="3107"/>
      <c r="V516" s="3221"/>
      <c r="W516" s="1086"/>
      <c r="X516" s="1086"/>
    </row>
    <row r="517" spans="1:24">
      <c r="A517" s="3107"/>
      <c r="B517" s="3107" t="s">
        <v>726</v>
      </c>
      <c r="C517" s="3107"/>
      <c r="D517" s="3251" t="s">
        <v>727</v>
      </c>
      <c r="E517" s="3252">
        <f>'Part IV-A-Uses of Funds'!E81</f>
        <v>0</v>
      </c>
      <c r="F517" s="3107"/>
      <c r="G517" s="3122">
        <f>'Part IV-A-Uses of Funds'!G81</f>
        <v>133000</v>
      </c>
      <c r="H517" s="3122">
        <f>'Part IV-A-Uses of Funds'!H81</f>
        <v>0</v>
      </c>
      <c r="I517" s="3114"/>
      <c r="J517" s="3122">
        <f>'Part IV-A-Uses of Funds'!J81</f>
        <v>133000</v>
      </c>
      <c r="K517" s="3122">
        <f>'Part IV-A-Uses of Funds'!K81</f>
        <v>0</v>
      </c>
      <c r="L517" s="3137"/>
      <c r="M517" s="3122">
        <f>'Part IV-A-Uses of Funds'!M81</f>
        <v>0</v>
      </c>
      <c r="N517" s="3122">
        <f>'Part IV-A-Uses of Funds'!N81</f>
        <v>0</v>
      </c>
      <c r="O517" s="3107"/>
      <c r="P517" s="3122">
        <f>'Part IV-A-Uses of Funds'!P81</f>
        <v>0</v>
      </c>
      <c r="Q517" s="3122">
        <f>'Part IV-A-Uses of Funds'!Q81</f>
        <v>0</v>
      </c>
      <c r="R517" s="3107"/>
      <c r="S517" s="3122">
        <f>'Part IV-A-Uses of Funds'!S81</f>
        <v>0</v>
      </c>
      <c r="T517" s="3122">
        <f>'Part IV-A-Uses of Funds'!T81</f>
        <v>0</v>
      </c>
      <c r="U517" s="3107"/>
      <c r="V517" s="3221"/>
      <c r="W517" s="1086"/>
      <c r="X517" s="1086"/>
    </row>
    <row r="518" spans="1:24">
      <c r="A518" s="3107"/>
      <c r="B518" s="3107" t="s">
        <v>728</v>
      </c>
      <c r="C518" s="3107"/>
      <c r="D518" s="3251" t="s">
        <v>727</v>
      </c>
      <c r="E518" s="3252">
        <f>'Part IV-A-Uses of Funds'!E82</f>
        <v>0</v>
      </c>
      <c r="F518" s="3107"/>
      <c r="G518" s="3122">
        <f>'Part IV-A-Uses of Funds'!G82</f>
        <v>380000</v>
      </c>
      <c r="H518" s="3122">
        <f>'Part IV-A-Uses of Funds'!H82</f>
        <v>0</v>
      </c>
      <c r="I518" s="3114"/>
      <c r="J518" s="3122">
        <f>'Part IV-A-Uses of Funds'!J82</f>
        <v>380000</v>
      </c>
      <c r="K518" s="3122">
        <f>'Part IV-A-Uses of Funds'!K82</f>
        <v>0</v>
      </c>
      <c r="L518" s="3137"/>
      <c r="M518" s="3122">
        <f>'Part IV-A-Uses of Funds'!M82</f>
        <v>0</v>
      </c>
      <c r="N518" s="3122">
        <f>'Part IV-A-Uses of Funds'!N82</f>
        <v>0</v>
      </c>
      <c r="O518" s="3107"/>
      <c r="P518" s="3122">
        <f>'Part IV-A-Uses of Funds'!P82</f>
        <v>0</v>
      </c>
      <c r="Q518" s="3122">
        <f>'Part IV-A-Uses of Funds'!Q82</f>
        <v>0</v>
      </c>
      <c r="R518" s="3107"/>
      <c r="S518" s="3122">
        <f>'Part IV-A-Uses of Funds'!S82</f>
        <v>0</v>
      </c>
      <c r="T518" s="3122">
        <f>'Part IV-A-Uses of Funds'!T82</f>
        <v>0</v>
      </c>
      <c r="U518" s="3107"/>
      <c r="V518" s="3221"/>
      <c r="W518" s="1086"/>
      <c r="X518" s="1086"/>
    </row>
    <row r="519" spans="1:24">
      <c r="A519" s="3107"/>
      <c r="B519" s="3107"/>
      <c r="C519" s="3107"/>
      <c r="D519" s="3107"/>
      <c r="E519" s="3107"/>
      <c r="F519" s="3224" t="s">
        <v>665</v>
      </c>
      <c r="G519" s="3122">
        <f>SUM(G515:H518)</f>
        <v>552989</v>
      </c>
      <c r="H519" s="3122"/>
      <c r="I519" s="3107"/>
      <c r="J519" s="3122">
        <f>SUM(J515:K518)</f>
        <v>552989</v>
      </c>
      <c r="K519" s="3122"/>
      <c r="L519" s="3137"/>
      <c r="M519" s="3122">
        <f>SUM(M515:N518)</f>
        <v>0</v>
      </c>
      <c r="N519" s="3122"/>
      <c r="O519" s="3107"/>
      <c r="P519" s="3122">
        <f>SUM(P515:Q518)</f>
        <v>0</v>
      </c>
      <c r="Q519" s="3122"/>
      <c r="R519" s="3107"/>
      <c r="S519" s="3122">
        <f>SUM(S515:T518)</f>
        <v>0</v>
      </c>
      <c r="T519" s="3122"/>
      <c r="U519" s="3107"/>
      <c r="V519" s="3221">
        <f>SUM(V515:V518)</f>
        <v>0</v>
      </c>
      <c r="W519" s="1086"/>
      <c r="X519" s="1086"/>
    </row>
    <row r="520" spans="1:24">
      <c r="A520" s="3107"/>
      <c r="B520" s="3104" t="s">
        <v>729</v>
      </c>
      <c r="C520" s="3107"/>
      <c r="D520" s="3107"/>
      <c r="E520" s="3107"/>
      <c r="F520" s="3107"/>
      <c r="G520" s="3107"/>
      <c r="H520" s="3107"/>
      <c r="I520" s="3107"/>
      <c r="J520" s="3137"/>
      <c r="K520" s="3137"/>
      <c r="L520" s="3107"/>
      <c r="M520" s="3137"/>
      <c r="N520" s="3137"/>
      <c r="O520" s="3225" t="str">
        <f>B520</f>
        <v>PERMANENT FINANCING FEES</v>
      </c>
      <c r="P520" s="3137"/>
      <c r="Q520" s="3137"/>
      <c r="R520" s="3107"/>
      <c r="S520" s="3137"/>
      <c r="T520" s="3137"/>
      <c r="U520" s="3107"/>
      <c r="V520" s="3221"/>
      <c r="W520" s="3107" t="str">
        <f>B520</f>
        <v>PERMANENT FINANCING FEES</v>
      </c>
      <c r="X520" s="3107"/>
    </row>
    <row r="521" spans="1:24">
      <c r="A521" s="3107"/>
      <c r="B521" s="3107" t="s">
        <v>730</v>
      </c>
      <c r="C521" s="3107"/>
      <c r="D521" s="3107"/>
      <c r="E521" s="3107"/>
      <c r="F521" s="3107"/>
      <c r="G521" s="3122">
        <f>'Part IV-A-Uses of Funds'!G85</f>
        <v>72650</v>
      </c>
      <c r="H521" s="3122">
        <f>'Part IV-A-Uses of Funds'!H85</f>
        <v>0</v>
      </c>
      <c r="I521" s="3107"/>
      <c r="J521" s="3122"/>
      <c r="K521" s="3122"/>
      <c r="L521" s="3137"/>
      <c r="M521" s="3122"/>
      <c r="N521" s="3122"/>
      <c r="O521" s="3107"/>
      <c r="P521" s="3122"/>
      <c r="Q521" s="3122"/>
      <c r="R521" s="3107"/>
      <c r="S521" s="3122">
        <f>'Part IV-A-Uses of Funds'!S85</f>
        <v>72650</v>
      </c>
      <c r="T521" s="3122">
        <f>'Part IV-A-Uses of Funds'!T85</f>
        <v>0</v>
      </c>
      <c r="U521" s="3107"/>
      <c r="V521" s="3221"/>
      <c r="W521" s="1086"/>
      <c r="X521" s="1086"/>
    </row>
    <row r="522" spans="1:24">
      <c r="A522" s="3107"/>
      <c r="B522" s="3107" t="s">
        <v>731</v>
      </c>
      <c r="C522" s="3107"/>
      <c r="D522" s="3107"/>
      <c r="E522" s="3107"/>
      <c r="F522" s="3107"/>
      <c r="G522" s="3122">
        <f>'Part IV-A-Uses of Funds'!G86</f>
        <v>20000</v>
      </c>
      <c r="H522" s="3122">
        <f>'Part IV-A-Uses of Funds'!H86</f>
        <v>0</v>
      </c>
      <c r="I522" s="3107"/>
      <c r="J522" s="3122"/>
      <c r="K522" s="3122"/>
      <c r="L522" s="3137"/>
      <c r="M522" s="3122"/>
      <c r="N522" s="3122"/>
      <c r="O522" s="3107"/>
      <c r="P522" s="3122"/>
      <c r="Q522" s="3122"/>
      <c r="R522" s="3107"/>
      <c r="S522" s="3122">
        <f>'Part IV-A-Uses of Funds'!S86</f>
        <v>20000</v>
      </c>
      <c r="T522" s="3122">
        <f>'Part IV-A-Uses of Funds'!T86</f>
        <v>0</v>
      </c>
      <c r="U522" s="3107"/>
      <c r="V522" s="3221"/>
      <c r="W522" s="1086"/>
      <c r="X522" s="1086"/>
    </row>
    <row r="523" spans="1:24">
      <c r="A523" s="3107"/>
      <c r="B523" s="3107" t="s">
        <v>708</v>
      </c>
      <c r="C523" s="3107"/>
      <c r="D523" s="3107"/>
      <c r="E523" s="3107"/>
      <c r="F523" s="3107"/>
      <c r="G523" s="3122">
        <f>'Part IV-A-Uses of Funds'!G87</f>
        <v>52450</v>
      </c>
      <c r="H523" s="3122">
        <f>'Part IV-A-Uses of Funds'!H87</f>
        <v>0</v>
      </c>
      <c r="I523" s="3107"/>
      <c r="J523" s="3122"/>
      <c r="K523" s="3122"/>
      <c r="L523" s="3137"/>
      <c r="M523" s="3122"/>
      <c r="N523" s="3122"/>
      <c r="O523" s="3107"/>
      <c r="P523" s="3122"/>
      <c r="Q523" s="3122"/>
      <c r="R523" s="3107"/>
      <c r="S523" s="3122">
        <f>'Part IV-A-Uses of Funds'!S87</f>
        <v>52450</v>
      </c>
      <c r="T523" s="3122">
        <f>'Part IV-A-Uses of Funds'!T87</f>
        <v>0</v>
      </c>
      <c r="U523" s="3107"/>
      <c r="V523" s="3221"/>
      <c r="W523" s="1086"/>
      <c r="X523" s="1086"/>
    </row>
    <row r="524" spans="1:24">
      <c r="A524" s="3107"/>
      <c r="B524" s="3107" t="s">
        <v>732</v>
      </c>
      <c r="C524" s="3107"/>
      <c r="D524" s="3107"/>
      <c r="E524" s="3107"/>
      <c r="F524" s="3107"/>
      <c r="G524" s="3122">
        <f>'Part IV-A-Uses of Funds'!G88</f>
        <v>0</v>
      </c>
      <c r="H524" s="3122">
        <f>'Part IV-A-Uses of Funds'!H88</f>
        <v>0</v>
      </c>
      <c r="I524" s="3107"/>
      <c r="J524" s="3122"/>
      <c r="K524" s="3122"/>
      <c r="L524" s="3137"/>
      <c r="M524" s="3122"/>
      <c r="N524" s="3122"/>
      <c r="O524" s="3107"/>
      <c r="P524" s="3122"/>
      <c r="Q524" s="3122"/>
      <c r="R524" s="3107"/>
      <c r="S524" s="3122">
        <f>'Part IV-A-Uses of Funds'!S88</f>
        <v>0</v>
      </c>
      <c r="T524" s="3122">
        <f>'Part IV-A-Uses of Funds'!T88</f>
        <v>0</v>
      </c>
      <c r="U524" s="3107"/>
      <c r="V524" s="3221"/>
      <c r="W524" s="1086"/>
      <c r="X524" s="1086"/>
    </row>
    <row r="525" spans="1:24">
      <c r="A525" s="3107"/>
      <c r="B525" s="3107" t="s">
        <v>733</v>
      </c>
      <c r="C525" s="3107"/>
      <c r="D525" s="3107"/>
      <c r="E525" s="3107"/>
      <c r="F525" s="3107"/>
      <c r="G525" s="3122">
        <f>'Part IV-A-Uses of Funds'!G89</f>
        <v>0</v>
      </c>
      <c r="H525" s="3122">
        <f>'Part IV-A-Uses of Funds'!H89</f>
        <v>0</v>
      </c>
      <c r="I525" s="3107"/>
      <c r="J525" s="3122"/>
      <c r="K525" s="3122"/>
      <c r="L525" s="3137"/>
      <c r="M525" s="3122"/>
      <c r="N525" s="3122"/>
      <c r="O525" s="3107"/>
      <c r="P525" s="3122"/>
      <c r="Q525" s="3122"/>
      <c r="R525" s="3107"/>
      <c r="S525" s="3122">
        <f>'Part IV-A-Uses of Funds'!S89</f>
        <v>0</v>
      </c>
      <c r="T525" s="3122">
        <f>'Part IV-A-Uses of Funds'!T89</f>
        <v>0</v>
      </c>
      <c r="U525" s="3107"/>
      <c r="V525" s="3221"/>
      <c r="W525" s="1086"/>
      <c r="X525" s="1086"/>
    </row>
    <row r="526" spans="1:24" ht="16.5" customHeight="1">
      <c r="A526" s="3222" t="str">
        <f>IF(AND(G526&gt;0,OR(C526="",C526="&lt;Enter detailed description here; use Comments section if needed&gt;")),"X","")</f>
        <v/>
      </c>
      <c r="B526" s="3107" t="s">
        <v>592</v>
      </c>
      <c r="C526" s="3125" t="str">
        <f>'Part IV-A-Uses of Funds'!C90</f>
        <v>Due Diligence</v>
      </c>
      <c r="D526" s="3125">
        <f>'Part IV-A-Uses of Funds'!D90</f>
        <v>0</v>
      </c>
      <c r="E526" s="3125">
        <f>'Part IV-A-Uses of Funds'!E90</f>
        <v>0</v>
      </c>
      <c r="F526" s="3125">
        <f>'Part IV-A-Uses of Funds'!F90</f>
        <v>0</v>
      </c>
      <c r="G526" s="3122">
        <f>'Part IV-A-Uses of Funds'!G90</f>
        <v>45000</v>
      </c>
      <c r="H526" s="3122">
        <f>'Part IV-A-Uses of Funds'!H90</f>
        <v>0</v>
      </c>
      <c r="I526" s="3107"/>
      <c r="J526" s="3122"/>
      <c r="K526" s="3122"/>
      <c r="L526" s="3137"/>
      <c r="M526" s="3122"/>
      <c r="N526" s="3122"/>
      <c r="O526" s="3107"/>
      <c r="P526" s="3122"/>
      <c r="Q526" s="3122"/>
      <c r="R526" s="3107"/>
      <c r="S526" s="3122">
        <f>'Part IV-A-Uses of Funds'!S90</f>
        <v>45000</v>
      </c>
      <c r="T526" s="3122">
        <f>'Part IV-A-Uses of Funds'!T90</f>
        <v>0</v>
      </c>
      <c r="U526" s="3108" t="str">
        <f>IF(AND(G526&gt;0,OR(C526="",C526="&lt;Enter detailed description here; use Comments section if needed&gt;")),"NO DESCRIPTION PROVIDED - please enter detailed description in Other box at left; use Comments section below if needed.","")</f>
        <v/>
      </c>
      <c r="V526" s="3221"/>
      <c r="W526" s="1086"/>
      <c r="X526" s="1086"/>
    </row>
    <row r="527" spans="1:24">
      <c r="A527" s="3107"/>
      <c r="B527" s="3107"/>
      <c r="C527" s="3107"/>
      <c r="D527" s="3107"/>
      <c r="E527" s="3107"/>
      <c r="F527" s="3224" t="s">
        <v>665</v>
      </c>
      <c r="G527" s="3122">
        <f>SUM(G521:H526)</f>
        <v>190100</v>
      </c>
      <c r="H527" s="3122"/>
      <c r="I527" s="3107"/>
      <c r="J527" s="3122"/>
      <c r="K527" s="3122"/>
      <c r="L527" s="3137"/>
      <c r="M527" s="3122"/>
      <c r="N527" s="3122"/>
      <c r="O527" s="3107"/>
      <c r="P527" s="3122"/>
      <c r="Q527" s="3122"/>
      <c r="R527" s="3107"/>
      <c r="S527" s="3122">
        <f>SUM(S521:T526)</f>
        <v>190100</v>
      </c>
      <c r="T527" s="3122"/>
      <c r="U527" s="3107"/>
      <c r="V527" s="3221">
        <f>SUM(V521:V526)</f>
        <v>0</v>
      </c>
      <c r="W527" s="1086"/>
      <c r="X527" s="1086"/>
    </row>
    <row r="528" spans="1:24">
      <c r="A528" s="3105"/>
      <c r="B528" s="3105"/>
      <c r="C528" s="3105"/>
      <c r="D528" s="3105"/>
      <c r="E528" s="3105"/>
      <c r="F528" s="3105"/>
      <c r="G528" s="3105"/>
      <c r="H528" s="3105"/>
      <c r="I528" s="3105"/>
      <c r="J528" s="3105"/>
      <c r="K528" s="3105"/>
      <c r="L528" s="3105"/>
      <c r="M528" s="3105"/>
      <c r="N528" s="3105"/>
      <c r="O528" s="3105"/>
      <c r="P528" s="3105"/>
      <c r="Q528" s="3105"/>
      <c r="R528" s="3105"/>
      <c r="S528" s="3105"/>
      <c r="T528" s="3105"/>
      <c r="U528" s="3107"/>
      <c r="V528" s="3221"/>
      <c r="W528" s="3107"/>
      <c r="X528" s="3107"/>
    </row>
    <row r="529" spans="1:24" ht="17.25" customHeight="1">
      <c r="A529" s="3218" t="s">
        <v>9</v>
      </c>
      <c r="B529" s="3218" t="s">
        <v>4765</v>
      </c>
      <c r="C529" s="3107"/>
      <c r="D529" s="3107"/>
      <c r="E529" s="3107"/>
      <c r="F529" s="3107"/>
      <c r="G529" s="3107"/>
      <c r="H529" s="3107"/>
      <c r="I529" s="3107"/>
      <c r="J529" s="3106" t="s">
        <v>651</v>
      </c>
      <c r="K529" s="3106"/>
      <c r="L529" s="3122"/>
      <c r="M529" s="3219" t="s">
        <v>652</v>
      </c>
      <c r="N529" s="3219"/>
      <c r="O529" s="3107"/>
      <c r="P529" s="3106" t="s">
        <v>653</v>
      </c>
      <c r="Q529" s="3106"/>
      <c r="R529" s="3107"/>
      <c r="S529" s="3106" t="s">
        <v>654</v>
      </c>
      <c r="T529" s="3106"/>
      <c r="U529" s="3107"/>
      <c r="V529" s="3220" t="str">
        <f>B529</f>
        <v>DEVELOPMENT BUDGET  (cont'd)</v>
      </c>
      <c r="W529" s="3107"/>
      <c r="X529" s="3107"/>
    </row>
    <row r="530" spans="1:24">
      <c r="A530" s="3107"/>
      <c r="B530" s="3107"/>
      <c r="C530" s="3107"/>
      <c r="D530" s="3107"/>
      <c r="E530" s="3107"/>
      <c r="F530" s="3107"/>
      <c r="G530" s="3104" t="s">
        <v>655</v>
      </c>
      <c r="H530" s="3104"/>
      <c r="I530" s="3107"/>
      <c r="J530" s="3106"/>
      <c r="K530" s="3106"/>
      <c r="L530" s="3122"/>
      <c r="M530" s="3219"/>
      <c r="N530" s="3219"/>
      <c r="O530" s="3107"/>
      <c r="P530" s="3106"/>
      <c r="Q530" s="3106"/>
      <c r="R530" s="3107"/>
      <c r="S530" s="3106"/>
      <c r="T530" s="3106"/>
      <c r="U530" s="3107"/>
      <c r="V530" s="3157" t="s">
        <v>530</v>
      </c>
      <c r="W530" s="3107"/>
      <c r="X530" s="3157"/>
    </row>
    <row r="531" spans="1:24">
      <c r="A531" s="3107"/>
      <c r="B531" s="3104" t="s">
        <v>736</v>
      </c>
      <c r="C531" s="3107"/>
      <c r="D531" s="3107"/>
      <c r="E531" s="3107"/>
      <c r="F531" s="3107"/>
      <c r="G531" s="3107"/>
      <c r="H531" s="3107"/>
      <c r="I531" s="3107"/>
      <c r="J531" s="3137"/>
      <c r="K531" s="3137"/>
      <c r="L531" s="3107"/>
      <c r="M531" s="3137"/>
      <c r="N531" s="3137"/>
      <c r="O531" s="3225" t="str">
        <f>B531</f>
        <v>DCA-RELATED COSTS</v>
      </c>
      <c r="P531" s="3137"/>
      <c r="Q531" s="3137"/>
      <c r="R531" s="3107"/>
      <c r="S531" s="3137"/>
      <c r="T531" s="3137"/>
      <c r="U531" s="3107"/>
      <c r="V531" s="3221"/>
      <c r="W531" s="3107" t="str">
        <f>B531</f>
        <v>DCA-RELATED COSTS</v>
      </c>
      <c r="X531" s="3107"/>
    </row>
    <row r="532" spans="1:24">
      <c r="A532" s="3107"/>
      <c r="B532" s="3107" t="str">
        <f>CONCATENATE("DCA HOME Loan Consent Pre-Application Fee ($",'DCA Underwriting Assumptions'!$Q$78, " FP/JV, $",'DCA Underwriting Assumptions'!$Q$79, " NP)")</f>
        <v>DCA HOME Loan Consent Pre-Application Fee ($1000 FP/JV, $500 NP)</v>
      </c>
      <c r="C532" s="3107"/>
      <c r="D532" s="3107"/>
      <c r="E532" s="3107"/>
      <c r="F532" s="3107"/>
      <c r="G532" s="3122">
        <f>'Part IV-A-Uses of Funds'!G96</f>
        <v>1000</v>
      </c>
      <c r="H532" s="3122">
        <f>'Part IV-A-Uses of Funds'!H96</f>
        <v>0</v>
      </c>
      <c r="I532" s="3107"/>
      <c r="J532" s="3137"/>
      <c r="K532" s="3137"/>
      <c r="L532" s="3137"/>
      <c r="M532" s="3137"/>
      <c r="N532" s="3137"/>
      <c r="O532" s="3107"/>
      <c r="P532" s="3137"/>
      <c r="Q532" s="3137"/>
      <c r="R532" s="3107"/>
      <c r="S532" s="3122">
        <f>'Part IV-A-Uses of Funds'!S96</f>
        <v>1000</v>
      </c>
      <c r="T532" s="3122">
        <f>'Part IV-A-Uses of Funds'!T96</f>
        <v>0</v>
      </c>
      <c r="U532" s="3107"/>
      <c r="V532" s="3221"/>
      <c r="W532" s="1086"/>
      <c r="X532" s="1086"/>
    </row>
    <row r="533" spans="1:24">
      <c r="A533" s="3107"/>
      <c r="B533" s="3107" t="str">
        <f>CONCATENATE("Tax Credit Application Fee ($",'DCA Underwriting Assumptions'!$Q$84, " ForProf/JntVent, $",'DCA Underwriting Assumptions'!$Q$85, " NonProf)")</f>
        <v>Tax Credit Application Fee ($6500 ForProf/JntVent, $5500 NonProf)</v>
      </c>
      <c r="C533" s="3107"/>
      <c r="D533" s="3107"/>
      <c r="E533" s="3107"/>
      <c r="F533" s="3107"/>
      <c r="G533" s="3122">
        <f>'Part IV-A-Uses of Funds'!G97</f>
        <v>6500</v>
      </c>
      <c r="H533" s="3122">
        <f>'Part IV-A-Uses of Funds'!H97</f>
        <v>0</v>
      </c>
      <c r="I533" s="3107"/>
      <c r="J533" s="3137"/>
      <c r="K533" s="3137"/>
      <c r="L533" s="3253"/>
      <c r="M533" s="3137"/>
      <c r="N533" s="3137"/>
      <c r="O533" s="3107"/>
      <c r="P533" s="3137"/>
      <c r="Q533" s="3137"/>
      <c r="R533" s="3107"/>
      <c r="S533" s="3122">
        <f>'Part IV-A-Uses of Funds'!S97</f>
        <v>6500</v>
      </c>
      <c r="T533" s="3122">
        <f>'Part IV-A-Uses of Funds'!T97</f>
        <v>0</v>
      </c>
      <c r="U533" s="3107"/>
      <c r="V533" s="3221"/>
      <c r="W533" s="1086"/>
      <c r="X533" s="1086"/>
    </row>
    <row r="534" spans="1:24">
      <c r="A534" s="3107"/>
      <c r="B534" s="3107" t="s">
        <v>737</v>
      </c>
      <c r="C534" s="3107"/>
      <c r="D534" s="3107"/>
      <c r="E534" s="3107"/>
      <c r="F534" s="3107"/>
      <c r="G534" s="3122">
        <f>'Part IV-A-Uses of Funds'!G98</f>
        <v>1000</v>
      </c>
      <c r="H534" s="3122">
        <f>'Part IV-A-Uses of Funds'!H98</f>
        <v>0</v>
      </c>
      <c r="I534" s="3107"/>
      <c r="J534" s="3137"/>
      <c r="K534" s="3137"/>
      <c r="L534" s="3253"/>
      <c r="M534" s="3137"/>
      <c r="N534" s="3137"/>
      <c r="O534" s="3107"/>
      <c r="P534" s="3137"/>
      <c r="Q534" s="3137"/>
      <c r="R534" s="3107"/>
      <c r="S534" s="3122">
        <f>'Part IV-A-Uses of Funds'!S98</f>
        <v>1000</v>
      </c>
      <c r="T534" s="3122">
        <f>'Part IV-A-Uses of Funds'!T98</f>
        <v>0</v>
      </c>
      <c r="U534" s="3107"/>
      <c r="V534" s="3221"/>
      <c r="W534" s="1086"/>
      <c r="X534" s="1086"/>
    </row>
    <row r="535" spans="1:24">
      <c r="A535" s="3107"/>
      <c r="B535" s="3107" t="s">
        <v>738</v>
      </c>
      <c r="C535" s="3107"/>
      <c r="D535" s="3107"/>
      <c r="E535" s="3254">
        <f>'DCA Underwriting Assumptions'!$Q$88*J611</f>
        <v>68000</v>
      </c>
      <c r="F535" s="3254"/>
      <c r="G535" s="3122">
        <f>'Part IV-A-Uses of Funds'!G99</f>
        <v>68000</v>
      </c>
      <c r="H535" s="3122">
        <f>'Part IV-A-Uses of Funds'!H99</f>
        <v>0</v>
      </c>
      <c r="I535" s="3107"/>
      <c r="J535" s="3255" t="str">
        <f>IF(E535&gt;G535,"WARNING!  LIHTC Allocation Fee proposed is below minimum required.","")</f>
        <v/>
      </c>
      <c r="K535" s="3137"/>
      <c r="L535" s="3137"/>
      <c r="M535" s="3137"/>
      <c r="N535" s="3137"/>
      <c r="O535" s="3107"/>
      <c r="P535" s="3137"/>
      <c r="Q535" s="3137"/>
      <c r="R535" s="3107"/>
      <c r="S535" s="3122">
        <f>'Part IV-A-Uses of Funds'!S99</f>
        <v>68000</v>
      </c>
      <c r="T535" s="3122">
        <f>'Part IV-A-Uses of Funds'!T99</f>
        <v>0</v>
      </c>
      <c r="U535" s="3107"/>
      <c r="V535" s="3221"/>
      <c r="W535" s="1086"/>
      <c r="X535" s="1086"/>
    </row>
    <row r="536" spans="1:24">
      <c r="A536" s="3107"/>
      <c r="B536" s="3107" t="s">
        <v>739</v>
      </c>
      <c r="C536" s="3107"/>
      <c r="D536" s="3107"/>
      <c r="E536" s="3254">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59200</v>
      </c>
      <c r="F536" s="3254"/>
      <c r="G536" s="3122">
        <f>'Part IV-A-Uses of Funds'!G100</f>
        <v>59200</v>
      </c>
      <c r="H536" s="3122">
        <f>'Part IV-A-Uses of Funds'!H100</f>
        <v>0</v>
      </c>
      <c r="I536" s="3107"/>
      <c r="J536" s="3255" t="str">
        <f>IF(E536&gt;G536,"WARNING!  LIHTC Compliance Fee proposed is below minimum required.","")</f>
        <v/>
      </c>
      <c r="K536" s="3114"/>
      <c r="L536" s="3114"/>
      <c r="M536" s="3114"/>
      <c r="N536" s="3114"/>
      <c r="O536" s="3114"/>
      <c r="P536" s="3114"/>
      <c r="Q536" s="3114"/>
      <c r="R536" s="3107"/>
      <c r="S536" s="3122">
        <f>'Part IV-A-Uses of Funds'!S100</f>
        <v>59200</v>
      </c>
      <c r="T536" s="3122">
        <f>'Part IV-A-Uses of Funds'!T100</f>
        <v>0</v>
      </c>
      <c r="U536" s="3107"/>
      <c r="V536" s="3221"/>
      <c r="W536" s="1086"/>
      <c r="X536" s="1086"/>
    </row>
    <row r="537" spans="1:24">
      <c r="A537" s="3107"/>
      <c r="B537" s="3107" t="s">
        <v>740</v>
      </c>
      <c r="C537" s="3107"/>
      <c r="D537" s="3107"/>
      <c r="E537" s="3107"/>
      <c r="F537" s="3256">
        <f>'DCA Underwriting Assumptions'!$Q$90</f>
        <v>3000</v>
      </c>
      <c r="G537" s="3122">
        <f>'Part IV-A-Uses of Funds'!G101</f>
        <v>3000</v>
      </c>
      <c r="H537" s="3122">
        <f>'Part IV-A-Uses of Funds'!H101</f>
        <v>0</v>
      </c>
      <c r="I537" s="3107"/>
      <c r="J537" s="3114"/>
      <c r="K537" s="3114"/>
      <c r="L537" s="3114"/>
      <c r="M537" s="3114"/>
      <c r="N537" s="3114"/>
      <c r="O537" s="3114"/>
      <c r="P537" s="3114"/>
      <c r="Q537" s="3114"/>
      <c r="R537" s="3107"/>
      <c r="S537" s="3122">
        <f>'Part IV-A-Uses of Funds'!S101</f>
        <v>3000</v>
      </c>
      <c r="T537" s="3122">
        <f>'Part IV-A-Uses of Funds'!T101</f>
        <v>0</v>
      </c>
      <c r="U537" s="3107"/>
      <c r="V537" s="3221"/>
      <c r="W537" s="1086"/>
      <c r="X537" s="1086"/>
    </row>
    <row r="538" spans="1:24">
      <c r="A538" s="3107"/>
      <c r="B538" s="3107" t="s">
        <v>741</v>
      </c>
      <c r="C538" s="3107"/>
      <c r="D538" s="3107"/>
      <c r="E538" s="3107"/>
      <c r="F538" s="3256">
        <f>'DCA Underwriting Assumptions'!$Q$111</f>
        <v>3000</v>
      </c>
      <c r="G538" s="3122">
        <f>'Part IV-A-Uses of Funds'!G102</f>
        <v>3000</v>
      </c>
      <c r="H538" s="3122">
        <f>'Part IV-A-Uses of Funds'!H102</f>
        <v>0</v>
      </c>
      <c r="I538" s="3107"/>
      <c r="J538" s="3114"/>
      <c r="K538" s="3114"/>
      <c r="L538" s="3114"/>
      <c r="M538" s="3114"/>
      <c r="N538" s="3114"/>
      <c r="O538" s="3114"/>
      <c r="P538" s="3114"/>
      <c r="Q538" s="3114"/>
      <c r="R538" s="3107"/>
      <c r="S538" s="3122">
        <f>'Part IV-A-Uses of Funds'!S102</f>
        <v>3000</v>
      </c>
      <c r="T538" s="3122">
        <f>'Part IV-A-Uses of Funds'!T102</f>
        <v>0</v>
      </c>
      <c r="U538" s="3107"/>
      <c r="V538" s="3221"/>
      <c r="W538" s="1086"/>
      <c r="X538" s="1086"/>
    </row>
    <row r="539" spans="1:24" ht="15.75" customHeight="1">
      <c r="A539" s="3222" t="str">
        <f>IF(AND(G539&gt;0,OR(C539="",C539="&lt;Enter detailed description here; use Comments section if needed&gt;")),"X","")</f>
        <v/>
      </c>
      <c r="B539" s="3107" t="s">
        <v>592</v>
      </c>
      <c r="C539" s="3125" t="str">
        <f>'Part IV-A-Uses of Funds'!C103</f>
        <v>&lt;&lt; Enter description here; provide detail &amp; justification in tab Part IV-b &gt;&gt;</v>
      </c>
      <c r="D539" s="3125">
        <f>'Part IV-A-Uses of Funds'!D103</f>
        <v>0</v>
      </c>
      <c r="E539" s="3125">
        <f>'Part IV-A-Uses of Funds'!E103</f>
        <v>0</v>
      </c>
      <c r="F539" s="3125">
        <f>'Part IV-A-Uses of Funds'!F103</f>
        <v>0</v>
      </c>
      <c r="G539" s="3122">
        <f>'Part IV-A-Uses of Funds'!G103</f>
        <v>0</v>
      </c>
      <c r="H539" s="3122">
        <f>'Part IV-A-Uses of Funds'!H103</f>
        <v>0</v>
      </c>
      <c r="I539" s="3107"/>
      <c r="J539" s="3114"/>
      <c r="K539" s="3114"/>
      <c r="L539" s="3114"/>
      <c r="M539" s="3114"/>
      <c r="N539" s="3114"/>
      <c r="O539" s="3114"/>
      <c r="P539" s="3114"/>
      <c r="Q539" s="3114"/>
      <c r="R539" s="3107"/>
      <c r="S539" s="3122">
        <f>'Part IV-A-Uses of Funds'!S103</f>
        <v>0</v>
      </c>
      <c r="T539" s="3122">
        <f>'Part IV-A-Uses of Funds'!T103</f>
        <v>0</v>
      </c>
      <c r="U539" s="3108" t="str">
        <f>IF(AND(G539&gt;0,OR(C539="",C539="&lt;Enter detailed description here; use Comments section if needed&gt;")),"NO DESCRIPTION PROVIDED - please enter detailed description in Other box at left; use Comments section below if needed.","")</f>
        <v/>
      </c>
      <c r="V539" s="3221"/>
      <c r="W539" s="1086"/>
      <c r="X539" s="1086"/>
    </row>
    <row r="540" spans="1:24" ht="16.5" customHeight="1">
      <c r="A540" s="3222" t="str">
        <f>IF(AND(G540&gt;0,OR(C540="",C540="&lt;Enter detailed description here; use Comments section if needed&gt;")),"X","")</f>
        <v/>
      </c>
      <c r="B540" s="3107" t="s">
        <v>592</v>
      </c>
      <c r="C540" s="3125" t="str">
        <f>'Part IV-A-Uses of Funds'!C104</f>
        <v>&lt;&lt; Enter description here; provide detail &amp; justification in tab Part IV-b &gt;&gt;</v>
      </c>
      <c r="D540" s="3125">
        <f>'Part IV-A-Uses of Funds'!D104</f>
        <v>0</v>
      </c>
      <c r="E540" s="3125">
        <f>'Part IV-A-Uses of Funds'!E104</f>
        <v>0</v>
      </c>
      <c r="F540" s="3125">
        <f>'Part IV-A-Uses of Funds'!F104</f>
        <v>0</v>
      </c>
      <c r="G540" s="3122">
        <f>'Part IV-A-Uses of Funds'!G104</f>
        <v>0</v>
      </c>
      <c r="H540" s="3122">
        <f>'Part IV-A-Uses of Funds'!H104</f>
        <v>0</v>
      </c>
      <c r="I540" s="3107"/>
      <c r="J540" s="3114"/>
      <c r="K540" s="3114"/>
      <c r="L540" s="3114"/>
      <c r="M540" s="3114"/>
      <c r="N540" s="3114"/>
      <c r="O540" s="3114"/>
      <c r="P540" s="3114"/>
      <c r="Q540" s="3114"/>
      <c r="R540" s="3107"/>
      <c r="S540" s="3122">
        <f>'Part IV-A-Uses of Funds'!S104</f>
        <v>0</v>
      </c>
      <c r="T540" s="3122">
        <f>'Part IV-A-Uses of Funds'!T104</f>
        <v>0</v>
      </c>
      <c r="U540" s="3108" t="str">
        <f>IF(AND(G540&gt;0,OR(C540="",C540="&lt;Enter detailed description here; use Comments section if needed&gt;")),"NO DESCRIPTION PROVIDED - please enter detailed description in Other box at left; use Comments section below if needed.","")</f>
        <v/>
      </c>
      <c r="V540" s="3221"/>
      <c r="W540" s="1086"/>
      <c r="X540" s="1086"/>
    </row>
    <row r="541" spans="1:24">
      <c r="A541" s="3107"/>
      <c r="B541" s="3107"/>
      <c r="C541" s="3107"/>
      <c r="D541" s="3107"/>
      <c r="E541" s="3107"/>
      <c r="F541" s="3224" t="s">
        <v>665</v>
      </c>
      <c r="G541" s="3122">
        <f>SUM(G532:H540)</f>
        <v>141700</v>
      </c>
      <c r="H541" s="3122"/>
      <c r="I541" s="3107"/>
      <c r="J541" s="3137"/>
      <c r="K541" s="3137"/>
      <c r="L541" s="3137"/>
      <c r="M541" s="3137"/>
      <c r="N541" s="3137"/>
      <c r="O541" s="3107"/>
      <c r="P541" s="3137"/>
      <c r="Q541" s="3137"/>
      <c r="R541" s="3107"/>
      <c r="S541" s="3122">
        <f>SUM(S532:T540)</f>
        <v>141700</v>
      </c>
      <c r="T541" s="3122"/>
      <c r="U541" s="3107"/>
      <c r="V541" s="3221">
        <f>SUM(V532:V540)</f>
        <v>0</v>
      </c>
      <c r="W541" s="3257"/>
      <c r="X541" s="3257"/>
    </row>
    <row r="542" spans="1:24">
      <c r="A542" s="3107"/>
      <c r="B542" s="3104" t="s">
        <v>742</v>
      </c>
      <c r="C542" s="3107"/>
      <c r="D542" s="3107"/>
      <c r="E542" s="3107"/>
      <c r="F542" s="3107"/>
      <c r="G542" s="3107"/>
      <c r="H542" s="3107"/>
      <c r="I542" s="3107"/>
      <c r="J542" s="3137"/>
      <c r="K542" s="3137"/>
      <c r="L542" s="3107"/>
      <c r="M542" s="3137"/>
      <c r="N542" s="3137"/>
      <c r="O542" s="3225" t="str">
        <f>B542</f>
        <v>EQUITY COSTS</v>
      </c>
      <c r="P542" s="3137"/>
      <c r="Q542" s="3137"/>
      <c r="R542" s="3107"/>
      <c r="S542" s="3137"/>
      <c r="T542" s="3137"/>
      <c r="U542" s="3107"/>
      <c r="V542" s="3221"/>
      <c r="W542" s="3107" t="str">
        <f>B542</f>
        <v>EQUITY COSTS</v>
      </c>
      <c r="X542" s="3107"/>
    </row>
    <row r="543" spans="1:24">
      <c r="A543" s="3107"/>
      <c r="B543" s="3107" t="s">
        <v>743</v>
      </c>
      <c r="C543" s="3107"/>
      <c r="D543" s="3107"/>
      <c r="E543" s="3107"/>
      <c r="F543" s="3107"/>
      <c r="G543" s="3122">
        <f>'Part IV-A-Uses of Funds'!G107</f>
        <v>2500</v>
      </c>
      <c r="H543" s="3122">
        <f>'Part IV-A-Uses of Funds'!H107</f>
        <v>0</v>
      </c>
      <c r="I543" s="3107"/>
      <c r="J543" s="3122"/>
      <c r="K543" s="3122"/>
      <c r="L543" s="3137"/>
      <c r="M543" s="3122"/>
      <c r="N543" s="3122"/>
      <c r="O543" s="3107"/>
      <c r="P543" s="3122"/>
      <c r="Q543" s="3122"/>
      <c r="R543" s="3107"/>
      <c r="S543" s="3122">
        <f>'Part IV-A-Uses of Funds'!S107</f>
        <v>2500</v>
      </c>
      <c r="T543" s="3122">
        <f>'Part IV-A-Uses of Funds'!T107</f>
        <v>0</v>
      </c>
      <c r="U543" s="3107"/>
      <c r="V543" s="3221"/>
      <c r="W543" s="1086"/>
      <c r="X543" s="1086"/>
    </row>
    <row r="544" spans="1:24">
      <c r="A544" s="3107"/>
      <c r="B544" s="3107" t="s">
        <v>744</v>
      </c>
      <c r="C544" s="3107"/>
      <c r="D544" s="3107"/>
      <c r="E544" s="3107"/>
      <c r="F544" s="3107"/>
      <c r="G544" s="3122">
        <f>'Part IV-A-Uses of Funds'!G108</f>
        <v>0</v>
      </c>
      <c r="H544" s="3122">
        <f>'Part IV-A-Uses of Funds'!H108</f>
        <v>0</v>
      </c>
      <c r="I544" s="3107"/>
      <c r="J544" s="3122"/>
      <c r="K544" s="3122"/>
      <c r="L544" s="3137"/>
      <c r="M544" s="3122"/>
      <c r="N544" s="3122"/>
      <c r="O544" s="3107"/>
      <c r="P544" s="3122"/>
      <c r="Q544" s="3122"/>
      <c r="R544" s="3107"/>
      <c r="S544" s="3122">
        <f>'Part IV-A-Uses of Funds'!S108</f>
        <v>0</v>
      </c>
      <c r="T544" s="3122">
        <f>'Part IV-A-Uses of Funds'!T108</f>
        <v>0</v>
      </c>
      <c r="U544" s="3107"/>
      <c r="V544" s="3221"/>
      <c r="W544" s="1086"/>
      <c r="X544" s="1086"/>
    </row>
    <row r="545" spans="1:24">
      <c r="A545" s="3107"/>
      <c r="B545" s="3107" t="s">
        <v>745</v>
      </c>
      <c r="C545" s="3107"/>
      <c r="D545" s="3107"/>
      <c r="E545" s="3107"/>
      <c r="F545" s="3107"/>
      <c r="G545" s="3122">
        <f>'Part IV-A-Uses of Funds'!G109</f>
        <v>15000</v>
      </c>
      <c r="H545" s="3122">
        <f>'Part IV-A-Uses of Funds'!H109</f>
        <v>0</v>
      </c>
      <c r="I545" s="3107"/>
      <c r="J545" s="3122"/>
      <c r="K545" s="3122"/>
      <c r="L545" s="3137"/>
      <c r="M545" s="3122"/>
      <c r="N545" s="3122"/>
      <c r="O545" s="3107"/>
      <c r="P545" s="3122"/>
      <c r="Q545" s="3122"/>
      <c r="R545" s="3107"/>
      <c r="S545" s="3122">
        <f>'Part IV-A-Uses of Funds'!S109</f>
        <v>15000</v>
      </c>
      <c r="T545" s="3122">
        <f>'Part IV-A-Uses of Funds'!T109</f>
        <v>0</v>
      </c>
      <c r="U545" s="3107"/>
      <c r="V545" s="3221"/>
      <c r="W545" s="1086"/>
      <c r="X545" s="1086"/>
    </row>
    <row r="546" spans="1:24" ht="16.5" customHeight="1">
      <c r="A546" s="3222" t="str">
        <f>IF(AND(G546&gt;0,OR(C546="",C546="&lt;Enter detailed description here; use Comments section if needed&gt;")),"X","")</f>
        <v/>
      </c>
      <c r="B546" s="3107" t="s">
        <v>592</v>
      </c>
      <c r="C546" s="3125" t="str">
        <f>'Part IV-A-Uses of Funds'!C110</f>
        <v>Due Diligence Fees</v>
      </c>
      <c r="D546" s="3125">
        <f>'Part IV-A-Uses of Funds'!D110</f>
        <v>0</v>
      </c>
      <c r="E546" s="3125">
        <f>'Part IV-A-Uses of Funds'!E110</f>
        <v>0</v>
      </c>
      <c r="F546" s="3125">
        <f>'Part IV-A-Uses of Funds'!F110</f>
        <v>0</v>
      </c>
      <c r="G546" s="3122">
        <f>'Part IV-A-Uses of Funds'!G110</f>
        <v>1500</v>
      </c>
      <c r="H546" s="3122">
        <f>'Part IV-A-Uses of Funds'!H110</f>
        <v>0</v>
      </c>
      <c r="I546" s="3107"/>
      <c r="J546" s="3122"/>
      <c r="K546" s="3122"/>
      <c r="L546" s="3137"/>
      <c r="M546" s="3122"/>
      <c r="N546" s="3122"/>
      <c r="O546" s="3107"/>
      <c r="P546" s="3122"/>
      <c r="Q546" s="3122"/>
      <c r="R546" s="3107"/>
      <c r="S546" s="3122">
        <f>'Part IV-A-Uses of Funds'!S110</f>
        <v>1500</v>
      </c>
      <c r="T546" s="3122">
        <f>'Part IV-A-Uses of Funds'!T110</f>
        <v>0</v>
      </c>
      <c r="U546" s="3108" t="str">
        <f>IF(AND(G546&gt;0,OR(C546="",C546="&lt;Enter detailed description here; use Comments section if needed&gt;")),"NO DESCRIPTION PROVIDED - please enter detailed description in Other box at left; use Comments section below if needed.","")</f>
        <v/>
      </c>
      <c r="V546" s="3221"/>
      <c r="W546" s="1086"/>
      <c r="X546" s="1086"/>
    </row>
    <row r="547" spans="1:24">
      <c r="A547" s="3107"/>
      <c r="B547" s="3107"/>
      <c r="C547" s="3107"/>
      <c r="D547" s="3107"/>
      <c r="E547" s="3107"/>
      <c r="F547" s="3224" t="s">
        <v>665</v>
      </c>
      <c r="G547" s="3122">
        <f>SUM(G543:H546)</f>
        <v>19000</v>
      </c>
      <c r="H547" s="3122"/>
      <c r="I547" s="3107"/>
      <c r="J547" s="3122"/>
      <c r="K547" s="3122"/>
      <c r="L547" s="3137"/>
      <c r="M547" s="3122"/>
      <c r="N547" s="3122"/>
      <c r="O547" s="3107"/>
      <c r="P547" s="3122"/>
      <c r="Q547" s="3122"/>
      <c r="R547" s="3107"/>
      <c r="S547" s="3122">
        <f>SUM(S543:T546)</f>
        <v>19000</v>
      </c>
      <c r="T547" s="3122"/>
      <c r="U547" s="3107"/>
      <c r="V547" s="3221">
        <f>SUM(V543:V546)</f>
        <v>0</v>
      </c>
      <c r="W547" s="1086"/>
      <c r="X547" s="1086"/>
    </row>
    <row r="548" spans="1:24">
      <c r="A548" s="3107"/>
      <c r="B548" s="3104" t="s">
        <v>746</v>
      </c>
      <c r="C548" s="3107"/>
      <c r="D548" s="3107"/>
      <c r="E548" s="3107"/>
      <c r="F548" s="3107"/>
      <c r="G548" s="3107"/>
      <c r="H548" s="3107"/>
      <c r="I548" s="3107"/>
      <c r="J548" s="3137"/>
      <c r="K548" s="3122"/>
      <c r="L548" s="3107"/>
      <c r="M548" s="3137"/>
      <c r="N548" s="3122"/>
      <c r="O548" s="3225" t="str">
        <f>B548</f>
        <v>DEVELOPER'S FEE</v>
      </c>
      <c r="P548" s="3137"/>
      <c r="Q548" s="3122"/>
      <c r="R548" s="3107"/>
      <c r="S548" s="3137"/>
      <c r="T548" s="3122"/>
      <c r="U548" s="3107"/>
      <c r="V548" s="3221"/>
      <c r="W548" s="3107" t="str">
        <f>B548</f>
        <v>DEVELOPER'S FEE</v>
      </c>
      <c r="X548" s="3107"/>
    </row>
    <row r="549" spans="1:24">
      <c r="A549" s="3107"/>
      <c r="B549" s="3107" t="s">
        <v>747</v>
      </c>
      <c r="C549" s="3107"/>
      <c r="D549" s="3107"/>
      <c r="E549" s="3107"/>
      <c r="F549" s="3204">
        <f>IF($G$118=0,0,G549/$G$118)</f>
        <v>0</v>
      </c>
      <c r="G549" s="3122">
        <f>'Part IV-A-Uses of Funds'!G113</f>
        <v>0</v>
      </c>
      <c r="H549" s="3122">
        <f>'Part IV-A-Uses of Funds'!H113</f>
        <v>0</v>
      </c>
      <c r="I549" s="3107"/>
      <c r="J549" s="3122">
        <f>'Part IV-A-Uses of Funds'!J113</f>
        <v>0</v>
      </c>
      <c r="K549" s="3122">
        <f>'Part IV-A-Uses of Funds'!K113</f>
        <v>0</v>
      </c>
      <c r="L549" s="3225"/>
      <c r="M549" s="3122">
        <f>'Part IV-A-Uses of Funds'!M113</f>
        <v>0</v>
      </c>
      <c r="N549" s="3122">
        <f>'Part IV-A-Uses of Funds'!N113</f>
        <v>0</v>
      </c>
      <c r="O549" s="3107"/>
      <c r="P549" s="3122">
        <f>'Part IV-A-Uses of Funds'!P113</f>
        <v>0</v>
      </c>
      <c r="Q549" s="3122">
        <f>'Part IV-A-Uses of Funds'!Q113</f>
        <v>0</v>
      </c>
      <c r="R549" s="3107"/>
      <c r="S549" s="3122">
        <f>'Part IV-A-Uses of Funds'!S113</f>
        <v>0</v>
      </c>
      <c r="T549" s="3122">
        <f>'Part IV-A-Uses of Funds'!T113</f>
        <v>0</v>
      </c>
      <c r="U549" s="3107"/>
      <c r="V549" s="3221"/>
      <c r="W549" s="1086"/>
      <c r="X549" s="1086"/>
    </row>
    <row r="550" spans="1:24">
      <c r="A550" s="3107"/>
      <c r="B550" s="3107" t="s">
        <v>748</v>
      </c>
      <c r="C550" s="3107"/>
      <c r="D550" s="3107"/>
      <c r="E550" s="3107"/>
      <c r="F550" s="3258">
        <f>'Part IV-A-Uses of Funds'!F114</f>
        <v>300000</v>
      </c>
      <c r="G550" s="3107"/>
      <c r="H550" s="3107"/>
      <c r="I550" s="3107"/>
      <c r="J550" s="3107"/>
      <c r="K550" s="3107"/>
      <c r="L550" s="3107"/>
      <c r="M550" s="3107"/>
      <c r="N550" s="3107"/>
      <c r="O550" s="3107"/>
      <c r="P550" s="3107"/>
      <c r="Q550" s="3107"/>
      <c r="R550" s="3107"/>
      <c r="S550" s="3107"/>
      <c r="T550" s="3107"/>
      <c r="U550" s="3107"/>
      <c r="V550" s="3221"/>
      <c r="W550" s="1086"/>
      <c r="X550" s="1086"/>
    </row>
    <row r="551" spans="1:24">
      <c r="A551" s="3107"/>
      <c r="B551" s="3107" t="s">
        <v>749</v>
      </c>
      <c r="C551" s="3107"/>
      <c r="D551" s="3107"/>
      <c r="E551" s="3107"/>
      <c r="F551" s="3204">
        <f>IF($G$118=0,0,G551/$G$118)</f>
        <v>0</v>
      </c>
      <c r="G551" s="3122">
        <f>'Part IV-A-Uses of Funds'!G115</f>
        <v>0</v>
      </c>
      <c r="H551" s="3122">
        <f>'Part IV-A-Uses of Funds'!H115</f>
        <v>0</v>
      </c>
      <c r="I551" s="3107"/>
      <c r="J551" s="3122">
        <f>'Part IV-A-Uses of Funds'!J115</f>
        <v>0</v>
      </c>
      <c r="K551" s="3122">
        <f>'Part IV-A-Uses of Funds'!K115</f>
        <v>0</v>
      </c>
      <c r="L551" s="3137"/>
      <c r="M551" s="3122">
        <f>'Part IV-A-Uses of Funds'!M115</f>
        <v>0</v>
      </c>
      <c r="N551" s="3122">
        <f>'Part IV-A-Uses of Funds'!N115</f>
        <v>0</v>
      </c>
      <c r="O551" s="3107"/>
      <c r="P551" s="3122">
        <f>'Part IV-A-Uses of Funds'!P115</f>
        <v>0</v>
      </c>
      <c r="Q551" s="3122">
        <f>'Part IV-A-Uses of Funds'!Q115</f>
        <v>0</v>
      </c>
      <c r="R551" s="3107"/>
      <c r="S551" s="3122">
        <f>'Part IV-A-Uses of Funds'!S115</f>
        <v>0</v>
      </c>
      <c r="T551" s="3122">
        <f>'Part IV-A-Uses of Funds'!T115</f>
        <v>0</v>
      </c>
      <c r="U551" s="3107"/>
      <c r="V551" s="3221"/>
      <c r="W551" s="1086"/>
      <c r="X551" s="1086"/>
    </row>
    <row r="552" spans="1:24">
      <c r="A552" s="3107"/>
      <c r="B552" s="3107" t="s">
        <v>750</v>
      </c>
      <c r="C552" s="3107"/>
      <c r="D552" s="3107"/>
      <c r="E552" s="3107"/>
      <c r="F552" s="3204">
        <f>IF($G$118=0,0,G552/$G$118)</f>
        <v>0</v>
      </c>
      <c r="G552" s="3122">
        <f>'Part IV-A-Uses of Funds'!G116</f>
        <v>0</v>
      </c>
      <c r="H552" s="3122">
        <f>'Part IV-A-Uses of Funds'!H116</f>
        <v>0</v>
      </c>
      <c r="I552" s="3107"/>
      <c r="J552" s="3122">
        <f>'Part IV-A-Uses of Funds'!J116</f>
        <v>0</v>
      </c>
      <c r="K552" s="3122">
        <f>'Part IV-A-Uses of Funds'!K116</f>
        <v>0</v>
      </c>
      <c r="L552" s="3137"/>
      <c r="M552" s="3122">
        <f>'Part IV-A-Uses of Funds'!M116</f>
        <v>0</v>
      </c>
      <c r="N552" s="3122">
        <f>'Part IV-A-Uses of Funds'!N116</f>
        <v>0</v>
      </c>
      <c r="O552" s="3107"/>
      <c r="P552" s="3122">
        <f>'Part IV-A-Uses of Funds'!P116</f>
        <v>0</v>
      </c>
      <c r="Q552" s="3122">
        <f>'Part IV-A-Uses of Funds'!Q116</f>
        <v>0</v>
      </c>
      <c r="R552" s="3107"/>
      <c r="S552" s="3122">
        <f>'Part IV-A-Uses of Funds'!S116</f>
        <v>0</v>
      </c>
      <c r="T552" s="3122">
        <f>'Part IV-A-Uses of Funds'!T116</f>
        <v>0</v>
      </c>
      <c r="U552" s="3107"/>
      <c r="V552" s="3221"/>
      <c r="W552" s="1086"/>
      <c r="X552" s="1086"/>
    </row>
    <row r="553" spans="1:24">
      <c r="A553" s="3107"/>
      <c r="B553" s="3107" t="s">
        <v>751</v>
      </c>
      <c r="C553" s="3107"/>
      <c r="D553" s="3107"/>
      <c r="E553" s="3107"/>
      <c r="F553" s="3204">
        <f>IF($G$118=0,0,G553/$G$118)</f>
        <v>0</v>
      </c>
      <c r="G553" s="3122">
        <f>'Part IV-A-Uses of Funds'!G117</f>
        <v>1565000</v>
      </c>
      <c r="H553" s="3122">
        <f>'Part IV-A-Uses of Funds'!H117</f>
        <v>0</v>
      </c>
      <c r="I553" s="3107"/>
      <c r="J553" s="3122">
        <f>'Part IV-A-Uses of Funds'!J117</f>
        <v>1565000</v>
      </c>
      <c r="K553" s="3122">
        <f>'Part IV-A-Uses of Funds'!K117</f>
        <v>0</v>
      </c>
      <c r="L553" s="3137"/>
      <c r="M553" s="3122">
        <f>'Part IV-A-Uses of Funds'!M117</f>
        <v>0</v>
      </c>
      <c r="N553" s="3122">
        <f>'Part IV-A-Uses of Funds'!N117</f>
        <v>0</v>
      </c>
      <c r="O553" s="3107"/>
      <c r="P553" s="3122">
        <f>'Part IV-A-Uses of Funds'!P117</f>
        <v>0</v>
      </c>
      <c r="Q553" s="3122">
        <f>'Part IV-A-Uses of Funds'!Q117</f>
        <v>0</v>
      </c>
      <c r="R553" s="3107"/>
      <c r="S553" s="3122">
        <f>'Part IV-A-Uses of Funds'!S117</f>
        <v>0</v>
      </c>
      <c r="T553" s="3122">
        <f>'Part IV-A-Uses of Funds'!T117</f>
        <v>0</v>
      </c>
      <c r="U553" s="3107"/>
      <c r="V553" s="3221"/>
      <c r="W553" s="1086"/>
      <c r="X553" s="1086"/>
    </row>
    <row r="554" spans="1:24">
      <c r="A554" s="3107"/>
      <c r="B554" s="3107"/>
      <c r="C554" s="3108"/>
      <c r="D554" s="3107"/>
      <c r="E554" s="3107"/>
      <c r="F554" s="3224" t="s">
        <v>665</v>
      </c>
      <c r="G554" s="3122">
        <f>SUM(G549:H553)</f>
        <v>1565000</v>
      </c>
      <c r="H554" s="3122"/>
      <c r="I554" s="3107"/>
      <c r="J554" s="3122">
        <f>SUM(J549:K553)</f>
        <v>1565000</v>
      </c>
      <c r="K554" s="3122"/>
      <c r="L554" s="3137"/>
      <c r="M554" s="3122">
        <f>SUM(M549:N553)</f>
        <v>0</v>
      </c>
      <c r="N554" s="3122"/>
      <c r="O554" s="3107"/>
      <c r="P554" s="3122">
        <f>SUM(P549:Q553)</f>
        <v>0</v>
      </c>
      <c r="Q554" s="3122"/>
      <c r="R554" s="3107"/>
      <c r="S554" s="3122">
        <f>SUM(S549:T553)</f>
        <v>0</v>
      </c>
      <c r="T554" s="3122"/>
      <c r="U554" s="3107"/>
      <c r="V554" s="3221">
        <f>SUM(V549:V553)</f>
        <v>0</v>
      </c>
      <c r="W554" s="1086"/>
      <c r="X554" s="1086"/>
    </row>
    <row r="555" spans="1:24">
      <c r="A555" s="3107"/>
      <c r="B555" s="3104" t="s">
        <v>752</v>
      </c>
      <c r="C555" s="3107"/>
      <c r="D555" s="3107"/>
      <c r="E555" s="3107"/>
      <c r="F555" s="3107"/>
      <c r="G555" s="3107"/>
      <c r="H555" s="3107"/>
      <c r="I555" s="3107"/>
      <c r="J555" s="3122"/>
      <c r="K555" s="3122"/>
      <c r="L555" s="3107"/>
      <c r="M555" s="3122"/>
      <c r="N555" s="3122"/>
      <c r="O555" s="3225" t="str">
        <f>B555</f>
        <v>START-UP AND RESERVES</v>
      </c>
      <c r="P555" s="3122"/>
      <c r="Q555" s="3122"/>
      <c r="R555" s="3107"/>
      <c r="S555" s="3122"/>
      <c r="T555" s="3122"/>
      <c r="U555" s="3107"/>
      <c r="V555" s="3221"/>
      <c r="W555" s="3107" t="str">
        <f>B555</f>
        <v>START-UP AND RESERVES</v>
      </c>
      <c r="X555" s="3107"/>
    </row>
    <row r="556" spans="1:24">
      <c r="A556" s="3107"/>
      <c r="B556" s="3107" t="s">
        <v>753</v>
      </c>
      <c r="C556" s="3107"/>
      <c r="D556" s="3107"/>
      <c r="E556" s="3107"/>
      <c r="F556" s="3107"/>
      <c r="G556" s="3122">
        <f>'Part IV-A-Uses of Funds'!G120</f>
        <v>25000</v>
      </c>
      <c r="H556" s="3122">
        <f>'Part IV-A-Uses of Funds'!H120</f>
        <v>0</v>
      </c>
      <c r="I556" s="3107"/>
      <c r="J556" s="3253"/>
      <c r="K556" s="3253"/>
      <c r="L556" s="3253"/>
      <c r="M556" s="3253"/>
      <c r="N556" s="3253"/>
      <c r="O556" s="3107"/>
      <c r="P556" s="3253"/>
      <c r="Q556" s="3253"/>
      <c r="R556" s="3107"/>
      <c r="S556" s="3122">
        <f>'Part IV-A-Uses of Funds'!S120</f>
        <v>25000</v>
      </c>
      <c r="T556" s="3122">
        <f>'Part IV-A-Uses of Funds'!T120</f>
        <v>0</v>
      </c>
      <c r="U556" s="3107"/>
      <c r="V556" s="3221"/>
      <c r="W556" s="1086"/>
      <c r="X556" s="1086"/>
    </row>
    <row r="557" spans="1:24">
      <c r="A557" s="3107"/>
      <c r="B557" s="3107" t="s">
        <v>754</v>
      </c>
      <c r="C557" s="3107"/>
      <c r="D557" s="3107"/>
      <c r="E557" s="3107"/>
      <c r="F557" s="3165">
        <f>+'Part VI-Revenues &amp; Expenses'!$P$175*('DCA Underwriting Assumptions'!$Q$110/12)</f>
        <v>95121.25</v>
      </c>
      <c r="G557" s="3122">
        <f>'Part IV-A-Uses of Funds'!G121</f>
        <v>95099</v>
      </c>
      <c r="H557" s="3122">
        <f>'Part IV-A-Uses of Funds'!H121</f>
        <v>0</v>
      </c>
      <c r="I557" s="3107"/>
      <c r="J557" s="3259" t="str">
        <f>IF(E557&gt;G557,"WARNING! Rent-Up Reserves proposed is below minimum - add comment.","")</f>
        <v/>
      </c>
      <c r="K557" s="3259"/>
      <c r="L557" s="3137"/>
      <c r="M557" s="3122"/>
      <c r="N557" s="3122"/>
      <c r="O557" s="3107"/>
      <c r="P557" s="3122"/>
      <c r="Q557" s="3122"/>
      <c r="R557" s="3107"/>
      <c r="S557" s="3122">
        <f>'Part IV-A-Uses of Funds'!S121</f>
        <v>95099</v>
      </c>
      <c r="T557" s="3122">
        <f>'Part IV-A-Uses of Funds'!T121</f>
        <v>0</v>
      </c>
      <c r="U557" s="3107"/>
      <c r="V557" s="3221"/>
      <c r="W557" s="1086"/>
      <c r="X557" s="1086"/>
    </row>
    <row r="558" spans="1:24">
      <c r="A558" s="3107"/>
      <c r="B558" s="3107" t="s">
        <v>755</v>
      </c>
      <c r="C558" s="3107"/>
      <c r="D558" s="3107"/>
      <c r="E558" s="3107"/>
      <c r="F558" s="3260">
        <f>'Part VI-Revenues &amp; Expenses'!$P$175*('DCA Underwriting Assumptions'!$Q$109/12)+('Part VII-Pro Forma'!$B$23+'Part VII-Pro Forma'!$B$24+'Part VII-Pro Forma'!$B$25+'Part VII-Pro Forma'!$B$26)*'DCA Underwriting Assumptions'!$Q$108/(-12)</f>
        <v>269562.88362749433</v>
      </c>
      <c r="G558" s="3122">
        <f>'Part IV-A-Uses of Funds'!G122</f>
        <v>269518</v>
      </c>
      <c r="H558" s="3122">
        <f>'Part IV-A-Uses of Funds'!H122</f>
        <v>0</v>
      </c>
      <c r="I558" s="3107"/>
      <c r="J558" s="3259" t="str">
        <f>IF(E558&gt;G558,"WARNING! ODR proposed is below minimum - add comment.","")</f>
        <v/>
      </c>
      <c r="K558" s="3253"/>
      <c r="L558" s="3253"/>
      <c r="M558" s="3253"/>
      <c r="N558" s="3253"/>
      <c r="O558" s="3107"/>
      <c r="P558" s="3253"/>
      <c r="Q558" s="3253"/>
      <c r="R558" s="3107"/>
      <c r="S558" s="3122">
        <f>'Part IV-A-Uses of Funds'!S122</f>
        <v>269518</v>
      </c>
      <c r="T558" s="3122">
        <f>'Part IV-A-Uses of Funds'!T122</f>
        <v>0</v>
      </c>
      <c r="U558" s="3107"/>
      <c r="V558" s="3221"/>
      <c r="W558" s="1086"/>
      <c r="X558" s="1086"/>
    </row>
    <row r="559" spans="1:24">
      <c r="A559" s="3107"/>
      <c r="B559" s="3107" t="s">
        <v>756</v>
      </c>
      <c r="C559" s="3107"/>
      <c r="D559" s="3107"/>
      <c r="E559" s="3107"/>
      <c r="F559" s="3107"/>
      <c r="G559" s="3122">
        <f>'Part IV-A-Uses of Funds'!G123</f>
        <v>0</v>
      </c>
      <c r="H559" s="3122">
        <f>'Part IV-A-Uses of Funds'!H123</f>
        <v>0</v>
      </c>
      <c r="I559" s="3107"/>
      <c r="J559" s="3253"/>
      <c r="K559" s="3253"/>
      <c r="L559" s="3253"/>
      <c r="M559" s="3253"/>
      <c r="N559" s="3253"/>
      <c r="O559" s="3107"/>
      <c r="P559" s="3253"/>
      <c r="Q559" s="3253"/>
      <c r="R559" s="3107"/>
      <c r="S559" s="3122">
        <f>'Part IV-A-Uses of Funds'!S123</f>
        <v>0</v>
      </c>
      <c r="T559" s="3122">
        <f>'Part IV-A-Uses of Funds'!T123</f>
        <v>0</v>
      </c>
      <c r="U559" s="3107"/>
      <c r="V559" s="3221"/>
      <c r="W559" s="1086"/>
      <c r="X559" s="1086"/>
    </row>
    <row r="560" spans="1:24">
      <c r="A560" s="3107"/>
      <c r="B560" s="3107" t="s">
        <v>757</v>
      </c>
      <c r="C560" s="3107"/>
      <c r="D560" s="3107"/>
      <c r="E560" s="3171" t="s">
        <v>758</v>
      </c>
      <c r="F560" s="3173">
        <f>IF('Part VI-Revenues &amp; Expenses'!$O$62=0,0,G560/'Part VI-Revenues &amp; Expenses'!$O$62)</f>
        <v>878.37837837837833</v>
      </c>
      <c r="G560" s="3122">
        <f>'Part IV-A-Uses of Funds'!G124</f>
        <v>65000</v>
      </c>
      <c r="H560" s="3122">
        <f>'Part IV-A-Uses of Funds'!H124</f>
        <v>0</v>
      </c>
      <c r="I560" s="3107"/>
      <c r="J560" s="3122">
        <f>'Part IV-A-Uses of Funds'!J124</f>
        <v>65000</v>
      </c>
      <c r="K560" s="3122">
        <f>'Part IV-A-Uses of Funds'!K124</f>
        <v>0</v>
      </c>
      <c r="L560" s="3137"/>
      <c r="M560" s="3122">
        <f>'Part IV-A-Uses of Funds'!M124</f>
        <v>0</v>
      </c>
      <c r="N560" s="3122">
        <f>'Part IV-A-Uses of Funds'!N124</f>
        <v>0</v>
      </c>
      <c r="O560" s="3107"/>
      <c r="P560" s="3122">
        <f>'Part IV-A-Uses of Funds'!P124</f>
        <v>0</v>
      </c>
      <c r="Q560" s="3122">
        <f>'Part IV-A-Uses of Funds'!Q124</f>
        <v>0</v>
      </c>
      <c r="R560" s="3107"/>
      <c r="S560" s="3122">
        <f>'Part IV-A-Uses of Funds'!S124</f>
        <v>0</v>
      </c>
      <c r="T560" s="3122">
        <f>'Part IV-A-Uses of Funds'!T124</f>
        <v>0</v>
      </c>
      <c r="U560" s="3107"/>
      <c r="V560" s="3221"/>
      <c r="W560" s="1086"/>
      <c r="X560" s="1086"/>
    </row>
    <row r="561" spans="1:24" ht="16.5" customHeight="1">
      <c r="A561" s="3222" t="str">
        <f>IF(AND(G561&gt;0,OR(C561="",C561="&lt;Enter detailed description here; use Comments section if needed&gt;")),"X","")</f>
        <v/>
      </c>
      <c r="B561" s="3107" t="s">
        <v>592</v>
      </c>
      <c r="C561" s="3125" t="str">
        <f>'Part IV-A-Uses of Funds'!C125</f>
        <v>&lt;&lt; Enter description here; provide detail &amp; justification in tab Part IV-b &gt;&gt;</v>
      </c>
      <c r="D561" s="3125">
        <f>'Part IV-A-Uses of Funds'!D125</f>
        <v>0</v>
      </c>
      <c r="E561" s="3125">
        <f>'Part IV-A-Uses of Funds'!E125</f>
        <v>0</v>
      </c>
      <c r="F561" s="3125">
        <f>'Part IV-A-Uses of Funds'!F125</f>
        <v>0</v>
      </c>
      <c r="G561" s="3122">
        <f>'Part IV-A-Uses of Funds'!G125</f>
        <v>0</v>
      </c>
      <c r="H561" s="3122">
        <f>'Part IV-A-Uses of Funds'!H125</f>
        <v>0</v>
      </c>
      <c r="I561" s="3107"/>
      <c r="J561" s="3122">
        <f>'Part IV-A-Uses of Funds'!J125</f>
        <v>0</v>
      </c>
      <c r="K561" s="3122">
        <f>'Part IV-A-Uses of Funds'!K125</f>
        <v>0</v>
      </c>
      <c r="L561" s="3137"/>
      <c r="M561" s="3122">
        <f>'Part IV-A-Uses of Funds'!M125</f>
        <v>0</v>
      </c>
      <c r="N561" s="3122">
        <f>'Part IV-A-Uses of Funds'!N125</f>
        <v>0</v>
      </c>
      <c r="O561" s="3107"/>
      <c r="P561" s="3122">
        <f>'Part IV-A-Uses of Funds'!P125</f>
        <v>0</v>
      </c>
      <c r="Q561" s="3122">
        <f>'Part IV-A-Uses of Funds'!Q125</f>
        <v>0</v>
      </c>
      <c r="R561" s="3107"/>
      <c r="S561" s="3122">
        <f>'Part IV-A-Uses of Funds'!S125</f>
        <v>0</v>
      </c>
      <c r="T561" s="3122">
        <f>'Part IV-A-Uses of Funds'!T125</f>
        <v>0</v>
      </c>
      <c r="U561" s="3108" t="str">
        <f>IF(AND(G561&gt;0,OR(C561="",C561="&lt;Enter detailed description here; use Comments section if needed&gt;")),"NO DESCRIPTION PROVIDED - please enter detailed description in Other box at left; use Comments section below if needed.","")</f>
        <v/>
      </c>
      <c r="V561" s="3221"/>
      <c r="W561" s="1086"/>
      <c r="X561" s="1086"/>
    </row>
    <row r="562" spans="1:24">
      <c r="A562" s="3107"/>
      <c r="B562" s="3261"/>
      <c r="C562" s="3107"/>
      <c r="D562" s="3107"/>
      <c r="E562" s="3107"/>
      <c r="F562" s="3224" t="s">
        <v>665</v>
      </c>
      <c r="G562" s="3122">
        <f>SUM(G556:H561)</f>
        <v>454617</v>
      </c>
      <c r="H562" s="3122"/>
      <c r="I562" s="3107"/>
      <c r="J562" s="3122">
        <f>SUM(J560:K561)</f>
        <v>65000</v>
      </c>
      <c r="K562" s="3122"/>
      <c r="L562" s="3137"/>
      <c r="M562" s="3122">
        <f>SUM(M560:N561)</f>
        <v>0</v>
      </c>
      <c r="N562" s="3122"/>
      <c r="O562" s="3107"/>
      <c r="P562" s="3122">
        <f>SUM(P560:Q561)</f>
        <v>0</v>
      </c>
      <c r="Q562" s="3122"/>
      <c r="R562" s="3107"/>
      <c r="S562" s="3122">
        <f>SUM(S556:T561)</f>
        <v>389617</v>
      </c>
      <c r="T562" s="3122"/>
      <c r="U562" s="3107"/>
      <c r="V562" s="3221">
        <f>SUM(V556:V561)</f>
        <v>0</v>
      </c>
      <c r="W562" s="1086"/>
      <c r="X562" s="1086"/>
    </row>
    <row r="563" spans="1:24">
      <c r="A563" s="3107"/>
      <c r="B563" s="3104" t="s">
        <v>759</v>
      </c>
      <c r="C563" s="3115"/>
      <c r="D563" s="3107"/>
      <c r="E563" s="3107"/>
      <c r="F563" s="3107"/>
      <c r="G563" s="3107"/>
      <c r="H563" s="3262"/>
      <c r="I563" s="3262"/>
      <c r="J563" s="3122"/>
      <c r="K563" s="3122"/>
      <c r="L563" s="3107"/>
      <c r="M563" s="3122"/>
      <c r="N563" s="3122"/>
      <c r="O563" s="3225" t="str">
        <f>B563</f>
        <v>OTHER COSTS</v>
      </c>
      <c r="P563" s="3122"/>
      <c r="Q563" s="3122"/>
      <c r="R563" s="3107"/>
      <c r="S563" s="3122"/>
      <c r="T563" s="3122"/>
      <c r="U563" s="3107"/>
      <c r="V563" s="3221"/>
      <c r="W563" s="3107" t="str">
        <f>B563</f>
        <v>OTHER COSTS</v>
      </c>
      <c r="X563" s="3107"/>
    </row>
    <row r="564" spans="1:24">
      <c r="A564" s="3107"/>
      <c r="B564" s="3107" t="s">
        <v>760</v>
      </c>
      <c r="C564" s="3115"/>
      <c r="D564" s="3107"/>
      <c r="E564" s="3107"/>
      <c r="F564" s="3107"/>
      <c r="G564" s="3122">
        <f>'Part IV-A-Uses of Funds'!G128</f>
        <v>0</v>
      </c>
      <c r="H564" s="3122">
        <f>'Part IV-A-Uses of Funds'!H128</f>
        <v>0</v>
      </c>
      <c r="I564" s="3107"/>
      <c r="J564" s="3122">
        <f>'Part IV-A-Uses of Funds'!J128</f>
        <v>0</v>
      </c>
      <c r="K564" s="3122">
        <f>'Part IV-A-Uses of Funds'!K128</f>
        <v>0</v>
      </c>
      <c r="L564" s="3225"/>
      <c r="M564" s="3122">
        <f>'Part IV-A-Uses of Funds'!M128</f>
        <v>0</v>
      </c>
      <c r="N564" s="3122">
        <f>'Part IV-A-Uses of Funds'!N128</f>
        <v>0</v>
      </c>
      <c r="O564" s="3107"/>
      <c r="P564" s="3122">
        <f>'Part IV-A-Uses of Funds'!P128</f>
        <v>0</v>
      </c>
      <c r="Q564" s="3122">
        <f>'Part IV-A-Uses of Funds'!Q128</f>
        <v>0</v>
      </c>
      <c r="R564" s="3107"/>
      <c r="S564" s="3122">
        <f>'Part IV-A-Uses of Funds'!S128</f>
        <v>0</v>
      </c>
      <c r="T564" s="3122">
        <f>'Part IV-A-Uses of Funds'!T128</f>
        <v>0</v>
      </c>
      <c r="U564" s="3107"/>
      <c r="V564" s="3221"/>
      <c r="W564" s="1086"/>
      <c r="X564" s="1086"/>
    </row>
    <row r="565" spans="1:24" ht="16.5" customHeight="1">
      <c r="A565" s="3222" t="str">
        <f>IF(AND(G565&gt;0,OR(C565="",C565="&lt;Enter detailed description here; use Comments section if needed&gt;")),"X","")</f>
        <v/>
      </c>
      <c r="B565" s="3107" t="s">
        <v>592</v>
      </c>
      <c r="C565" s="3125" t="str">
        <f>'Part IV-A-Uses of Funds'!C129</f>
        <v>&lt;&lt; Enter description here; provide detail &amp; justification in tab Part IV-b &gt;&gt;</v>
      </c>
      <c r="D565" s="3125">
        <f>'Part IV-A-Uses of Funds'!D129</f>
        <v>0</v>
      </c>
      <c r="E565" s="3125">
        <f>'Part IV-A-Uses of Funds'!E129</f>
        <v>0</v>
      </c>
      <c r="F565" s="3125">
        <f>'Part IV-A-Uses of Funds'!F129</f>
        <v>0</v>
      </c>
      <c r="G565" s="3122">
        <f>'Part IV-A-Uses of Funds'!G129</f>
        <v>0</v>
      </c>
      <c r="H565" s="3122">
        <f>'Part IV-A-Uses of Funds'!H129</f>
        <v>0</v>
      </c>
      <c r="I565" s="3107"/>
      <c r="J565" s="3122">
        <f>'Part IV-A-Uses of Funds'!J129</f>
        <v>0</v>
      </c>
      <c r="K565" s="3122">
        <f>'Part IV-A-Uses of Funds'!K129</f>
        <v>0</v>
      </c>
      <c r="L565" s="3137"/>
      <c r="M565" s="3122">
        <f>'Part IV-A-Uses of Funds'!M129</f>
        <v>0</v>
      </c>
      <c r="N565" s="3122">
        <f>'Part IV-A-Uses of Funds'!N129</f>
        <v>0</v>
      </c>
      <c r="O565" s="3107"/>
      <c r="P565" s="3122">
        <f>'Part IV-A-Uses of Funds'!P129</f>
        <v>0</v>
      </c>
      <c r="Q565" s="3122">
        <f>'Part IV-A-Uses of Funds'!Q129</f>
        <v>0</v>
      </c>
      <c r="R565" s="3107"/>
      <c r="S565" s="3122">
        <f>'Part IV-A-Uses of Funds'!S129</f>
        <v>0</v>
      </c>
      <c r="T565" s="3122">
        <f>'Part IV-A-Uses of Funds'!T129</f>
        <v>0</v>
      </c>
      <c r="U565" s="3108" t="str">
        <f>IF(AND(G565&gt;0,OR(C565="",C565="&lt;Enter detailed description here; use Comments section if needed&gt;")),"NO DESCRIPTION PROVIDED - please enter detailed description in Other box at left; use Comments section below if needed.","")</f>
        <v/>
      </c>
      <c r="V565" s="3221"/>
      <c r="W565" s="1086"/>
      <c r="X565" s="1086"/>
    </row>
    <row r="566" spans="1:24">
      <c r="A566" s="3107"/>
      <c r="B566" s="3107"/>
      <c r="C566" s="3115"/>
      <c r="D566" s="3107"/>
      <c r="E566" s="3107"/>
      <c r="F566" s="3224" t="s">
        <v>665</v>
      </c>
      <c r="G566" s="3122">
        <f>SUM(G564:H565)</f>
        <v>0</v>
      </c>
      <c r="H566" s="3122"/>
      <c r="I566" s="3107"/>
      <c r="J566" s="3122">
        <f>SUM(J564:K565)</f>
        <v>0</v>
      </c>
      <c r="K566" s="3122"/>
      <c r="L566" s="3137"/>
      <c r="M566" s="3122">
        <f>SUM(M564:N565)</f>
        <v>0</v>
      </c>
      <c r="N566" s="3122"/>
      <c r="O566" s="3107"/>
      <c r="P566" s="3122">
        <f>SUM(P564:Q565)</f>
        <v>0</v>
      </c>
      <c r="Q566" s="3122"/>
      <c r="R566" s="3107"/>
      <c r="S566" s="3122">
        <f>SUM(S564:T565)</f>
        <v>0</v>
      </c>
      <c r="T566" s="3122"/>
      <c r="U566" s="3107"/>
      <c r="V566" s="3221">
        <f>SUM(V564:V565)</f>
        <v>0</v>
      </c>
      <c r="W566" s="1086"/>
      <c r="X566" s="1086"/>
    </row>
    <row r="567" spans="1:24">
      <c r="A567" s="3107"/>
      <c r="B567" s="3107"/>
      <c r="C567" s="3115"/>
      <c r="D567" s="3107"/>
      <c r="E567" s="3107"/>
      <c r="F567" s="3107"/>
      <c r="G567" s="3107"/>
      <c r="H567" s="3262"/>
      <c r="I567" s="3262"/>
      <c r="J567" s="3107"/>
      <c r="K567" s="3107"/>
      <c r="L567" s="3107"/>
      <c r="M567" s="3107"/>
      <c r="N567" s="3107"/>
      <c r="O567" s="3107"/>
      <c r="P567" s="3107"/>
      <c r="Q567" s="3107"/>
      <c r="R567" s="3107"/>
      <c r="S567" s="3107"/>
      <c r="T567" s="3107"/>
      <c r="U567" s="3107"/>
      <c r="V567" s="3221"/>
      <c r="W567" s="3257"/>
      <c r="X567" s="3257"/>
    </row>
    <row r="568" spans="1:24">
      <c r="A568" s="3107"/>
      <c r="B568" s="3108" t="s">
        <v>4766</v>
      </c>
      <c r="C568" s="3107"/>
      <c r="D568" s="3107"/>
      <c r="E568" s="3107"/>
      <c r="F568" s="3107"/>
      <c r="G568" s="3263">
        <f>G453+G459+G463+G469+G474+G477+G483+G500+G513+G519+G527+G541+G547+G554+G562+G566</f>
        <v>13885091</v>
      </c>
      <c r="H568" s="3263"/>
      <c r="I568" s="3107"/>
      <c r="J568" s="3263">
        <f>J453+J459+J463+J469+J474+J477+J483+J500+J513+J519+J527+J541+J547+J554+J562+J566</f>
        <v>12122824</v>
      </c>
      <c r="K568" s="3263"/>
      <c r="L568" s="3107"/>
      <c r="M568" s="3263">
        <f>M453+M459+M463+M469+M474+M477+M483+M500+M513+M519+M527+M541+M547+M554+M562+M566</f>
        <v>0</v>
      </c>
      <c r="N568" s="3263"/>
      <c r="O568" s="3107"/>
      <c r="P568" s="3263">
        <f>P453+P459+P463+P469+P474+P477+P483+P500+P513+P519+P527+P541+P547+P554+P562+P566</f>
        <v>0</v>
      </c>
      <c r="Q568" s="3263"/>
      <c r="R568" s="3107"/>
      <c r="S568" s="3263">
        <f>S453+S459+S463+S469+S474+S477+S483+S500+S513+S519+S527+S541+S547+S554+S562+S566</f>
        <v>1762267</v>
      </c>
      <c r="T568" s="3263"/>
      <c r="U568" s="3107"/>
      <c r="V568" s="3221">
        <f>V453+V459+V463+V469+V474+V477+V483+V500+V513+V519+V527+V541+V547+V554+V562+V566</f>
        <v>0</v>
      </c>
      <c r="W568" s="1086"/>
      <c r="X568" s="1086"/>
    </row>
    <row r="569" spans="1:24">
      <c r="A569" s="3107"/>
      <c r="B569" s="3107"/>
      <c r="C569" s="3115"/>
      <c r="D569" s="3107"/>
      <c r="E569" s="3107"/>
      <c r="F569" s="3107"/>
      <c r="G569" s="3107"/>
      <c r="H569" s="3262"/>
      <c r="I569" s="3262"/>
      <c r="J569" s="3107"/>
      <c r="K569" s="3107"/>
      <c r="L569" s="3107"/>
      <c r="M569" s="3107"/>
      <c r="N569" s="3107"/>
      <c r="O569" s="3107"/>
      <c r="P569" s="3107"/>
      <c r="Q569" s="3107"/>
      <c r="R569" s="3107"/>
      <c r="S569" s="3107"/>
      <c r="T569" s="3107"/>
      <c r="U569" s="3107"/>
      <c r="V569" s="3221"/>
      <c r="W569" s="3107"/>
      <c r="X569" s="3107"/>
    </row>
    <row r="570" spans="1:24">
      <c r="A570" s="3107"/>
      <c r="B570" s="3264" t="s">
        <v>4767</v>
      </c>
      <c r="C570" s="3236"/>
      <c r="D570" s="3265">
        <f>IF('Part VI-Revenues &amp; Expenses'!$O$62=0,0,G568/'Part VI-Revenues &amp; Expenses'!$O$62)</f>
        <v>187636.36486486485</v>
      </c>
      <c r="E570" s="3265"/>
      <c r="F570" s="3252" t="s">
        <v>763</v>
      </c>
      <c r="G570" s="3265">
        <f>IF('Part I-Project Information'!$P$71=0,0,G568/'Part I-Project Information'!$P$71)</f>
        <v>168.8526486039498</v>
      </c>
      <c r="H570" s="3265"/>
      <c r="I570" s="3266"/>
      <c r="J570" s="3107"/>
      <c r="K570" s="3107"/>
      <c r="L570" s="3107"/>
      <c r="M570" s="3107"/>
      <c r="N570" s="3107"/>
      <c r="O570" s="3107"/>
      <c r="P570" s="3107"/>
      <c r="Q570" s="3107"/>
      <c r="R570" s="3107"/>
      <c r="S570" s="3107"/>
      <c r="T570" s="3107"/>
      <c r="U570" s="3107"/>
      <c r="V570" s="3221"/>
      <c r="W570" s="3107"/>
      <c r="X570" s="3107"/>
    </row>
    <row r="571" spans="1:24">
      <c r="A571" s="3107"/>
      <c r="B571" s="3107"/>
      <c r="C571" s="3107"/>
      <c r="D571" s="3107"/>
      <c r="E571" s="3107"/>
      <c r="F571" s="3107"/>
      <c r="G571" s="3107"/>
      <c r="H571" s="3107"/>
      <c r="I571" s="3266"/>
      <c r="J571" s="3107"/>
      <c r="K571" s="3107"/>
      <c r="L571" s="3266"/>
      <c r="M571" s="3107"/>
      <c r="N571" s="3107"/>
      <c r="O571" s="3107"/>
      <c r="P571" s="3107"/>
      <c r="Q571" s="3107"/>
      <c r="R571" s="3107"/>
      <c r="S571" s="3107"/>
      <c r="T571" s="3107"/>
      <c r="U571" s="3107"/>
      <c r="V571" s="3221"/>
      <c r="W571" s="3107"/>
      <c r="X571" s="3107"/>
    </row>
    <row r="572" spans="1:24">
      <c r="A572" s="3107"/>
      <c r="B572" s="3107"/>
      <c r="C572" s="3107"/>
      <c r="D572" s="3115"/>
      <c r="E572" s="3115"/>
      <c r="F572" s="3107"/>
      <c r="G572" s="3107"/>
      <c r="H572" s="3107"/>
      <c r="I572" s="3262"/>
      <c r="J572" s="3262"/>
      <c r="K572" s="3267"/>
      <c r="L572" s="3115"/>
      <c r="M572" s="3107"/>
      <c r="N572" s="3107"/>
      <c r="O572" s="3107"/>
      <c r="P572" s="3107"/>
      <c r="Q572" s="3107"/>
      <c r="R572" s="3107"/>
      <c r="S572" s="3107"/>
      <c r="T572" s="3107"/>
      <c r="U572" s="3107"/>
      <c r="V572" s="3221"/>
      <c r="W572" s="3107"/>
      <c r="X572" s="3107"/>
    </row>
    <row r="573" spans="1:24" ht="16.5" customHeight="1">
      <c r="A573" s="3218" t="s">
        <v>13</v>
      </c>
      <c r="B573" s="3268" t="s">
        <v>764</v>
      </c>
      <c r="C573" s="3105"/>
      <c r="D573" s="3137"/>
      <c r="E573" s="3137"/>
      <c r="F573" s="3137"/>
      <c r="G573" s="3107"/>
      <c r="H573" s="3107"/>
      <c r="I573" s="3269"/>
      <c r="J573" s="3106" t="s">
        <v>651</v>
      </c>
      <c r="K573" s="3106"/>
      <c r="L573" s="3107"/>
      <c r="M573" s="3106" t="s">
        <v>765</v>
      </c>
      <c r="N573" s="3106"/>
      <c r="O573" s="3107"/>
      <c r="P573" s="3106" t="s">
        <v>653</v>
      </c>
      <c r="Q573" s="3106"/>
      <c r="R573" s="3107"/>
      <c r="S573" s="3107"/>
      <c r="T573" s="3107"/>
      <c r="U573" s="3107"/>
      <c r="V573" s="3221"/>
      <c r="W573" s="3220" t="str">
        <f>B573</f>
        <v>TAX CREDIT CALCULATION - BASIS METHOD</v>
      </c>
      <c r="X573" s="3107"/>
    </row>
    <row r="574" spans="1:24">
      <c r="A574" s="3107"/>
      <c r="B574" s="3108" t="s">
        <v>766</v>
      </c>
      <c r="C574" s="3107"/>
      <c r="D574" s="3137"/>
      <c r="E574" s="3137"/>
      <c r="F574" s="3107"/>
      <c r="G574" s="3107"/>
      <c r="H574" s="3107"/>
      <c r="I574" s="3269"/>
      <c r="J574" s="3106"/>
      <c r="K574" s="3106"/>
      <c r="L574" s="3105"/>
      <c r="M574" s="3106"/>
      <c r="N574" s="3106"/>
      <c r="O574" s="3107"/>
      <c r="P574" s="3106"/>
      <c r="Q574" s="3106"/>
      <c r="R574" s="3107"/>
      <c r="S574" s="3107"/>
      <c r="T574" s="3107"/>
      <c r="U574" s="3107"/>
      <c r="V574" s="3221"/>
      <c r="W574" s="3107" t="str">
        <f>B574</f>
        <v>Subtractions From Eligible Basis</v>
      </c>
      <c r="X574" s="3157"/>
    </row>
    <row r="575" spans="1:24">
      <c r="A575" s="3107"/>
      <c r="B575" s="3107"/>
      <c r="C575" s="3107"/>
      <c r="D575" s="3115"/>
      <c r="E575" s="3115"/>
      <c r="F575" s="3107"/>
      <c r="G575" s="3107"/>
      <c r="H575" s="3107"/>
      <c r="I575" s="3262"/>
      <c r="J575" s="3262"/>
      <c r="K575" s="3267"/>
      <c r="L575" s="3115"/>
      <c r="M575" s="3107"/>
      <c r="N575" s="3107"/>
      <c r="O575" s="3107"/>
      <c r="P575" s="3107"/>
      <c r="Q575" s="3107"/>
      <c r="R575" s="3107"/>
      <c r="S575" s="3107"/>
      <c r="T575" s="3107"/>
      <c r="U575" s="3107"/>
      <c r="V575" s="3221"/>
      <c r="W575" s="3107"/>
      <c r="X575" s="3107"/>
    </row>
    <row r="576" spans="1:24">
      <c r="A576" s="3107"/>
      <c r="B576" s="3115" t="s">
        <v>767</v>
      </c>
      <c r="C576" s="3107"/>
      <c r="D576" s="3107"/>
      <c r="E576" s="3107"/>
      <c r="F576" s="3107"/>
      <c r="G576" s="3107"/>
      <c r="H576" s="3107"/>
      <c r="I576" s="3269"/>
      <c r="J576" s="3202">
        <f>'Part IV-A-Uses of Funds'!J140</f>
        <v>0</v>
      </c>
      <c r="K576" s="3202">
        <f>'Part IV-A-Uses of Funds'!K140</f>
        <v>0</v>
      </c>
      <c r="L576" s="3107"/>
      <c r="M576" s="3107"/>
      <c r="N576" s="3107"/>
      <c r="O576" s="3107"/>
      <c r="P576" s="3202">
        <f>'Part IV-A-Uses of Funds'!P140</f>
        <v>0</v>
      </c>
      <c r="Q576" s="3202">
        <f>'Part IV-A-Uses of Funds'!Q140</f>
        <v>0</v>
      </c>
      <c r="R576" s="3107"/>
      <c r="S576" s="3107"/>
      <c r="T576" s="3107"/>
      <c r="U576" s="3107"/>
      <c r="V576" s="3221"/>
      <c r="W576" s="1086"/>
      <c r="X576" s="1086"/>
    </row>
    <row r="577" spans="1:24">
      <c r="A577" s="3107"/>
      <c r="B577" s="3107" t="s">
        <v>768</v>
      </c>
      <c r="C577" s="3107"/>
      <c r="D577" s="3107"/>
      <c r="E577" s="3107"/>
      <c r="F577" s="3107"/>
      <c r="G577" s="3107"/>
      <c r="H577" s="3107"/>
      <c r="I577" s="3269"/>
      <c r="J577" s="3202">
        <f>'Part IV-A-Uses of Funds'!J141</f>
        <v>0</v>
      </c>
      <c r="K577" s="3202">
        <f>'Part IV-A-Uses of Funds'!K141</f>
        <v>0</v>
      </c>
      <c r="L577" s="3107"/>
      <c r="M577" s="3107"/>
      <c r="N577" s="3107"/>
      <c r="O577" s="3107"/>
      <c r="P577" s="3202">
        <f>'Part IV-A-Uses of Funds'!P141</f>
        <v>0</v>
      </c>
      <c r="Q577" s="3202">
        <f>'Part IV-A-Uses of Funds'!Q141</f>
        <v>0</v>
      </c>
      <c r="R577" s="3107"/>
      <c r="S577" s="3107"/>
      <c r="T577" s="3107"/>
      <c r="U577" s="3107"/>
      <c r="V577" s="3221"/>
      <c r="W577" s="1086"/>
      <c r="X577" s="1086"/>
    </row>
    <row r="578" spans="1:24">
      <c r="A578" s="3107"/>
      <c r="B578" s="3107" t="s">
        <v>769</v>
      </c>
      <c r="C578" s="3107"/>
      <c r="D578" s="3107"/>
      <c r="E578" s="3107"/>
      <c r="F578" s="3107"/>
      <c r="G578" s="3107"/>
      <c r="H578" s="3107"/>
      <c r="I578" s="3269"/>
      <c r="J578" s="3202">
        <f>'Part IV-A-Uses of Funds'!J142</f>
        <v>0</v>
      </c>
      <c r="K578" s="3202">
        <f>'Part IV-A-Uses of Funds'!K142</f>
        <v>0</v>
      </c>
      <c r="L578" s="3107"/>
      <c r="M578" s="3107"/>
      <c r="N578" s="3107"/>
      <c r="O578" s="3107"/>
      <c r="P578" s="3202">
        <f>'Part IV-A-Uses of Funds'!P142</f>
        <v>0</v>
      </c>
      <c r="Q578" s="3202">
        <f>'Part IV-A-Uses of Funds'!Q142</f>
        <v>0</v>
      </c>
      <c r="R578" s="3107"/>
      <c r="S578" s="3107"/>
      <c r="T578" s="3107"/>
      <c r="U578" s="3107"/>
      <c r="V578" s="3221"/>
      <c r="W578" s="1086"/>
      <c r="X578" s="1086"/>
    </row>
    <row r="579" spans="1:24">
      <c r="A579" s="3107"/>
      <c r="B579" s="3107" t="s">
        <v>770</v>
      </c>
      <c r="C579" s="3107"/>
      <c r="D579" s="3107"/>
      <c r="E579" s="3107"/>
      <c r="F579" s="3107"/>
      <c r="G579" s="3107"/>
      <c r="H579" s="3107"/>
      <c r="I579" s="3269"/>
      <c r="J579" s="3202">
        <f>'Part IV-A-Uses of Funds'!J143</f>
        <v>0</v>
      </c>
      <c r="K579" s="3202">
        <f>'Part IV-A-Uses of Funds'!K143</f>
        <v>0</v>
      </c>
      <c r="L579" s="3107"/>
      <c r="M579" s="3107"/>
      <c r="N579" s="3107"/>
      <c r="O579" s="3107"/>
      <c r="P579" s="3202">
        <f>'Part IV-A-Uses of Funds'!P143</f>
        <v>0</v>
      </c>
      <c r="Q579" s="3202">
        <f>'Part IV-A-Uses of Funds'!Q143</f>
        <v>0</v>
      </c>
      <c r="R579" s="3107"/>
      <c r="S579" s="3107"/>
      <c r="T579" s="3107"/>
      <c r="U579" s="3107"/>
      <c r="V579" s="3221"/>
      <c r="W579" s="1086"/>
      <c r="X579" s="1086"/>
    </row>
    <row r="580" spans="1:24">
      <c r="A580" s="3107"/>
      <c r="B580" s="3107" t="s">
        <v>771</v>
      </c>
      <c r="C580" s="3107"/>
      <c r="D580" s="3107"/>
      <c r="E580" s="3107"/>
      <c r="F580" s="3107"/>
      <c r="G580" s="3107"/>
      <c r="H580" s="3107"/>
      <c r="I580" s="3269"/>
      <c r="J580" s="3202">
        <f>'Part IV-A-Uses of Funds'!J144</f>
        <v>0</v>
      </c>
      <c r="K580" s="3202">
        <f>'Part IV-A-Uses of Funds'!K144</f>
        <v>0</v>
      </c>
      <c r="L580" s="3107"/>
      <c r="M580" s="3107"/>
      <c r="N580" s="3107"/>
      <c r="O580" s="3107"/>
      <c r="P580" s="3202">
        <f>'Part IV-A-Uses of Funds'!P144</f>
        <v>0</v>
      </c>
      <c r="Q580" s="3202">
        <f>'Part IV-A-Uses of Funds'!Q144</f>
        <v>0</v>
      </c>
      <c r="R580" s="3107"/>
      <c r="S580" s="3107"/>
      <c r="T580" s="3107"/>
      <c r="U580" s="3107"/>
      <c r="V580" s="3221"/>
      <c r="W580" s="1086"/>
      <c r="X580" s="1086"/>
    </row>
    <row r="581" spans="1:24" ht="13.5" customHeight="1">
      <c r="A581" s="3107"/>
      <c r="B581" s="3107" t="s">
        <v>772</v>
      </c>
      <c r="C581" s="3186" t="str">
        <f>'Part IV-A-Uses of Funds'!C145</f>
        <v>&lt;Enter detailed description here; use Comments section if needed&gt;</v>
      </c>
      <c r="D581" s="3186">
        <f>'Part IV-A-Uses of Funds'!D145</f>
        <v>0</v>
      </c>
      <c r="E581" s="3186">
        <f>'Part IV-A-Uses of Funds'!E145</f>
        <v>0</v>
      </c>
      <c r="F581" s="3186">
        <f>'Part IV-A-Uses of Funds'!F145</f>
        <v>0</v>
      </c>
      <c r="G581" s="3186">
        <f>'Part IV-A-Uses of Funds'!G145</f>
        <v>0</v>
      </c>
      <c r="H581" s="3186">
        <f>'Part IV-A-Uses of Funds'!H145</f>
        <v>0</v>
      </c>
      <c r="I581" s="3186">
        <f>'Part IV-A-Uses of Funds'!I145</f>
        <v>0</v>
      </c>
      <c r="J581" s="3202">
        <f>'Part IV-A-Uses of Funds'!J145</f>
        <v>0</v>
      </c>
      <c r="K581" s="3202">
        <f>'Part IV-A-Uses of Funds'!K145</f>
        <v>0</v>
      </c>
      <c r="L581" s="3107"/>
      <c r="M581" s="3107"/>
      <c r="N581" s="3107"/>
      <c r="O581" s="3107"/>
      <c r="P581" s="3202">
        <f>'Part IV-A-Uses of Funds'!P145</f>
        <v>0</v>
      </c>
      <c r="Q581" s="3202">
        <f>'Part IV-A-Uses of Funds'!Q145</f>
        <v>0</v>
      </c>
      <c r="R581" s="3107"/>
      <c r="S581" s="3107"/>
      <c r="T581" s="3107"/>
      <c r="U581" s="3107"/>
      <c r="V581" s="3221"/>
      <c r="W581" s="1086"/>
      <c r="X581" s="1086"/>
    </row>
    <row r="582" spans="1:24">
      <c r="A582" s="3107"/>
      <c r="B582" s="3104" t="s">
        <v>774</v>
      </c>
      <c r="C582" s="3136"/>
      <c r="D582" s="3107"/>
      <c r="E582" s="3107"/>
      <c r="F582" s="3107"/>
      <c r="G582" s="3107"/>
      <c r="H582" s="3107"/>
      <c r="I582" s="3107"/>
      <c r="J582" s="3202">
        <f>SUM(J576:K581)</f>
        <v>0</v>
      </c>
      <c r="K582" s="3202"/>
      <c r="L582" s="3107"/>
      <c r="M582" s="3107"/>
      <c r="N582" s="3107"/>
      <c r="O582" s="3107"/>
      <c r="P582" s="3202">
        <f>SUM(P576:Q581)</f>
        <v>0</v>
      </c>
      <c r="Q582" s="3202"/>
      <c r="R582" s="3107"/>
      <c r="S582" s="3107"/>
      <c r="T582" s="3107"/>
      <c r="U582" s="3107"/>
      <c r="V582" s="3221">
        <f>SUM(V576:V581)</f>
        <v>0</v>
      </c>
      <c r="W582" s="1086"/>
      <c r="X582" s="1086"/>
    </row>
    <row r="583" spans="1:24">
      <c r="A583" s="3107"/>
      <c r="B583" s="3107"/>
      <c r="C583" s="3107"/>
      <c r="D583" s="3107"/>
      <c r="E583" s="3107"/>
      <c r="F583" s="3107"/>
      <c r="G583" s="3107"/>
      <c r="H583" s="3107"/>
      <c r="I583" s="3107"/>
      <c r="J583" s="3107"/>
      <c r="K583" s="3107"/>
      <c r="L583" s="3107"/>
      <c r="M583" s="3107"/>
      <c r="N583" s="3107"/>
      <c r="O583" s="3107"/>
      <c r="P583" s="3107"/>
      <c r="Q583" s="3107"/>
      <c r="R583" s="3107"/>
      <c r="S583" s="3107"/>
      <c r="T583" s="3107"/>
      <c r="U583" s="3107"/>
      <c r="V583" s="3221"/>
      <c r="W583" s="3107"/>
      <c r="X583" s="3107"/>
    </row>
    <row r="584" spans="1:24">
      <c r="A584" s="3107"/>
      <c r="B584" s="3104" t="s">
        <v>775</v>
      </c>
      <c r="C584" s="3107"/>
      <c r="D584" s="3107"/>
      <c r="E584" s="3107"/>
      <c r="F584" s="3107"/>
      <c r="G584" s="3107"/>
      <c r="H584" s="3107"/>
      <c r="I584" s="3107"/>
      <c r="J584" s="3107"/>
      <c r="K584" s="3107"/>
      <c r="L584" s="3107"/>
      <c r="M584" s="3107"/>
      <c r="N584" s="3107"/>
      <c r="O584" s="3107"/>
      <c r="P584" s="3107"/>
      <c r="Q584" s="3107"/>
      <c r="R584" s="3107"/>
      <c r="S584" s="3107"/>
      <c r="T584" s="3107"/>
      <c r="U584" s="3107"/>
      <c r="V584" s="3221"/>
      <c r="W584" s="3107" t="str">
        <f>B584</f>
        <v>Eligible Basis Calculation</v>
      </c>
      <c r="X584" s="3107"/>
    </row>
    <row r="585" spans="1:24">
      <c r="A585" s="3107"/>
      <c r="B585" s="3107" t="s">
        <v>776</v>
      </c>
      <c r="C585" s="3107"/>
      <c r="D585" s="3107"/>
      <c r="E585" s="3107"/>
      <c r="F585" s="3107"/>
      <c r="G585" s="3107"/>
      <c r="H585" s="3107"/>
      <c r="I585" s="3107"/>
      <c r="J585" s="3143">
        <f>J568</f>
        <v>12122824</v>
      </c>
      <c r="K585" s="3143"/>
      <c r="L585" s="3107"/>
      <c r="M585" s="3143">
        <f>M568</f>
        <v>0</v>
      </c>
      <c r="N585" s="3143"/>
      <c r="O585" s="3107"/>
      <c r="P585" s="3143">
        <f>P568</f>
        <v>0</v>
      </c>
      <c r="Q585" s="3143"/>
      <c r="R585" s="3107"/>
      <c r="S585" s="3107"/>
      <c r="T585" s="3107"/>
      <c r="U585" s="3107"/>
      <c r="V585" s="3221"/>
      <c r="W585" s="1086"/>
      <c r="X585" s="1086"/>
    </row>
    <row r="586" spans="1:24">
      <c r="A586" s="3107"/>
      <c r="B586" s="3107" t="s">
        <v>777</v>
      </c>
      <c r="C586" s="3107"/>
      <c r="D586" s="3107"/>
      <c r="E586" s="3107"/>
      <c r="F586" s="3107"/>
      <c r="G586" s="3107"/>
      <c r="H586" s="3107"/>
      <c r="I586" s="3107"/>
      <c r="J586" s="3143">
        <f>J582</f>
        <v>0</v>
      </c>
      <c r="K586" s="3143"/>
      <c r="L586" s="3107"/>
      <c r="M586" s="3143"/>
      <c r="N586" s="3143"/>
      <c r="O586" s="3107"/>
      <c r="P586" s="3143">
        <f>P582</f>
        <v>0</v>
      </c>
      <c r="Q586" s="3143"/>
      <c r="R586" s="3107"/>
      <c r="S586" s="3107"/>
      <c r="T586" s="3107"/>
      <c r="U586" s="3107"/>
      <c r="V586" s="3221"/>
      <c r="W586" s="1086"/>
      <c r="X586" s="1086"/>
    </row>
    <row r="587" spans="1:24">
      <c r="A587" s="3107"/>
      <c r="B587" s="3107" t="s">
        <v>778</v>
      </c>
      <c r="C587" s="3107"/>
      <c r="D587" s="3107"/>
      <c r="E587" s="3107"/>
      <c r="F587" s="3107"/>
      <c r="G587" s="3107"/>
      <c r="H587" s="3107"/>
      <c r="I587" s="3107"/>
      <c r="J587" s="3143">
        <f>J585-J586</f>
        <v>12122824</v>
      </c>
      <c r="K587" s="3143"/>
      <c r="L587" s="3107"/>
      <c r="M587" s="3143">
        <f>M585</f>
        <v>0</v>
      </c>
      <c r="N587" s="3143"/>
      <c r="O587" s="3107"/>
      <c r="P587" s="3143">
        <f>P585-P586</f>
        <v>0</v>
      </c>
      <c r="Q587" s="3143"/>
      <c r="R587" s="3107"/>
      <c r="S587" s="3107"/>
      <c r="T587" s="3107"/>
      <c r="U587" s="3107"/>
      <c r="V587" s="3221"/>
      <c r="W587" s="1086"/>
      <c r="X587" s="1086"/>
    </row>
    <row r="588" spans="1:24">
      <c r="A588" s="3107"/>
      <c r="B588" s="3107" t="s">
        <v>779</v>
      </c>
      <c r="C588" s="3107"/>
      <c r="D588" s="3107"/>
      <c r="E588" s="3107"/>
      <c r="F588" s="3107"/>
      <c r="G588" s="3112" t="s">
        <v>780</v>
      </c>
      <c r="H588" s="3107" t="str">
        <f>'Part IV-A-Uses of Funds'!H152</f>
        <v>&lt;&lt;Select&gt;&gt;</v>
      </c>
      <c r="I588" s="3107">
        <f>'Part IV-A-Uses of Funds'!I152</f>
        <v>0</v>
      </c>
      <c r="J588" s="3270">
        <f>'Part IV-A-Uses of Funds'!J152</f>
        <v>1</v>
      </c>
      <c r="K588" s="3270">
        <f>'Part IV-A-Uses of Funds'!K152</f>
        <v>0</v>
      </c>
      <c r="L588" s="3107"/>
      <c r="M588" s="3270"/>
      <c r="N588" s="3270"/>
      <c r="O588" s="3107"/>
      <c r="P588" s="3270">
        <f>'Part IV-A-Uses of Funds'!P152</f>
        <v>0</v>
      </c>
      <c r="Q588" s="3270">
        <f>'Part IV-A-Uses of Funds'!Q152</f>
        <v>0</v>
      </c>
      <c r="R588" s="3107"/>
      <c r="S588" s="3107"/>
      <c r="T588" s="3107"/>
      <c r="U588" s="3107"/>
      <c r="V588" s="3221"/>
      <c r="W588" s="1086"/>
      <c r="X588" s="1086"/>
    </row>
    <row r="589" spans="1:24">
      <c r="A589" s="3107"/>
      <c r="B589" s="3107" t="s">
        <v>782</v>
      </c>
      <c r="C589" s="3107"/>
      <c r="D589" s="3107"/>
      <c r="E589" s="3107"/>
      <c r="F589" s="3107"/>
      <c r="G589" s="3107"/>
      <c r="H589" s="3107"/>
      <c r="I589" s="3107"/>
      <c r="J589" s="3143">
        <f>J587*J588</f>
        <v>12122824</v>
      </c>
      <c r="K589" s="3143"/>
      <c r="L589" s="3107"/>
      <c r="M589" s="3143">
        <f>+M587</f>
        <v>0</v>
      </c>
      <c r="N589" s="3143"/>
      <c r="O589" s="3107"/>
      <c r="P589" s="3143">
        <f>P587*P588</f>
        <v>0</v>
      </c>
      <c r="Q589" s="3143"/>
      <c r="R589" s="3107"/>
      <c r="S589" s="3107"/>
      <c r="T589" s="3107"/>
      <c r="U589" s="3107"/>
      <c r="V589" s="3221"/>
      <c r="W589" s="1086"/>
      <c r="X589" s="1086"/>
    </row>
    <row r="590" spans="1:24">
      <c r="A590" s="3107"/>
      <c r="B590" s="3107" t="s">
        <v>783</v>
      </c>
      <c r="C590" s="3107"/>
      <c r="D590" s="3107"/>
      <c r="E590" s="3107"/>
      <c r="F590" s="3107"/>
      <c r="G590" s="3107"/>
      <c r="H590" s="3107"/>
      <c r="I590" s="3107"/>
      <c r="J590" s="3271">
        <f>MIN('Part VI-Revenues &amp; Expenses'!$O$58/'Part VI-Revenues &amp; Expenses'!$O$60,'Part VI-Revenues &amp; Expenses'!$O$115/'Part VI-Revenues &amp; Expenses'!$O$117)</f>
        <v>0.86754711152301511</v>
      </c>
      <c r="K590" s="3271"/>
      <c r="L590" s="3107"/>
      <c r="M590" s="3271">
        <f>MIN('Part VI-Revenues &amp; Expenses'!$O$58/'Part VI-Revenues &amp; Expenses'!$O$60,'Part VI-Revenues &amp; Expenses'!$O$115/'Part VI-Revenues &amp; Expenses'!$O$117)</f>
        <v>0.86754711152301511</v>
      </c>
      <c r="N590" s="3271"/>
      <c r="O590" s="3107"/>
      <c r="P590" s="3271">
        <f>MIN('Part VI-Revenues &amp; Expenses'!$O$58/'Part VI-Revenues &amp; Expenses'!$O$60,'Part VI-Revenues &amp; Expenses'!$O$115/'Part VI-Revenues &amp; Expenses'!$O$117)</f>
        <v>0.86754711152301511</v>
      </c>
      <c r="Q590" s="3271"/>
      <c r="R590" s="3107"/>
      <c r="S590" s="3107"/>
      <c r="T590" s="3107"/>
      <c r="U590" s="3107"/>
      <c r="V590" s="3221"/>
      <c r="W590" s="1086"/>
      <c r="X590" s="1086"/>
    </row>
    <row r="591" spans="1:24">
      <c r="A591" s="3107"/>
      <c r="B591" s="3107" t="s">
        <v>784</v>
      </c>
      <c r="C591" s="3107"/>
      <c r="D591" s="3107"/>
      <c r="E591" s="3107"/>
      <c r="F591" s="3107"/>
      <c r="G591" s="3107"/>
      <c r="H591" s="3107"/>
      <c r="I591" s="3107"/>
      <c r="J591" s="3143">
        <f>J589*J590</f>
        <v>10517120.944701884</v>
      </c>
      <c r="K591" s="3143"/>
      <c r="L591" s="3107"/>
      <c r="M591" s="3143">
        <f>M589*M590</f>
        <v>0</v>
      </c>
      <c r="N591" s="3143"/>
      <c r="O591" s="3107"/>
      <c r="P591" s="3143">
        <f>P589*P590</f>
        <v>0</v>
      </c>
      <c r="Q591" s="3143"/>
      <c r="R591" s="3107"/>
      <c r="S591" s="3107"/>
      <c r="T591" s="3107"/>
      <c r="U591" s="3107"/>
      <c r="V591" s="3221"/>
      <c r="W591" s="1086"/>
      <c r="X591" s="1086"/>
    </row>
    <row r="592" spans="1:24">
      <c r="A592" s="3107"/>
      <c r="B592" s="3107" t="s">
        <v>785</v>
      </c>
      <c r="C592" s="3107"/>
      <c r="D592" s="3107"/>
      <c r="E592" s="3107"/>
      <c r="F592" s="3107"/>
      <c r="G592" s="3107"/>
      <c r="H592" s="3107"/>
      <c r="I592" s="3107"/>
      <c r="J592" s="3270">
        <f>'Part IV-A-Uses of Funds'!J156</f>
        <v>0.09</v>
      </c>
      <c r="K592" s="3270">
        <f>'Part IV-A-Uses of Funds'!K156</f>
        <v>0</v>
      </c>
      <c r="L592" s="3107"/>
      <c r="M592" s="3270">
        <f>'Part IV-A-Uses of Funds'!M156</f>
        <v>0</v>
      </c>
      <c r="N592" s="3270">
        <f>'Part IV-A-Uses of Funds'!N156</f>
        <v>0</v>
      </c>
      <c r="O592" s="3107"/>
      <c r="P592" s="3270">
        <f>'Part IV-A-Uses of Funds'!P156</f>
        <v>0</v>
      </c>
      <c r="Q592" s="3270">
        <f>'Part IV-A-Uses of Funds'!Q156</f>
        <v>0</v>
      </c>
      <c r="R592" s="3107"/>
      <c r="S592" s="3107"/>
      <c r="T592" s="3107"/>
      <c r="U592" s="3107"/>
      <c r="V592" s="3221"/>
      <c r="W592" s="1086"/>
      <c r="X592" s="1086"/>
    </row>
    <row r="593" spans="1:24">
      <c r="A593" s="3107"/>
      <c r="B593" s="3107" t="s">
        <v>786</v>
      </c>
      <c r="C593" s="3107"/>
      <c r="D593" s="3107"/>
      <c r="E593" s="3107"/>
      <c r="F593" s="3107"/>
      <c r="G593" s="3107"/>
      <c r="H593" s="3107"/>
      <c r="I593" s="3107"/>
      <c r="J593" s="3143">
        <f>J591*J592</f>
        <v>946540.88502316957</v>
      </c>
      <c r="K593" s="3143"/>
      <c r="L593" s="3107"/>
      <c r="M593" s="3143">
        <f>M591*M592</f>
        <v>0</v>
      </c>
      <c r="N593" s="3143"/>
      <c r="O593" s="3107"/>
      <c r="P593" s="3143">
        <f>P591*P592</f>
        <v>0</v>
      </c>
      <c r="Q593" s="3143"/>
      <c r="R593" s="3107"/>
      <c r="S593" s="3107"/>
      <c r="T593" s="3107"/>
      <c r="U593" s="3107"/>
      <c r="V593" s="3221"/>
      <c r="W593" s="1086"/>
      <c r="X593" s="1086"/>
    </row>
    <row r="594" spans="1:24">
      <c r="A594" s="3107"/>
      <c r="B594" s="3104" t="s">
        <v>787</v>
      </c>
      <c r="C594" s="3107"/>
      <c r="D594" s="3107"/>
      <c r="E594" s="3107"/>
      <c r="F594" s="3107"/>
      <c r="G594" s="3107"/>
      <c r="H594" s="3107"/>
      <c r="I594" s="3107"/>
      <c r="J594" s="3202">
        <f>J593+M593+P593</f>
        <v>946540.88502316957</v>
      </c>
      <c r="K594" s="3202"/>
      <c r="L594" s="3202"/>
      <c r="M594" s="3202"/>
      <c r="N594" s="3202"/>
      <c r="O594" s="3202"/>
      <c r="P594" s="3202"/>
      <c r="Q594" s="3202"/>
      <c r="R594" s="3107"/>
      <c r="S594" s="3107"/>
      <c r="T594" s="3107"/>
      <c r="U594" s="3107"/>
      <c r="V594" s="3221"/>
      <c r="W594" s="3257"/>
      <c r="X594" s="3257"/>
    </row>
    <row r="595" spans="1:24">
      <c r="A595" s="3107"/>
      <c r="B595" s="3272"/>
      <c r="C595" s="3107"/>
      <c r="D595" s="3107"/>
      <c r="E595" s="3107"/>
      <c r="F595" s="3107"/>
      <c r="G595" s="3107"/>
      <c r="H595" s="3107"/>
      <c r="I595" s="3107"/>
      <c r="J595" s="3107"/>
      <c r="K595" s="3107"/>
      <c r="L595" s="3208"/>
      <c r="M595" s="3208"/>
      <c r="N595" s="3208"/>
      <c r="O595" s="3208"/>
      <c r="P595" s="3107"/>
      <c r="Q595" s="3107"/>
      <c r="R595" s="3107"/>
      <c r="S595" s="3107"/>
      <c r="T595" s="3107"/>
      <c r="U595" s="3107"/>
      <c r="V595" s="3221"/>
      <c r="W595" s="3107"/>
      <c r="X595" s="3107"/>
    </row>
    <row r="596" spans="1:24" ht="16.5">
      <c r="A596" s="3220" t="s">
        <v>31</v>
      </c>
      <c r="B596" s="3220" t="s">
        <v>788</v>
      </c>
      <c r="C596" s="3107"/>
      <c r="D596" s="3107"/>
      <c r="E596" s="3107"/>
      <c r="F596" s="3107"/>
      <c r="G596" s="3107"/>
      <c r="H596" s="3262"/>
      <c r="I596" s="3262"/>
      <c r="J596" s="3107"/>
      <c r="K596" s="3107"/>
      <c r="L596" s="3107"/>
      <c r="M596" s="3273"/>
      <c r="N596" s="3107"/>
      <c r="O596" s="3107"/>
      <c r="P596" s="3107"/>
      <c r="Q596" s="3107"/>
      <c r="R596" s="3107"/>
      <c r="S596" s="3107"/>
      <c r="T596" s="3107"/>
      <c r="U596" s="3107"/>
      <c r="V596" s="3221"/>
      <c r="W596" s="3107"/>
      <c r="X596" s="3107"/>
    </row>
    <row r="597" spans="1:24" ht="16.5">
      <c r="A597" s="3107"/>
      <c r="B597" s="3104" t="s">
        <v>789</v>
      </c>
      <c r="C597" s="3107"/>
      <c r="D597" s="3107"/>
      <c r="E597" s="3107"/>
      <c r="F597" s="3107"/>
      <c r="G597" s="3107"/>
      <c r="H597" s="3119"/>
      <c r="I597" s="3107"/>
      <c r="J597" s="3107"/>
      <c r="K597" s="3107"/>
      <c r="L597" s="3107"/>
      <c r="M597" s="3273"/>
      <c r="N597" s="3107"/>
      <c r="O597" s="3107"/>
      <c r="P597" s="3107"/>
      <c r="Q597" s="3107"/>
      <c r="R597" s="3107"/>
      <c r="S597" s="3107"/>
      <c r="T597" s="3107"/>
      <c r="U597" s="3107"/>
      <c r="V597" s="3221"/>
      <c r="W597" s="3220" t="str">
        <f>B596</f>
        <v>TAX CREDIT CALCULATION - GAP METHOD</v>
      </c>
      <c r="X597" s="3107"/>
    </row>
    <row r="598" spans="1:24" ht="13.5" customHeight="1">
      <c r="A598" s="3107"/>
      <c r="B598" s="3109" t="s">
        <v>4768</v>
      </c>
      <c r="C598" s="3107"/>
      <c r="D598" s="3107"/>
      <c r="E598" s="3107"/>
      <c r="F598" s="3107"/>
      <c r="G598" s="3230" t="str">
        <f>IF(J599&gt;J598,"TDC exceeds QAP PUCL!","")</f>
        <v/>
      </c>
      <c r="H598" s="3230"/>
      <c r="I598" s="3230"/>
      <c r="J598" s="3200">
        <f>'Part VIII-Threshold Criteria'!$P$63</f>
        <v>15865932</v>
      </c>
      <c r="K598" s="3200"/>
      <c r="L598" s="3200"/>
      <c r="M598" s="3274" t="s">
        <v>791</v>
      </c>
      <c r="N598" s="3274"/>
      <c r="O598" s="3274"/>
      <c r="P598" s="3274"/>
      <c r="Q598" s="3274"/>
      <c r="R598" s="3274"/>
      <c r="S598" s="3274" t="s">
        <v>792</v>
      </c>
      <c r="T598" s="3274"/>
      <c r="U598" s="3107"/>
      <c r="V598" s="3221"/>
      <c r="W598" s="1086"/>
      <c r="X598" s="1086"/>
    </row>
    <row r="599" spans="1:24">
      <c r="A599" s="3107"/>
      <c r="B599" s="3107" t="s">
        <v>4769</v>
      </c>
      <c r="C599" s="3107"/>
      <c r="D599" s="3107"/>
      <c r="E599" s="3107"/>
      <c r="F599" s="3107"/>
      <c r="G599" s="3107"/>
      <c r="H599" s="3107"/>
      <c r="I599" s="3107"/>
      <c r="J599" s="3143">
        <f>'Part IV-A-Uses of Funds'!J163</f>
        <v>13885091</v>
      </c>
      <c r="K599" s="3143">
        <f>'Part IV-A-Uses of Funds'!K163</f>
        <v>0</v>
      </c>
      <c r="L599" s="3143">
        <f>'Part IV-A-Uses of Funds'!L163</f>
        <v>0</v>
      </c>
      <c r="M599" s="3274"/>
      <c r="N599" s="3274"/>
      <c r="O599" s="3274"/>
      <c r="P599" s="3274"/>
      <c r="Q599" s="3274"/>
      <c r="R599" s="3274"/>
      <c r="S599" s="3274"/>
      <c r="T599" s="3274"/>
      <c r="U599" s="3107"/>
      <c r="V599" s="3221"/>
      <c r="W599" s="1086"/>
      <c r="X599" s="1086"/>
    </row>
    <row r="600" spans="1:24">
      <c r="A600" s="3107"/>
      <c r="B600" s="3107" t="s">
        <v>794</v>
      </c>
      <c r="C600" s="3107"/>
      <c r="D600" s="3107"/>
      <c r="E600" s="3107"/>
      <c r="F600" s="3107"/>
      <c r="G600" s="3107"/>
      <c r="H600" s="3107"/>
      <c r="I600" s="3107"/>
      <c r="J600" s="3143">
        <f>'Part III-Sources of Funds'!$I$58-'Part III-Sources of Funds'!$I$41-'Part III-Sources of Funds'!$I$42-'Part III-Sources of Funds'!$I$49-'Part III-Sources of Funds'!$I$50</f>
        <v>2650000</v>
      </c>
      <c r="K600" s="3143"/>
      <c r="L600" s="3143"/>
      <c r="M600" s="3274"/>
      <c r="N600" s="3274"/>
      <c r="O600" s="3274"/>
      <c r="P600" s="3274"/>
      <c r="Q600" s="3274"/>
      <c r="R600" s="3274"/>
      <c r="S600" s="3274"/>
      <c r="T600" s="3274"/>
      <c r="U600" s="3107"/>
      <c r="V600" s="3221"/>
      <c r="W600" s="1086"/>
      <c r="X600" s="1086"/>
    </row>
    <row r="601" spans="1:24" ht="13.5">
      <c r="A601" s="3107"/>
      <c r="B601" s="3107" t="s">
        <v>795</v>
      </c>
      <c r="C601" s="3107"/>
      <c r="D601" s="3107"/>
      <c r="E601" s="3107"/>
      <c r="F601" s="3107"/>
      <c r="G601" s="3107"/>
      <c r="H601" s="3107"/>
      <c r="I601" s="3107"/>
      <c r="J601" s="3143">
        <f>+J599-J600</f>
        <v>11235091</v>
      </c>
      <c r="K601" s="3143"/>
      <c r="L601" s="3143"/>
      <c r="M601" s="3119" t="s">
        <v>796</v>
      </c>
      <c r="N601" s="3119"/>
      <c r="O601" s="3275">
        <f>'Part III-Sources of Funds'!$I$41</f>
        <v>0</v>
      </c>
      <c r="P601" s="3275"/>
      <c r="Q601" s="3275"/>
      <c r="R601" s="3275"/>
      <c r="S601" s="3276" t="s">
        <v>797</v>
      </c>
      <c r="T601" s="3277">
        <f>'Part IV-A-Uses of Funds'!T165</f>
        <v>0</v>
      </c>
      <c r="U601" s="3107"/>
      <c r="V601" s="3221"/>
      <c r="W601" s="1086"/>
      <c r="X601" s="1086"/>
    </row>
    <row r="602" spans="1:24" ht="13.5">
      <c r="A602" s="3107"/>
      <c r="B602" s="3107" t="s">
        <v>798</v>
      </c>
      <c r="C602" s="3107"/>
      <c r="D602" s="3107"/>
      <c r="E602" s="3107"/>
      <c r="F602" s="3107"/>
      <c r="G602" s="3107"/>
      <c r="H602" s="3107"/>
      <c r="I602" s="3107"/>
      <c r="J602" s="3107" t="str">
        <f>"/ 10"</f>
        <v>/ 10</v>
      </c>
      <c r="K602" s="3107"/>
      <c r="L602" s="3107"/>
      <c r="M602" s="3107"/>
      <c r="N602" s="3275"/>
      <c r="O602" s="3275"/>
      <c r="P602" s="3275"/>
      <c r="Q602" s="3275"/>
      <c r="R602" s="3275"/>
      <c r="S602" s="3107"/>
      <c r="T602" s="3107"/>
      <c r="U602" s="3107"/>
      <c r="V602" s="3221"/>
      <c r="W602" s="1086"/>
      <c r="X602" s="1086"/>
    </row>
    <row r="603" spans="1:24">
      <c r="A603" s="3107"/>
      <c r="B603" s="3107" t="s">
        <v>799</v>
      </c>
      <c r="C603" s="3107"/>
      <c r="D603" s="3107"/>
      <c r="E603" s="3107"/>
      <c r="F603" s="3107"/>
      <c r="G603" s="3107"/>
      <c r="H603" s="3107"/>
      <c r="I603" s="3107"/>
      <c r="J603" s="3143">
        <f>J601/10</f>
        <v>1123509.1000000001</v>
      </c>
      <c r="K603" s="3143"/>
      <c r="L603" s="3143"/>
      <c r="M603" s="3114"/>
      <c r="N603" s="3107" t="s">
        <v>800</v>
      </c>
      <c r="O603" s="3107"/>
      <c r="P603" s="3107"/>
      <c r="Q603" s="3107" t="s">
        <v>44</v>
      </c>
      <c r="R603" s="3107"/>
      <c r="S603" s="3107"/>
      <c r="T603" s="3107"/>
      <c r="U603" s="3107"/>
      <c r="V603" s="3221"/>
      <c r="W603" s="1086"/>
      <c r="X603" s="1086"/>
    </row>
    <row r="604" spans="1:24">
      <c r="A604" s="3107"/>
      <c r="B604" s="3107" t="s">
        <v>4770</v>
      </c>
      <c r="C604" s="3107"/>
      <c r="D604" s="3107"/>
      <c r="E604" s="3107"/>
      <c r="F604" s="3107"/>
      <c r="G604" s="3107"/>
      <c r="H604" s="3107"/>
      <c r="I604" s="3107"/>
      <c r="J604" s="3278">
        <f>N604+Q604</f>
        <v>1.31</v>
      </c>
      <c r="K604" s="3278"/>
      <c r="L604" s="3278"/>
      <c r="M604" s="3112" t="s">
        <v>802</v>
      </c>
      <c r="N604" s="3279">
        <f>'Part IV-A-Uses of Funds'!N168</f>
        <v>0.88</v>
      </c>
      <c r="O604" s="3279">
        <f>'Part IV-A-Uses of Funds'!O168</f>
        <v>0</v>
      </c>
      <c r="P604" s="3112" t="s">
        <v>803</v>
      </c>
      <c r="Q604" s="3279">
        <f>'Part IV-A-Uses of Funds'!Q168</f>
        <v>0.43</v>
      </c>
      <c r="R604" s="3279">
        <f>'Part IV-A-Uses of Funds'!R168</f>
        <v>0</v>
      </c>
      <c r="S604" s="3107"/>
      <c r="T604" s="3107"/>
      <c r="U604" s="3107"/>
      <c r="V604" s="3221"/>
      <c r="W604" s="1086"/>
      <c r="X604" s="1086"/>
    </row>
    <row r="605" spans="1:24">
      <c r="A605" s="3107"/>
      <c r="B605" s="3104" t="s">
        <v>804</v>
      </c>
      <c r="C605" s="3107"/>
      <c r="D605" s="3107"/>
      <c r="E605" s="3107"/>
      <c r="F605" s="3107"/>
      <c r="G605" s="3107"/>
      <c r="H605" s="3107"/>
      <c r="I605" s="3107"/>
      <c r="J605" s="3202">
        <f>IF(J604=0,"",J603/J604)</f>
        <v>857640.53435114503</v>
      </c>
      <c r="K605" s="3202"/>
      <c r="L605" s="3202"/>
      <c r="M605" s="3114"/>
      <c r="N605" s="3107"/>
      <c r="O605" s="3107"/>
      <c r="P605" s="3107"/>
      <c r="Q605" s="3107"/>
      <c r="R605" s="3107"/>
      <c r="S605" s="3107"/>
      <c r="T605" s="3107"/>
      <c r="U605" s="3107"/>
      <c r="V605" s="3221"/>
      <c r="W605" s="1086"/>
      <c r="X605" s="1086"/>
    </row>
    <row r="606" spans="1:24">
      <c r="A606" s="3107"/>
      <c r="B606" s="3107"/>
      <c r="C606" s="3107"/>
      <c r="D606" s="3107"/>
      <c r="E606" s="3107"/>
      <c r="F606" s="3107"/>
      <c r="G606" s="3107"/>
      <c r="H606" s="3107"/>
      <c r="I606" s="3107"/>
      <c r="J606" s="3280"/>
      <c r="K606" s="3280"/>
      <c r="L606" s="3280"/>
      <c r="M606" s="3114"/>
      <c r="N606" s="3112"/>
      <c r="O606" s="3112"/>
      <c r="P606" s="3107"/>
      <c r="Q606" s="3107"/>
      <c r="R606" s="3107"/>
      <c r="S606" s="3107"/>
      <c r="T606" s="3107"/>
      <c r="U606" s="3107"/>
      <c r="V606" s="3221"/>
      <c r="W606" s="1086"/>
      <c r="X606" s="1086"/>
    </row>
    <row r="607" spans="1:24">
      <c r="A607" s="3107"/>
      <c r="B607" s="3104" t="s">
        <v>4771</v>
      </c>
      <c r="C607" s="3107"/>
      <c r="D607" s="3107"/>
      <c r="E607" s="3107"/>
      <c r="F607" s="3107"/>
      <c r="G607" s="3107"/>
      <c r="H607" s="3107"/>
      <c r="I607" s="3107"/>
      <c r="J607" s="3202">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850000</v>
      </c>
      <c r="K607" s="3202"/>
      <c r="L607" s="3202"/>
      <c r="M607" s="3114"/>
      <c r="N607" s="3112"/>
      <c r="O607" s="3112"/>
      <c r="P607" s="3107"/>
      <c r="Q607" s="3107"/>
      <c r="R607" s="3107"/>
      <c r="S607" s="3107"/>
      <c r="T607" s="3107"/>
      <c r="U607" s="3107"/>
      <c r="V607" s="3221"/>
      <c r="W607" s="1086"/>
      <c r="X607" s="1086"/>
    </row>
    <row r="608" spans="1:24">
      <c r="A608" s="3107"/>
      <c r="B608" s="3107"/>
      <c r="C608" s="3107"/>
      <c r="D608" s="3107"/>
      <c r="E608" s="3107"/>
      <c r="F608" s="3107"/>
      <c r="G608" s="3107"/>
      <c r="H608" s="3107"/>
      <c r="I608" s="3107"/>
      <c r="J608" s="3280"/>
      <c r="K608" s="3280"/>
      <c r="L608" s="3280"/>
      <c r="M608" s="3114"/>
      <c r="N608" s="3112"/>
      <c r="O608" s="3112"/>
      <c r="P608" s="3107"/>
      <c r="Q608" s="3107"/>
      <c r="R608" s="3107"/>
      <c r="S608" s="3107"/>
      <c r="T608" s="3107"/>
      <c r="U608" s="3107"/>
      <c r="V608" s="3221"/>
      <c r="W608" s="3257"/>
      <c r="X608" s="3257"/>
    </row>
    <row r="609" spans="1:24">
      <c r="A609" s="3107"/>
      <c r="B609" s="3104" t="s">
        <v>4772</v>
      </c>
      <c r="C609" s="3107"/>
      <c r="D609" s="3107"/>
      <c r="E609" s="3107"/>
      <c r="F609" s="3107"/>
      <c r="G609" s="3107"/>
      <c r="H609" s="3107"/>
      <c r="I609" s="3107"/>
      <c r="J609" s="3202">
        <f>'Part IV-A-Uses of Funds'!J173</f>
        <v>850000</v>
      </c>
      <c r="K609" s="3202">
        <f>'Part IV-A-Uses of Funds'!K173</f>
        <v>0</v>
      </c>
      <c r="L609" s="3202">
        <f>'Part IV-A-Uses of Funds'!L173</f>
        <v>0</v>
      </c>
      <c r="M609" s="3108" t="str">
        <f>IF(J607=0,"",IF(J609&gt;J607,"ALLOCATION CANNOT EXCEED MAXIMUM - REVISE REQUEST!",""))</f>
        <v/>
      </c>
      <c r="N609" s="3112"/>
      <c r="O609" s="3112"/>
      <c r="P609" s="3107"/>
      <c r="Q609" s="3107"/>
      <c r="R609" s="3107"/>
      <c r="S609" s="3107"/>
      <c r="T609" s="3107"/>
      <c r="U609" s="3107"/>
      <c r="V609" s="3221"/>
      <c r="W609" s="1086"/>
      <c r="X609" s="1086"/>
    </row>
    <row r="610" spans="1:24">
      <c r="A610" s="3107"/>
      <c r="B610" s="3107"/>
      <c r="C610" s="3107"/>
      <c r="D610" s="3107"/>
      <c r="E610" s="3107"/>
      <c r="F610" s="3107"/>
      <c r="G610" s="3107"/>
      <c r="H610" s="3107"/>
      <c r="I610" s="3107"/>
      <c r="J610" s="3280"/>
      <c r="K610" s="3280"/>
      <c r="L610" s="3280"/>
      <c r="M610" s="3114"/>
      <c r="N610" s="3112"/>
      <c r="O610" s="3112"/>
      <c r="P610" s="3107"/>
      <c r="Q610" s="3107"/>
      <c r="R610" s="3107"/>
      <c r="S610" s="3107"/>
      <c r="T610" s="3107"/>
      <c r="U610" s="3107"/>
      <c r="V610" s="3221"/>
      <c r="W610" s="3257"/>
      <c r="X610" s="3257"/>
    </row>
    <row r="611" spans="1:24" ht="16.5">
      <c r="A611" s="3220" t="s">
        <v>57</v>
      </c>
      <c r="B611" s="3220" t="s">
        <v>4773</v>
      </c>
      <c r="C611" s="3107"/>
      <c r="D611" s="3114"/>
      <c r="E611" s="3114"/>
      <c r="F611" s="3115"/>
      <c r="G611" s="3107"/>
      <c r="H611" s="3107"/>
      <c r="I611" s="3107"/>
      <c r="J611" s="3202">
        <f>IF(J609="",0,+MIN(J607,J609))</f>
        <v>850000</v>
      </c>
      <c r="K611" s="3202"/>
      <c r="L611" s="3202"/>
      <c r="M611" s="3107"/>
      <c r="N611" s="3138"/>
      <c r="O611" s="3138"/>
      <c r="P611" s="3138"/>
      <c r="Q611" s="3138"/>
      <c r="R611" s="3138"/>
      <c r="S611" s="3138"/>
      <c r="T611" s="3138"/>
      <c r="U611" s="3107"/>
      <c r="V611" s="3221"/>
      <c r="W611" s="1086"/>
      <c r="X611" s="1086"/>
    </row>
    <row r="612" spans="1:24">
      <c r="A612" s="3114"/>
      <c r="B612" s="3114"/>
      <c r="C612" s="3114"/>
      <c r="D612" s="3114"/>
      <c r="E612" s="3114"/>
      <c r="F612" s="3114"/>
      <c r="G612" s="3114"/>
      <c r="H612" s="3114"/>
      <c r="I612" s="3114"/>
      <c r="J612" s="3114"/>
      <c r="K612" s="3114"/>
      <c r="L612" s="3114"/>
      <c r="M612" s="3114"/>
      <c r="N612" s="3114"/>
      <c r="O612" s="3114"/>
      <c r="P612" s="3114"/>
      <c r="Q612" s="3114"/>
      <c r="R612" s="3114"/>
      <c r="S612" s="3114"/>
      <c r="T612" s="3114"/>
      <c r="U612" s="3114"/>
      <c r="V612" s="3114"/>
      <c r="W612" s="3114"/>
      <c r="X612" s="3114"/>
    </row>
    <row r="613" spans="1:24">
      <c r="A613" s="3114"/>
      <c r="B613" s="3114"/>
      <c r="C613" s="3114"/>
      <c r="D613" s="3114"/>
      <c r="E613" s="3114"/>
      <c r="F613" s="3114"/>
      <c r="G613" s="3114"/>
      <c r="H613" s="3114"/>
      <c r="I613" s="3114"/>
      <c r="J613" s="3114"/>
      <c r="K613" s="3114"/>
      <c r="L613" s="3114"/>
      <c r="M613" s="3114"/>
      <c r="N613" s="3114"/>
      <c r="O613" s="3114"/>
      <c r="P613" s="3114"/>
      <c r="Q613" s="3114"/>
      <c r="R613" s="3114"/>
      <c r="S613" s="3114"/>
      <c r="T613" s="3114"/>
      <c r="U613" s="3114"/>
      <c r="V613" s="3114"/>
      <c r="W613" s="3114"/>
      <c r="X613" s="3114"/>
    </row>
    <row r="614" spans="1:24">
      <c r="A614" s="3104" t="s">
        <v>108</v>
      </c>
      <c r="B614" s="3155" t="s">
        <v>259</v>
      </c>
      <c r="C614" s="3114"/>
      <c r="D614" s="3114"/>
      <c r="E614" s="3114"/>
      <c r="F614" s="3114"/>
      <c r="G614" s="3114"/>
      <c r="H614" s="3114"/>
      <c r="I614" s="3114"/>
      <c r="J614" s="3114"/>
      <c r="K614" s="3114"/>
      <c r="L614" s="3114"/>
      <c r="M614" s="3114"/>
      <c r="N614" s="3104" t="s">
        <v>150</v>
      </c>
      <c r="O614" s="3104" t="s">
        <v>261</v>
      </c>
      <c r="P614" s="3114"/>
      <c r="Q614" s="3114"/>
      <c r="R614" s="3114"/>
      <c r="S614" s="3114"/>
      <c r="T614" s="3114"/>
      <c r="U614" s="3114"/>
      <c r="V614" s="3114"/>
      <c r="W614" s="3114"/>
      <c r="X614" s="3114"/>
    </row>
    <row r="615" spans="1:24" ht="15.75" customHeight="1">
      <c r="A615" s="3179" t="str">
        <f>'Part IV-A-Uses of Funds'!A179</f>
        <v xml:space="preserve">The Construction Loan Fee is based on 1% of the construction loan amount approved by Guardian Bank.  The Construction Loan Interest is based on a 5% rate from Guardian Bank with a drawdown on the loan over a construction period of 20 months. 
The Permanent Loan Fees and Permanent Legal Fees are based on amounts estimated by Guardian Bank.    See Proposal from Guardian Bank.
Construction Hard Costs are based on estimates from TISHCO Construction Inc. and were based on cost estimates from other projects and a review of the initial site plans and scope based on numerous years of tax credit construction experience.
Legal fees are based on estimates  from our attorney considering the scope of work, partnership structure and financing types involved to close a deal of this size.
The accounting fees are based on estimates from our accountants and include 10% test, cost certifications, final allocation assistance, development period income tax returns and financial statements.  This number is consistent with previous jobs of similar structure.
See Tab 1 for documentation relating to our calculation of fees for water and sewer taps and building permits.
                                                                                                                                                                                                        </v>
      </c>
      <c r="B615" s="3179">
        <f>'Part IV-A-Uses of Funds'!B179</f>
        <v>0</v>
      </c>
      <c r="C615" s="3179">
        <f>'Part IV-A-Uses of Funds'!C179</f>
        <v>0</v>
      </c>
      <c r="D615" s="3179">
        <f>'Part IV-A-Uses of Funds'!D179</f>
        <v>0</v>
      </c>
      <c r="E615" s="3179">
        <f>'Part IV-A-Uses of Funds'!E179</f>
        <v>0</v>
      </c>
      <c r="F615" s="3179">
        <f>'Part IV-A-Uses of Funds'!F179</f>
        <v>0</v>
      </c>
      <c r="G615" s="3179">
        <f>'Part IV-A-Uses of Funds'!G179</f>
        <v>0</v>
      </c>
      <c r="H615" s="3179">
        <f>'Part IV-A-Uses of Funds'!H179</f>
        <v>0</v>
      </c>
      <c r="I615" s="3179">
        <f>'Part IV-A-Uses of Funds'!I179</f>
        <v>0</v>
      </c>
      <c r="J615" s="3179">
        <f>'Part IV-A-Uses of Funds'!J179</f>
        <v>0</v>
      </c>
      <c r="K615" s="3179">
        <f>'Part IV-A-Uses of Funds'!K179</f>
        <v>0</v>
      </c>
      <c r="L615" s="3179">
        <f>'Part IV-A-Uses of Funds'!L179</f>
        <v>0</v>
      </c>
      <c r="M615" s="3179">
        <f>'Part IV-A-Uses of Funds'!M179</f>
        <v>0</v>
      </c>
      <c r="N615" s="3179">
        <f>'Part IV-A-Uses of Funds'!N179</f>
        <v>0</v>
      </c>
      <c r="O615" s="3179">
        <f>'Part IV-A-Uses of Funds'!O179</f>
        <v>0</v>
      </c>
      <c r="P615" s="3179">
        <f>'Part IV-A-Uses of Funds'!P179</f>
        <v>0</v>
      </c>
      <c r="Q615" s="3179">
        <f>'Part IV-A-Uses of Funds'!Q179</f>
        <v>0</v>
      </c>
      <c r="R615" s="3179">
        <f>'Part IV-A-Uses of Funds'!R179</f>
        <v>0</v>
      </c>
      <c r="S615" s="3179">
        <f>'Part IV-A-Uses of Funds'!S179</f>
        <v>0</v>
      </c>
      <c r="T615" s="3179">
        <f>'Part IV-A-Uses of Funds'!T179</f>
        <v>0</v>
      </c>
      <c r="U615" s="3114"/>
      <c r="V615" s="3103"/>
      <c r="W615" s="3281" t="s">
        <v>262</v>
      </c>
      <c r="X615" s="3281"/>
    </row>
    <row r="623" spans="1:24" ht="15.75">
      <c r="A623" s="3282" t="str">
        <f>CONCATENATE("PART FOUR (b) -  OTHER COSTS","  -  ",'Part I-Project Information'!$O$6," - ",'Part I-Project Information'!$F$34,"  -  ",'Part I-Project Information'!$F$38,"  -  ",'Part I-Project Information'!$J$39,",  ","County")</f>
        <v>PART FOUR (b) -  OTHER COSTS  -  2018-008 - Mill at Stone Valley  -  Ball Ground  -  Cherokee,  County</v>
      </c>
      <c r="B623" s="3282"/>
      <c r="C623" s="3282"/>
      <c r="D623" s="3282"/>
      <c r="E623" s="3282"/>
      <c r="F623" s="3282"/>
      <c r="G623" s="3282"/>
      <c r="H623" s="3282"/>
    </row>
    <row r="624" spans="1:24">
      <c r="A624" s="3283"/>
      <c r="B624" s="3283"/>
      <c r="C624" s="3283"/>
      <c r="D624" s="3283"/>
      <c r="E624" s="3283"/>
      <c r="F624" s="3283"/>
      <c r="G624" s="3283"/>
      <c r="H624" s="3283"/>
    </row>
    <row r="625" spans="1:8" ht="14.25" customHeight="1">
      <c r="A625" s="3284" t="s">
        <v>808</v>
      </c>
      <c r="B625" s="3284"/>
      <c r="C625" s="3284"/>
      <c r="D625" s="3284"/>
      <c r="E625" s="3284"/>
      <c r="F625" s="3284"/>
      <c r="G625" s="3284"/>
      <c r="H625" s="3284"/>
    </row>
    <row r="626" spans="1:8">
      <c r="A626" s="3283"/>
      <c r="B626" s="3283"/>
      <c r="C626" s="3283"/>
      <c r="D626" s="3283"/>
      <c r="E626" s="3283"/>
      <c r="F626" s="3283"/>
      <c r="G626" s="3283"/>
      <c r="H626" s="3283"/>
    </row>
    <row r="627" spans="1:8" ht="90" customHeight="1">
      <c r="A627" s="3285" t="s">
        <v>4774</v>
      </c>
      <c r="B627" s="3285"/>
      <c r="C627" s="3285"/>
      <c r="D627" s="3285"/>
      <c r="E627" s="3283"/>
      <c r="F627" s="3286" t="s">
        <v>810</v>
      </c>
      <c r="G627" s="3287"/>
      <c r="H627" s="3286" t="s">
        <v>811</v>
      </c>
    </row>
    <row r="628" spans="1:8">
      <c r="A628" s="3287"/>
      <c r="B628" s="3287"/>
      <c r="C628" s="3287"/>
      <c r="D628" s="3287"/>
      <c r="E628" s="3283"/>
      <c r="F628" s="3283"/>
      <c r="G628" s="3283"/>
      <c r="H628" s="3283"/>
    </row>
    <row r="629" spans="1:8" ht="13.5">
      <c r="A629" s="3288"/>
      <c r="B629" s="3288"/>
      <c r="C629" s="3288"/>
      <c r="D629" s="3288"/>
      <c r="E629" s="3288"/>
      <c r="F629" s="3288"/>
      <c r="G629" s="3288"/>
      <c r="H629" s="3289"/>
    </row>
    <row r="630" spans="1:8">
      <c r="A630" s="3290" t="s">
        <v>656</v>
      </c>
      <c r="B630" s="3291"/>
      <c r="C630" s="3291"/>
      <c r="D630" s="3291"/>
      <c r="E630" s="3291"/>
      <c r="F630" s="3291"/>
      <c r="G630" s="3291"/>
      <c r="H630" s="3291"/>
    </row>
    <row r="631" spans="1:8" ht="13.5" customHeight="1">
      <c r="A631" s="3292" t="str">
        <f>'Part IV-A-Uses of Funds'!$C$14</f>
        <v>Front End Analysis</v>
      </c>
      <c r="B631" s="3292"/>
      <c r="C631" s="3292"/>
      <c r="D631" s="3292"/>
      <c r="E631" s="3289"/>
      <c r="F631" s="3293" t="str">
        <f>'Part IV-B-Other Items'!F9</f>
        <v>This is the average cost for Newbanks, our DCA approved front end analysis provider, to perform the front end analysis for DCA requirements and plan review for syndicator requirements. Since the same 3rd party is preparing both, we save on fees.</v>
      </c>
      <c r="G631" s="3291"/>
      <c r="H631" s="3293" t="str">
        <f>'Part IV-B-Other Items'!H9</f>
        <v>It is a requirement for both DCA and the syndicator, and it relates directly to the planning and construction of the buildings in the project.</v>
      </c>
    </row>
    <row r="632" spans="1:8" ht="13.5">
      <c r="A632" s="3292"/>
      <c r="B632" s="3292"/>
      <c r="C632" s="3292"/>
      <c r="D632" s="3292"/>
      <c r="E632" s="3289"/>
      <c r="F632" s="3293"/>
      <c r="G632" s="3291"/>
      <c r="H632" s="3293"/>
    </row>
    <row r="633" spans="1:8" ht="13.5">
      <c r="A633" s="3289"/>
      <c r="B633" s="3289"/>
      <c r="C633" s="3289"/>
      <c r="D633" s="3289"/>
      <c r="E633" s="3289"/>
      <c r="F633" s="3293"/>
      <c r="G633" s="3291"/>
      <c r="H633" s="3293"/>
    </row>
    <row r="634" spans="1:8" ht="13.5">
      <c r="A634" s="3294" t="s">
        <v>812</v>
      </c>
      <c r="B634" s="3295">
        <f>'Part IV-A-Uses of Funds'!$G$14</f>
        <v>4000</v>
      </c>
      <c r="C634" s="3294" t="s">
        <v>776</v>
      </c>
      <c r="D634" s="3295">
        <f>'Part IV-A-Uses of Funds'!$J$14+'Part IV-A-Uses of Funds'!$M$14+'Part IV-A-Uses of Funds'!$P$14</f>
        <v>4000</v>
      </c>
      <c r="E634" s="3289"/>
      <c r="F634" s="3293"/>
      <c r="G634" s="3291"/>
      <c r="H634" s="3293"/>
    </row>
    <row r="635" spans="1:8" ht="13.5">
      <c r="A635" s="3291"/>
      <c r="B635" s="3296"/>
      <c r="C635" s="3291"/>
      <c r="D635" s="3291"/>
      <c r="E635" s="3289"/>
      <c r="F635" s="3293"/>
      <c r="G635" s="3297"/>
      <c r="H635" s="3293"/>
    </row>
    <row r="636" spans="1:8" ht="13.5" customHeight="1">
      <c r="A636" s="3292">
        <f>'Part IV-A-Uses of Funds'!$C$15</f>
        <v>0</v>
      </c>
      <c r="B636" s="3292"/>
      <c r="C636" s="3292"/>
      <c r="D636" s="3292"/>
      <c r="E636" s="3289"/>
      <c r="F636" s="3293">
        <f>'Part IV-B-Other Items'!F14</f>
        <v>0</v>
      </c>
      <c r="G636" s="3291"/>
      <c r="H636" s="3293">
        <f>'Part IV-B-Other Items'!H14</f>
        <v>0</v>
      </c>
    </row>
    <row r="637" spans="1:8" ht="13.5">
      <c r="A637" s="3292"/>
      <c r="B637" s="3292"/>
      <c r="C637" s="3292"/>
      <c r="D637" s="3292"/>
      <c r="E637" s="3289"/>
      <c r="F637" s="3293"/>
      <c r="G637" s="3291"/>
      <c r="H637" s="3293"/>
    </row>
    <row r="638" spans="1:8" ht="13.5">
      <c r="A638" s="3289"/>
      <c r="B638" s="3289"/>
      <c r="C638" s="3289"/>
      <c r="D638" s="3289"/>
      <c r="E638" s="3289"/>
      <c r="F638" s="3293"/>
      <c r="G638" s="3291"/>
      <c r="H638" s="3293"/>
    </row>
    <row r="639" spans="1:8" ht="13.5">
      <c r="A639" s="3294" t="s">
        <v>812</v>
      </c>
      <c r="B639" s="3295">
        <f>'Part IV-A-Uses of Funds'!$G$15</f>
        <v>0</v>
      </c>
      <c r="C639" s="3294" t="s">
        <v>776</v>
      </c>
      <c r="D639" s="3295">
        <f>'Part IV-A-Uses of Funds'!$J$15+'Part IV-A-Uses of Funds'!$M$15+'Part IV-A-Uses of Funds'!$P$15</f>
        <v>0</v>
      </c>
      <c r="E639" s="3289"/>
      <c r="F639" s="3293"/>
      <c r="G639" s="3291"/>
      <c r="H639" s="3293"/>
    </row>
    <row r="640" spans="1:8" ht="13.5">
      <c r="A640" s="3291"/>
      <c r="B640" s="3296"/>
      <c r="C640" s="3291"/>
      <c r="D640" s="3291"/>
      <c r="E640" s="3289"/>
      <c r="F640" s="3293"/>
      <c r="G640" s="3297"/>
      <c r="H640" s="3293"/>
    </row>
    <row r="641" spans="1:8" ht="13.5" customHeight="1">
      <c r="A641" s="3292" t="str">
        <f>'Part IV-A-Uses of Funds'!$C$16</f>
        <v>&lt;&lt; Enter description here; provide detail &amp; justification in tab Part IV-b &gt;&gt;</v>
      </c>
      <c r="B641" s="3292"/>
      <c r="C641" s="3292"/>
      <c r="D641" s="3292"/>
      <c r="E641" s="3289"/>
      <c r="F641" s="3293">
        <f>'Part IV-B-Other Items'!F19</f>
        <v>0</v>
      </c>
      <c r="G641" s="3291"/>
      <c r="H641" s="3293">
        <f>'Part IV-B-Other Items'!H19</f>
        <v>0</v>
      </c>
    </row>
    <row r="642" spans="1:8" ht="13.5">
      <c r="A642" s="3292"/>
      <c r="B642" s="3292"/>
      <c r="C642" s="3292"/>
      <c r="D642" s="3292"/>
      <c r="E642" s="3289"/>
      <c r="F642" s="3293"/>
      <c r="G642" s="3291"/>
      <c r="H642" s="3293"/>
    </row>
    <row r="643" spans="1:8" ht="13.5">
      <c r="A643" s="3289"/>
      <c r="B643" s="3289"/>
      <c r="C643" s="3289"/>
      <c r="D643" s="3289"/>
      <c r="E643" s="3289"/>
      <c r="F643" s="3293"/>
      <c r="G643" s="3291"/>
      <c r="H643" s="3293"/>
    </row>
    <row r="644" spans="1:8" ht="13.5">
      <c r="A644" s="3294" t="s">
        <v>812</v>
      </c>
      <c r="B644" s="3295">
        <f>'Part IV-A-Uses of Funds'!$G$16</f>
        <v>0</v>
      </c>
      <c r="C644" s="3294" t="s">
        <v>776</v>
      </c>
      <c r="D644" s="3295">
        <f>'Part IV-A-Uses of Funds'!$J$16+'Part IV-A-Uses of Funds'!$M$16+'Part IV-A-Uses of Funds'!$P$16</f>
        <v>0</v>
      </c>
      <c r="E644" s="3289"/>
      <c r="F644" s="3293"/>
      <c r="G644" s="3291"/>
      <c r="H644" s="3293"/>
    </row>
    <row r="645" spans="1:8" ht="13.5">
      <c r="A645" s="3291"/>
      <c r="B645" s="3296"/>
      <c r="C645" s="3291"/>
      <c r="D645" s="3291"/>
      <c r="E645" s="3289"/>
      <c r="F645" s="3293"/>
      <c r="G645" s="3297"/>
      <c r="H645" s="3293"/>
    </row>
    <row r="646" spans="1:8" ht="13.5">
      <c r="A646" s="3290" t="s">
        <v>813</v>
      </c>
      <c r="B646" s="3291"/>
      <c r="C646" s="3291"/>
      <c r="D646" s="3291"/>
      <c r="E646" s="3291"/>
      <c r="F646" s="3291"/>
      <c r="G646" s="3291"/>
      <c r="H646" s="3289"/>
    </row>
    <row r="647" spans="1:8" ht="12.75" customHeight="1">
      <c r="A647" s="3292" t="str">
        <f>'Part IV-A-Uses of Funds'!$C$41</f>
        <v>&lt;&lt; Enter description here; provide detail &amp; justification in tab Part IV-b &gt;&gt;</v>
      </c>
      <c r="B647" s="3292"/>
      <c r="C647" s="3292"/>
      <c r="D647" s="3292"/>
      <c r="E647" s="3291"/>
      <c r="F647" s="3293">
        <f>'Part IV-B-Other Items'!F25</f>
        <v>0</v>
      </c>
      <c r="G647" s="3291"/>
      <c r="H647" s="3293">
        <f>'Part IV-B-Other Items'!H25</f>
        <v>0</v>
      </c>
    </row>
    <row r="648" spans="1:8" ht="12.75" customHeight="1">
      <c r="A648" s="3292"/>
      <c r="B648" s="3292"/>
      <c r="C648" s="3292"/>
      <c r="D648" s="3292"/>
      <c r="E648" s="3291"/>
      <c r="F648" s="3293"/>
      <c r="G648" s="3291"/>
      <c r="H648" s="3293"/>
    </row>
    <row r="649" spans="1:8">
      <c r="A649" s="3291"/>
      <c r="B649" s="3291"/>
      <c r="C649" s="3291"/>
      <c r="D649" s="3291"/>
      <c r="E649" s="3291"/>
      <c r="F649" s="3293"/>
      <c r="G649" s="3291"/>
      <c r="H649" s="3293"/>
    </row>
    <row r="650" spans="1:8">
      <c r="A650" s="3294" t="s">
        <v>812</v>
      </c>
      <c r="B650" s="3295">
        <f>'Part IV-A-Uses of Funds'!$G$41</f>
        <v>0</v>
      </c>
      <c r="C650" s="3294" t="s">
        <v>776</v>
      </c>
      <c r="D650" s="3295">
        <f>'Part IV-A-Uses of Funds'!$J$41+'Part IV-A-Uses of Funds'!$M$41+'Part IV-A-Uses of Funds'!$P$41</f>
        <v>0</v>
      </c>
      <c r="E650" s="3291"/>
      <c r="F650" s="3293"/>
      <c r="G650" s="3291"/>
      <c r="H650" s="3293"/>
    </row>
    <row r="651" spans="1:8">
      <c r="A651" s="3291"/>
      <c r="B651" s="3296"/>
      <c r="C651" s="3291"/>
      <c r="D651" s="3291"/>
      <c r="E651" s="3291"/>
      <c r="F651" s="3293"/>
      <c r="G651" s="3297"/>
      <c r="H651" s="3293"/>
    </row>
    <row r="652" spans="1:8" ht="13.5">
      <c r="A652" s="3290" t="s">
        <v>699</v>
      </c>
      <c r="B652" s="3291"/>
      <c r="C652" s="3291"/>
      <c r="D652" s="3291"/>
      <c r="E652" s="3291"/>
      <c r="F652" s="3291"/>
      <c r="G652" s="3291"/>
      <c r="H652" s="3289"/>
    </row>
    <row r="653" spans="1:8" ht="12.75" customHeight="1">
      <c r="A653" s="3292" t="str">
        <f>'Part IV-A-Uses of Funds'!$C$62</f>
        <v>&lt;&lt; Enter description here; provide detail &amp; justification in tab Part IV-b &gt;&gt;</v>
      </c>
      <c r="B653" s="3292"/>
      <c r="C653" s="3292"/>
      <c r="D653" s="3292"/>
      <c r="E653" s="3291"/>
      <c r="F653" s="3293">
        <f>'Part IV-B-Other Items'!F31</f>
        <v>0</v>
      </c>
      <c r="G653" s="3291"/>
      <c r="H653" s="3293">
        <f>'Part IV-B-Other Items'!H31</f>
        <v>0</v>
      </c>
    </row>
    <row r="654" spans="1:8" ht="12.75" customHeight="1">
      <c r="A654" s="3292"/>
      <c r="B654" s="3292"/>
      <c r="C654" s="3292"/>
      <c r="D654" s="3292"/>
      <c r="E654" s="3291"/>
      <c r="F654" s="3293"/>
      <c r="G654" s="3291"/>
      <c r="H654" s="3293"/>
    </row>
    <row r="655" spans="1:8">
      <c r="A655" s="3291"/>
      <c r="B655" s="3291"/>
      <c r="C655" s="3291"/>
      <c r="D655" s="3291"/>
      <c r="E655" s="3291"/>
      <c r="F655" s="3293"/>
      <c r="G655" s="3291"/>
      <c r="H655" s="3293"/>
    </row>
    <row r="656" spans="1:8">
      <c r="A656" s="3294" t="s">
        <v>812</v>
      </c>
      <c r="B656" s="3295">
        <f>'Part IV-A-Uses of Funds'!$G$62</f>
        <v>0</v>
      </c>
      <c r="C656" s="3294" t="s">
        <v>776</v>
      </c>
      <c r="D656" s="3295">
        <f>'Part IV-A-Uses of Funds'!$J$62+'Part IV-A-Uses of Funds'!$M$62+'Part IV-A-Uses of Funds'!$P$62</f>
        <v>0</v>
      </c>
      <c r="E656" s="3291"/>
      <c r="F656" s="3293"/>
      <c r="G656" s="3291"/>
      <c r="H656" s="3293"/>
    </row>
    <row r="657" spans="1:8" ht="13.5">
      <c r="A657" s="3289"/>
      <c r="B657" s="3289"/>
      <c r="C657" s="3289"/>
      <c r="D657" s="3291"/>
      <c r="E657" s="3291"/>
      <c r="F657" s="3293"/>
      <c r="G657" s="3297"/>
      <c r="H657" s="3293"/>
    </row>
    <row r="658" spans="1:8" ht="12.75" customHeight="1">
      <c r="A658" s="3292" t="str">
        <f>'Part IV-A-Uses of Funds'!$C$63</f>
        <v>&lt;&lt; Enter description here; provide detail &amp; justification in tab Part IV-b &gt;&gt;</v>
      </c>
      <c r="B658" s="3292"/>
      <c r="C658" s="3292"/>
      <c r="D658" s="3292"/>
      <c r="E658" s="3291"/>
      <c r="F658" s="3293">
        <f>'Part IV-B-Other Items'!F36</f>
        <v>0</v>
      </c>
      <c r="G658" s="3291"/>
      <c r="H658" s="3293">
        <f>'Part IV-B-Other Items'!H36</f>
        <v>0</v>
      </c>
    </row>
    <row r="659" spans="1:8" ht="12.75" customHeight="1">
      <c r="A659" s="3292"/>
      <c r="B659" s="3292"/>
      <c r="C659" s="3292"/>
      <c r="D659" s="3292"/>
      <c r="E659" s="3291"/>
      <c r="F659" s="3293"/>
      <c r="G659" s="3291"/>
      <c r="H659" s="3293"/>
    </row>
    <row r="660" spans="1:8">
      <c r="A660" s="3291"/>
      <c r="B660" s="3291"/>
      <c r="C660" s="3291"/>
      <c r="D660" s="3291"/>
      <c r="E660" s="3291"/>
      <c r="F660" s="3293"/>
      <c r="G660" s="3291"/>
      <c r="H660" s="3293"/>
    </row>
    <row r="661" spans="1:8">
      <c r="A661" s="3294" t="s">
        <v>812</v>
      </c>
      <c r="B661" s="3295">
        <f>'Part IV-A-Uses of Funds'!$G$63</f>
        <v>0</v>
      </c>
      <c r="C661" s="3294" t="s">
        <v>776</v>
      </c>
      <c r="D661" s="3295">
        <f>'Part IV-A-Uses of Funds'!$J$63+'Part IV-A-Uses of Funds'!$M$63+'Part IV-A-Uses of Funds'!$P$63</f>
        <v>0</v>
      </c>
      <c r="E661" s="3291"/>
      <c r="F661" s="3293"/>
      <c r="G661" s="3291"/>
      <c r="H661" s="3293"/>
    </row>
    <row r="662" spans="1:8" ht="13.5">
      <c r="A662" s="3289"/>
      <c r="B662" s="3289"/>
      <c r="C662" s="3289"/>
      <c r="D662" s="3291"/>
      <c r="E662" s="3291"/>
      <c r="F662" s="3293"/>
      <c r="G662" s="3297"/>
      <c r="H662" s="3293"/>
    </row>
    <row r="663" spans="1:8" ht="13.5">
      <c r="A663" s="3290" t="s">
        <v>710</v>
      </c>
      <c r="B663" s="3291"/>
      <c r="C663" s="3291"/>
      <c r="D663" s="3291"/>
      <c r="E663" s="3298"/>
      <c r="F663" s="3298"/>
      <c r="G663" s="3291"/>
      <c r="H663" s="3289"/>
    </row>
    <row r="664" spans="1:8" ht="13.5" customHeight="1">
      <c r="A664" s="3292" t="str">
        <f>'Part IV-A-Uses of Funds'!$C$76</f>
        <v>&lt;&lt; Enter description here; provide detail &amp; justification in tab Part IV-b &gt;&gt;</v>
      </c>
      <c r="B664" s="3292"/>
      <c r="C664" s="3292"/>
      <c r="D664" s="3292"/>
      <c r="E664" s="3289"/>
      <c r="F664" s="3293">
        <f>'Part IV-B-Other Items'!F42</f>
        <v>0</v>
      </c>
      <c r="G664" s="3291"/>
      <c r="H664" s="3293">
        <f>'Part IV-B-Other Items'!H42</f>
        <v>0</v>
      </c>
    </row>
    <row r="665" spans="1:8" ht="12.75" customHeight="1">
      <c r="A665" s="3292"/>
      <c r="B665" s="3292"/>
      <c r="C665" s="3292"/>
      <c r="D665" s="3292"/>
      <c r="E665" s="3291"/>
      <c r="F665" s="3293"/>
      <c r="G665" s="3291"/>
      <c r="H665" s="3293"/>
    </row>
    <row r="666" spans="1:8">
      <c r="A666" s="3291"/>
      <c r="B666" s="3291"/>
      <c r="C666" s="3291"/>
      <c r="D666" s="3291"/>
      <c r="E666" s="3291"/>
      <c r="F666" s="3293"/>
      <c r="G666" s="3291"/>
      <c r="H666" s="3293"/>
    </row>
    <row r="667" spans="1:8">
      <c r="A667" s="3294" t="s">
        <v>812</v>
      </c>
      <c r="B667" s="3295">
        <f>'Part IV-A-Uses of Funds'!$G$76</f>
        <v>0</v>
      </c>
      <c r="C667" s="3294" t="s">
        <v>776</v>
      </c>
      <c r="D667" s="3295">
        <f>'Part IV-A-Uses of Funds'!$J$76+'Part IV-A-Uses of Funds'!$M$76+'Part IV-A-Uses of Funds'!$P$76</f>
        <v>0</v>
      </c>
      <c r="E667" s="3291"/>
      <c r="F667" s="3293"/>
      <c r="G667" s="3291"/>
      <c r="H667" s="3293"/>
    </row>
    <row r="668" spans="1:8">
      <c r="A668" s="3291"/>
      <c r="B668" s="3296"/>
      <c r="C668" s="3291"/>
      <c r="D668" s="3291"/>
      <c r="E668" s="3291"/>
      <c r="F668" s="3293"/>
      <c r="G668" s="3297"/>
      <c r="H668" s="3293"/>
    </row>
    <row r="669" spans="1:8" ht="13.5">
      <c r="A669" s="3290" t="s">
        <v>729</v>
      </c>
      <c r="B669" s="3291"/>
      <c r="C669" s="3291"/>
      <c r="D669" s="3291"/>
      <c r="E669" s="3291"/>
      <c r="F669" s="3291"/>
      <c r="G669" s="3291"/>
      <c r="H669" s="3289"/>
    </row>
    <row r="670" spans="1:8" ht="13.5" customHeight="1">
      <c r="A670" s="3292" t="str">
        <f>'Part IV-A-Uses of Funds'!$C$90</f>
        <v>Due Diligence</v>
      </c>
      <c r="B670" s="3292"/>
      <c r="C670" s="3292"/>
      <c r="D670" s="3292"/>
      <c r="E670" s="3289"/>
      <c r="F670" s="3293" t="str">
        <f>'Part IV-B-Other Items'!F48</f>
        <v>These are the due diligence fees required for the Guardian Bank loan.  They include 3rd party reports, insurance, zoing and cost reviews.</v>
      </c>
      <c r="G670" s="3291"/>
      <c r="H670" s="3289"/>
    </row>
    <row r="671" spans="1:8" ht="13.5">
      <c r="A671" s="3292"/>
      <c r="B671" s="3292"/>
      <c r="C671" s="3292"/>
      <c r="D671" s="3292"/>
      <c r="E671" s="3291"/>
      <c r="F671" s="3293"/>
      <c r="G671" s="3291"/>
      <c r="H671" s="3289"/>
    </row>
    <row r="672" spans="1:8" ht="13.5">
      <c r="A672" s="3291"/>
      <c r="B672" s="3291"/>
      <c r="C672" s="3291"/>
      <c r="D672" s="3291"/>
      <c r="E672" s="3291"/>
      <c r="F672" s="3293"/>
      <c r="G672" s="3291"/>
      <c r="H672" s="3289"/>
    </row>
    <row r="673" spans="1:8" ht="13.5">
      <c r="A673" s="3294" t="s">
        <v>812</v>
      </c>
      <c r="B673" s="3295">
        <f>'Part IV-A-Uses of Funds'!$G$90</f>
        <v>45000</v>
      </c>
      <c r="C673" s="3299"/>
      <c r="D673" s="3299"/>
      <c r="E673" s="3291"/>
      <c r="F673" s="3293"/>
      <c r="G673" s="3291"/>
      <c r="H673" s="3289"/>
    </row>
    <row r="674" spans="1:8" ht="13.5">
      <c r="A674" s="3291"/>
      <c r="B674" s="3291"/>
      <c r="C674" s="3291"/>
      <c r="D674" s="3291"/>
      <c r="E674" s="3291"/>
      <c r="F674" s="3293"/>
      <c r="G674" s="3297"/>
      <c r="H674" s="3289"/>
    </row>
    <row r="675" spans="1:8" ht="13.5">
      <c r="A675" s="3290" t="s">
        <v>4775</v>
      </c>
      <c r="B675" s="3291"/>
      <c r="C675" s="3291"/>
      <c r="D675" s="3291"/>
      <c r="E675" s="3291"/>
      <c r="F675" s="3291"/>
      <c r="G675" s="3291"/>
      <c r="H675" s="3289"/>
    </row>
    <row r="676" spans="1:8" ht="13.5" customHeight="1">
      <c r="A676" s="3292" t="str">
        <f>'Part IV-A-Uses of Funds'!$C$103</f>
        <v>&lt;&lt; Enter description here; provide detail &amp; justification in tab Part IV-b &gt;&gt;</v>
      </c>
      <c r="B676" s="3292"/>
      <c r="C676" s="3292"/>
      <c r="D676" s="3292"/>
      <c r="E676" s="3289"/>
      <c r="F676" s="3293">
        <f>'Part IV-B-Other Items'!F54</f>
        <v>0</v>
      </c>
      <c r="G676" s="3291"/>
      <c r="H676" s="3289"/>
    </row>
    <row r="677" spans="1:8" ht="13.5">
      <c r="A677" s="3292"/>
      <c r="B677" s="3292"/>
      <c r="C677" s="3292"/>
      <c r="D677" s="3292"/>
      <c r="E677" s="3291"/>
      <c r="F677" s="3293"/>
      <c r="G677" s="3291"/>
      <c r="H677" s="3289"/>
    </row>
    <row r="678" spans="1:8" ht="13.5">
      <c r="A678" s="3291"/>
      <c r="B678" s="3291"/>
      <c r="C678" s="3291"/>
      <c r="D678" s="3291"/>
      <c r="E678" s="3291"/>
      <c r="F678" s="3293"/>
      <c r="G678" s="3291"/>
      <c r="H678" s="3289"/>
    </row>
    <row r="679" spans="1:8" ht="13.5">
      <c r="A679" s="3294" t="s">
        <v>812</v>
      </c>
      <c r="B679" s="3295">
        <f>'Part IV-A-Uses of Funds'!$G$103</f>
        <v>0</v>
      </c>
      <c r="C679" s="3299"/>
      <c r="D679" s="3299"/>
      <c r="E679" s="3291"/>
      <c r="F679" s="3293"/>
      <c r="G679" s="3291"/>
      <c r="H679" s="3289"/>
    </row>
    <row r="680" spans="1:8" ht="13.5">
      <c r="A680" s="3288"/>
      <c r="B680" s="3288"/>
      <c r="C680" s="3288"/>
      <c r="D680" s="3288"/>
      <c r="E680" s="3288"/>
      <c r="F680" s="3293"/>
      <c r="G680" s="3297"/>
      <c r="H680" s="3289"/>
    </row>
    <row r="681" spans="1:8" ht="13.5" customHeight="1">
      <c r="A681" s="3292" t="str">
        <f>'Part IV-A-Uses of Funds'!$C$104</f>
        <v>&lt;&lt; Enter description here; provide detail &amp; justification in tab Part IV-b &gt;&gt;</v>
      </c>
      <c r="B681" s="3292"/>
      <c r="C681" s="3292"/>
      <c r="D681" s="3292"/>
      <c r="E681" s="3289"/>
      <c r="F681" s="3293">
        <f>'Part IV-B-Other Items'!F59</f>
        <v>0</v>
      </c>
      <c r="G681" s="3291"/>
      <c r="H681" s="3289"/>
    </row>
    <row r="682" spans="1:8" ht="13.5">
      <c r="A682" s="3292"/>
      <c r="B682" s="3292"/>
      <c r="C682" s="3292"/>
      <c r="D682" s="3292"/>
      <c r="E682" s="3291"/>
      <c r="F682" s="3293"/>
      <c r="G682" s="3291"/>
      <c r="H682" s="3289"/>
    </row>
    <row r="683" spans="1:8" ht="13.5">
      <c r="A683" s="3291"/>
      <c r="B683" s="3291"/>
      <c r="C683" s="3291"/>
      <c r="D683" s="3291"/>
      <c r="E683" s="3291"/>
      <c r="F683" s="3293"/>
      <c r="G683" s="3291"/>
      <c r="H683" s="3289"/>
    </row>
    <row r="684" spans="1:8" ht="13.5">
      <c r="A684" s="3294" t="s">
        <v>812</v>
      </c>
      <c r="B684" s="3295">
        <f>'Part IV-A-Uses of Funds'!$G$104</f>
        <v>0</v>
      </c>
      <c r="C684" s="3299"/>
      <c r="D684" s="3299"/>
      <c r="E684" s="3291"/>
      <c r="F684" s="3293"/>
      <c r="G684" s="3291"/>
      <c r="H684" s="3289"/>
    </row>
    <row r="685" spans="1:8" ht="13.5">
      <c r="A685" s="3288"/>
      <c r="B685" s="3288"/>
      <c r="C685" s="3288"/>
      <c r="D685" s="3288"/>
      <c r="E685" s="3288"/>
      <c r="F685" s="3293"/>
      <c r="G685" s="3297"/>
      <c r="H685" s="3289"/>
    </row>
    <row r="686" spans="1:8" ht="13.5">
      <c r="A686" s="3290" t="s">
        <v>4776</v>
      </c>
      <c r="B686" s="3291"/>
      <c r="C686" s="3291"/>
      <c r="D686" s="3291"/>
      <c r="E686" s="3291"/>
      <c r="F686" s="3291"/>
      <c r="G686" s="3291"/>
      <c r="H686" s="3289"/>
    </row>
    <row r="687" spans="1:8" ht="13.5" customHeight="1">
      <c r="A687" s="3292" t="str">
        <f>'Part IV-A-Uses of Funds'!$C$110</f>
        <v>Due Diligence Fees</v>
      </c>
      <c r="B687" s="3292"/>
      <c r="C687" s="3292"/>
      <c r="D687" s="3292"/>
      <c r="E687" s="3289"/>
      <c r="F687" s="3293" t="str">
        <f>'Part IV-B-Other Items'!F65</f>
        <v>These are 3rd party reports for the federal syndicator.  Stratford has agreed to rely upon the lender's reports so only $1,500 has been budgeted for reliance letter costs.</v>
      </c>
      <c r="G687" s="3291"/>
      <c r="H687" s="3289"/>
    </row>
    <row r="688" spans="1:8" ht="13.5">
      <c r="A688" s="3292"/>
      <c r="B688" s="3292"/>
      <c r="C688" s="3292"/>
      <c r="D688" s="3292"/>
      <c r="E688" s="3291"/>
      <c r="F688" s="3293"/>
      <c r="G688" s="3291"/>
      <c r="H688" s="3289"/>
    </row>
    <row r="689" spans="1:8" ht="13.5">
      <c r="A689" s="3291"/>
      <c r="B689" s="3291"/>
      <c r="C689" s="3291"/>
      <c r="D689" s="3291"/>
      <c r="E689" s="3291"/>
      <c r="F689" s="3293"/>
      <c r="G689" s="3291"/>
      <c r="H689" s="3289"/>
    </row>
    <row r="690" spans="1:8" ht="13.5">
      <c r="A690" s="3294" t="s">
        <v>812</v>
      </c>
      <c r="B690" s="3295">
        <f>'Part IV-A-Uses of Funds'!$G$110</f>
        <v>1500</v>
      </c>
      <c r="C690" s="3299"/>
      <c r="D690" s="3299"/>
      <c r="E690" s="3291"/>
      <c r="F690" s="3293"/>
      <c r="G690" s="3291"/>
      <c r="H690" s="3289"/>
    </row>
    <row r="691" spans="1:8" ht="13.5">
      <c r="A691" s="3291"/>
      <c r="B691" s="3296"/>
      <c r="C691" s="3291"/>
      <c r="D691" s="3291"/>
      <c r="E691" s="3291"/>
      <c r="F691" s="3293"/>
      <c r="G691" s="3297"/>
      <c r="H691" s="3289"/>
    </row>
    <row r="692" spans="1:8" ht="13.5">
      <c r="A692" s="3290" t="s">
        <v>752</v>
      </c>
      <c r="B692" s="3291"/>
      <c r="C692" s="3291"/>
      <c r="D692" s="3291"/>
      <c r="E692" s="3291"/>
      <c r="F692" s="3291"/>
      <c r="G692" s="3291"/>
      <c r="H692" s="3289"/>
    </row>
    <row r="693" spans="1:8" ht="13.5" customHeight="1">
      <c r="A693" s="3292" t="str">
        <f>'Part IV-A-Uses of Funds'!$C$125</f>
        <v>&lt;&lt; Enter description here; provide detail &amp; justification in tab Part IV-b &gt;&gt;</v>
      </c>
      <c r="B693" s="3292"/>
      <c r="C693" s="3292"/>
      <c r="D693" s="3292"/>
      <c r="E693" s="3289"/>
      <c r="F693" s="3293">
        <f>'Part IV-B-Other Items'!F71</f>
        <v>0</v>
      </c>
      <c r="G693" s="3291"/>
      <c r="H693" s="3293">
        <f>'Part IV-B-Other Items'!H71</f>
        <v>0</v>
      </c>
    </row>
    <row r="694" spans="1:8" ht="12.75" customHeight="1">
      <c r="A694" s="3292"/>
      <c r="B694" s="3292"/>
      <c r="C694" s="3292"/>
      <c r="D694" s="3292"/>
      <c r="E694" s="3291"/>
      <c r="F694" s="3293"/>
      <c r="G694" s="3291"/>
      <c r="H694" s="3293"/>
    </row>
    <row r="695" spans="1:8">
      <c r="A695" s="3291"/>
      <c r="B695" s="3291"/>
      <c r="C695" s="3291"/>
      <c r="D695" s="3291"/>
      <c r="E695" s="3291"/>
      <c r="F695" s="3293"/>
      <c r="G695" s="3291"/>
      <c r="H695" s="3293"/>
    </row>
    <row r="696" spans="1:8">
      <c r="A696" s="3294" t="s">
        <v>812</v>
      </c>
      <c r="B696" s="3295">
        <f>'Part IV-A-Uses of Funds'!$G$125</f>
        <v>0</v>
      </c>
      <c r="C696" s="3294" t="s">
        <v>776</v>
      </c>
      <c r="D696" s="3295">
        <f>'Part IV-A-Uses of Funds'!$J$125+'Part IV-A-Uses of Funds'!$M$125+'Part IV-A-Uses of Funds'!$P$125</f>
        <v>0</v>
      </c>
      <c r="E696" s="3291"/>
      <c r="F696" s="3293"/>
      <c r="G696" s="3291"/>
      <c r="H696" s="3293"/>
    </row>
    <row r="697" spans="1:8">
      <c r="A697" s="3291"/>
      <c r="B697" s="3296"/>
      <c r="C697" s="3291"/>
      <c r="D697" s="3291"/>
      <c r="E697" s="3291"/>
      <c r="F697" s="3293"/>
      <c r="G697" s="3297"/>
      <c r="H697" s="3293"/>
    </row>
    <row r="698" spans="1:8" ht="13.5">
      <c r="A698" s="3290" t="s">
        <v>4777</v>
      </c>
      <c r="B698" s="3296"/>
      <c r="C698" s="3291"/>
      <c r="D698" s="3291"/>
      <c r="E698" s="3291"/>
      <c r="F698" s="3291"/>
      <c r="G698" s="3297"/>
      <c r="H698" s="3289"/>
    </row>
    <row r="699" spans="1:8" ht="13.5" customHeight="1">
      <c r="A699" s="3292" t="str">
        <f>'Part IV-A-Uses of Funds'!$C$129</f>
        <v>&lt;&lt; Enter description here; provide detail &amp; justification in tab Part IV-b &gt;&gt;</v>
      </c>
      <c r="B699" s="3292"/>
      <c r="C699" s="3292"/>
      <c r="D699" s="3292"/>
      <c r="E699" s="3289"/>
      <c r="F699" s="3293">
        <f>'Part IV-B-Other Items'!F77</f>
        <v>0</v>
      </c>
      <c r="G699" s="3291"/>
      <c r="H699" s="3293">
        <f>'Part IV-B-Other Items'!H77</f>
        <v>0</v>
      </c>
    </row>
    <row r="700" spans="1:8" ht="12.75" customHeight="1">
      <c r="A700" s="3292"/>
      <c r="B700" s="3292"/>
      <c r="C700" s="3292"/>
      <c r="D700" s="3292"/>
      <c r="E700" s="3291"/>
      <c r="F700" s="3293"/>
      <c r="G700" s="3291"/>
      <c r="H700" s="3293"/>
    </row>
    <row r="701" spans="1:8">
      <c r="A701" s="3291"/>
      <c r="B701" s="3291"/>
      <c r="C701" s="3291"/>
      <c r="D701" s="3291"/>
      <c r="E701" s="3291"/>
      <c r="F701" s="3293"/>
      <c r="G701" s="3291"/>
      <c r="H701" s="3293"/>
    </row>
    <row r="702" spans="1:8">
      <c r="A702" s="3294" t="s">
        <v>812</v>
      </c>
      <c r="B702" s="3295">
        <f>'Part IV-A-Uses of Funds'!$G$129</f>
        <v>0</v>
      </c>
      <c r="C702" s="3294" t="s">
        <v>776</v>
      </c>
      <c r="D702" s="3295">
        <f>'Part IV-A-Uses of Funds'!$J$129+'Part IV-A-Uses of Funds'!$M$129+'Part IV-A-Uses of Funds'!$P$129</f>
        <v>0</v>
      </c>
      <c r="E702" s="3291"/>
      <c r="F702" s="3293"/>
      <c r="G702" s="3291"/>
      <c r="H702" s="3293"/>
    </row>
    <row r="703" spans="1:8" ht="13.5">
      <c r="A703" s="3289"/>
      <c r="B703" s="3289"/>
      <c r="C703" s="3289"/>
      <c r="D703" s="3291"/>
      <c r="E703" s="3295"/>
      <c r="F703" s="3293"/>
      <c r="G703" s="3297"/>
      <c r="H703" s="3293"/>
    </row>
    <row r="710" spans="1:13">
      <c r="A710" s="3300" t="str">
        <f>CONCATENATE("PART FIVE - UTILITY ALLOWANCES","  -  ",'Part I-Project Information'!$O$6," ",'Part I-Project Information'!$F$34,", ",'Part I-Project Information'!F747,", ",'Part I-Project Information'!J748," County")</f>
        <v>PART FIVE - UTILITY ALLOWANCES  -  2018-008 Mill at Stone Valley, ,  County</v>
      </c>
      <c r="B710" s="3300"/>
      <c r="C710" s="3300"/>
      <c r="D710" s="3300"/>
      <c r="E710" s="3300"/>
      <c r="F710" s="3300"/>
      <c r="G710" s="3300"/>
      <c r="H710" s="3300"/>
      <c r="I710" s="3300"/>
      <c r="J710" s="3300"/>
      <c r="K710" s="3300"/>
      <c r="L710" s="3300"/>
      <c r="M710" s="3300"/>
    </row>
    <row r="712" spans="1:13">
      <c r="F712" s="3300" t="s">
        <v>817</v>
      </c>
      <c r="I712" s="3301" t="str">
        <f>VLOOKUP('Part I-Project Information'!$J$39,'DCA Underwriting Assumptions'!$G$155:$H$314,2)</f>
        <v>North</v>
      </c>
    </row>
    <row r="714" spans="1:13">
      <c r="A714" s="3302" t="s">
        <v>818</v>
      </c>
    </row>
    <row r="716" spans="1:13" ht="25.5">
      <c r="A716" s="3303" t="s">
        <v>9</v>
      </c>
      <c r="B716" s="3303" t="s">
        <v>819</v>
      </c>
      <c r="F716" s="523" t="s">
        <v>820</v>
      </c>
      <c r="I716" s="3304" t="str">
        <f>'Part V-Utility Allowances'!I7</f>
        <v>DCA Northern Region</v>
      </c>
      <c r="J716" s="3304"/>
      <c r="K716" s="3304"/>
      <c r="L716" s="3304"/>
      <c r="M716" s="3304"/>
    </row>
    <row r="717" spans="1:13">
      <c r="A717" s="3303"/>
      <c r="F717" s="523" t="s">
        <v>822</v>
      </c>
      <c r="I717" s="3305">
        <f>'Part V-Utility Allowances'!I8</f>
        <v>43101</v>
      </c>
      <c r="J717" s="3305">
        <f>'Part V-Utility Allowances'!J8</f>
        <v>0</v>
      </c>
      <c r="K717" s="3306" t="s">
        <v>823</v>
      </c>
      <c r="L717" s="3198" t="str">
        <f>'Part V-Utility Allowances'!L8</f>
        <v>MF</v>
      </c>
      <c r="M717" s="3198">
        <f>'Part V-Utility Allowances'!M8</f>
        <v>0</v>
      </c>
    </row>
    <row r="718" spans="1:13">
      <c r="A718" s="3303"/>
    </row>
    <row r="719" spans="1:13">
      <c r="A719" s="3303"/>
      <c r="B719" s="3303"/>
      <c r="C719" s="3303"/>
      <c r="D719" s="3303"/>
      <c r="E719" s="3303"/>
      <c r="F719" s="3307" t="s">
        <v>825</v>
      </c>
      <c r="G719" s="3307"/>
      <c r="H719" s="3303"/>
      <c r="I719" s="3307" t="s">
        <v>826</v>
      </c>
      <c r="J719" s="3307"/>
      <c r="K719" s="3307"/>
      <c r="L719" s="3307"/>
      <c r="M719" s="3307"/>
    </row>
    <row r="720" spans="1:13">
      <c r="A720" s="3303"/>
      <c r="B720" s="3303" t="s">
        <v>827</v>
      </c>
      <c r="C720" s="3303"/>
      <c r="D720" s="3303" t="s">
        <v>828</v>
      </c>
      <c r="E720" s="3303"/>
      <c r="F720" s="3308" t="s">
        <v>829</v>
      </c>
      <c r="G720" s="3308" t="s">
        <v>830</v>
      </c>
      <c r="H720" s="3303"/>
      <c r="I720" s="3308" t="s">
        <v>831</v>
      </c>
      <c r="J720" s="3308">
        <v>1</v>
      </c>
      <c r="K720" s="3308">
        <v>2</v>
      </c>
      <c r="L720" s="3308">
        <v>3</v>
      </c>
      <c r="M720" s="3308">
        <v>4</v>
      </c>
    </row>
    <row r="721" spans="1:13">
      <c r="B721" s="523" t="s">
        <v>832</v>
      </c>
      <c r="D721" s="3198" t="str">
        <f>'Part V-Utility Allowances'!D12</f>
        <v>Electric Heat Pump</v>
      </c>
      <c r="E721" s="3198">
        <f>'Part V-Utility Allowances'!E12</f>
        <v>0</v>
      </c>
      <c r="F721" s="3309" t="str">
        <f>'Part V-Utility Allowances'!F12</f>
        <v>X</v>
      </c>
      <c r="G721" s="3309">
        <f>'Part V-Utility Allowances'!G12</f>
        <v>0</v>
      </c>
      <c r="I721" s="3306">
        <f>'Part V-Utility Allowances'!I12</f>
        <v>0</v>
      </c>
      <c r="J721" s="3306">
        <f>'Part V-Utility Allowances'!J12</f>
        <v>9</v>
      </c>
      <c r="K721" s="3306">
        <f>'Part V-Utility Allowances'!K12</f>
        <v>11</v>
      </c>
      <c r="L721" s="3306">
        <f>'Part V-Utility Allowances'!L12</f>
        <v>16</v>
      </c>
      <c r="M721" s="3306">
        <f>'Part V-Utility Allowances'!M12</f>
        <v>0</v>
      </c>
    </row>
    <row r="722" spans="1:13">
      <c r="B722" s="523" t="s">
        <v>836</v>
      </c>
      <c r="D722" s="3198" t="str">
        <f>'Part V-Utility Allowances'!D13</f>
        <v>Electric</v>
      </c>
      <c r="E722" s="3198">
        <f>'Part V-Utility Allowances'!E13</f>
        <v>0</v>
      </c>
      <c r="F722" s="3309" t="str">
        <f>'Part V-Utility Allowances'!F13</f>
        <v>X</v>
      </c>
      <c r="G722" s="3309">
        <f>'Part V-Utility Allowances'!G13</f>
        <v>0</v>
      </c>
      <c r="I722" s="3306">
        <f>'Part V-Utility Allowances'!I13</f>
        <v>0</v>
      </c>
      <c r="J722" s="3306">
        <f>'Part V-Utility Allowances'!J13</f>
        <v>8</v>
      </c>
      <c r="K722" s="3306">
        <f>'Part V-Utility Allowances'!K13</f>
        <v>10</v>
      </c>
      <c r="L722" s="3306">
        <f>'Part V-Utility Allowances'!L13</f>
        <v>12</v>
      </c>
      <c r="M722" s="3306">
        <f>'Part V-Utility Allowances'!M13</f>
        <v>0</v>
      </c>
    </row>
    <row r="723" spans="1:13">
      <c r="B723" s="523" t="s">
        <v>838</v>
      </c>
      <c r="D723" s="3198" t="str">
        <f>'Part V-Utility Allowances'!D14</f>
        <v>Electric</v>
      </c>
      <c r="E723" s="3198">
        <f>'Part V-Utility Allowances'!E14</f>
        <v>0</v>
      </c>
      <c r="F723" s="3309" t="str">
        <f>'Part V-Utility Allowances'!F14</f>
        <v>X</v>
      </c>
      <c r="G723" s="3309">
        <f>'Part V-Utility Allowances'!G14</f>
        <v>0</v>
      </c>
      <c r="I723" s="3306">
        <f>'Part V-Utility Allowances'!I14</f>
        <v>0</v>
      </c>
      <c r="J723" s="3306">
        <f>'Part V-Utility Allowances'!J14</f>
        <v>14</v>
      </c>
      <c r="K723" s="3306">
        <f>'Part V-Utility Allowances'!K14</f>
        <v>19</v>
      </c>
      <c r="L723" s="3306">
        <f>'Part V-Utility Allowances'!L14</f>
        <v>24</v>
      </c>
      <c r="M723" s="3306">
        <f>'Part V-Utility Allowances'!M14</f>
        <v>0</v>
      </c>
    </row>
    <row r="724" spans="1:13">
      <c r="B724" s="523" t="s">
        <v>839</v>
      </c>
      <c r="D724" s="523" t="s">
        <v>837</v>
      </c>
      <c r="F724" s="3309" t="str">
        <f>'Part V-Utility Allowances'!F15</f>
        <v>X</v>
      </c>
      <c r="G724" s="3309">
        <f>'Part V-Utility Allowances'!G15</f>
        <v>0</v>
      </c>
      <c r="I724" s="3306">
        <f>'Part V-Utility Allowances'!I15</f>
        <v>0</v>
      </c>
      <c r="J724" s="3306">
        <f>'Part V-Utility Allowances'!J15</f>
        <v>7</v>
      </c>
      <c r="K724" s="3306">
        <f>'Part V-Utility Allowances'!K15</f>
        <v>9</v>
      </c>
      <c r="L724" s="3306">
        <f>'Part V-Utility Allowances'!L15</f>
        <v>12</v>
      </c>
      <c r="M724" s="3306">
        <f>'Part V-Utility Allowances'!M15</f>
        <v>0</v>
      </c>
    </row>
    <row r="725" spans="1:13">
      <c r="B725" s="523" t="s">
        <v>840</v>
      </c>
      <c r="D725" s="523" t="s">
        <v>837</v>
      </c>
      <c r="F725" s="3309">
        <f>'Part V-Utility Allowances'!F16</f>
        <v>0</v>
      </c>
      <c r="G725" s="3309">
        <f>'Part V-Utility Allowances'!G16</f>
        <v>0</v>
      </c>
      <c r="I725" s="3306">
        <f>'Part V-Utility Allowances'!I16</f>
        <v>0</v>
      </c>
      <c r="J725" s="3306">
        <f>'Part V-Utility Allowances'!J16</f>
        <v>0</v>
      </c>
      <c r="K725" s="3306">
        <f>'Part V-Utility Allowances'!K16</f>
        <v>0</v>
      </c>
      <c r="L725" s="3306">
        <f>'Part V-Utility Allowances'!L16</f>
        <v>0</v>
      </c>
      <c r="M725" s="3306">
        <f>'Part V-Utility Allowances'!M16</f>
        <v>0</v>
      </c>
    </row>
    <row r="726" spans="1:13">
      <c r="B726" s="523" t="s">
        <v>841</v>
      </c>
      <c r="D726" s="523" t="s">
        <v>837</v>
      </c>
      <c r="F726" s="3309">
        <f>'Part V-Utility Allowances'!F17</f>
        <v>0</v>
      </c>
      <c r="G726" s="3309">
        <f>'Part V-Utility Allowances'!G17</f>
        <v>0</v>
      </c>
      <c r="I726" s="3306">
        <f>'Part V-Utility Allowances'!I17</f>
        <v>0</v>
      </c>
      <c r="J726" s="3306">
        <f>'Part V-Utility Allowances'!J17</f>
        <v>0</v>
      </c>
      <c r="K726" s="3306">
        <f>'Part V-Utility Allowances'!K17</f>
        <v>0</v>
      </c>
      <c r="L726" s="3306">
        <f>'Part V-Utility Allowances'!L17</f>
        <v>0</v>
      </c>
      <c r="M726" s="3306">
        <f>'Part V-Utility Allowances'!M17</f>
        <v>0</v>
      </c>
    </row>
    <row r="727" spans="1:13">
      <c r="B727" s="523" t="s">
        <v>842</v>
      </c>
      <c r="D727" s="523" t="s">
        <v>837</v>
      </c>
      <c r="F727" s="3309" t="str">
        <f>'Part V-Utility Allowances'!F18</f>
        <v>X</v>
      </c>
      <c r="G727" s="3309">
        <f>'Part V-Utility Allowances'!G18</f>
        <v>0</v>
      </c>
      <c r="I727" s="3306">
        <f>'Part V-Utility Allowances'!I18</f>
        <v>0</v>
      </c>
      <c r="J727" s="3306">
        <f>'Part V-Utility Allowances'!J18</f>
        <v>22</v>
      </c>
      <c r="K727" s="3306">
        <f>'Part V-Utility Allowances'!K18</f>
        <v>28</v>
      </c>
      <c r="L727" s="3306">
        <f>'Part V-Utility Allowances'!L18</f>
        <v>34</v>
      </c>
      <c r="M727" s="3306">
        <f>'Part V-Utility Allowances'!M18</f>
        <v>0</v>
      </c>
    </row>
    <row r="728" spans="1:13">
      <c r="B728" s="523" t="s">
        <v>843</v>
      </c>
      <c r="D728" s="523" t="s">
        <v>4609</v>
      </c>
      <c r="E728" s="3306" t="str">
        <f>'Part V-Utility Allowances'!E19</f>
        <v>Yes</v>
      </c>
      <c r="F728" s="3309" t="str">
        <f>'Part V-Utility Allowances'!F19</f>
        <v>X</v>
      </c>
      <c r="G728" s="3309">
        <f>'Part V-Utility Allowances'!G19</f>
        <v>0</v>
      </c>
      <c r="I728" s="3306">
        <f>'Part V-Utility Allowances'!I19</f>
        <v>0</v>
      </c>
      <c r="J728" s="3306">
        <f>'Part V-Utility Allowances'!J19</f>
        <v>43</v>
      </c>
      <c r="K728" s="3306">
        <f>'Part V-Utility Allowances'!K19</f>
        <v>51</v>
      </c>
      <c r="L728" s="3306">
        <f>'Part V-Utility Allowances'!L19</f>
        <v>63</v>
      </c>
      <c r="M728" s="3306">
        <f>'Part V-Utility Allowances'!M19</f>
        <v>0</v>
      </c>
    </row>
    <row r="729" spans="1:13">
      <c r="B729" s="523" t="s">
        <v>845</v>
      </c>
      <c r="F729" s="3309">
        <f>'Part V-Utility Allowances'!F20</f>
        <v>0</v>
      </c>
      <c r="G729" s="3309" t="str">
        <f>'Part V-Utility Allowances'!G20</f>
        <v>X</v>
      </c>
      <c r="I729" s="3306">
        <f>'Part V-Utility Allowances'!I20</f>
        <v>0</v>
      </c>
      <c r="J729" s="3306">
        <f>'Part V-Utility Allowances'!J20</f>
        <v>0</v>
      </c>
      <c r="K729" s="3306">
        <f>'Part V-Utility Allowances'!K20</f>
        <v>0</v>
      </c>
      <c r="L729" s="3306">
        <f>'Part V-Utility Allowances'!L20</f>
        <v>0</v>
      </c>
      <c r="M729" s="3306">
        <f>'Part V-Utility Allowances'!M20</f>
        <v>0</v>
      </c>
    </row>
    <row r="730" spans="1:13">
      <c r="B730" s="3303" t="s">
        <v>846</v>
      </c>
      <c r="F730" s="3306"/>
      <c r="G730" s="3306"/>
      <c r="I730" s="3308">
        <f>IF(SUM(I721:I729)=0,0,IF(OR($D721="&lt;&lt;Select Fuel &gt;&gt;",$D722="&lt;&lt;Select Fuel &gt;&gt;",$D723="&lt;&lt;Select Fuel &gt;&gt;"),"Select Fuel",IF($E728="&lt;Select&gt;","Submeter?",SUM(I721:I729))))</f>
        <v>0</v>
      </c>
      <c r="J730" s="3308">
        <f>IF(SUM(J721:J729)=0,0,IF(OR($D721="&lt;&lt;Select Fuel &gt;&gt;",$D722="&lt;&lt;Select Fuel &gt;&gt;",$D723="&lt;&lt;Select Fuel &gt;&gt;"),"Select Fuel",IF($E728="&lt;Select&gt;","Submeter?",SUM(J721:J729))))</f>
        <v>103</v>
      </c>
      <c r="K730" s="3308">
        <f>IF(SUM(K721:K729)=0,0,IF(OR($D721="&lt;&lt;Select Fuel &gt;&gt;",$D722="&lt;&lt;Select Fuel &gt;&gt;",$D723="&lt;&lt;Select Fuel &gt;&gt;"),"Select Fuel",IF($E728="&lt;Select&gt;","Submeter?",SUM(K721:K729))))</f>
        <v>128</v>
      </c>
      <c r="L730" s="3308">
        <f>IF(SUM(L721:L729)=0,0,IF(OR($D721="&lt;&lt;Select Fuel &gt;&gt;",$D722="&lt;&lt;Select Fuel &gt;&gt;",$D723="&lt;&lt;Select Fuel &gt;&gt;"),"Select Fuel",IF($E728="&lt;Select&gt;","Submeter?",SUM(L721:L729))))</f>
        <v>161</v>
      </c>
      <c r="M730" s="3308">
        <f>IF(SUM(M721:M729)=0,0,IF(OR($D721="&lt;&lt;Select Fuel &gt;&gt;",$D722="&lt;&lt;Select Fuel &gt;&gt;",$D723="&lt;&lt;Select Fuel &gt;&gt;"),"Select Fuel",IF($E728="&lt;Select&gt;","Submeter?",SUM(M721:M729))))</f>
        <v>0</v>
      </c>
    </row>
    <row r="732" spans="1:13">
      <c r="A732" s="3303" t="s">
        <v>13</v>
      </c>
      <c r="B732" s="3303" t="s">
        <v>847</v>
      </c>
      <c r="F732" s="523" t="s">
        <v>820</v>
      </c>
      <c r="I732" s="3304">
        <f>'Part V-Utility Allowances'!I23</f>
        <v>0</v>
      </c>
      <c r="J732" s="3304">
        <f>'Part V-Utility Allowances'!J23</f>
        <v>0</v>
      </c>
      <c r="K732" s="3304">
        <f>'Part V-Utility Allowances'!K23</f>
        <v>0</v>
      </c>
      <c r="L732" s="3304">
        <f>'Part V-Utility Allowances'!L23</f>
        <v>0</v>
      </c>
      <c r="M732" s="3304">
        <f>'Part V-Utility Allowances'!M23</f>
        <v>0</v>
      </c>
    </row>
    <row r="733" spans="1:13">
      <c r="A733" s="3303"/>
      <c r="B733" s="3303"/>
      <c r="F733" s="523" t="s">
        <v>822</v>
      </c>
      <c r="I733" s="3305">
        <f>'Part V-Utility Allowances'!I24</f>
        <v>0</v>
      </c>
      <c r="J733" s="3305">
        <f>'Part V-Utility Allowances'!J24</f>
        <v>0</v>
      </c>
      <c r="K733" s="3306" t="s">
        <v>823</v>
      </c>
      <c r="L733" s="3198">
        <f>'Part V-Utility Allowances'!L24</f>
        <v>0</v>
      </c>
      <c r="M733" s="3198">
        <f>'Part V-Utility Allowances'!M24</f>
        <v>0</v>
      </c>
    </row>
    <row r="734" spans="1:13">
      <c r="A734" s="3303"/>
    </row>
    <row r="735" spans="1:13">
      <c r="A735" s="3303"/>
      <c r="B735" s="3303"/>
      <c r="C735" s="3303"/>
      <c r="D735" s="3303"/>
      <c r="E735" s="3303"/>
      <c r="F735" s="3307" t="s">
        <v>825</v>
      </c>
      <c r="G735" s="3307"/>
      <c r="H735" s="3303"/>
      <c r="I735" s="3307" t="s">
        <v>826</v>
      </c>
      <c r="J735" s="3307"/>
      <c r="K735" s="3307"/>
      <c r="L735" s="3307"/>
      <c r="M735" s="3307"/>
    </row>
    <row r="736" spans="1:13">
      <c r="A736" s="3303"/>
      <c r="B736" s="3303" t="s">
        <v>827</v>
      </c>
      <c r="C736" s="3303"/>
      <c r="D736" s="3303" t="s">
        <v>828</v>
      </c>
      <c r="E736" s="3303"/>
      <c r="F736" s="3308" t="s">
        <v>829</v>
      </c>
      <c r="G736" s="3308" t="s">
        <v>830</v>
      </c>
      <c r="H736" s="3303"/>
      <c r="I736" s="3308" t="s">
        <v>831</v>
      </c>
      <c r="J736" s="3308">
        <v>1</v>
      </c>
      <c r="K736" s="3308">
        <v>2</v>
      </c>
      <c r="L736" s="3308">
        <v>3</v>
      </c>
      <c r="M736" s="3308">
        <v>4</v>
      </c>
    </row>
    <row r="737" spans="1:13">
      <c r="B737" s="523" t="s">
        <v>832</v>
      </c>
      <c r="D737" s="3198" t="str">
        <f>'Part V-Utility Allowances'!D28</f>
        <v>&lt;&lt;Select Fuel &gt;&gt;</v>
      </c>
      <c r="E737" s="3198">
        <f>'Part V-Utility Allowances'!E28</f>
        <v>0</v>
      </c>
      <c r="F737" s="3309">
        <f>'Part V-Utility Allowances'!F28</f>
        <v>0</v>
      </c>
      <c r="G737" s="3309">
        <f>'Part V-Utility Allowances'!G28</f>
        <v>0</v>
      </c>
      <c r="I737" s="3306">
        <f>'Part V-Utility Allowances'!I28</f>
        <v>0</v>
      </c>
      <c r="J737" s="3306">
        <f>'Part V-Utility Allowances'!J28</f>
        <v>0</v>
      </c>
      <c r="K737" s="3306">
        <f>'Part V-Utility Allowances'!K28</f>
        <v>0</v>
      </c>
      <c r="L737" s="3306">
        <f>'Part V-Utility Allowances'!L28</f>
        <v>0</v>
      </c>
      <c r="M737" s="3306">
        <f>'Part V-Utility Allowances'!M28</f>
        <v>0</v>
      </c>
    </row>
    <row r="738" spans="1:13">
      <c r="B738" s="523" t="s">
        <v>836</v>
      </c>
      <c r="D738" s="3198" t="str">
        <f>'Part V-Utility Allowances'!D29</f>
        <v>&lt;&lt;Select Fuel &gt;&gt;</v>
      </c>
      <c r="E738" s="3198">
        <f>'Part V-Utility Allowances'!E29</f>
        <v>0</v>
      </c>
      <c r="F738" s="3309">
        <f>'Part V-Utility Allowances'!F29</f>
        <v>0</v>
      </c>
      <c r="G738" s="3309">
        <f>'Part V-Utility Allowances'!G29</f>
        <v>0</v>
      </c>
      <c r="I738" s="3306">
        <f>'Part V-Utility Allowances'!I29</f>
        <v>0</v>
      </c>
      <c r="J738" s="3306">
        <f>'Part V-Utility Allowances'!J29</f>
        <v>0</v>
      </c>
      <c r="K738" s="3306">
        <f>'Part V-Utility Allowances'!K29</f>
        <v>0</v>
      </c>
      <c r="L738" s="3306">
        <f>'Part V-Utility Allowances'!L29</f>
        <v>0</v>
      </c>
      <c r="M738" s="3306">
        <f>'Part V-Utility Allowances'!M29</f>
        <v>0</v>
      </c>
    </row>
    <row r="739" spans="1:13">
      <c r="B739" s="523" t="s">
        <v>838</v>
      </c>
      <c r="D739" s="3198" t="str">
        <f>'Part V-Utility Allowances'!D30</f>
        <v>&lt;&lt;Select Fuel &gt;&gt;</v>
      </c>
      <c r="E739" s="3198">
        <f>'Part V-Utility Allowances'!E30</f>
        <v>0</v>
      </c>
      <c r="F739" s="3309">
        <f>'Part V-Utility Allowances'!F30</f>
        <v>0</v>
      </c>
      <c r="G739" s="3309">
        <f>'Part V-Utility Allowances'!G30</f>
        <v>0</v>
      </c>
      <c r="I739" s="3306">
        <f>'Part V-Utility Allowances'!I30</f>
        <v>0</v>
      </c>
      <c r="J739" s="3306">
        <f>'Part V-Utility Allowances'!J30</f>
        <v>0</v>
      </c>
      <c r="K739" s="3306">
        <f>'Part V-Utility Allowances'!K30</f>
        <v>0</v>
      </c>
      <c r="L739" s="3306">
        <f>'Part V-Utility Allowances'!L30</f>
        <v>0</v>
      </c>
      <c r="M739" s="3306">
        <f>'Part V-Utility Allowances'!M30</f>
        <v>0</v>
      </c>
    </row>
    <row r="740" spans="1:13">
      <c r="B740" s="523" t="s">
        <v>839</v>
      </c>
      <c r="D740" s="523" t="s">
        <v>837</v>
      </c>
      <c r="F740" s="3309">
        <f>'Part V-Utility Allowances'!F31</f>
        <v>0</v>
      </c>
      <c r="G740" s="3309">
        <f>'Part V-Utility Allowances'!G31</f>
        <v>0</v>
      </c>
      <c r="I740" s="3306">
        <f>'Part V-Utility Allowances'!I31</f>
        <v>0</v>
      </c>
      <c r="J740" s="3306">
        <f>'Part V-Utility Allowances'!J31</f>
        <v>0</v>
      </c>
      <c r="K740" s="3306">
        <f>'Part V-Utility Allowances'!K31</f>
        <v>0</v>
      </c>
      <c r="L740" s="3306">
        <f>'Part V-Utility Allowances'!L31</f>
        <v>0</v>
      </c>
      <c r="M740" s="3306">
        <f>'Part V-Utility Allowances'!M31</f>
        <v>0</v>
      </c>
    </row>
    <row r="741" spans="1:13">
      <c r="B741" s="523" t="s">
        <v>840</v>
      </c>
      <c r="D741" s="523" t="s">
        <v>837</v>
      </c>
      <c r="F741" s="3309">
        <f>'Part V-Utility Allowances'!F32</f>
        <v>0</v>
      </c>
      <c r="G741" s="3309">
        <f>'Part V-Utility Allowances'!G32</f>
        <v>0</v>
      </c>
      <c r="I741" s="3306">
        <f>'Part V-Utility Allowances'!I32</f>
        <v>0</v>
      </c>
      <c r="J741" s="3306">
        <f>'Part V-Utility Allowances'!J32</f>
        <v>0</v>
      </c>
      <c r="K741" s="3306">
        <f>'Part V-Utility Allowances'!K32</f>
        <v>0</v>
      </c>
      <c r="L741" s="3306">
        <f>'Part V-Utility Allowances'!L32</f>
        <v>0</v>
      </c>
      <c r="M741" s="3306">
        <f>'Part V-Utility Allowances'!M32</f>
        <v>0</v>
      </c>
    </row>
    <row r="742" spans="1:13">
      <c r="B742" s="523" t="s">
        <v>841</v>
      </c>
      <c r="D742" s="523" t="s">
        <v>837</v>
      </c>
      <c r="F742" s="3309">
        <f>'Part V-Utility Allowances'!F33</f>
        <v>0</v>
      </c>
      <c r="G742" s="3309">
        <f>'Part V-Utility Allowances'!G33</f>
        <v>0</v>
      </c>
      <c r="I742" s="3306">
        <f>'Part V-Utility Allowances'!I33</f>
        <v>0</v>
      </c>
      <c r="J742" s="3306">
        <f>'Part V-Utility Allowances'!J33</f>
        <v>0</v>
      </c>
      <c r="K742" s="3306">
        <f>'Part V-Utility Allowances'!K33</f>
        <v>0</v>
      </c>
      <c r="L742" s="3306">
        <f>'Part V-Utility Allowances'!L33</f>
        <v>0</v>
      </c>
      <c r="M742" s="3306">
        <f>'Part V-Utility Allowances'!M33</f>
        <v>0</v>
      </c>
    </row>
    <row r="743" spans="1:13">
      <c r="B743" s="523" t="s">
        <v>842</v>
      </c>
      <c r="D743" s="523" t="s">
        <v>837</v>
      </c>
      <c r="F743" s="3309">
        <f>'Part V-Utility Allowances'!F34</f>
        <v>0</v>
      </c>
      <c r="G743" s="3309">
        <f>'Part V-Utility Allowances'!G34</f>
        <v>0</v>
      </c>
      <c r="I743" s="3306">
        <f>'Part V-Utility Allowances'!I34</f>
        <v>0</v>
      </c>
      <c r="J743" s="3306">
        <f>'Part V-Utility Allowances'!J34</f>
        <v>0</v>
      </c>
      <c r="K743" s="3306">
        <f>'Part V-Utility Allowances'!K34</f>
        <v>0</v>
      </c>
      <c r="L743" s="3306">
        <f>'Part V-Utility Allowances'!L34</f>
        <v>0</v>
      </c>
      <c r="M743" s="3306">
        <f>'Part V-Utility Allowances'!M34</f>
        <v>0</v>
      </c>
    </row>
    <row r="744" spans="1:13">
      <c r="B744" s="523" t="s">
        <v>843</v>
      </c>
      <c r="D744" s="523" t="s">
        <v>4609</v>
      </c>
      <c r="E744" s="3306" t="str">
        <f>'Part V-Utility Allowances'!E35</f>
        <v>&lt;Select&gt;</v>
      </c>
      <c r="F744" s="3309">
        <f>'Part V-Utility Allowances'!F35</f>
        <v>0</v>
      </c>
      <c r="G744" s="3309">
        <f>'Part V-Utility Allowances'!G35</f>
        <v>0</v>
      </c>
      <c r="I744" s="3306">
        <f>'Part V-Utility Allowances'!I35</f>
        <v>0</v>
      </c>
      <c r="J744" s="3306">
        <f>'Part V-Utility Allowances'!J35</f>
        <v>0</v>
      </c>
      <c r="K744" s="3306">
        <f>'Part V-Utility Allowances'!K35</f>
        <v>0</v>
      </c>
      <c r="L744" s="3306">
        <f>'Part V-Utility Allowances'!L35</f>
        <v>0</v>
      </c>
      <c r="M744" s="3306">
        <f>'Part V-Utility Allowances'!M35</f>
        <v>0</v>
      </c>
    </row>
    <row r="745" spans="1:13">
      <c r="B745" s="523" t="s">
        <v>845</v>
      </c>
      <c r="F745" s="3309">
        <f>'Part V-Utility Allowances'!F36</f>
        <v>0</v>
      </c>
      <c r="G745" s="3309">
        <f>'Part V-Utility Allowances'!G36</f>
        <v>0</v>
      </c>
      <c r="I745" s="3306">
        <f>'Part V-Utility Allowances'!I36</f>
        <v>0</v>
      </c>
      <c r="J745" s="3306">
        <f>'Part V-Utility Allowances'!J36</f>
        <v>0</v>
      </c>
      <c r="K745" s="3306">
        <f>'Part V-Utility Allowances'!K36</f>
        <v>0</v>
      </c>
      <c r="L745" s="3306">
        <f>'Part V-Utility Allowances'!L36</f>
        <v>0</v>
      </c>
      <c r="M745" s="3306">
        <f>'Part V-Utility Allowances'!M36</f>
        <v>0</v>
      </c>
    </row>
    <row r="746" spans="1:13">
      <c r="B746" s="3303" t="s">
        <v>846</v>
      </c>
      <c r="F746" s="3306"/>
      <c r="G746" s="3306"/>
      <c r="I746" s="3308">
        <f>IF(SUM(I737:I745)=0,0,IF(OR($D737="&lt;&lt;Select Fuel &gt;&gt;",$D739="&lt;&lt;Select Fuel &gt;&gt;",$D740="&lt;&lt;Select Fuel &gt;&gt;"),"Select Fuel",IF($E744="&lt;Select&gt;","Submeter?",SUM(I737:I745))))</f>
        <v>0</v>
      </c>
      <c r="J746" s="3308">
        <f>IF(SUM(J737:J745)=0,0,IF(OR($D737="&lt;&lt;Select Fuel &gt;&gt;",$D739="&lt;&lt;Select Fuel &gt;&gt;",$D740="&lt;&lt;Select Fuel &gt;&gt;"),"Select Fuel",IF($E744="&lt;Select&gt;","Submeter?",SUM(J737:J745))))</f>
        <v>0</v>
      </c>
      <c r="K746" s="3308">
        <f>IF(SUM(K737:K745)=0,0,IF(OR($D737="&lt;&lt;Select Fuel &gt;&gt;",$D739="&lt;&lt;Select Fuel &gt;&gt;",$D740="&lt;&lt;Select Fuel &gt;&gt;"),"Select Fuel",IF($E744="&lt;Select&gt;","Submeter?",SUM(K737:K745))))</f>
        <v>0</v>
      </c>
      <c r="L746" s="3308">
        <f>IF(SUM(L737:L745)=0,0,IF(OR($D737="&lt;&lt;Select Fuel &gt;&gt;",$D739="&lt;&lt;Select Fuel &gt;&gt;",$D740="&lt;&lt;Select Fuel &gt;&gt;"),"Select Fuel",IF($E744="&lt;Select&gt;","Submeter?",SUM(L737:L745))))</f>
        <v>0</v>
      </c>
      <c r="M746" s="3308">
        <f>IF(SUM(M737:M745)=0,0,IF(OR($D737="&lt;&lt;Select Fuel &gt;&gt;",$D739="&lt;&lt;Select Fuel &gt;&gt;",$D740="&lt;&lt;Select Fuel &gt;&gt;"),"Select Fuel",IF($E744="&lt;Select&gt;","Submeter?",SUM(M737:M745))))</f>
        <v>0</v>
      </c>
    </row>
    <row r="748" spans="1:13">
      <c r="B748" s="943" t="s">
        <v>4610</v>
      </c>
      <c r="F748" s="3306"/>
      <c r="G748" s="3306"/>
      <c r="I748" s="3308"/>
      <c r="J748" s="3308"/>
      <c r="K748" s="3308"/>
      <c r="L748" s="3308"/>
      <c r="M748" s="3308"/>
    </row>
    <row r="749" spans="1:13">
      <c r="A749" s="3303"/>
      <c r="B749" s="3303" t="s">
        <v>259</v>
      </c>
    </row>
    <row r="750" spans="1:13" ht="204">
      <c r="B750" s="1086" t="str">
        <f>'Part V-Utility Allowances'!B41</f>
        <v>Utility allowances are taken directly from the DCA chart for the North region.  The project is all electric and residents will pay all utilities with the exception of refuse collections.</v>
      </c>
      <c r="C750" s="1086">
        <f>'Part V-Utility Allowances'!C41</f>
        <v>0</v>
      </c>
      <c r="D750" s="1086">
        <f>'Part V-Utility Allowances'!D41</f>
        <v>0</v>
      </c>
      <c r="E750" s="1086">
        <f>'Part V-Utility Allowances'!E41</f>
        <v>0</v>
      </c>
      <c r="F750" s="1086">
        <f>'Part V-Utility Allowances'!F41</f>
        <v>0</v>
      </c>
      <c r="G750" s="1086">
        <f>'Part V-Utility Allowances'!G41</f>
        <v>0</v>
      </c>
      <c r="H750" s="1086">
        <f>'Part V-Utility Allowances'!H41</f>
        <v>0</v>
      </c>
      <c r="I750" s="1086">
        <f>'Part V-Utility Allowances'!I41</f>
        <v>0</v>
      </c>
      <c r="J750" s="1086">
        <f>'Part V-Utility Allowances'!J41</f>
        <v>0</v>
      </c>
      <c r="K750" s="1086">
        <f>'Part V-Utility Allowances'!K41</f>
        <v>0</v>
      </c>
      <c r="L750" s="1086">
        <f>'Part V-Utility Allowances'!L41</f>
        <v>0</v>
      </c>
      <c r="M750" s="1086">
        <f>'Part V-Utility Allowances'!M41</f>
        <v>0</v>
      </c>
    </row>
    <row r="752" spans="1:13">
      <c r="A752" s="3303"/>
      <c r="B752" s="3303" t="s">
        <v>851</v>
      </c>
    </row>
    <row r="753" spans="1:277">
      <c r="B753" s="1086">
        <f>'Part V-Utility Allowances'!B44</f>
        <v>0</v>
      </c>
      <c r="C753" s="1086">
        <f>'Part V-Utility Allowances'!C44</f>
        <v>0</v>
      </c>
      <c r="D753" s="1086">
        <f>'Part V-Utility Allowances'!D44</f>
        <v>0</v>
      </c>
      <c r="E753" s="1086">
        <f>'Part V-Utility Allowances'!E44</f>
        <v>0</v>
      </c>
      <c r="F753" s="1086">
        <f>'Part V-Utility Allowances'!F44</f>
        <v>0</v>
      </c>
      <c r="G753" s="1086">
        <f>'Part V-Utility Allowances'!G44</f>
        <v>0</v>
      </c>
      <c r="H753" s="1086">
        <f>'Part V-Utility Allowances'!H44</f>
        <v>0</v>
      </c>
      <c r="I753" s="1086">
        <f>'Part V-Utility Allowances'!I44</f>
        <v>0</v>
      </c>
      <c r="J753" s="1086">
        <f>'Part V-Utility Allowances'!J44</f>
        <v>0</v>
      </c>
      <c r="K753" s="1086">
        <f>'Part V-Utility Allowances'!K44</f>
        <v>0</v>
      </c>
      <c r="L753" s="1086">
        <f>'Part V-Utility Allowances'!L44</f>
        <v>0</v>
      </c>
      <c r="M753" s="1086">
        <f>'Part V-Utility Allowances'!M44</f>
        <v>0</v>
      </c>
    </row>
    <row r="758" spans="1:277" s="3111" customFormat="1" ht="13.9" customHeight="1">
      <c r="A758" s="3300" t="str">
        <f>CONCATENATE("PART SIX - PROJECTED REVENUES &amp; EXPENSES","  -  ",'Part I-Project Information'!$O$6," ",'Part I-Project Information'!$F$34,", ",'Part I-Project Information'!F795,", ",'Part I-Project Information'!J796," County")</f>
        <v>PART SIX - PROJECTED REVENUES &amp; EXPENSES  -  2018-008 Mill at Stone Valley, ,  County</v>
      </c>
      <c r="B758" s="3300"/>
      <c r="C758" s="3300"/>
      <c r="D758" s="3300"/>
      <c r="E758" s="3300"/>
      <c r="F758" s="3300"/>
      <c r="G758" s="3300"/>
      <c r="H758" s="3300"/>
      <c r="I758" s="3300"/>
      <c r="J758" s="3300"/>
      <c r="K758" s="3300"/>
      <c r="L758" s="3300"/>
      <c r="M758" s="3300"/>
      <c r="N758" s="3300"/>
      <c r="O758" s="3300"/>
      <c r="P758" s="3300"/>
      <c r="U758" s="3300" t="str">
        <f>A758</f>
        <v>PART SIX - PROJECTED REVENUES &amp; EXPENSES  -  2018-008 Mill at Stone Valley, ,  County</v>
      </c>
      <c r="V758" s="3300"/>
      <c r="EU758" s="3310"/>
      <c r="EV758" s="3310"/>
      <c r="EW758" s="3310"/>
      <c r="EX758" s="3310"/>
      <c r="EY758" s="3310"/>
      <c r="EZ758" s="3310"/>
      <c r="FA758" s="3310"/>
      <c r="FB758" s="3310"/>
      <c r="FC758" s="3310"/>
      <c r="FD758" s="3310"/>
      <c r="FE758" s="3310"/>
      <c r="FF758" s="3310"/>
      <c r="FG758" s="3310"/>
      <c r="FH758" s="3310"/>
      <c r="FI758" s="3310"/>
      <c r="FJ758" s="3310"/>
      <c r="FK758" s="3310"/>
      <c r="FL758" s="3310"/>
      <c r="FM758" s="3310"/>
      <c r="FN758" s="3310"/>
      <c r="FO758" s="3310"/>
      <c r="FP758" s="3310"/>
      <c r="FQ758" s="3310"/>
      <c r="FR758" s="3310"/>
      <c r="FS758" s="3310"/>
      <c r="FT758" s="3310"/>
      <c r="FU758" s="3310"/>
      <c r="FV758" s="3310"/>
      <c r="FW758" s="3310"/>
      <c r="FX758" s="3310"/>
      <c r="FY758" s="3310"/>
      <c r="FZ758" s="3310"/>
      <c r="GA758" s="3310"/>
      <c r="GB758" s="3310"/>
      <c r="GC758" s="3310"/>
      <c r="GD758" s="3310"/>
      <c r="GE758" s="3310"/>
      <c r="GF758" s="3310"/>
      <c r="GG758" s="3310"/>
      <c r="GH758" s="3310"/>
      <c r="GI758" s="3310"/>
      <c r="GJ758" s="3310"/>
      <c r="GK758" s="3310"/>
      <c r="GL758" s="3310"/>
      <c r="GM758" s="3310"/>
      <c r="GN758" s="3310"/>
      <c r="GO758" s="3310"/>
      <c r="GP758" s="3310"/>
      <c r="GQ758" s="3310"/>
      <c r="GR758" s="3310"/>
      <c r="GS758" s="3310"/>
      <c r="GT758" s="3310"/>
      <c r="GU758" s="3310"/>
      <c r="GV758" s="3310"/>
      <c r="GW758" s="3310"/>
      <c r="GX758" s="3310"/>
      <c r="GY758" s="3310"/>
      <c r="GZ758" s="3310"/>
      <c r="HA758" s="3310"/>
      <c r="HB758" s="3310"/>
      <c r="HC758" s="3310"/>
      <c r="HD758" s="3310"/>
      <c r="HE758" s="3310"/>
      <c r="HF758" s="3310"/>
      <c r="HG758" s="3310"/>
      <c r="HH758" s="3310"/>
      <c r="HI758" s="3310"/>
      <c r="HJ758" s="3310"/>
      <c r="HK758" s="3310"/>
      <c r="HL758" s="3310"/>
      <c r="HO758" s="3310"/>
      <c r="HP758" s="3310"/>
      <c r="HQ758" s="3310"/>
      <c r="HV758" s="3300"/>
      <c r="IA758" s="3300"/>
    </row>
    <row r="759" spans="1:277" ht="6" customHeight="1">
      <c r="W759" s="1087"/>
      <c r="X759" s="1087"/>
      <c r="Y759" s="1087"/>
      <c r="Z759" s="1087"/>
      <c r="AA759" s="1087"/>
      <c r="AB759" s="1087"/>
      <c r="AC759" s="1087"/>
      <c r="AD759" s="1087"/>
      <c r="AE759" s="1087"/>
      <c r="AF759" s="1087"/>
      <c r="AG759" s="1087"/>
      <c r="AH759" s="1087"/>
      <c r="AI759" s="1087"/>
      <c r="AJ759" s="1087"/>
      <c r="AK759" s="1087"/>
      <c r="AL759" s="1087"/>
      <c r="AM759" s="1087"/>
      <c r="AN759" s="1087"/>
      <c r="AO759" s="1087"/>
      <c r="AP759" s="1087"/>
      <c r="AQ759" s="1087"/>
      <c r="AR759" s="1087"/>
      <c r="AS759" s="1087"/>
      <c r="AT759" s="1087"/>
      <c r="AU759" s="1087"/>
      <c r="AV759" s="1087"/>
      <c r="AW759" s="1087"/>
      <c r="AX759" s="1087"/>
      <c r="AY759" s="1087"/>
      <c r="AZ759" s="1087"/>
      <c r="BA759" s="1087"/>
      <c r="BB759" s="1087"/>
      <c r="BC759" s="1087"/>
      <c r="BD759" s="1087"/>
      <c r="BE759" s="1087"/>
      <c r="BF759" s="1087"/>
      <c r="BG759" s="1087"/>
      <c r="BH759" s="1087"/>
      <c r="BI759" s="1087"/>
      <c r="BJ759" s="1087"/>
      <c r="BK759" s="1087"/>
      <c r="BL759" s="1087"/>
      <c r="BM759" s="1087"/>
      <c r="BN759" s="1087"/>
      <c r="BO759" s="1087"/>
      <c r="BP759" s="1087"/>
      <c r="BQ759" s="1087"/>
      <c r="BR759" s="1087"/>
      <c r="BS759" s="1087"/>
      <c r="BT759" s="1087"/>
      <c r="BU759" s="1087"/>
      <c r="BV759" s="1087"/>
      <c r="BW759" s="1087"/>
      <c r="BX759" s="1087"/>
      <c r="BY759" s="1087"/>
      <c r="BZ759" s="1087"/>
      <c r="CA759" s="1087"/>
      <c r="CB759" s="1087"/>
      <c r="CC759" s="1087"/>
      <c r="CD759" s="1087"/>
      <c r="CE759" s="1087"/>
      <c r="CF759" s="1087"/>
      <c r="CG759" s="1087"/>
      <c r="CH759" s="1087"/>
      <c r="CI759" s="1087"/>
      <c r="CJ759" s="1087"/>
      <c r="CK759" s="1087"/>
      <c r="CL759" s="1087"/>
      <c r="CM759" s="1087"/>
      <c r="CN759" s="1087"/>
      <c r="CO759" s="1087"/>
      <c r="CP759" s="1087"/>
      <c r="CQ759" s="1087"/>
      <c r="CR759" s="1087"/>
      <c r="CS759" s="1087"/>
      <c r="CT759" s="1087"/>
      <c r="CU759" s="1087"/>
      <c r="CV759" s="1087"/>
      <c r="CW759" s="1087"/>
      <c r="CX759" s="1087"/>
      <c r="CY759" s="1087"/>
      <c r="CZ759" s="1087"/>
      <c r="DA759" s="1087"/>
      <c r="DB759" s="1087"/>
      <c r="DC759" s="1087"/>
      <c r="DD759" s="1087"/>
      <c r="DE759" s="1087"/>
      <c r="DF759" s="1087"/>
      <c r="DG759" s="1087"/>
      <c r="DH759" s="1087"/>
      <c r="DI759" s="1087"/>
      <c r="DJ759" s="1087"/>
      <c r="DK759" s="1087"/>
      <c r="DL759" s="1087"/>
      <c r="DM759" s="1087"/>
      <c r="DN759" s="1087"/>
      <c r="DO759" s="1087"/>
      <c r="DP759" s="1087"/>
      <c r="DQ759" s="1087"/>
      <c r="DR759" s="1087"/>
      <c r="DS759" s="1087"/>
      <c r="DT759" s="1087"/>
      <c r="DU759" s="1087"/>
      <c r="DV759" s="1087"/>
      <c r="DW759" s="1087"/>
      <c r="DX759" s="1087"/>
      <c r="DY759" s="1087"/>
      <c r="DZ759" s="1087"/>
      <c r="EA759" s="1087"/>
      <c r="EB759" s="1087"/>
      <c r="EC759" s="1087"/>
      <c r="ED759" s="1087"/>
      <c r="EE759" s="1087"/>
      <c r="EF759" s="1087"/>
      <c r="EG759" s="1087"/>
      <c r="EH759" s="1087"/>
      <c r="EI759" s="1087"/>
      <c r="EJ759" s="1087"/>
      <c r="EK759" s="1087"/>
      <c r="EL759" s="1087"/>
      <c r="EM759" s="1087"/>
      <c r="EN759" s="1087"/>
      <c r="EO759" s="1087"/>
      <c r="EP759" s="1087"/>
      <c r="EQ759" s="1087"/>
      <c r="ER759" s="1087"/>
      <c r="ES759" s="1087"/>
      <c r="ET759" s="1087"/>
      <c r="EU759" s="1087"/>
      <c r="EV759" s="1087"/>
      <c r="EW759" s="3311"/>
      <c r="EX759" s="3311"/>
      <c r="EY759" s="3311"/>
      <c r="EZ759" s="3311"/>
      <c r="FA759" s="3311"/>
      <c r="FB759" s="3311"/>
      <c r="FC759" s="3311"/>
      <c r="FD759" s="3311"/>
      <c r="FE759" s="3311"/>
      <c r="FF759" s="3311"/>
      <c r="FG759" s="3311"/>
      <c r="FH759" s="3311"/>
      <c r="FI759" s="3311"/>
      <c r="FJ759" s="3311"/>
      <c r="FK759" s="3311"/>
      <c r="FL759" s="3311"/>
      <c r="FM759" s="3311"/>
      <c r="FN759" s="3311"/>
      <c r="FO759" s="3311"/>
      <c r="FP759" s="3311"/>
      <c r="FQ759" s="3311"/>
      <c r="FR759" s="3311"/>
      <c r="FS759" s="3311"/>
      <c r="FT759" s="3311"/>
      <c r="FU759" s="3311"/>
      <c r="FV759" s="3311"/>
      <c r="FW759" s="3311"/>
      <c r="FX759" s="3311"/>
      <c r="FY759" s="3311"/>
      <c r="FZ759" s="3311"/>
      <c r="GA759" s="3311"/>
      <c r="GB759" s="3311"/>
      <c r="GC759" s="3311"/>
      <c r="GD759" s="3311"/>
      <c r="GE759" s="3311"/>
      <c r="GF759" s="3311"/>
      <c r="GG759" s="3311"/>
      <c r="GH759" s="3311"/>
      <c r="GI759" s="3311"/>
      <c r="GJ759" s="3311"/>
      <c r="GK759" s="3311"/>
      <c r="GL759" s="3311"/>
      <c r="GM759" s="3311"/>
      <c r="GN759" s="3311"/>
      <c r="GO759" s="3311"/>
      <c r="GP759" s="3311"/>
      <c r="GQ759" s="3311"/>
      <c r="GR759" s="3311"/>
      <c r="GS759" s="3311"/>
      <c r="GT759" s="3311"/>
      <c r="GU759" s="3311"/>
      <c r="GV759" s="3311"/>
      <c r="GW759" s="3311"/>
      <c r="GX759" s="3311"/>
      <c r="GY759" s="3311"/>
      <c r="GZ759" s="3311"/>
      <c r="HA759" s="3311"/>
      <c r="HB759" s="3311"/>
      <c r="HC759" s="3311"/>
      <c r="HD759" s="3311"/>
      <c r="HE759" s="3311"/>
      <c r="HF759" s="3311"/>
      <c r="HG759" s="3311"/>
      <c r="HH759" s="3311"/>
      <c r="HI759" s="3311"/>
      <c r="HJ759" s="3311"/>
      <c r="HK759" s="3311"/>
      <c r="HL759" s="3311"/>
      <c r="HM759" s="3311"/>
      <c r="HN759" s="3311"/>
      <c r="HO759" s="3311"/>
      <c r="HP759" s="3311"/>
      <c r="HQ759" s="3311"/>
      <c r="HR759" s="3311"/>
      <c r="HS759" s="3311"/>
      <c r="HT759" s="1087"/>
      <c r="HU759" s="1087"/>
      <c r="HV759" s="1087"/>
      <c r="HW759" s="1087"/>
      <c r="HX759" s="1087"/>
      <c r="HY759" s="1087"/>
      <c r="HZ759" s="1087"/>
      <c r="IA759" s="1087"/>
      <c r="IB759" s="1087"/>
      <c r="IC759" s="1087"/>
      <c r="II759" s="1087"/>
      <c r="IJ759" s="1087"/>
      <c r="IK759" s="1087"/>
      <c r="IL759" s="1087"/>
      <c r="IM759" s="1087"/>
      <c r="IN759" s="1087"/>
      <c r="IO759" s="1087"/>
      <c r="IP759" s="1087"/>
      <c r="IQ759" s="1087"/>
      <c r="IR759" s="1087"/>
      <c r="IS759" s="1087"/>
      <c r="IT759" s="1087"/>
      <c r="IU759" s="1087"/>
      <c r="IV759" s="1087"/>
      <c r="IW759" s="1087"/>
      <c r="IX759" s="1087"/>
      <c r="IY759" s="1087"/>
      <c r="IZ759" s="1087"/>
      <c r="JA759" s="1087"/>
      <c r="JB759" s="1087"/>
    </row>
    <row r="760" spans="1:277" s="3111" customFormat="1" ht="12.6" customHeight="1">
      <c r="A760" s="3300" t="s">
        <v>9</v>
      </c>
      <c r="B760" s="3300" t="s">
        <v>852</v>
      </c>
      <c r="D760" s="3113" t="s">
        <v>853</v>
      </c>
      <c r="G760" s="3300"/>
      <c r="H760" s="3300"/>
      <c r="I760" s="3300"/>
      <c r="J760" s="3300"/>
      <c r="K760" s="3300"/>
      <c r="L760" s="3300"/>
      <c r="S760" s="3300"/>
      <c r="T760" s="3300"/>
      <c r="U760" s="3300" t="str">
        <f>B760</f>
        <v>RENT SCHEDULE</v>
      </c>
      <c r="W760" s="3312"/>
      <c r="X760" s="3312"/>
      <c r="Y760" s="3312"/>
      <c r="Z760" s="3312"/>
      <c r="AA760" s="3312"/>
      <c r="AB760" s="3312"/>
      <c r="AC760" s="3312"/>
      <c r="AD760" s="3312"/>
      <c r="AE760" s="3312"/>
      <c r="AF760" s="3312"/>
      <c r="AG760" s="3312"/>
      <c r="AH760" s="3312"/>
      <c r="AI760" s="3312"/>
      <c r="AJ760" s="3312"/>
      <c r="AK760" s="3312"/>
      <c r="AL760" s="3312"/>
      <c r="AM760" s="3312"/>
      <c r="AN760" s="3312"/>
      <c r="AO760" s="3312"/>
      <c r="AP760" s="3312"/>
      <c r="AQ760" s="3312"/>
      <c r="AR760" s="3312"/>
      <c r="AS760" s="3312"/>
      <c r="AT760" s="3312"/>
      <c r="AU760" s="3312"/>
      <c r="AV760" s="3312"/>
      <c r="AW760" s="3312"/>
      <c r="AX760" s="3312"/>
      <c r="AY760" s="3312"/>
      <c r="AZ760" s="3312"/>
      <c r="BA760" s="3312"/>
      <c r="BB760" s="3312"/>
      <c r="BC760" s="3312"/>
      <c r="BD760" s="3312"/>
      <c r="BE760" s="3312"/>
      <c r="BF760" s="3312"/>
      <c r="BG760" s="3312"/>
      <c r="BH760" s="3312"/>
      <c r="BI760" s="3312"/>
      <c r="BJ760" s="3312"/>
      <c r="BK760" s="3312"/>
      <c r="BL760" s="3312"/>
      <c r="BM760" s="3312"/>
      <c r="BN760" s="3312"/>
      <c r="BO760" s="3312"/>
      <c r="BP760" s="3312"/>
      <c r="BQ760" s="3312"/>
      <c r="BR760" s="3312"/>
      <c r="BS760" s="3312"/>
      <c r="BT760" s="3312"/>
      <c r="BU760" s="3312"/>
      <c r="BV760" s="3312"/>
      <c r="BW760" s="3312"/>
      <c r="BX760" s="3312"/>
      <c r="BY760" s="3312"/>
      <c r="BZ760" s="3312"/>
      <c r="CA760" s="3312"/>
      <c r="CB760" s="3312"/>
      <c r="CC760" s="3312"/>
      <c r="CD760" s="3312"/>
      <c r="CE760" s="3312"/>
      <c r="CF760" s="3312"/>
      <c r="CG760" s="3312"/>
      <c r="CH760" s="3312"/>
      <c r="CI760" s="3312"/>
      <c r="CJ760" s="3312"/>
      <c r="CK760" s="3312"/>
      <c r="CL760" s="3312"/>
      <c r="CM760" s="3312"/>
      <c r="CN760" s="3312"/>
      <c r="CO760" s="3312"/>
      <c r="CP760" s="3312"/>
      <c r="CQ760" s="3312"/>
      <c r="CR760" s="3312"/>
      <c r="CS760" s="3312"/>
      <c r="CT760" s="3312"/>
      <c r="CU760" s="3312"/>
      <c r="CV760" s="3312"/>
      <c r="CW760" s="3312"/>
      <c r="CX760" s="3312"/>
      <c r="CY760" s="3312"/>
      <c r="CZ760" s="3312"/>
      <c r="DA760" s="3312"/>
      <c r="DB760" s="3312"/>
      <c r="DC760" s="3312"/>
      <c r="DD760" s="3312"/>
      <c r="DE760" s="3312"/>
      <c r="DF760" s="3312"/>
      <c r="DG760" s="3312"/>
      <c r="DH760" s="3312"/>
      <c r="DI760" s="3312"/>
      <c r="DJ760" s="3312"/>
      <c r="DK760" s="3312"/>
      <c r="DL760" s="3312"/>
      <c r="DM760" s="3312"/>
      <c r="DN760" s="3312"/>
      <c r="DO760" s="3312"/>
      <c r="DP760" s="3312"/>
      <c r="DQ760" s="3312"/>
      <c r="DR760" s="3312"/>
      <c r="DS760" s="3312"/>
      <c r="DT760" s="3312"/>
      <c r="DU760" s="3312"/>
      <c r="DV760" s="3312"/>
      <c r="DW760" s="3312"/>
      <c r="DX760" s="3312"/>
      <c r="DY760" s="3312"/>
      <c r="DZ760" s="3312"/>
      <c r="EA760" s="3312"/>
      <c r="EB760" s="3312"/>
      <c r="EC760" s="3312"/>
      <c r="ED760" s="3312"/>
      <c r="EE760" s="3312"/>
      <c r="EF760" s="3312"/>
      <c r="EG760" s="3312"/>
      <c r="EH760" s="3312"/>
      <c r="EI760" s="3312"/>
      <c r="EJ760" s="3312"/>
      <c r="EK760" s="3312"/>
      <c r="EL760" s="3312"/>
      <c r="EM760" s="3312"/>
      <c r="EN760" s="3312"/>
      <c r="EO760" s="3312"/>
      <c r="EP760" s="3312"/>
      <c r="EQ760" s="3312"/>
      <c r="ER760" s="3312"/>
      <c r="ES760" s="3312"/>
      <c r="ET760" s="3312"/>
      <c r="EU760" s="3312"/>
      <c r="EV760" s="3312"/>
      <c r="EW760" s="3313"/>
      <c r="EX760" s="3313"/>
      <c r="EY760" s="3313"/>
      <c r="EZ760" s="3313"/>
      <c r="FA760" s="3313"/>
      <c r="FB760" s="3311" t="s">
        <v>854</v>
      </c>
      <c r="FC760" s="3311" t="s">
        <v>855</v>
      </c>
      <c r="FD760" s="3311" t="s">
        <v>856</v>
      </c>
      <c r="FE760" s="3311" t="s">
        <v>857</v>
      </c>
      <c r="FF760" s="3311" t="s">
        <v>858</v>
      </c>
      <c r="FG760" s="3311" t="s">
        <v>854</v>
      </c>
      <c r="FH760" s="3311" t="s">
        <v>855</v>
      </c>
      <c r="FI760" s="3311" t="s">
        <v>856</v>
      </c>
      <c r="FJ760" s="3311" t="s">
        <v>857</v>
      </c>
      <c r="FK760" s="3311" t="s">
        <v>858</v>
      </c>
      <c r="FL760" s="3313"/>
      <c r="FM760" s="3313"/>
      <c r="FN760" s="3313"/>
      <c r="FO760" s="3313"/>
      <c r="FP760" s="3313"/>
      <c r="FQ760" s="3313"/>
      <c r="FR760" s="3313"/>
      <c r="FS760" s="3313"/>
      <c r="FT760" s="3313"/>
      <c r="FU760" s="3313"/>
      <c r="FV760" s="3311" t="s">
        <v>854</v>
      </c>
      <c r="FW760" s="3311" t="s">
        <v>855</v>
      </c>
      <c r="FX760" s="3311" t="s">
        <v>856</v>
      </c>
      <c r="FY760" s="3311" t="s">
        <v>857</v>
      </c>
      <c r="FZ760" s="3311" t="s">
        <v>858</v>
      </c>
      <c r="GA760" s="3311" t="s">
        <v>854</v>
      </c>
      <c r="GB760" s="3311" t="s">
        <v>855</v>
      </c>
      <c r="GC760" s="3311" t="s">
        <v>856</v>
      </c>
      <c r="GD760" s="3311" t="s">
        <v>857</v>
      </c>
      <c r="GE760" s="3311" t="s">
        <v>858</v>
      </c>
      <c r="GF760" s="3311" t="s">
        <v>854</v>
      </c>
      <c r="GG760" s="3311" t="s">
        <v>855</v>
      </c>
      <c r="GH760" s="3311" t="s">
        <v>856</v>
      </c>
      <c r="GI760" s="3311" t="s">
        <v>857</v>
      </c>
      <c r="GJ760" s="3311" t="s">
        <v>858</v>
      </c>
      <c r="GK760" s="3311" t="s">
        <v>854</v>
      </c>
      <c r="GL760" s="3311" t="s">
        <v>855</v>
      </c>
      <c r="GM760" s="3311" t="s">
        <v>856</v>
      </c>
      <c r="GN760" s="3311" t="s">
        <v>857</v>
      </c>
      <c r="GO760" s="3311" t="s">
        <v>858</v>
      </c>
      <c r="GP760" s="3311" t="s">
        <v>854</v>
      </c>
      <c r="GQ760" s="3311" t="s">
        <v>855</v>
      </c>
      <c r="GR760" s="3311" t="s">
        <v>856</v>
      </c>
      <c r="GS760" s="3311" t="s">
        <v>857</v>
      </c>
      <c r="GT760" s="3311" t="s">
        <v>858</v>
      </c>
      <c r="GU760" s="3311" t="s">
        <v>854</v>
      </c>
      <c r="GV760" s="3311" t="s">
        <v>855</v>
      </c>
      <c r="GW760" s="3311" t="s">
        <v>856</v>
      </c>
      <c r="GX760" s="3311" t="s">
        <v>857</v>
      </c>
      <c r="GY760" s="3311" t="s">
        <v>858</v>
      </c>
      <c r="GZ760" s="3311" t="s">
        <v>854</v>
      </c>
      <c r="HA760" s="3311" t="s">
        <v>855</v>
      </c>
      <c r="HB760" s="3311" t="s">
        <v>856</v>
      </c>
      <c r="HC760" s="3311" t="s">
        <v>857</v>
      </c>
      <c r="HD760" s="3311" t="s">
        <v>858</v>
      </c>
      <c r="HE760" s="3311" t="s">
        <v>854</v>
      </c>
      <c r="HF760" s="3311" t="s">
        <v>855</v>
      </c>
      <c r="HG760" s="3311" t="s">
        <v>856</v>
      </c>
      <c r="HH760" s="3311" t="s">
        <v>857</v>
      </c>
      <c r="HI760" s="3311" t="s">
        <v>858</v>
      </c>
      <c r="HJ760" s="3311" t="s">
        <v>854</v>
      </c>
      <c r="HK760" s="3311" t="s">
        <v>855</v>
      </c>
      <c r="HL760" s="3311" t="s">
        <v>856</v>
      </c>
      <c r="HM760" s="3311" t="s">
        <v>857</v>
      </c>
      <c r="HN760" s="3311" t="s">
        <v>858</v>
      </c>
      <c r="HO760" s="3311" t="s">
        <v>854</v>
      </c>
      <c r="HP760" s="3311" t="s">
        <v>855</v>
      </c>
      <c r="HQ760" s="3311" t="s">
        <v>856</v>
      </c>
      <c r="HR760" s="3311" t="s">
        <v>857</v>
      </c>
      <c r="HS760" s="3311" t="s">
        <v>858</v>
      </c>
      <c r="HT760" s="3311" t="s">
        <v>854</v>
      </c>
      <c r="HU760" s="3311" t="s">
        <v>855</v>
      </c>
      <c r="HV760" s="3311" t="s">
        <v>856</v>
      </c>
      <c r="HW760" s="3311" t="s">
        <v>857</v>
      </c>
      <c r="HX760" s="3311" t="s">
        <v>858</v>
      </c>
      <c r="HY760" s="3311" t="s">
        <v>854</v>
      </c>
      <c r="HZ760" s="3311" t="s">
        <v>855</v>
      </c>
      <c r="IA760" s="3311" t="s">
        <v>856</v>
      </c>
      <c r="IB760" s="3311" t="s">
        <v>857</v>
      </c>
      <c r="IC760" s="3311" t="s">
        <v>858</v>
      </c>
      <c r="II760" s="3312"/>
      <c r="IJ760" s="3312"/>
      <c r="IK760" s="3312"/>
      <c r="IL760" s="3312"/>
      <c r="IM760" s="3312"/>
      <c r="IN760" s="3312"/>
      <c r="IO760" s="3312"/>
      <c r="IP760" s="3312"/>
      <c r="IQ760" s="3312"/>
      <c r="IR760" s="3312"/>
      <c r="IS760" s="3312"/>
      <c r="IT760" s="3312"/>
      <c r="IU760" s="3312"/>
      <c r="IV760" s="3312"/>
      <c r="IW760" s="3312"/>
      <c r="IX760" s="3312"/>
      <c r="IY760" s="3312"/>
      <c r="IZ760" s="3312"/>
      <c r="JA760" s="3312"/>
      <c r="JB760" s="3312"/>
      <c r="JC760" s="3304" t="s">
        <v>859</v>
      </c>
      <c r="JD760" s="3304" t="s">
        <v>860</v>
      </c>
      <c r="JE760" s="3304" t="s">
        <v>861</v>
      </c>
      <c r="JF760" s="3304" t="s">
        <v>862</v>
      </c>
      <c r="JG760" s="3304" t="s">
        <v>863</v>
      </c>
    </row>
    <row r="761" spans="1:277" s="3111" customFormat="1" ht="3" customHeight="1">
      <c r="B761" s="3300"/>
      <c r="D761" s="3300"/>
      <c r="P761" s="3314" t="s">
        <v>4778</v>
      </c>
      <c r="Q761" s="3315"/>
      <c r="R761" s="3316"/>
      <c r="S761" s="3316"/>
      <c r="T761" s="3316"/>
      <c r="U761" s="3316"/>
      <c r="W761" s="3234" t="s">
        <v>865</v>
      </c>
      <c r="X761" s="3234" t="s">
        <v>866</v>
      </c>
      <c r="Y761" s="3234" t="s">
        <v>867</v>
      </c>
      <c r="Z761" s="3234" t="s">
        <v>868</v>
      </c>
      <c r="AA761" s="3234" t="s">
        <v>869</v>
      </c>
      <c r="AB761" s="3234" t="s">
        <v>870</v>
      </c>
      <c r="AC761" s="3234" t="s">
        <v>871</v>
      </c>
      <c r="AD761" s="3234" t="s">
        <v>872</v>
      </c>
      <c r="AE761" s="3234" t="s">
        <v>873</v>
      </c>
      <c r="AF761" s="3234" t="s">
        <v>874</v>
      </c>
      <c r="AG761" s="3234" t="s">
        <v>875</v>
      </c>
      <c r="AH761" s="3234" t="s">
        <v>876</v>
      </c>
      <c r="AI761" s="3234" t="s">
        <v>877</v>
      </c>
      <c r="AJ761" s="3234" t="s">
        <v>878</v>
      </c>
      <c r="AK761" s="3234" t="s">
        <v>879</v>
      </c>
      <c r="AL761" s="3234" t="s">
        <v>880</v>
      </c>
      <c r="AM761" s="3234" t="s">
        <v>881</v>
      </c>
      <c r="AN761" s="3234" t="s">
        <v>882</v>
      </c>
      <c r="AO761" s="3234" t="s">
        <v>883</v>
      </c>
      <c r="AP761" s="3234" t="s">
        <v>884</v>
      </c>
      <c r="AQ761" s="3234" t="s">
        <v>885</v>
      </c>
      <c r="AR761" s="3234" t="s">
        <v>886</v>
      </c>
      <c r="AS761" s="3234" t="s">
        <v>887</v>
      </c>
      <c r="AT761" s="3234" t="s">
        <v>888</v>
      </c>
      <c r="AU761" s="3234" t="s">
        <v>889</v>
      </c>
      <c r="AV761" s="3234" t="s">
        <v>890</v>
      </c>
      <c r="AW761" s="3234" t="s">
        <v>891</v>
      </c>
      <c r="AX761" s="3234" t="s">
        <v>892</v>
      </c>
      <c r="AY761" s="3234" t="s">
        <v>893</v>
      </c>
      <c r="AZ761" s="3234" t="s">
        <v>894</v>
      </c>
      <c r="BA761" s="3234" t="s">
        <v>895</v>
      </c>
      <c r="BB761" s="3234" t="s">
        <v>896</v>
      </c>
      <c r="BC761" s="3234" t="s">
        <v>897</v>
      </c>
      <c r="BD761" s="3234" t="s">
        <v>898</v>
      </c>
      <c r="BE761" s="3234" t="s">
        <v>899</v>
      </c>
      <c r="BF761" s="3234" t="s">
        <v>900</v>
      </c>
      <c r="BG761" s="3234" t="s">
        <v>901</v>
      </c>
      <c r="BH761" s="3234" t="s">
        <v>902</v>
      </c>
      <c r="BI761" s="3234" t="s">
        <v>903</v>
      </c>
      <c r="BJ761" s="3234" t="s">
        <v>904</v>
      </c>
      <c r="BK761" s="3234" t="s">
        <v>905</v>
      </c>
      <c r="BL761" s="3234" t="s">
        <v>906</v>
      </c>
      <c r="BM761" s="3234" t="s">
        <v>907</v>
      </c>
      <c r="BN761" s="3234" t="s">
        <v>908</v>
      </c>
      <c r="BO761" s="3234" t="s">
        <v>909</v>
      </c>
      <c r="BP761" s="3234" t="s">
        <v>910</v>
      </c>
      <c r="BQ761" s="3234" t="s">
        <v>911</v>
      </c>
      <c r="BR761" s="3234" t="s">
        <v>912</v>
      </c>
      <c r="BS761" s="3234" t="s">
        <v>913</v>
      </c>
      <c r="BT761" s="3234" t="s">
        <v>914</v>
      </c>
      <c r="BU761" s="3234" t="s">
        <v>915</v>
      </c>
      <c r="BV761" s="3234" t="s">
        <v>916</v>
      </c>
      <c r="BW761" s="3234" t="s">
        <v>917</v>
      </c>
      <c r="BX761" s="3234" t="s">
        <v>918</v>
      </c>
      <c r="BY761" s="3234" t="s">
        <v>919</v>
      </c>
      <c r="BZ761" s="3234" t="s">
        <v>920</v>
      </c>
      <c r="CA761" s="3234" t="s">
        <v>921</v>
      </c>
      <c r="CB761" s="3234" t="s">
        <v>922</v>
      </c>
      <c r="CC761" s="3234" t="s">
        <v>923</v>
      </c>
      <c r="CD761" s="3234" t="s">
        <v>924</v>
      </c>
      <c r="CE761" s="3304" t="s">
        <v>925</v>
      </c>
      <c r="CF761" s="3304" t="s">
        <v>926</v>
      </c>
      <c r="CG761" s="3304" t="s">
        <v>927</v>
      </c>
      <c r="CH761" s="3304" t="s">
        <v>928</v>
      </c>
      <c r="CI761" s="3304" t="s">
        <v>929</v>
      </c>
      <c r="CJ761" s="3304" t="s">
        <v>930</v>
      </c>
      <c r="CK761" s="3304" t="s">
        <v>931</v>
      </c>
      <c r="CL761" s="3304" t="s">
        <v>932</v>
      </c>
      <c r="CM761" s="3304" t="s">
        <v>933</v>
      </c>
      <c r="CN761" s="3304" t="s">
        <v>934</v>
      </c>
      <c r="CO761" s="3304" t="s">
        <v>935</v>
      </c>
      <c r="CP761" s="3304" t="s">
        <v>936</v>
      </c>
      <c r="CQ761" s="3304" t="s">
        <v>937</v>
      </c>
      <c r="CR761" s="3304" t="s">
        <v>938</v>
      </c>
      <c r="CS761" s="3304" t="s">
        <v>939</v>
      </c>
      <c r="CT761" s="3304" t="s">
        <v>940</v>
      </c>
      <c r="CU761" s="3304" t="s">
        <v>941</v>
      </c>
      <c r="CV761" s="3304" t="s">
        <v>942</v>
      </c>
      <c r="CW761" s="3304" t="s">
        <v>943</v>
      </c>
      <c r="CX761" s="3304" t="s">
        <v>944</v>
      </c>
      <c r="CY761" s="3304" t="s">
        <v>945</v>
      </c>
      <c r="CZ761" s="3304" t="s">
        <v>946</v>
      </c>
      <c r="DA761" s="3304" t="s">
        <v>947</v>
      </c>
      <c r="DB761" s="3304" t="s">
        <v>948</v>
      </c>
      <c r="DC761" s="3304" t="s">
        <v>949</v>
      </c>
      <c r="DD761" s="3304" t="s">
        <v>950</v>
      </c>
      <c r="DE761" s="3304" t="s">
        <v>951</v>
      </c>
      <c r="DF761" s="3304" t="s">
        <v>952</v>
      </c>
      <c r="DG761" s="3304" t="s">
        <v>953</v>
      </c>
      <c r="DH761" s="3304" t="s">
        <v>954</v>
      </c>
      <c r="DI761" s="3304" t="s">
        <v>955</v>
      </c>
      <c r="DJ761" s="3304" t="s">
        <v>956</v>
      </c>
      <c r="DK761" s="3304" t="s">
        <v>957</v>
      </c>
      <c r="DL761" s="3304" t="s">
        <v>958</v>
      </c>
      <c r="DM761" s="3304" t="s">
        <v>959</v>
      </c>
      <c r="DN761" s="3304" t="s">
        <v>960</v>
      </c>
      <c r="DO761" s="3304" t="s">
        <v>961</v>
      </c>
      <c r="DP761" s="3304" t="s">
        <v>962</v>
      </c>
      <c r="DQ761" s="3304" t="s">
        <v>963</v>
      </c>
      <c r="DR761" s="3304" t="s">
        <v>964</v>
      </c>
      <c r="DS761" s="3304" t="s">
        <v>965</v>
      </c>
      <c r="DT761" s="3304" t="s">
        <v>966</v>
      </c>
      <c r="DU761" s="3304" t="s">
        <v>967</v>
      </c>
      <c r="DV761" s="3304" t="s">
        <v>968</v>
      </c>
      <c r="DW761" s="3304" t="s">
        <v>969</v>
      </c>
      <c r="DX761" s="3304" t="s">
        <v>970</v>
      </c>
      <c r="DY761" s="3304" t="s">
        <v>971</v>
      </c>
      <c r="DZ761" s="3304" t="s">
        <v>972</v>
      </c>
      <c r="EA761" s="3304" t="s">
        <v>973</v>
      </c>
      <c r="EB761" s="3304" t="s">
        <v>974</v>
      </c>
      <c r="EC761" s="3304" t="s">
        <v>975</v>
      </c>
      <c r="ED761" s="3304" t="s">
        <v>976</v>
      </c>
      <c r="EE761" s="3304" t="s">
        <v>977</v>
      </c>
      <c r="EF761" s="3304" t="s">
        <v>978</v>
      </c>
      <c r="EG761" s="3304" t="s">
        <v>979</v>
      </c>
      <c r="EH761" s="3304" t="s">
        <v>980</v>
      </c>
      <c r="EI761" s="3304" t="s">
        <v>981</v>
      </c>
      <c r="EJ761" s="3304" t="s">
        <v>982</v>
      </c>
      <c r="EK761" s="3304" t="s">
        <v>983</v>
      </c>
      <c r="EL761" s="3304" t="s">
        <v>984</v>
      </c>
      <c r="EM761" s="3304" t="s">
        <v>985</v>
      </c>
      <c r="EN761" s="3304" t="s">
        <v>986</v>
      </c>
      <c r="EO761" s="3304" t="s">
        <v>987</v>
      </c>
      <c r="EP761" s="3304" t="s">
        <v>988</v>
      </c>
      <c r="EQ761" s="3304" t="s">
        <v>989</v>
      </c>
      <c r="ER761" s="3304" t="s">
        <v>990</v>
      </c>
      <c r="ES761" s="3304" t="s">
        <v>991</v>
      </c>
      <c r="ET761" s="3304" t="s">
        <v>992</v>
      </c>
      <c r="EU761" s="3304" t="s">
        <v>993</v>
      </c>
      <c r="EV761" s="3304" t="s">
        <v>994</v>
      </c>
      <c r="EW761" s="3310"/>
      <c r="EX761" s="3310"/>
      <c r="EY761" s="3310"/>
      <c r="EZ761" s="3310"/>
      <c r="FA761" s="3310"/>
      <c r="FB761" s="3310"/>
      <c r="FC761" s="3310"/>
      <c r="FD761" s="3310"/>
      <c r="FE761" s="3310"/>
      <c r="FF761" s="3310"/>
      <c r="FG761" s="3310"/>
      <c r="FH761" s="3310"/>
      <c r="FI761" s="3310"/>
      <c r="FJ761" s="3310"/>
      <c r="FK761" s="3310"/>
      <c r="FL761" s="3310"/>
      <c r="FM761" s="3310"/>
      <c r="FN761" s="3310"/>
      <c r="FO761" s="3310"/>
      <c r="FP761" s="3310"/>
      <c r="FQ761" s="3310"/>
      <c r="FR761" s="3310"/>
      <c r="FS761" s="3310"/>
      <c r="FT761" s="3310"/>
      <c r="FU761" s="3310"/>
      <c r="FV761" s="3310"/>
      <c r="FW761" s="3310"/>
      <c r="FX761" s="3310"/>
      <c r="FY761" s="3310"/>
      <c r="FZ761" s="3310"/>
      <c r="GA761" s="3310"/>
      <c r="GB761" s="3310"/>
      <c r="GC761" s="3310"/>
      <c r="GD761" s="3310"/>
      <c r="GE761" s="3310"/>
      <c r="GF761" s="3310"/>
      <c r="GG761" s="3310"/>
      <c r="GH761" s="3310"/>
      <c r="GI761" s="3310"/>
      <c r="GJ761" s="3310"/>
      <c r="GK761" s="3310"/>
      <c r="GL761" s="3310"/>
      <c r="GM761" s="3310"/>
      <c r="GN761" s="3310"/>
      <c r="GO761" s="3310"/>
      <c r="GP761" s="3310"/>
      <c r="GQ761" s="3310"/>
      <c r="GR761" s="3310"/>
      <c r="GS761" s="3310"/>
      <c r="GT761" s="3310"/>
      <c r="GU761" s="3310"/>
      <c r="GV761" s="3310"/>
      <c r="GW761" s="3310"/>
      <c r="GX761" s="3310"/>
      <c r="GY761" s="3310"/>
      <c r="GZ761" s="3310"/>
      <c r="HA761" s="3310"/>
      <c r="HB761" s="3310"/>
      <c r="HC761" s="3310"/>
      <c r="HD761" s="3310"/>
      <c r="HE761" s="3310"/>
      <c r="HF761" s="3310"/>
      <c r="HG761" s="3310"/>
      <c r="HH761" s="3310"/>
      <c r="HI761" s="3310"/>
      <c r="HJ761" s="3310"/>
      <c r="HK761" s="3310"/>
      <c r="HL761" s="3310"/>
      <c r="HM761" s="3310"/>
      <c r="HN761" s="3310"/>
      <c r="HO761" s="3310"/>
      <c r="HP761" s="3310"/>
      <c r="HQ761" s="3310"/>
      <c r="HR761" s="3310"/>
      <c r="HS761" s="3310"/>
      <c r="ID761" s="3304" t="s">
        <v>995</v>
      </c>
      <c r="IE761" s="3304" t="s">
        <v>996</v>
      </c>
      <c r="IF761" s="3304" t="s">
        <v>997</v>
      </c>
      <c r="IG761" s="3304" t="s">
        <v>998</v>
      </c>
      <c r="IH761" s="3304" t="s">
        <v>999</v>
      </c>
      <c r="II761" s="3304" t="s">
        <v>1000</v>
      </c>
      <c r="IJ761" s="3304" t="s">
        <v>1001</v>
      </c>
      <c r="IK761" s="3304" t="s">
        <v>1002</v>
      </c>
      <c r="IL761" s="3304" t="s">
        <v>1003</v>
      </c>
      <c r="IM761" s="3304" t="s">
        <v>1004</v>
      </c>
      <c r="IN761" s="3304" t="s">
        <v>1005</v>
      </c>
      <c r="IO761" s="3304" t="s">
        <v>1006</v>
      </c>
      <c r="IP761" s="3304" t="s">
        <v>1007</v>
      </c>
      <c r="IQ761" s="3304" t="s">
        <v>1008</v>
      </c>
      <c r="IR761" s="3304" t="s">
        <v>1009</v>
      </c>
      <c r="IS761" s="3304" t="s">
        <v>1010</v>
      </c>
      <c r="IT761" s="3304" t="s">
        <v>1011</v>
      </c>
      <c r="IU761" s="3304" t="s">
        <v>1012</v>
      </c>
      <c r="IV761" s="3304" t="s">
        <v>1013</v>
      </c>
      <c r="IW761" s="3304" t="s">
        <v>1014</v>
      </c>
      <c r="IX761" s="3304" t="s">
        <v>1015</v>
      </c>
      <c r="IY761" s="3304" t="s">
        <v>1016</v>
      </c>
      <c r="IZ761" s="3304" t="s">
        <v>1017</v>
      </c>
      <c r="JA761" s="3304" t="s">
        <v>1018</v>
      </c>
      <c r="JB761" s="3304" t="s">
        <v>1019</v>
      </c>
      <c r="JC761" s="3304"/>
      <c r="JD761" s="3304"/>
      <c r="JE761" s="3304"/>
      <c r="JF761" s="3304"/>
      <c r="JG761" s="3304"/>
    </row>
    <row r="762" spans="1:277" s="3111" customFormat="1" ht="13.15" customHeight="1">
      <c r="A762" s="3317" t="str">
        <f>IF(A805&gt;0,"Finish Row!","")</f>
        <v/>
      </c>
      <c r="B762" s="3300" t="s">
        <v>1020</v>
      </c>
      <c r="E762" s="3300"/>
      <c r="G762" s="3310">
        <f>'Part VI-Revenues &amp; Expenses'!G5</f>
        <v>0</v>
      </c>
      <c r="H762" s="3300"/>
      <c r="I762" s="3318" t="s">
        <v>827</v>
      </c>
      <c r="J762" s="3318" t="s">
        <v>125</v>
      </c>
      <c r="K762" s="3316"/>
      <c r="L762" s="3316"/>
      <c r="M762" s="3301" t="s">
        <v>1021</v>
      </c>
      <c r="O762" s="3319" t="s">
        <v>1022</v>
      </c>
      <c r="P762" s="3314"/>
      <c r="Q762" s="3315"/>
      <c r="W762" s="3234"/>
      <c r="X762" s="3234"/>
      <c r="Y762" s="3234"/>
      <c r="Z762" s="3234"/>
      <c r="AA762" s="3234"/>
      <c r="AB762" s="3234"/>
      <c r="AC762" s="3234"/>
      <c r="AD762" s="3234"/>
      <c r="AE762" s="3234"/>
      <c r="AF762" s="3234"/>
      <c r="AG762" s="3234"/>
      <c r="AH762" s="3234"/>
      <c r="AI762" s="3234"/>
      <c r="AJ762" s="3234"/>
      <c r="AK762" s="3234"/>
      <c r="AL762" s="3234"/>
      <c r="AM762" s="3234"/>
      <c r="AN762" s="3234"/>
      <c r="AO762" s="3234"/>
      <c r="AP762" s="3234"/>
      <c r="AQ762" s="3234"/>
      <c r="AR762" s="3234"/>
      <c r="AS762" s="3234"/>
      <c r="AT762" s="3234"/>
      <c r="AU762" s="3234"/>
      <c r="AV762" s="3234"/>
      <c r="AW762" s="3234"/>
      <c r="AX762" s="3234"/>
      <c r="AY762" s="3234"/>
      <c r="AZ762" s="3234"/>
      <c r="BA762" s="3234"/>
      <c r="BB762" s="3234"/>
      <c r="BC762" s="3234"/>
      <c r="BD762" s="3234"/>
      <c r="BE762" s="3234"/>
      <c r="BF762" s="3234"/>
      <c r="BG762" s="3234"/>
      <c r="BH762" s="3234"/>
      <c r="BI762" s="3234"/>
      <c r="BJ762" s="3234"/>
      <c r="BK762" s="3234"/>
      <c r="BL762" s="3234"/>
      <c r="BM762" s="3234"/>
      <c r="BN762" s="3234"/>
      <c r="BO762" s="3234"/>
      <c r="BP762" s="3234"/>
      <c r="BQ762" s="3234"/>
      <c r="BR762" s="3234"/>
      <c r="BS762" s="3234"/>
      <c r="BT762" s="3234"/>
      <c r="BU762" s="3234"/>
      <c r="BV762" s="3234"/>
      <c r="BW762" s="3234"/>
      <c r="BX762" s="3234"/>
      <c r="BY762" s="3234"/>
      <c r="BZ762" s="3234"/>
      <c r="CA762" s="3234"/>
      <c r="CB762" s="3234"/>
      <c r="CC762" s="3234"/>
      <c r="CD762" s="3234"/>
      <c r="CE762" s="3304"/>
      <c r="CF762" s="3304"/>
      <c r="CG762" s="3304"/>
      <c r="CH762" s="3304"/>
      <c r="CI762" s="3304"/>
      <c r="CJ762" s="3304"/>
      <c r="CK762" s="3304"/>
      <c r="CL762" s="3304"/>
      <c r="CM762" s="3304"/>
      <c r="CN762" s="3304"/>
      <c r="CO762" s="3304"/>
      <c r="CP762" s="3304"/>
      <c r="CQ762" s="3304"/>
      <c r="CR762" s="3304"/>
      <c r="CS762" s="3304"/>
      <c r="CT762" s="3304"/>
      <c r="CU762" s="3304"/>
      <c r="CV762" s="3304"/>
      <c r="CW762" s="3304"/>
      <c r="CX762" s="3304"/>
      <c r="CY762" s="3304"/>
      <c r="CZ762" s="3304"/>
      <c r="DA762" s="3304"/>
      <c r="DB762" s="3304"/>
      <c r="DC762" s="3304"/>
      <c r="DD762" s="3304"/>
      <c r="DE762" s="3304"/>
      <c r="DF762" s="3304"/>
      <c r="DG762" s="3304"/>
      <c r="DH762" s="3304"/>
      <c r="DI762" s="3304"/>
      <c r="DJ762" s="3304"/>
      <c r="DK762" s="3304"/>
      <c r="DL762" s="3304"/>
      <c r="DM762" s="3304"/>
      <c r="DN762" s="3304"/>
      <c r="DO762" s="3304"/>
      <c r="DP762" s="3304"/>
      <c r="DQ762" s="3304"/>
      <c r="DR762" s="3304"/>
      <c r="DS762" s="3304"/>
      <c r="DT762" s="3304"/>
      <c r="DU762" s="3304"/>
      <c r="DV762" s="3304"/>
      <c r="DW762" s="3304"/>
      <c r="DX762" s="3304"/>
      <c r="DY762" s="3304"/>
      <c r="DZ762" s="3304"/>
      <c r="EA762" s="3304"/>
      <c r="EB762" s="3304"/>
      <c r="EC762" s="3304"/>
      <c r="ED762" s="3304"/>
      <c r="EE762" s="3304"/>
      <c r="EF762" s="3304"/>
      <c r="EG762" s="3304"/>
      <c r="EH762" s="3304"/>
      <c r="EI762" s="3304"/>
      <c r="EJ762" s="3304"/>
      <c r="EK762" s="3304"/>
      <c r="EL762" s="3304"/>
      <c r="EM762" s="3304"/>
      <c r="EN762" s="3304"/>
      <c r="EO762" s="3304"/>
      <c r="EP762" s="3304"/>
      <c r="EQ762" s="3304"/>
      <c r="ER762" s="3304"/>
      <c r="ES762" s="3304"/>
      <c r="ET762" s="3304"/>
      <c r="EU762" s="3304"/>
      <c r="EV762" s="3304"/>
      <c r="EW762" s="3310"/>
      <c r="EX762" s="3310"/>
      <c r="EY762" s="3310"/>
      <c r="EZ762" s="3310"/>
      <c r="FA762" s="3310"/>
      <c r="FB762" s="3310"/>
      <c r="FC762" s="3310"/>
      <c r="FD762" s="3310"/>
      <c r="FE762" s="3310"/>
      <c r="FF762" s="3310"/>
      <c r="FG762" s="3310"/>
      <c r="FH762" s="3310"/>
      <c r="FI762" s="3310"/>
      <c r="FJ762" s="3310"/>
      <c r="FK762" s="3310"/>
      <c r="FL762" s="3310"/>
      <c r="FM762" s="3310"/>
      <c r="FN762" s="3310"/>
      <c r="FO762" s="3310"/>
      <c r="FP762" s="3310"/>
      <c r="FQ762" s="3310"/>
      <c r="FR762" s="3310"/>
      <c r="FS762" s="3310"/>
      <c r="FT762" s="3310"/>
      <c r="FU762" s="3310"/>
      <c r="FV762" s="3310"/>
      <c r="FW762" s="3310"/>
      <c r="FX762" s="3310"/>
      <c r="FY762" s="3310"/>
      <c r="FZ762" s="3310"/>
      <c r="GA762" s="3310"/>
      <c r="GB762" s="3310"/>
      <c r="GC762" s="3310"/>
      <c r="GD762" s="3310"/>
      <c r="GE762" s="3310"/>
      <c r="GF762" s="3310"/>
      <c r="GG762" s="3310"/>
      <c r="GH762" s="3310"/>
      <c r="GI762" s="3310"/>
      <c r="GJ762" s="3310"/>
      <c r="GK762" s="3310"/>
      <c r="GL762" s="3310"/>
      <c r="GM762" s="3310"/>
      <c r="GN762" s="3310"/>
      <c r="GO762" s="3310"/>
      <c r="GP762" s="3310"/>
      <c r="GQ762" s="3310"/>
      <c r="GR762" s="3310"/>
      <c r="GS762" s="3310"/>
      <c r="GT762" s="3310"/>
      <c r="GU762" s="3310"/>
      <c r="GV762" s="3310"/>
      <c r="GW762" s="3310"/>
      <c r="GX762" s="3310"/>
      <c r="GY762" s="3310"/>
      <c r="GZ762" s="3310"/>
      <c r="HA762" s="3310"/>
      <c r="HB762" s="3310"/>
      <c r="HC762" s="3310"/>
      <c r="HD762" s="3310"/>
      <c r="HE762" s="3310"/>
      <c r="HF762" s="3310"/>
      <c r="HG762" s="3310"/>
      <c r="HH762" s="3310"/>
      <c r="HI762" s="3310"/>
      <c r="HJ762" s="3310"/>
      <c r="HK762" s="3310"/>
      <c r="HL762" s="3310"/>
      <c r="HM762" s="3310"/>
      <c r="HN762" s="3310"/>
      <c r="HO762" s="3310"/>
      <c r="HP762" s="3310"/>
      <c r="HQ762" s="3310"/>
      <c r="HR762" s="3310"/>
      <c r="HS762" s="3310"/>
      <c r="ID762" s="3304"/>
      <c r="IE762" s="3304"/>
      <c r="IF762" s="3304"/>
      <c r="IG762" s="3304"/>
      <c r="IH762" s="3304"/>
      <c r="II762" s="3304"/>
      <c r="IJ762" s="3304"/>
      <c r="IK762" s="3304"/>
      <c r="IL762" s="3304"/>
      <c r="IM762" s="3304"/>
      <c r="IN762" s="3304"/>
      <c r="IO762" s="3304"/>
      <c r="IP762" s="3304"/>
      <c r="IQ762" s="3304"/>
      <c r="IR762" s="3304"/>
      <c r="IS762" s="3304"/>
      <c r="IT762" s="3304"/>
      <c r="IU762" s="3304"/>
      <c r="IV762" s="3304"/>
      <c r="IW762" s="3304"/>
      <c r="IX762" s="3304"/>
      <c r="IY762" s="3304"/>
      <c r="IZ762" s="3304"/>
      <c r="JA762" s="3304"/>
      <c r="JB762" s="3304"/>
      <c r="JC762" s="3304"/>
      <c r="JD762" s="3304"/>
      <c r="JE762" s="3304"/>
      <c r="JF762" s="3304"/>
      <c r="JG762" s="3304"/>
      <c r="JH762" s="3316" t="s">
        <v>1023</v>
      </c>
      <c r="JI762" s="3316" t="s">
        <v>1024</v>
      </c>
      <c r="JJ762" s="3316" t="s">
        <v>1025</v>
      </c>
      <c r="JK762" s="3316" t="s">
        <v>1026</v>
      </c>
      <c r="JL762" s="3316" t="s">
        <v>1027</v>
      </c>
      <c r="JM762" s="3304" t="s">
        <v>1028</v>
      </c>
      <c r="JN762" s="3304" t="s">
        <v>1029</v>
      </c>
      <c r="JO762" s="3304" t="s">
        <v>1030</v>
      </c>
      <c r="JP762" s="3304" t="s">
        <v>1031</v>
      </c>
      <c r="JQ762" s="3304" t="s">
        <v>1032</v>
      </c>
    </row>
    <row r="763" spans="1:277" s="3111" customFormat="1" ht="13.15" customHeight="1">
      <c r="A763" s="3317"/>
      <c r="B763" s="3320" t="s">
        <v>1033</v>
      </c>
      <c r="E763" s="3300"/>
      <c r="F763" s="3306">
        <f>'Part VI-Revenues &amp; Expenses'!F6</f>
        <v>0</v>
      </c>
      <c r="G763" s="3318" t="s">
        <v>1034</v>
      </c>
      <c r="H763" s="3314" t="s">
        <v>1035</v>
      </c>
      <c r="I763" s="3318" t="s">
        <v>1036</v>
      </c>
      <c r="J763" s="3318" t="s">
        <v>1037</v>
      </c>
      <c r="K763" s="3316"/>
      <c r="L763" s="3316"/>
      <c r="M763" s="3321" t="str">
        <f>'Part I-Project Information'!$O$40</f>
        <v>Atlanta-Sandy Springs-Marietta</v>
      </c>
      <c r="N763" s="3321"/>
      <c r="O763" s="3322">
        <f>VLOOKUP('Part I-Project Information'!$O$40,'DCA Underwriting Assumptions'!$C$155:$D$265,2)</f>
        <v>69700</v>
      </c>
      <c r="P763" s="3314"/>
      <c r="Q763" s="3315"/>
      <c r="S763" s="3300" t="s">
        <v>1038</v>
      </c>
      <c r="T763" s="3300"/>
      <c r="W763" s="3234"/>
      <c r="X763" s="3234"/>
      <c r="Y763" s="3234"/>
      <c r="Z763" s="3234"/>
      <c r="AA763" s="3234"/>
      <c r="AB763" s="3234"/>
      <c r="AC763" s="3234"/>
      <c r="AD763" s="3234"/>
      <c r="AE763" s="3234"/>
      <c r="AF763" s="3234"/>
      <c r="AG763" s="3234"/>
      <c r="AH763" s="3234"/>
      <c r="AI763" s="3234"/>
      <c r="AJ763" s="3234"/>
      <c r="AK763" s="3234"/>
      <c r="AL763" s="3234"/>
      <c r="AM763" s="3234"/>
      <c r="AN763" s="3234"/>
      <c r="AO763" s="3234"/>
      <c r="AP763" s="3234"/>
      <c r="AQ763" s="3234"/>
      <c r="AR763" s="3234"/>
      <c r="AS763" s="3234"/>
      <c r="AT763" s="3234"/>
      <c r="AU763" s="3234"/>
      <c r="AV763" s="3234"/>
      <c r="AW763" s="3234"/>
      <c r="AX763" s="3234"/>
      <c r="AY763" s="3234"/>
      <c r="AZ763" s="3234"/>
      <c r="BA763" s="3234"/>
      <c r="BB763" s="3234"/>
      <c r="BC763" s="3234"/>
      <c r="BD763" s="3234"/>
      <c r="BE763" s="3234"/>
      <c r="BF763" s="3234"/>
      <c r="BG763" s="3234"/>
      <c r="BH763" s="3234"/>
      <c r="BI763" s="3234"/>
      <c r="BJ763" s="3234"/>
      <c r="BK763" s="3234"/>
      <c r="BL763" s="3234"/>
      <c r="BM763" s="3234"/>
      <c r="BN763" s="3234"/>
      <c r="BO763" s="3234"/>
      <c r="BP763" s="3234"/>
      <c r="BQ763" s="3234"/>
      <c r="BR763" s="3234"/>
      <c r="BS763" s="3234"/>
      <c r="BT763" s="3234"/>
      <c r="BU763" s="3234"/>
      <c r="BV763" s="3234"/>
      <c r="BW763" s="3234"/>
      <c r="BX763" s="3234"/>
      <c r="BY763" s="3234"/>
      <c r="BZ763" s="3234"/>
      <c r="CA763" s="3234"/>
      <c r="CB763" s="3234"/>
      <c r="CC763" s="3234"/>
      <c r="CD763" s="3234"/>
      <c r="CE763" s="3304"/>
      <c r="CF763" s="3304"/>
      <c r="CG763" s="3304"/>
      <c r="CH763" s="3304"/>
      <c r="CI763" s="3304"/>
      <c r="CJ763" s="3304"/>
      <c r="CK763" s="3304"/>
      <c r="CL763" s="3304"/>
      <c r="CM763" s="3304"/>
      <c r="CN763" s="3304"/>
      <c r="CO763" s="3304"/>
      <c r="CP763" s="3304"/>
      <c r="CQ763" s="3304"/>
      <c r="CR763" s="3304"/>
      <c r="CS763" s="3304"/>
      <c r="CT763" s="3304"/>
      <c r="CU763" s="3304"/>
      <c r="CV763" s="3304"/>
      <c r="CW763" s="3304"/>
      <c r="CX763" s="3304"/>
      <c r="CY763" s="3304"/>
      <c r="CZ763" s="3304"/>
      <c r="DA763" s="3304"/>
      <c r="DB763" s="3304"/>
      <c r="DC763" s="3304"/>
      <c r="DD763" s="3304"/>
      <c r="DE763" s="3304"/>
      <c r="DF763" s="3304"/>
      <c r="DG763" s="3304"/>
      <c r="DH763" s="3304"/>
      <c r="DI763" s="3304"/>
      <c r="DJ763" s="3304"/>
      <c r="DK763" s="3304"/>
      <c r="DL763" s="3304"/>
      <c r="DM763" s="3304"/>
      <c r="DN763" s="3304"/>
      <c r="DO763" s="3304"/>
      <c r="DP763" s="3304"/>
      <c r="DQ763" s="3304"/>
      <c r="DR763" s="3304"/>
      <c r="DS763" s="3304"/>
      <c r="DT763" s="3304"/>
      <c r="DU763" s="3304"/>
      <c r="DV763" s="3304"/>
      <c r="DW763" s="3304"/>
      <c r="DX763" s="3304"/>
      <c r="DY763" s="3304"/>
      <c r="DZ763" s="3304"/>
      <c r="EA763" s="3304"/>
      <c r="EB763" s="3304"/>
      <c r="EC763" s="3304"/>
      <c r="ED763" s="3304"/>
      <c r="EE763" s="3304"/>
      <c r="EF763" s="3304"/>
      <c r="EG763" s="3304"/>
      <c r="EH763" s="3304"/>
      <c r="EI763" s="3304"/>
      <c r="EJ763" s="3304"/>
      <c r="EK763" s="3304"/>
      <c r="EL763" s="3304"/>
      <c r="EM763" s="3304"/>
      <c r="EN763" s="3304"/>
      <c r="EO763" s="3304"/>
      <c r="EP763" s="3304"/>
      <c r="EQ763" s="3304"/>
      <c r="ER763" s="3304"/>
      <c r="ES763" s="3304"/>
      <c r="ET763" s="3304"/>
      <c r="EU763" s="3304"/>
      <c r="EV763" s="3304"/>
      <c r="EW763" s="3310"/>
      <c r="EX763" s="3310"/>
      <c r="EY763" s="3310"/>
      <c r="EZ763" s="3310"/>
      <c r="FA763" s="3310"/>
      <c r="FB763" s="3310"/>
      <c r="FC763" s="3310"/>
      <c r="FD763" s="3310"/>
      <c r="FE763" s="3310"/>
      <c r="FF763" s="3310"/>
      <c r="FG763" s="3310"/>
      <c r="FH763" s="3310"/>
      <c r="FI763" s="3310"/>
      <c r="FJ763" s="3310"/>
      <c r="FK763" s="3310"/>
      <c r="FL763" s="3310"/>
      <c r="FM763" s="3310"/>
      <c r="FN763" s="3310"/>
      <c r="FO763" s="3310"/>
      <c r="FP763" s="3310"/>
      <c r="FQ763" s="3310"/>
      <c r="FR763" s="3310"/>
      <c r="FS763" s="3310"/>
      <c r="FT763" s="3310"/>
      <c r="FU763" s="3310"/>
      <c r="FV763" s="3310"/>
      <c r="FW763" s="3310"/>
      <c r="FX763" s="3310"/>
      <c r="FY763" s="3310"/>
      <c r="FZ763" s="3310"/>
      <c r="GA763" s="3310"/>
      <c r="GB763" s="3310"/>
      <c r="GC763" s="3310"/>
      <c r="GD763" s="3310"/>
      <c r="GE763" s="3310"/>
      <c r="GF763" s="3310"/>
      <c r="GG763" s="3310"/>
      <c r="GH763" s="3310"/>
      <c r="GI763" s="3310"/>
      <c r="GJ763" s="3310"/>
      <c r="GK763" s="3310"/>
      <c r="GL763" s="3310"/>
      <c r="GM763" s="3310"/>
      <c r="GN763" s="3310"/>
      <c r="GO763" s="3310"/>
      <c r="GP763" s="3310"/>
      <c r="GQ763" s="3310"/>
      <c r="GR763" s="3310"/>
      <c r="GS763" s="3310"/>
      <c r="GT763" s="3310"/>
      <c r="GU763" s="3310"/>
      <c r="GV763" s="3310"/>
      <c r="GW763" s="3310"/>
      <c r="GX763" s="3310"/>
      <c r="GY763" s="3310"/>
      <c r="GZ763" s="3310"/>
      <c r="HA763" s="3310"/>
      <c r="HB763" s="3310"/>
      <c r="HC763" s="3310"/>
      <c r="HD763" s="3310"/>
      <c r="HE763" s="3310"/>
      <c r="HF763" s="3310"/>
      <c r="HG763" s="3310"/>
      <c r="HH763" s="3310"/>
      <c r="HI763" s="3310"/>
      <c r="HJ763" s="3310"/>
      <c r="HK763" s="3310"/>
      <c r="HL763" s="3310"/>
      <c r="HM763" s="3310"/>
      <c r="HN763" s="3310"/>
      <c r="HO763" s="3310"/>
      <c r="HP763" s="3310"/>
      <c r="HQ763" s="3310"/>
      <c r="HR763" s="3310"/>
      <c r="HS763" s="3310"/>
      <c r="ID763" s="3304"/>
      <c r="IE763" s="3304"/>
      <c r="IF763" s="3304"/>
      <c r="IG763" s="3304"/>
      <c r="IH763" s="3304"/>
      <c r="II763" s="3304"/>
      <c r="IJ763" s="3304"/>
      <c r="IK763" s="3304"/>
      <c r="IL763" s="3304"/>
      <c r="IM763" s="3304"/>
      <c r="IN763" s="3304"/>
      <c r="IO763" s="3304"/>
      <c r="IP763" s="3304"/>
      <c r="IQ763" s="3304"/>
      <c r="IR763" s="3304"/>
      <c r="IS763" s="3304"/>
      <c r="IT763" s="3304"/>
      <c r="IU763" s="3304"/>
      <c r="IV763" s="3304"/>
      <c r="IW763" s="3304"/>
      <c r="IX763" s="3304"/>
      <c r="IY763" s="3304"/>
      <c r="IZ763" s="3304"/>
      <c r="JA763" s="3304"/>
      <c r="JB763" s="3304"/>
      <c r="JC763" s="3304"/>
      <c r="JD763" s="3304"/>
      <c r="JE763" s="3304"/>
      <c r="JF763" s="3304"/>
      <c r="JG763" s="3304"/>
      <c r="JH763" s="3316"/>
      <c r="JI763" s="3316"/>
      <c r="JJ763" s="3316"/>
      <c r="JK763" s="3316"/>
      <c r="JL763" s="3316"/>
      <c r="JM763" s="3304"/>
      <c r="JN763" s="3304"/>
      <c r="JO763" s="3304"/>
      <c r="JP763" s="3304"/>
      <c r="JQ763" s="3304"/>
    </row>
    <row r="764" spans="1:277" s="3111" customFormat="1" ht="11.25" customHeight="1">
      <c r="A764" s="3317"/>
      <c r="B764" s="3300"/>
      <c r="D764" s="3300"/>
      <c r="G764" s="3318" t="s">
        <v>1039</v>
      </c>
      <c r="H764" s="3314"/>
      <c r="I764" s="3274" t="s">
        <v>1040</v>
      </c>
      <c r="J764" s="3318" t="s">
        <v>1041</v>
      </c>
      <c r="K764" s="3316"/>
      <c r="L764" s="3316"/>
      <c r="P764" s="3314"/>
      <c r="Q764" s="3315"/>
      <c r="R764" s="3316"/>
      <c r="S764" s="3323"/>
      <c r="T764" s="3324" t="s">
        <v>1042</v>
      </c>
      <c r="U764" s="3316"/>
      <c r="W764" s="3234"/>
      <c r="X764" s="3234"/>
      <c r="Y764" s="3234"/>
      <c r="Z764" s="3234"/>
      <c r="AA764" s="3234"/>
      <c r="AB764" s="3234"/>
      <c r="AC764" s="3234"/>
      <c r="AD764" s="3234"/>
      <c r="AE764" s="3234"/>
      <c r="AF764" s="3234"/>
      <c r="AG764" s="3234"/>
      <c r="AH764" s="3234"/>
      <c r="AI764" s="3234"/>
      <c r="AJ764" s="3234"/>
      <c r="AK764" s="3234"/>
      <c r="AL764" s="3234"/>
      <c r="AM764" s="3234"/>
      <c r="AN764" s="3234"/>
      <c r="AO764" s="3234"/>
      <c r="AP764" s="3234"/>
      <c r="AQ764" s="3234"/>
      <c r="AR764" s="3234"/>
      <c r="AS764" s="3234"/>
      <c r="AT764" s="3234"/>
      <c r="AU764" s="3234"/>
      <c r="AV764" s="3234"/>
      <c r="AW764" s="3234"/>
      <c r="AX764" s="3234"/>
      <c r="AY764" s="3234"/>
      <c r="AZ764" s="3234"/>
      <c r="BA764" s="3234"/>
      <c r="BB764" s="3234"/>
      <c r="BC764" s="3234"/>
      <c r="BD764" s="3234"/>
      <c r="BE764" s="3234"/>
      <c r="BF764" s="3234"/>
      <c r="BG764" s="3234"/>
      <c r="BH764" s="3234"/>
      <c r="BI764" s="3234"/>
      <c r="BJ764" s="3234"/>
      <c r="BK764" s="3234"/>
      <c r="BL764" s="3234"/>
      <c r="BM764" s="3234"/>
      <c r="BN764" s="3234"/>
      <c r="BO764" s="3234"/>
      <c r="BP764" s="3234"/>
      <c r="BQ764" s="3234"/>
      <c r="BR764" s="3234"/>
      <c r="BS764" s="3234"/>
      <c r="BT764" s="3234"/>
      <c r="BU764" s="3234"/>
      <c r="BV764" s="3234"/>
      <c r="BW764" s="3234"/>
      <c r="BX764" s="3234"/>
      <c r="BY764" s="3234"/>
      <c r="BZ764" s="3234"/>
      <c r="CA764" s="3234"/>
      <c r="CB764" s="3234"/>
      <c r="CC764" s="3234"/>
      <c r="CD764" s="3234"/>
      <c r="CE764" s="3304"/>
      <c r="CF764" s="3304"/>
      <c r="CG764" s="3304"/>
      <c r="CH764" s="3304"/>
      <c r="CI764" s="3304"/>
      <c r="CJ764" s="3304"/>
      <c r="CK764" s="3304"/>
      <c r="CL764" s="3304"/>
      <c r="CM764" s="3304"/>
      <c r="CN764" s="3304"/>
      <c r="CO764" s="3304"/>
      <c r="CP764" s="3304"/>
      <c r="CQ764" s="3304"/>
      <c r="CR764" s="3304"/>
      <c r="CS764" s="3304"/>
      <c r="CT764" s="3304"/>
      <c r="CU764" s="3304"/>
      <c r="CV764" s="3304"/>
      <c r="CW764" s="3304"/>
      <c r="CX764" s="3304"/>
      <c r="CY764" s="3304"/>
      <c r="CZ764" s="3304"/>
      <c r="DA764" s="3304"/>
      <c r="DB764" s="3304"/>
      <c r="DC764" s="3304"/>
      <c r="DD764" s="3304"/>
      <c r="DE764" s="3304"/>
      <c r="DF764" s="3304"/>
      <c r="DG764" s="3304"/>
      <c r="DH764" s="3304"/>
      <c r="DI764" s="3304"/>
      <c r="DJ764" s="3304"/>
      <c r="DK764" s="3304"/>
      <c r="DL764" s="3304"/>
      <c r="DM764" s="3304"/>
      <c r="DN764" s="3304"/>
      <c r="DO764" s="3304"/>
      <c r="DP764" s="3304"/>
      <c r="DQ764" s="3304"/>
      <c r="DR764" s="3304"/>
      <c r="DS764" s="3304"/>
      <c r="DT764" s="3304"/>
      <c r="DU764" s="3304"/>
      <c r="DV764" s="3304"/>
      <c r="DW764" s="3304"/>
      <c r="DX764" s="3304"/>
      <c r="DY764" s="3304"/>
      <c r="DZ764" s="3304"/>
      <c r="EA764" s="3304"/>
      <c r="EB764" s="3304"/>
      <c r="EC764" s="3304"/>
      <c r="ED764" s="3304"/>
      <c r="EE764" s="3304"/>
      <c r="EF764" s="3304"/>
      <c r="EG764" s="3304"/>
      <c r="EH764" s="3304"/>
      <c r="EI764" s="3304"/>
      <c r="EJ764" s="3304"/>
      <c r="EK764" s="3304"/>
      <c r="EL764" s="3304"/>
      <c r="EM764" s="3304"/>
      <c r="EN764" s="3304"/>
      <c r="EO764" s="3304"/>
      <c r="EP764" s="3304"/>
      <c r="EQ764" s="3304"/>
      <c r="ER764" s="3304"/>
      <c r="ES764" s="3304"/>
      <c r="ET764" s="3304"/>
      <c r="EU764" s="3304"/>
      <c r="EV764" s="3304"/>
      <c r="EW764" s="3310"/>
      <c r="EX764" s="3310"/>
      <c r="EY764" s="3310"/>
      <c r="EZ764" s="3310"/>
      <c r="FA764" s="3310"/>
      <c r="FB764" s="3310"/>
      <c r="FC764" s="3310"/>
      <c r="FD764" s="3310"/>
      <c r="FE764" s="3310"/>
      <c r="FF764" s="3310"/>
      <c r="FG764" s="3310"/>
      <c r="FH764" s="3310"/>
      <c r="FI764" s="3310"/>
      <c r="FJ764" s="3310"/>
      <c r="FK764" s="3310"/>
      <c r="FL764" s="3310"/>
      <c r="FM764" s="3310"/>
      <c r="FN764" s="3310"/>
      <c r="FO764" s="3310"/>
      <c r="FP764" s="3310"/>
      <c r="FQ764" s="3310"/>
      <c r="FR764" s="3310"/>
      <c r="FS764" s="3310"/>
      <c r="FT764" s="3310"/>
      <c r="FU764" s="3310"/>
      <c r="FV764" s="3306"/>
      <c r="FW764" s="3306"/>
      <c r="FX764" s="3306"/>
      <c r="FY764" s="3306"/>
      <c r="FZ764" s="3306"/>
      <c r="GA764" s="3306"/>
      <c r="GB764" s="3306"/>
      <c r="GC764" s="3306"/>
      <c r="GD764" s="3306"/>
      <c r="GE764" s="3306"/>
      <c r="GF764" s="3306"/>
      <c r="GG764" s="3306"/>
      <c r="GH764" s="3306"/>
      <c r="GI764" s="3306"/>
      <c r="GJ764" s="3306"/>
      <c r="GK764" s="3306"/>
      <c r="GL764" s="3306"/>
      <c r="GM764" s="3306"/>
      <c r="GN764" s="3306"/>
      <c r="GO764" s="3306"/>
      <c r="GP764" s="3306"/>
      <c r="GQ764" s="3306"/>
      <c r="GR764" s="3306"/>
      <c r="GS764" s="3306"/>
      <c r="GT764" s="3306"/>
      <c r="GU764" s="3306"/>
      <c r="GV764" s="3306"/>
      <c r="GW764" s="3306"/>
      <c r="GX764" s="3306"/>
      <c r="GY764" s="3306"/>
      <c r="GZ764" s="3306"/>
      <c r="HA764" s="3306"/>
      <c r="HB764" s="3306"/>
      <c r="HC764" s="3306"/>
      <c r="HD764" s="3306"/>
      <c r="HE764" s="3306"/>
      <c r="HF764" s="3306"/>
      <c r="HG764" s="3306"/>
      <c r="HH764" s="3306"/>
      <c r="HI764" s="3306"/>
      <c r="HJ764" s="3306"/>
      <c r="HK764" s="3306"/>
      <c r="HL764" s="3306"/>
      <c r="HM764" s="3306"/>
      <c r="HN764" s="3306"/>
      <c r="HO764" s="3306"/>
      <c r="HP764" s="3306"/>
      <c r="HQ764" s="3306"/>
      <c r="HR764" s="3306"/>
      <c r="HS764" s="3306"/>
      <c r="HT764" s="3306"/>
      <c r="HU764" s="3306"/>
      <c r="HV764" s="3306"/>
      <c r="HW764" s="3306"/>
      <c r="HX764" s="3306"/>
      <c r="HY764" s="3306"/>
      <c r="HZ764" s="3306"/>
      <c r="IA764" s="3306"/>
      <c r="IB764" s="3306"/>
      <c r="IC764" s="3306"/>
      <c r="ID764" s="3304"/>
      <c r="IE764" s="3304"/>
      <c r="IF764" s="3304"/>
      <c r="IG764" s="3304"/>
      <c r="IH764" s="3304"/>
      <c r="II764" s="3304"/>
      <c r="IJ764" s="3304"/>
      <c r="IK764" s="3304"/>
      <c r="IL764" s="3304"/>
      <c r="IM764" s="3304"/>
      <c r="IN764" s="3304"/>
      <c r="IO764" s="3304"/>
      <c r="IP764" s="3304"/>
      <c r="IQ764" s="3304"/>
      <c r="IR764" s="3304"/>
      <c r="IS764" s="3304"/>
      <c r="IT764" s="3304"/>
      <c r="IU764" s="3304"/>
      <c r="IV764" s="3304"/>
      <c r="IW764" s="3304"/>
      <c r="IX764" s="3304"/>
      <c r="IY764" s="3304"/>
      <c r="IZ764" s="3304"/>
      <c r="JA764" s="3304"/>
      <c r="JB764" s="3304"/>
      <c r="JC764" s="3304"/>
      <c r="JD764" s="3304"/>
      <c r="JE764" s="3304"/>
      <c r="JF764" s="3304"/>
      <c r="JG764" s="3304"/>
      <c r="JH764" s="3316"/>
      <c r="JI764" s="3316"/>
      <c r="JJ764" s="3316"/>
      <c r="JK764" s="3316"/>
      <c r="JL764" s="3316"/>
      <c r="JM764" s="3304"/>
      <c r="JN764" s="3304"/>
      <c r="JO764" s="3304"/>
      <c r="JP764" s="3304"/>
      <c r="JQ764" s="3304"/>
    </row>
    <row r="765" spans="1:277" s="1087" customFormat="1" ht="11.25" customHeight="1">
      <c r="A765" s="3317"/>
      <c r="B765" s="3325" t="s">
        <v>1043</v>
      </c>
      <c r="C765" s="3318" t="s">
        <v>1044</v>
      </c>
      <c r="D765" s="3318" t="s">
        <v>1045</v>
      </c>
      <c r="E765" s="3318" t="s">
        <v>1046</v>
      </c>
      <c r="F765" s="3318" t="s">
        <v>1046</v>
      </c>
      <c r="G765" s="3318" t="s">
        <v>1043</v>
      </c>
      <c r="H765" s="3318" t="s">
        <v>1039</v>
      </c>
      <c r="I765" s="3274"/>
      <c r="J765" s="3318" t="s">
        <v>4779</v>
      </c>
      <c r="K765" s="3326" t="s">
        <v>1048</v>
      </c>
      <c r="L765" s="3326"/>
      <c r="M765" s="3318" t="s">
        <v>1049</v>
      </c>
      <c r="N765" s="3318" t="s">
        <v>1050</v>
      </c>
      <c r="O765" s="3318" t="s">
        <v>1051</v>
      </c>
      <c r="P765" s="3314"/>
      <c r="Q765" s="3326" t="s">
        <v>1052</v>
      </c>
      <c r="R765" s="3326"/>
      <c r="S765" s="3318" t="s">
        <v>1053</v>
      </c>
      <c r="T765" s="3318" t="s">
        <v>1054</v>
      </c>
      <c r="U765" s="3318"/>
      <c r="W765" s="3234"/>
      <c r="X765" s="3234"/>
      <c r="Y765" s="3234"/>
      <c r="Z765" s="3234"/>
      <c r="AA765" s="3234"/>
      <c r="AB765" s="3234"/>
      <c r="AC765" s="3234"/>
      <c r="AD765" s="3234"/>
      <c r="AE765" s="3234"/>
      <c r="AF765" s="3234"/>
      <c r="AG765" s="3234"/>
      <c r="AH765" s="3234"/>
      <c r="AI765" s="3234"/>
      <c r="AJ765" s="3234"/>
      <c r="AK765" s="3234"/>
      <c r="AL765" s="3234"/>
      <c r="AM765" s="3234"/>
      <c r="AN765" s="3234"/>
      <c r="AO765" s="3234"/>
      <c r="AP765" s="3234"/>
      <c r="AQ765" s="3234"/>
      <c r="AR765" s="3234"/>
      <c r="AS765" s="3234"/>
      <c r="AT765" s="3234"/>
      <c r="AU765" s="3234"/>
      <c r="AV765" s="3234"/>
      <c r="AW765" s="3234"/>
      <c r="AX765" s="3234"/>
      <c r="AY765" s="3234"/>
      <c r="AZ765" s="3234"/>
      <c r="BA765" s="3234"/>
      <c r="BB765" s="3234"/>
      <c r="BC765" s="3234"/>
      <c r="BD765" s="3234"/>
      <c r="BE765" s="3234"/>
      <c r="BF765" s="3234"/>
      <c r="BG765" s="3234"/>
      <c r="BH765" s="3234"/>
      <c r="BI765" s="3234"/>
      <c r="BJ765" s="3234"/>
      <c r="BK765" s="3234"/>
      <c r="BL765" s="3234"/>
      <c r="BM765" s="3234"/>
      <c r="BN765" s="3234"/>
      <c r="BO765" s="3234"/>
      <c r="BP765" s="3234"/>
      <c r="BQ765" s="3234"/>
      <c r="BR765" s="3234"/>
      <c r="BS765" s="3234"/>
      <c r="BT765" s="3234"/>
      <c r="BU765" s="3234"/>
      <c r="BV765" s="3234"/>
      <c r="BW765" s="3234"/>
      <c r="BX765" s="3234"/>
      <c r="BY765" s="3234"/>
      <c r="BZ765" s="3234"/>
      <c r="CA765" s="3234"/>
      <c r="CB765" s="3234"/>
      <c r="CC765" s="3234"/>
      <c r="CD765" s="3234"/>
      <c r="CE765" s="3304"/>
      <c r="CF765" s="3304"/>
      <c r="CG765" s="3304"/>
      <c r="CH765" s="3304"/>
      <c r="CI765" s="3304"/>
      <c r="CJ765" s="3304"/>
      <c r="CK765" s="3304"/>
      <c r="CL765" s="3304"/>
      <c r="CM765" s="3304"/>
      <c r="CN765" s="3304"/>
      <c r="CO765" s="3304"/>
      <c r="CP765" s="3304"/>
      <c r="CQ765" s="3304"/>
      <c r="CR765" s="3304"/>
      <c r="CS765" s="3304"/>
      <c r="CT765" s="3304"/>
      <c r="CU765" s="3304"/>
      <c r="CV765" s="3304"/>
      <c r="CW765" s="3304"/>
      <c r="CX765" s="3304"/>
      <c r="CY765" s="3304"/>
      <c r="CZ765" s="3304"/>
      <c r="DA765" s="3304"/>
      <c r="DB765" s="3304"/>
      <c r="DC765" s="3304"/>
      <c r="DD765" s="3304"/>
      <c r="DE765" s="3304"/>
      <c r="DF765" s="3304"/>
      <c r="DG765" s="3304"/>
      <c r="DH765" s="3304"/>
      <c r="DI765" s="3304"/>
      <c r="DJ765" s="3304"/>
      <c r="DK765" s="3304"/>
      <c r="DL765" s="3304"/>
      <c r="DM765" s="3304"/>
      <c r="DN765" s="3304"/>
      <c r="DO765" s="3304"/>
      <c r="DP765" s="3304"/>
      <c r="DQ765" s="3304"/>
      <c r="DR765" s="3304"/>
      <c r="DS765" s="3304"/>
      <c r="DT765" s="3304"/>
      <c r="DU765" s="3304"/>
      <c r="DV765" s="3304"/>
      <c r="DW765" s="3304"/>
      <c r="DX765" s="3304"/>
      <c r="DY765" s="3304"/>
      <c r="DZ765" s="3304"/>
      <c r="EA765" s="3304"/>
      <c r="EB765" s="3304"/>
      <c r="EC765" s="3304"/>
      <c r="ED765" s="3304"/>
      <c r="EE765" s="3304"/>
      <c r="EF765" s="3304"/>
      <c r="EG765" s="3304"/>
      <c r="EH765" s="3304"/>
      <c r="EI765" s="3304"/>
      <c r="EJ765" s="3304"/>
      <c r="EK765" s="3304"/>
      <c r="EL765" s="3304"/>
      <c r="EM765" s="3304"/>
      <c r="EN765" s="3304"/>
      <c r="EO765" s="3304"/>
      <c r="EP765" s="3304"/>
      <c r="EQ765" s="3304"/>
      <c r="ER765" s="3304"/>
      <c r="ES765" s="3304"/>
      <c r="ET765" s="3304"/>
      <c r="EU765" s="3304"/>
      <c r="EV765" s="3304"/>
      <c r="EW765" s="3304" t="s">
        <v>1055</v>
      </c>
      <c r="EX765" s="3306" t="s">
        <v>855</v>
      </c>
      <c r="EY765" s="3306" t="s">
        <v>856</v>
      </c>
      <c r="EZ765" s="3306" t="s">
        <v>857</v>
      </c>
      <c r="FA765" s="3306" t="s">
        <v>858</v>
      </c>
      <c r="FB765" s="3304" t="s">
        <v>1056</v>
      </c>
      <c r="FC765" s="3304" t="s">
        <v>1056</v>
      </c>
      <c r="FD765" s="3304" t="s">
        <v>1056</v>
      </c>
      <c r="FE765" s="3304" t="s">
        <v>1056</v>
      </c>
      <c r="FF765" s="3304" t="s">
        <v>1056</v>
      </c>
      <c r="FG765" s="3304" t="s">
        <v>1057</v>
      </c>
      <c r="FH765" s="3304" t="s">
        <v>1057</v>
      </c>
      <c r="FI765" s="3304" t="s">
        <v>1057</v>
      </c>
      <c r="FJ765" s="3304" t="s">
        <v>1057</v>
      </c>
      <c r="FK765" s="3304" t="s">
        <v>1057</v>
      </c>
      <c r="FL765" s="3306" t="s">
        <v>831</v>
      </c>
      <c r="FM765" s="3306" t="s">
        <v>855</v>
      </c>
      <c r="FN765" s="3306" t="s">
        <v>856</v>
      </c>
      <c r="FO765" s="3306" t="s">
        <v>857</v>
      </c>
      <c r="FP765" s="3306" t="s">
        <v>858</v>
      </c>
      <c r="FQ765" s="3306" t="s">
        <v>831</v>
      </c>
      <c r="FR765" s="3306" t="s">
        <v>855</v>
      </c>
      <c r="FS765" s="3306" t="s">
        <v>856</v>
      </c>
      <c r="FT765" s="3306" t="s">
        <v>857</v>
      </c>
      <c r="FU765" s="3306" t="s">
        <v>858</v>
      </c>
      <c r="FV765" s="3304" t="s">
        <v>1058</v>
      </c>
      <c r="FW765" s="3304" t="s">
        <v>1058</v>
      </c>
      <c r="FX765" s="3304" t="s">
        <v>1058</v>
      </c>
      <c r="FY765" s="3304" t="s">
        <v>1058</v>
      </c>
      <c r="FZ765" s="3304" t="s">
        <v>1058</v>
      </c>
      <c r="GA765" s="3304" t="s">
        <v>1059</v>
      </c>
      <c r="GB765" s="3304" t="s">
        <v>1059</v>
      </c>
      <c r="GC765" s="3304" t="s">
        <v>1059</v>
      </c>
      <c r="GD765" s="3304" t="s">
        <v>1059</v>
      </c>
      <c r="GE765" s="3304" t="s">
        <v>1059</v>
      </c>
      <c r="GF765" s="3304" t="s">
        <v>1060</v>
      </c>
      <c r="GG765" s="3304" t="s">
        <v>1060</v>
      </c>
      <c r="GH765" s="3304" t="s">
        <v>1060</v>
      </c>
      <c r="GI765" s="3304" t="s">
        <v>1060</v>
      </c>
      <c r="GJ765" s="3304" t="s">
        <v>1060</v>
      </c>
      <c r="GK765" s="3304" t="s">
        <v>1061</v>
      </c>
      <c r="GL765" s="3304" t="s">
        <v>1061</v>
      </c>
      <c r="GM765" s="3304" t="s">
        <v>1061</v>
      </c>
      <c r="GN765" s="3304" t="s">
        <v>1061</v>
      </c>
      <c r="GO765" s="3304" t="s">
        <v>1061</v>
      </c>
      <c r="GP765" s="3304" t="s">
        <v>1062</v>
      </c>
      <c r="GQ765" s="3304" t="s">
        <v>1062</v>
      </c>
      <c r="GR765" s="3304" t="s">
        <v>1062</v>
      </c>
      <c r="GS765" s="3304" t="s">
        <v>1062</v>
      </c>
      <c r="GT765" s="3304" t="s">
        <v>1062</v>
      </c>
      <c r="GU765" s="3304" t="s">
        <v>1063</v>
      </c>
      <c r="GV765" s="3304" t="s">
        <v>1063</v>
      </c>
      <c r="GW765" s="3304" t="s">
        <v>1063</v>
      </c>
      <c r="GX765" s="3304" t="s">
        <v>1063</v>
      </c>
      <c r="GY765" s="3304" t="s">
        <v>1063</v>
      </c>
      <c r="GZ765" s="3304" t="s">
        <v>1064</v>
      </c>
      <c r="HA765" s="3304" t="s">
        <v>1064</v>
      </c>
      <c r="HB765" s="3304" t="s">
        <v>1064</v>
      </c>
      <c r="HC765" s="3304" t="s">
        <v>1064</v>
      </c>
      <c r="HD765" s="3304" t="s">
        <v>1064</v>
      </c>
      <c r="HE765" s="3304" t="s">
        <v>1065</v>
      </c>
      <c r="HF765" s="3304" t="s">
        <v>1065</v>
      </c>
      <c r="HG765" s="3304" t="s">
        <v>1065</v>
      </c>
      <c r="HH765" s="3304" t="s">
        <v>1065</v>
      </c>
      <c r="HI765" s="3304" t="s">
        <v>1065</v>
      </c>
      <c r="HJ765" s="3304" t="s">
        <v>1066</v>
      </c>
      <c r="HK765" s="3304" t="s">
        <v>1066</v>
      </c>
      <c r="HL765" s="3304" t="s">
        <v>1066</v>
      </c>
      <c r="HM765" s="3304" t="s">
        <v>1066</v>
      </c>
      <c r="HN765" s="3304" t="s">
        <v>1066</v>
      </c>
      <c r="HO765" s="3304" t="s">
        <v>1067</v>
      </c>
      <c r="HP765" s="3304" t="s">
        <v>1067</v>
      </c>
      <c r="HQ765" s="3304" t="s">
        <v>1067</v>
      </c>
      <c r="HR765" s="3304" t="s">
        <v>1067</v>
      </c>
      <c r="HS765" s="3304" t="s">
        <v>1067</v>
      </c>
      <c r="HT765" s="3304" t="s">
        <v>1068</v>
      </c>
      <c r="HU765" s="3304" t="s">
        <v>1068</v>
      </c>
      <c r="HV765" s="3304" t="s">
        <v>1068</v>
      </c>
      <c r="HW765" s="3304" t="s">
        <v>1068</v>
      </c>
      <c r="HX765" s="3304" t="s">
        <v>1068</v>
      </c>
      <c r="HY765" s="3304" t="s">
        <v>1069</v>
      </c>
      <c r="HZ765" s="3304" t="s">
        <v>1069</v>
      </c>
      <c r="IA765" s="3304" t="s">
        <v>1069</v>
      </c>
      <c r="IB765" s="3304" t="s">
        <v>1069</v>
      </c>
      <c r="IC765" s="3304" t="s">
        <v>1069</v>
      </c>
      <c r="ID765" s="3304"/>
      <c r="IE765" s="3304"/>
      <c r="IF765" s="3304"/>
      <c r="IG765" s="3304"/>
      <c r="IH765" s="3304"/>
      <c r="II765" s="3304"/>
      <c r="IJ765" s="3304"/>
      <c r="IK765" s="3304"/>
      <c r="IL765" s="3304"/>
      <c r="IM765" s="3304"/>
      <c r="IN765" s="3304"/>
      <c r="IO765" s="3304"/>
      <c r="IP765" s="3304"/>
      <c r="IQ765" s="3304"/>
      <c r="IR765" s="3304"/>
      <c r="IS765" s="3304"/>
      <c r="IT765" s="3304"/>
      <c r="IU765" s="3304"/>
      <c r="IV765" s="3304"/>
      <c r="IW765" s="3304"/>
      <c r="IX765" s="3304"/>
      <c r="IY765" s="3304"/>
      <c r="IZ765" s="3304"/>
      <c r="JA765" s="3304"/>
      <c r="JB765" s="3304"/>
      <c r="JC765" s="3304"/>
      <c r="JD765" s="3304"/>
      <c r="JE765" s="3304"/>
      <c r="JF765" s="3304"/>
      <c r="JG765" s="3304"/>
      <c r="JH765" s="3316"/>
      <c r="JI765" s="3316"/>
      <c r="JJ765" s="3316"/>
      <c r="JK765" s="3316"/>
      <c r="JL765" s="3316"/>
      <c r="JM765" s="3304"/>
      <c r="JN765" s="3304"/>
      <c r="JO765" s="3304"/>
      <c r="JP765" s="3304"/>
      <c r="JQ765" s="3304"/>
    </row>
    <row r="766" spans="1:277" s="1087" customFormat="1" ht="11.25" customHeight="1">
      <c r="A766" s="3317"/>
      <c r="B766" s="3325" t="s">
        <v>1070</v>
      </c>
      <c r="C766" s="3318" t="s">
        <v>1071</v>
      </c>
      <c r="D766" s="3318" t="s">
        <v>1072</v>
      </c>
      <c r="E766" s="3318" t="s">
        <v>1073</v>
      </c>
      <c r="F766" s="3318" t="s">
        <v>1074</v>
      </c>
      <c r="G766" s="3318" t="s">
        <v>1075</v>
      </c>
      <c r="H766" s="3318" t="s">
        <v>1043</v>
      </c>
      <c r="I766" s="3274"/>
      <c r="J766" s="3327" t="s">
        <v>1076</v>
      </c>
      <c r="K766" s="3318" t="s">
        <v>1077</v>
      </c>
      <c r="L766" s="3318" t="s">
        <v>478</v>
      </c>
      <c r="M766" s="3318" t="s">
        <v>1046</v>
      </c>
      <c r="N766" s="3318" t="s">
        <v>1078</v>
      </c>
      <c r="O766" s="3318" t="s">
        <v>1079</v>
      </c>
      <c r="P766" s="3314"/>
      <c r="Q766" s="3318" t="s">
        <v>1080</v>
      </c>
      <c r="R766" s="3318" t="s">
        <v>1081</v>
      </c>
      <c r="S766" s="3318" t="s">
        <v>1043</v>
      </c>
      <c r="T766" s="3318" t="s">
        <v>1082</v>
      </c>
      <c r="U766" s="3307" t="s">
        <v>851</v>
      </c>
      <c r="V766" s="3307"/>
      <c r="W766" s="3234"/>
      <c r="X766" s="3234"/>
      <c r="Y766" s="3234"/>
      <c r="Z766" s="3234"/>
      <c r="AA766" s="3234"/>
      <c r="AB766" s="3234"/>
      <c r="AC766" s="3234"/>
      <c r="AD766" s="3234"/>
      <c r="AE766" s="3234"/>
      <c r="AF766" s="3234"/>
      <c r="AG766" s="3234"/>
      <c r="AH766" s="3234"/>
      <c r="AI766" s="3234"/>
      <c r="AJ766" s="3234"/>
      <c r="AK766" s="3234"/>
      <c r="AL766" s="3234"/>
      <c r="AM766" s="3234"/>
      <c r="AN766" s="3234"/>
      <c r="AO766" s="3234"/>
      <c r="AP766" s="3234"/>
      <c r="AQ766" s="3234"/>
      <c r="AR766" s="3234"/>
      <c r="AS766" s="3234"/>
      <c r="AT766" s="3234"/>
      <c r="AU766" s="3234"/>
      <c r="AV766" s="3234"/>
      <c r="AW766" s="3234"/>
      <c r="AX766" s="3234"/>
      <c r="AY766" s="3234"/>
      <c r="AZ766" s="3234"/>
      <c r="BA766" s="3234"/>
      <c r="BB766" s="3234"/>
      <c r="BC766" s="3234"/>
      <c r="BD766" s="3234"/>
      <c r="BE766" s="3234"/>
      <c r="BF766" s="3234"/>
      <c r="BG766" s="3234"/>
      <c r="BH766" s="3234"/>
      <c r="BI766" s="3234"/>
      <c r="BJ766" s="3234"/>
      <c r="BK766" s="3234"/>
      <c r="BL766" s="3234"/>
      <c r="BM766" s="3234"/>
      <c r="BN766" s="3234"/>
      <c r="BO766" s="3234"/>
      <c r="BP766" s="3234"/>
      <c r="BQ766" s="3234"/>
      <c r="BR766" s="3234"/>
      <c r="BS766" s="3234"/>
      <c r="BT766" s="3234"/>
      <c r="BU766" s="3234"/>
      <c r="BV766" s="3234"/>
      <c r="BW766" s="3234"/>
      <c r="BX766" s="3234"/>
      <c r="BY766" s="3234"/>
      <c r="BZ766" s="3234"/>
      <c r="CA766" s="3234"/>
      <c r="CB766" s="3234"/>
      <c r="CC766" s="3234"/>
      <c r="CD766" s="3234"/>
      <c r="CE766" s="3304"/>
      <c r="CF766" s="3304"/>
      <c r="CG766" s="3304"/>
      <c r="CH766" s="3304"/>
      <c r="CI766" s="3304"/>
      <c r="CJ766" s="3304"/>
      <c r="CK766" s="3304"/>
      <c r="CL766" s="3304"/>
      <c r="CM766" s="3304"/>
      <c r="CN766" s="3304"/>
      <c r="CO766" s="3304"/>
      <c r="CP766" s="3304"/>
      <c r="CQ766" s="3304"/>
      <c r="CR766" s="3304"/>
      <c r="CS766" s="3304"/>
      <c r="CT766" s="3304"/>
      <c r="CU766" s="3304"/>
      <c r="CV766" s="3304"/>
      <c r="CW766" s="3304"/>
      <c r="CX766" s="3304"/>
      <c r="CY766" s="3304"/>
      <c r="CZ766" s="3304"/>
      <c r="DA766" s="3304"/>
      <c r="DB766" s="3304"/>
      <c r="DC766" s="3304"/>
      <c r="DD766" s="3304"/>
      <c r="DE766" s="3304"/>
      <c r="DF766" s="3304"/>
      <c r="DG766" s="3304"/>
      <c r="DH766" s="3304"/>
      <c r="DI766" s="3304"/>
      <c r="DJ766" s="3304"/>
      <c r="DK766" s="3304"/>
      <c r="DL766" s="3304"/>
      <c r="DM766" s="3304"/>
      <c r="DN766" s="3304"/>
      <c r="DO766" s="3304"/>
      <c r="DP766" s="3304"/>
      <c r="DQ766" s="3304"/>
      <c r="DR766" s="3304"/>
      <c r="DS766" s="3304"/>
      <c r="DT766" s="3304"/>
      <c r="DU766" s="3304"/>
      <c r="DV766" s="3304"/>
      <c r="DW766" s="3304"/>
      <c r="DX766" s="3304"/>
      <c r="DY766" s="3304"/>
      <c r="DZ766" s="3304"/>
      <c r="EA766" s="3304"/>
      <c r="EB766" s="3304"/>
      <c r="EC766" s="3304"/>
      <c r="ED766" s="3304"/>
      <c r="EE766" s="3304"/>
      <c r="EF766" s="3304"/>
      <c r="EG766" s="3304"/>
      <c r="EH766" s="3304"/>
      <c r="EI766" s="3304"/>
      <c r="EJ766" s="3304"/>
      <c r="EK766" s="3304"/>
      <c r="EL766" s="3304"/>
      <c r="EM766" s="3304"/>
      <c r="EN766" s="3304"/>
      <c r="EO766" s="3304"/>
      <c r="EP766" s="3304"/>
      <c r="EQ766" s="3304"/>
      <c r="ER766" s="3304"/>
      <c r="ES766" s="3304"/>
      <c r="ET766" s="3304"/>
      <c r="EU766" s="3304"/>
      <c r="EV766" s="3304"/>
      <c r="EW766" s="3304"/>
      <c r="EX766" s="3306" t="s">
        <v>1083</v>
      </c>
      <c r="EY766" s="3306" t="s">
        <v>1083</v>
      </c>
      <c r="EZ766" s="3306" t="s">
        <v>1083</v>
      </c>
      <c r="FA766" s="3306" t="s">
        <v>1083</v>
      </c>
      <c r="FB766" s="3304"/>
      <c r="FC766" s="3304"/>
      <c r="FD766" s="3304"/>
      <c r="FE766" s="3304"/>
      <c r="FF766" s="3304"/>
      <c r="FG766" s="3304"/>
      <c r="FH766" s="3304"/>
      <c r="FI766" s="3304"/>
      <c r="FJ766" s="3304"/>
      <c r="FK766" s="3304"/>
      <c r="FL766" s="3306" t="s">
        <v>1084</v>
      </c>
      <c r="FM766" s="3306" t="s">
        <v>1084</v>
      </c>
      <c r="FN766" s="3306" t="s">
        <v>1084</v>
      </c>
      <c r="FO766" s="3306" t="s">
        <v>1084</v>
      </c>
      <c r="FP766" s="3306" t="s">
        <v>1084</v>
      </c>
      <c r="FQ766" s="3306" t="s">
        <v>1085</v>
      </c>
      <c r="FR766" s="3306" t="s">
        <v>1085</v>
      </c>
      <c r="FS766" s="3306" t="s">
        <v>1085</v>
      </c>
      <c r="FT766" s="3306" t="s">
        <v>1085</v>
      </c>
      <c r="FU766" s="3306" t="s">
        <v>1085</v>
      </c>
      <c r="FV766" s="3304"/>
      <c r="FW766" s="3304"/>
      <c r="FX766" s="3304"/>
      <c r="FY766" s="3304"/>
      <c r="FZ766" s="3304"/>
      <c r="GA766" s="3304"/>
      <c r="GB766" s="3304"/>
      <c r="GC766" s="3304"/>
      <c r="GD766" s="3304"/>
      <c r="GE766" s="3304"/>
      <c r="GF766" s="3304"/>
      <c r="GG766" s="3304"/>
      <c r="GH766" s="3304"/>
      <c r="GI766" s="3304"/>
      <c r="GJ766" s="3304"/>
      <c r="GK766" s="3304"/>
      <c r="GL766" s="3304"/>
      <c r="GM766" s="3304"/>
      <c r="GN766" s="3304"/>
      <c r="GO766" s="3304"/>
      <c r="GP766" s="3304"/>
      <c r="GQ766" s="3304"/>
      <c r="GR766" s="3304"/>
      <c r="GS766" s="3304"/>
      <c r="GT766" s="3304"/>
      <c r="GU766" s="3304"/>
      <c r="GV766" s="3304"/>
      <c r="GW766" s="3304"/>
      <c r="GX766" s="3304"/>
      <c r="GY766" s="3304"/>
      <c r="GZ766" s="3304"/>
      <c r="HA766" s="3304"/>
      <c r="HB766" s="3304"/>
      <c r="HC766" s="3304"/>
      <c r="HD766" s="3304"/>
      <c r="HE766" s="3304"/>
      <c r="HF766" s="3304"/>
      <c r="HG766" s="3304"/>
      <c r="HH766" s="3304"/>
      <c r="HI766" s="3304"/>
      <c r="HJ766" s="3304"/>
      <c r="HK766" s="3304"/>
      <c r="HL766" s="3304"/>
      <c r="HM766" s="3304"/>
      <c r="HN766" s="3304"/>
      <c r="HO766" s="3304"/>
      <c r="HP766" s="3304"/>
      <c r="HQ766" s="3304"/>
      <c r="HR766" s="3304"/>
      <c r="HS766" s="3304"/>
      <c r="HT766" s="3304"/>
      <c r="HU766" s="3304"/>
      <c r="HV766" s="3304"/>
      <c r="HW766" s="3304"/>
      <c r="HX766" s="3304"/>
      <c r="HY766" s="3304"/>
      <c r="HZ766" s="3304"/>
      <c r="IA766" s="3304"/>
      <c r="IB766" s="3304"/>
      <c r="IC766" s="3304"/>
      <c r="ID766" s="3304"/>
      <c r="IE766" s="3304"/>
      <c r="IF766" s="3304"/>
      <c r="IG766" s="3304"/>
      <c r="IH766" s="3304"/>
      <c r="II766" s="3304"/>
      <c r="IJ766" s="3304"/>
      <c r="IK766" s="3304"/>
      <c r="IL766" s="3304"/>
      <c r="IM766" s="3304"/>
      <c r="IN766" s="3304"/>
      <c r="IO766" s="3304"/>
      <c r="IP766" s="3304"/>
      <c r="IQ766" s="3304"/>
      <c r="IR766" s="3304"/>
      <c r="IS766" s="3304"/>
      <c r="IT766" s="3304"/>
      <c r="IU766" s="3304"/>
      <c r="IV766" s="3304"/>
      <c r="IW766" s="3304"/>
      <c r="IX766" s="3304"/>
      <c r="IY766" s="3304"/>
      <c r="IZ766" s="3304"/>
      <c r="JA766" s="3304"/>
      <c r="JB766" s="3304"/>
      <c r="JC766" s="3304"/>
      <c r="JD766" s="3304"/>
      <c r="JE766" s="3304"/>
      <c r="JF766" s="3304"/>
      <c r="JG766" s="3304"/>
      <c r="JH766" s="3316"/>
      <c r="JI766" s="3316"/>
      <c r="JJ766" s="3316"/>
      <c r="JK766" s="3316"/>
      <c r="JL766" s="3316"/>
      <c r="JM766" s="3304"/>
      <c r="JN766" s="3304"/>
      <c r="JO766" s="3304"/>
      <c r="JP766" s="3304"/>
      <c r="JQ766" s="3304"/>
    </row>
    <row r="767" spans="1:277" ht="12" customHeight="1">
      <c r="A767" s="3319" t="str">
        <f t="shared" ref="A767:A804" si="1">IF(AND(E767&gt;0,OR(B767="",C767="",D767="",F767="",G767="", H767="",M767="",N767="",O767="",P767="")),1,"")</f>
        <v/>
      </c>
      <c r="B767" s="3328" t="str">
        <f>'Part VI-Revenues &amp; Expenses'!B10</f>
        <v>50% AMI</v>
      </c>
      <c r="C767" s="3329">
        <f>'Part VI-Revenues &amp; Expenses'!C10</f>
        <v>1</v>
      </c>
      <c r="D767" s="3330">
        <f>'Part VI-Revenues &amp; Expenses'!D10</f>
        <v>1</v>
      </c>
      <c r="E767" s="3331">
        <f>'Part VI-Revenues &amp; Expenses'!E10</f>
        <v>3</v>
      </c>
      <c r="F767" s="3331">
        <f>'Part VI-Revenues &amp; Expenses'!F10</f>
        <v>836</v>
      </c>
      <c r="G767" s="3331">
        <f>'Part VI-Revenues &amp; Expenses'!G10</f>
        <v>653</v>
      </c>
      <c r="H767" s="3331">
        <f>'Part VI-Revenues &amp; Expenses'!H10</f>
        <v>593</v>
      </c>
      <c r="I767" s="3331">
        <f>'Part VI-Revenues &amp; Expenses'!I10</f>
        <v>103</v>
      </c>
      <c r="J767" s="3332">
        <f>'Part VI-Revenues &amp; Expenses'!J10</f>
        <v>0</v>
      </c>
      <c r="K767" s="3333">
        <f t="shared" ref="K767:K804" si="2">MAX(0,H767-I767)</f>
        <v>490</v>
      </c>
      <c r="L767" s="3333">
        <f t="shared" ref="L767:L804" si="3">MAX(0,E767*K767)</f>
        <v>1470</v>
      </c>
      <c r="M767" s="3207" t="str">
        <f>'Part VI-Revenues &amp; Expenses'!M10</f>
        <v>No</v>
      </c>
      <c r="N767" s="3207" t="str">
        <f>'Part VI-Revenues &amp; Expenses'!N10</f>
        <v>2-Story Walkup</v>
      </c>
      <c r="O767" s="3207" t="str">
        <f>'Part VI-Revenues &amp; Expenses'!O10</f>
        <v>New Construction</v>
      </c>
      <c r="P767" s="3313" t="str">
        <f>'Part VI-Revenues &amp; Expenses'!P10</f>
        <v>No</v>
      </c>
      <c r="Q767" s="3334">
        <f>'Part VI-Revenues &amp; Expenses'!Q10</f>
        <v>23720</v>
      </c>
      <c r="R767" s="3335">
        <f>'Part VI-Revenues &amp; Expenses'!R10</f>
        <v>0.45375418460066952</v>
      </c>
      <c r="S767" s="3334">
        <f>'Part VI-Revenues &amp; Expenses'!S10</f>
        <v>0</v>
      </c>
      <c r="T767" s="3335">
        <f>'Part VI-Revenues &amp; Expenses'!T10</f>
        <v>0</v>
      </c>
      <c r="U767" s="3257"/>
      <c r="V767" s="3257"/>
      <c r="W767" s="523" t="str">
        <f t="shared" ref="W767:W804" si="4">IF(AND(C767="Efficiency",B767="60% AMI",NOT(M767="Common Space")),E767,"")</f>
        <v/>
      </c>
      <c r="X767" s="523" t="str">
        <f t="shared" ref="X767:X804" si="5">IF(AND(C767=1,B767="60% AMI",NOT(M767="Common Space")),E767,"")</f>
        <v/>
      </c>
      <c r="Y767" s="523" t="str">
        <f t="shared" ref="Y767:Y804" si="6">IF(AND(C767=2,B767="60% AMI",NOT(M767="Common Space")),E767,"")</f>
        <v/>
      </c>
      <c r="Z767" s="523" t="str">
        <f t="shared" ref="Z767:Z804" si="7">IF(AND(C767=3,B767="60% AMI",NOT(M767="Common Space")),E767,"")</f>
        <v/>
      </c>
      <c r="AA767" s="523" t="str">
        <f t="shared" ref="AA767:AA804" si="8">IF(AND(C767=4,B767="60% AMI",NOT(M767="Common Space")),E767,"")</f>
        <v/>
      </c>
      <c r="AB767" s="523" t="str">
        <f t="shared" ref="AB767:AB804" si="9">IF(AND(C767="Efficiency",B767="50% AMI",NOT(M767="Common Space")),E767,"")</f>
        <v/>
      </c>
      <c r="AC767" s="523">
        <f t="shared" ref="AC767:AC804" si="10">IF(AND(C767=1,B767="50% AMI",NOT(M767="Common Space")),E767,"")</f>
        <v>3</v>
      </c>
      <c r="AD767" s="523" t="str">
        <f t="shared" ref="AD767:AD804" si="11">IF(AND(C767=2,B767="50% AMI",NOT(M767="Common Space")),E767,"")</f>
        <v/>
      </c>
      <c r="AE767" s="523" t="str">
        <f t="shared" ref="AE767:AE804" si="12">IF(AND(C767=3,B767="50% AMI",NOT(M767="Common Space")),E767,"")</f>
        <v/>
      </c>
      <c r="AF767" s="523" t="str">
        <f t="shared" ref="AF767:AF804" si="13">IF(AND(C767=4,B767="50% AMI",NOT(M767="Common Space")),E767,"")</f>
        <v/>
      </c>
      <c r="AG767" s="523" t="str">
        <f t="shared" ref="AG767:AG804" si="14">IF(AND(C767="Efficiency",B767="30% AMI",NOT(M767="Common Space")),E767,"")</f>
        <v/>
      </c>
      <c r="AH767" s="523" t="str">
        <f t="shared" ref="AH767:AH804" si="15">IF(AND(C767=1,B767="30% AMI",NOT(M767="Common Space")),E767,"")</f>
        <v/>
      </c>
      <c r="AI767" s="523" t="str">
        <f t="shared" ref="AI767:AI804" si="16">IF(AND(C767=2,B767="30% AMI",NOT(M767="Common Space")),E767,"")</f>
        <v/>
      </c>
      <c r="AJ767" s="523" t="str">
        <f t="shared" ref="AJ767:AJ804" si="17">IF(AND(C767=3,B767="30% AMI",NOT(M767="Common Space")),E767,"")</f>
        <v/>
      </c>
      <c r="AK767" s="523" t="str">
        <f t="shared" ref="AK767:AK804" si="18">IF(AND(C767=4,B767="30% AMI",NOT(M767="Common Space")),E767,"")</f>
        <v/>
      </c>
      <c r="AL767" s="523" t="str">
        <f t="shared" ref="AL767:AL804" si="19">IF(AND(C767="Efficiency",B767="Unrestricted",NOT(M767="Common Space")),E767,"")</f>
        <v/>
      </c>
      <c r="AM767" s="523" t="str">
        <f t="shared" ref="AM767:AM804" si="20">IF(AND(C767=1,B767="Unrestricted",NOT(M767="Common Space")),E767,"")</f>
        <v/>
      </c>
      <c r="AN767" s="523" t="str">
        <f t="shared" ref="AN767:AN804" si="21">IF(AND(C767=2,B767="Unrestricted",NOT(M767="Common Space")),E767,"")</f>
        <v/>
      </c>
      <c r="AO767" s="523" t="str">
        <f t="shared" ref="AO767:AO804" si="22">IF(AND(C767=3,B767="Unrestricted",NOT(M767="Common Space")),E767,"")</f>
        <v/>
      </c>
      <c r="AP767" s="523" t="str">
        <f t="shared" ref="AP767:AP804" si="23">IF(AND(C767=4,B767="Unrestricted",NOT(M767="Common Space")),E767,"")</f>
        <v/>
      </c>
      <c r="AQ767" s="523" t="str">
        <f t="shared" ref="AQ767:AQ804" si="24">IF(OR(AND($C767="Efficiency",NOT($J767=""),NOT($J767="PHA Oper Sub"),$B767="30% AMI",NOT($M767="Common Space")),AND($C767="Efficiency",NOT($J767=""),NOT($J767="PHA Oper Sub"),$B767="HOME 30% AMI",NOT($M767="Common Space"))),$E767,"")</f>
        <v/>
      </c>
      <c r="AR767" s="523" t="str">
        <f t="shared" ref="AR767:AR804" si="25">IF(OR(AND($C767=1,NOT($J767=""),NOT($J767="PHA Oper Sub"),$B767="30% AMI",NOT($M767="Common Space")),AND($C767=1,NOT($J767=""),NOT($J767="PHA Oper Sub"),$B767="HOME 30% AMI",NOT($M767="Common Space"))),$E767,"")</f>
        <v/>
      </c>
      <c r="AS767" s="523" t="str">
        <f t="shared" ref="AS767:AS804" si="26">IF(OR(AND($C767=2,NOT($J767=""),NOT($J767="PHA Oper Sub"),$B767="30% AMI",NOT($M767="Common Space")),AND($C767=2,NOT($J767=""),NOT($J767="PHA Oper Sub"),$B767="HOME 30% AMI",NOT($M767="Common Space"))),$E767,"")</f>
        <v/>
      </c>
      <c r="AT767" s="523" t="str">
        <f t="shared" ref="AT767:AT804" si="27">IF(OR(AND($C767=3,NOT($J767=""),NOT($J767="PHA Oper Sub"),$B767="30% AMI",NOT($M767="Common Space")),AND($C767=3,NOT($J767=""),NOT($J767="PHA Oper Sub"),$B767="HOME 30% AMI",NOT($M767="Common Space"))),$E767,"")</f>
        <v/>
      </c>
      <c r="AU767" s="523" t="str">
        <f t="shared" ref="AU767:AU804" si="28">IF(OR(AND($C767=4,NOT($J767=""),NOT($J767="PHA Oper Sub"),$B767="30% AMI",NOT($M767="Common Space")),AND($C767=4,NOT($J767=""),NOT($J767="PHA Oper Sub"),$B767="HOME 30% AMI",NOT($M767="Common Space"))),$E767,"")</f>
        <v/>
      </c>
      <c r="AV767" s="523" t="str">
        <f t="shared" ref="AV767:AV804" si="29">IF(OR(AND($C767="Efficiency",NOT($J767=""),NOT($J767="PHA Oper Sub"),NOT($J767=0),$B767="50% AMI",NOT($M767="Common Space")),AND($C767="Efficiency",NOT($J767=""),NOT($J767=0),NOT($J767="PHA Oper Sub"),$B767="HOME 50% AMI",NOT($M767="Common Space"))),$E767,"")</f>
        <v/>
      </c>
      <c r="AW767" s="523" t="str">
        <f t="shared" ref="AW767:AW804" si="30">IF(OR(AND($C767=1,NOT($J767=""),NOT($J767=0),NOT($J767="PHA Oper Sub"),$B767="50% AMI",NOT($M767="Common Space")),AND($C767=1,NOT($J767=""),NOT($J767=0),NOT($J767="PHA Oper Sub"),$B767="HOME 50% AMI",NOT($M767="Common Space"))),$E767,"")</f>
        <v/>
      </c>
      <c r="AX767" s="523" t="str">
        <f t="shared" ref="AX767:AX804" si="31">IF(OR(AND($C767=2,NOT($J767=""),NOT($J767=0),NOT($J767="PHA Oper Sub"),$B767="50% AMI",NOT($M767="Common Space")),AND($C767=2,NOT($J767=""),NOT($J767=0),NOT($J767="PHA Oper Sub"),$B767="HOME 50% AMI",NOT($M767="Common Space"))),$E767,"")</f>
        <v/>
      </c>
      <c r="AY767" s="523" t="str">
        <f t="shared" ref="AY767:AY804" si="32">IF(OR(AND($C767=3,NOT($J767=""),NOT($J767=0),NOT($J767="PHA Oper Sub"),$B767="50% AMI",NOT($M767="Common Space")),AND($C767=3,NOT($J767=""),NOT($J767=0),NOT($J767="PHA Oper Sub"),$B767="HOME 50% AMI",NOT($M767="Common Space"))),$E767,"")</f>
        <v/>
      </c>
      <c r="AZ767" s="523" t="str">
        <f t="shared" ref="AZ767:AZ804" si="33">IF(OR(AND($C767=4,NOT($J767=""),NOT($J767=0),NOT($J767="PHA Oper Sub"),$B767="50% AMI",NOT($M767="Common Space")),AND($C767=4,NOT($J767=""),NOT($J767=0),NOT($J767="PHA Oper Sub"),$B767="HOME 50% AMI",NOT($M767="Common Space"))),$E767,"")</f>
        <v/>
      </c>
      <c r="BA767" s="523" t="str">
        <f t="shared" ref="BA767:BA804" si="34">IF(OR(AND($C767="Efficiency",NOT($J767=""),NOT($J767=0),NOT($J767="PHA Oper Sub"),$B767="60% AMI",NOT($M767="Common Space")),AND($C767="Efficiency",NOT($J767=""),NOT($J767=0),NOT($J767="PHA Oper Sub"),$B767="HOME 60% AMI",NOT($M767="Common Space"))),$E767,"")</f>
        <v/>
      </c>
      <c r="BB767" s="523" t="str">
        <f t="shared" ref="BB767:BB804" si="35">IF(OR(AND($C767=1,NOT($J767=""),NOT($J767=0),NOT($J767="PHA Oper Sub"),$B767="60% AMI",NOT($M767="Common Space")),AND($C767=1,NOT($J767=""),NOT($J767=0),NOT($J767="PHA Oper Sub"),$B767="HOME 60% AMI",NOT($M767="Common Space"))),$E767,"")</f>
        <v/>
      </c>
      <c r="BC767" s="523" t="str">
        <f t="shared" ref="BC767:BC804" si="36">IF(OR(AND($C767=2,NOT($J767=""),NOT($J767=0),NOT($J767="PHA Oper Sub"),$B767="60% AMI",NOT($M767="Common Space")),AND($C767=2,NOT($J767=""),NOT($J767=0),NOT($J767="PHA Oper Sub"),$B767="HOME 60% AMI",NOT($M767="Common Space"))),$E767,"")</f>
        <v/>
      </c>
      <c r="BD767" s="523" t="str">
        <f t="shared" ref="BD767:BD804" si="37">IF(OR(AND($C767=3,NOT($J767=""),NOT($J767=0),NOT($J767="PHA Oper Sub"),$B767="60% AMI",NOT($M767="Common Space")),AND($C767=3,NOT($J767=""),NOT($J767=0),NOT($J767="PHA Oper Sub"),$B767="HOME 60% AMI",NOT($M767="Common Space"))),$E767,"")</f>
        <v/>
      </c>
      <c r="BE767" s="523" t="str">
        <f t="shared" ref="BE767:BE804" si="38">IF(OR(AND($C767=4,NOT($J767=""),NOT($J767=0),NOT($J767="PHA Oper Sub"),$B767="60% AMI",NOT($M767="Common Space")),AND($C767=4,NOT($J767=""),NOT($J767=0),NOT($J767="PHA Oper Sub"),$B767="HOME 60% AMI",NOT($M767="Common Space"))),$E767,"")</f>
        <v/>
      </c>
      <c r="BF767" s="523" t="str">
        <f t="shared" ref="BF767:BF804" si="39">IF(OR(AND($C767="Efficiency",$J767="PHA Oper Sub",$B767="30% AMI",NOT($M767="Common Space")),AND($C767="Efficiency",$J767="PHA Oper Sub",$B767="HOME 30% AMI",NOT($M767="Common Space"))),$E767,"")</f>
        <v/>
      </c>
      <c r="BG767" s="523" t="str">
        <f t="shared" ref="BG767:BG804" si="40">IF(OR(AND($C767=1,$J767="PHA Oper Sub",$B767="30% AMI",NOT($M767="Common Space")),AND($C767=1,$J767="PHA Oper Sub",$B767="HOME 30% AMI",NOT($M767="Common Space"))),$E767,"")</f>
        <v/>
      </c>
      <c r="BH767" s="523" t="str">
        <f t="shared" ref="BH767:BH804" si="41">IF(OR(AND($C767=2,$J767="PHA Oper Sub",$B767="30% AMI",NOT($M767="Common Space")),AND($C767=2,$J767="PHA Oper Sub",$B767="HOME 30% AMI",NOT($M767="Common Space"))),$E767,"")</f>
        <v/>
      </c>
      <c r="BI767" s="523" t="str">
        <f t="shared" ref="BI767:BI804" si="42">IF(OR(AND($C767=3,$J767="PHA Oper Sub",$B767="30% AMI",NOT($M767="Common Space")),AND($C767=3,$J767="PHA Oper Sub",$B767="HOME 30% AMI",NOT($M767="Common Space"))),$E767,"")</f>
        <v/>
      </c>
      <c r="BJ767" s="523" t="str">
        <f t="shared" ref="BJ767:BJ804" si="43">IF(OR(AND($C767=4,$J767="PHA Oper Sub",$B767="30% AMI",NOT($M767="Common Space")),AND($C767=4,$J767="PHA Oper Sub",$B767="HOME 30% AMI",NOT($M767="Common Space"))),$E767,"")</f>
        <v/>
      </c>
      <c r="BK767" s="523" t="str">
        <f t="shared" ref="BK767:BK804" si="44">IF(OR(AND($C767="Efficiency",$J767="PHA Oper Sub",$B767="50% AMI",NOT($M767="Common Space")),AND($C767="Efficiency",$J767="PHA Oper Sub",$B767="HOME 50% AMI",NOT($M767="Common Space"))),$E767,"")</f>
        <v/>
      </c>
      <c r="BL767" s="523" t="str">
        <f t="shared" ref="BL767:BL804" si="45">IF(OR(AND($C767=1,$J767="PHA Oper Sub",$B767="50% AMI",NOT($M767="Common Space")),AND($C767=1,$J767="PHA Oper Sub",$B767="HOME 50% AMI",NOT($M767="Common Space"))),$E767,"")</f>
        <v/>
      </c>
      <c r="BM767" s="523" t="str">
        <f t="shared" ref="BM767:BM804" si="46">IF(OR(AND($C767=2,$J767="PHA Oper Sub",$B767="50% AMI",NOT($M767="Common Space")),AND($C767=2,$J767="PHA Oper Sub",$B767="HOME 50% AMI",NOT($M767="Common Space"))),$E767,"")</f>
        <v/>
      </c>
      <c r="BN767" s="523" t="str">
        <f t="shared" ref="BN767:BN804" si="47">IF(OR(AND($C767=3,$J767="PHA Oper Sub",$B767="50% AMI",NOT($M767="Common Space")),AND($C767=3,$J767="PHA Oper Sub",$B767="HOME 50% AMI",NOT($M767="Common Space"))),$E767,"")</f>
        <v/>
      </c>
      <c r="BO767" s="523" t="str">
        <f t="shared" ref="BO767:BO804" si="48">IF(OR(AND($C767=4,$J767="PHA Oper Sub",$B767="50% AMI",NOT($M767="Common Space")),AND($C767=4,$J767="PHA Oper Sub",$B767="HOME 50% AMI",NOT($M767="Common Space"))),$E767,"")</f>
        <v/>
      </c>
      <c r="BP767" s="523" t="str">
        <f t="shared" ref="BP767:BP804" si="49">IF(OR(AND($C767="Efficiency",$J767="PHA Oper Sub",$B767="60% AMI",NOT($M767="Common Space")),AND($C767="Efficiency",$J767="PHA Oper Sub",$B767="HOME 60% AMI",NOT($M767="Common Space"))),$E767,"")</f>
        <v/>
      </c>
      <c r="BQ767" s="523" t="str">
        <f t="shared" ref="BQ767:BQ804" si="50">IF(OR(AND($C767=1,$J767="PHA Oper Sub",$B767="60% AMI",NOT($M767="Common Space")),AND($C767=1,$J767="PHA Oper Sub",$B767="HOME 60% AMI",NOT($M767="Common Space"))),$E767,"")</f>
        <v/>
      </c>
      <c r="BR767" s="523" t="str">
        <f t="shared" ref="BR767:BR804" si="51">IF(OR(AND($C767=2,$J767="PHA Oper Sub",$B767="60% AMI",NOT($M767="Common Space")),AND($C767=2,$J767="PHA Oper Sub",$B767="HOME 60% AMI",NOT($M767="Common Space"))),$E767,"")</f>
        <v/>
      </c>
      <c r="BS767" s="523" t="str">
        <f t="shared" ref="BS767:BS804" si="52">IF(OR(AND($C767=3,$J767="PHA Oper Sub",$B767="60% AMI",NOT($M767="Common Space")),AND($C767=3,$J767="PHA Oper Sub",$B767="HOME 60% AMI",NOT($M767="Common Space"))),$E767,"")</f>
        <v/>
      </c>
      <c r="BT767" s="523" t="str">
        <f t="shared" ref="BT767:BT804" si="53">IF(OR(AND($C767=4,$J767="PHA Oper Sub",$B767="60% AMI",NOT($M767="Common Space")),AND($C767=4,$J767="PHA Oper Sub",$B767="HOME 60% AMI",NOT($M767="Common Space"))),$E767,"")</f>
        <v/>
      </c>
      <c r="BU767" s="523" t="str">
        <f t="shared" ref="BU767:BU804" si="54">IF(AND(C767="Efficiency",M767="Common Space"),E767,"")</f>
        <v/>
      </c>
      <c r="BV767" s="523" t="str">
        <f t="shared" ref="BV767:BV804" si="55">IF(AND(C767=1,M767="Common Space"),E767,"")</f>
        <v/>
      </c>
      <c r="BW767" s="523" t="str">
        <f t="shared" ref="BW767:BW804" si="56">IF(AND(C767=2,M767="Common Space"),E767,"")</f>
        <v/>
      </c>
      <c r="BX767" s="523" t="str">
        <f t="shared" ref="BX767:BX804" si="57">IF(AND(C767=3,M767="Common Space"),E767,"")</f>
        <v/>
      </c>
      <c r="BY767" s="523" t="str">
        <f t="shared" ref="BY767:BY804" si="58">IF(AND(C767=4,M767="Common Space"),E767,"")</f>
        <v/>
      </c>
      <c r="BZ767" s="523" t="str">
        <f t="shared" ref="BZ767:BZ804" si="59">IF(OR(AND(C767="Efficiency",B767="60% AMI",NOT(M767="Common Space")),AND(C767="Efficiency",B767="HOME 60% AMI",NOT(M767="Common Space"))),E767*F767,"")</f>
        <v/>
      </c>
      <c r="CA767" s="523" t="str">
        <f t="shared" ref="CA767:CA804" si="60">IF(OR(AND(C767=1,B767="60% AMI",NOT(M767="Common Space")),AND(C767=1,B767="HOME 60% AMI",NOT(M767="Common Space"))),E767*F767,"")</f>
        <v/>
      </c>
      <c r="CB767" s="523" t="str">
        <f t="shared" ref="CB767:CB804" si="61">IF(OR(AND(C767=2,B767="60% AMI",NOT(M767="Common Space")),AND(C767=2,B767="HOME 60% AMI",NOT(M767="Common Space"))),E767*F767,"")</f>
        <v/>
      </c>
      <c r="CC767" s="523" t="str">
        <f t="shared" ref="CC767:CC804" si="62">IF(OR(AND(C767=3,B767="60% AMI",NOT(M767="Common Space")),AND(C767=3,B767="HOME 60% AMI",NOT(M767="Common Space"))),E767*F767,"")</f>
        <v/>
      </c>
      <c r="CD767" s="523" t="str">
        <f t="shared" ref="CD767:CD804" si="63">IF(OR(AND(C767=4,B767="60% AMI",NOT(M767="Common Space")),AND(C767=4,B767="HOME 60% AMI",NOT(M767="Common Space"))),E767*F767,"")</f>
        <v/>
      </c>
      <c r="CE767" s="523" t="str">
        <f t="shared" ref="CE767:CE804" si="64">IF(OR(AND(C767="Efficiency",B767="50% AMI",NOT(M767="Common Space")),AND(C767="Efficiency",B767="HOME 50% AMI",NOT(M767="Common Space"))),E767*F767,"")</f>
        <v/>
      </c>
      <c r="CF767" s="523">
        <f t="shared" ref="CF767:CF804" si="65">IF(OR(AND(C767=1,B767="50% AMI",NOT(M767="Common Space")),AND(C767=1,B767="HOME 50% AMI",NOT(M767="Common Space"))),E767*F767,"")</f>
        <v>2508</v>
      </c>
      <c r="CG767" s="523" t="str">
        <f t="shared" ref="CG767:CG804" si="66">IF(OR(AND(C767=2,B767="50% AMI",NOT(M767="Common Space")),AND(C767=2,B767="HOME 50% AMI",NOT(M767="Common Space"))),E767*F767,"")</f>
        <v/>
      </c>
      <c r="CH767" s="523" t="str">
        <f t="shared" ref="CH767:CH804" si="67">IF(OR(AND(C767=3,B767="50% AMI",NOT(M767="Common Space")),AND(C767=3,B767="HOME 50% AMI",NOT(M767="Common Space"))),E767*F767,"")</f>
        <v/>
      </c>
      <c r="CI767" s="523" t="str">
        <f t="shared" ref="CI767:CI804" si="68">IF(OR(AND(C767=4,B767="50% AMI",NOT(M767="Common Space")),AND(C767=4,B767="HOME 50% AMI",NOT(M767="Common Space"))),E767*F767,"")</f>
        <v/>
      </c>
      <c r="CJ767" s="523" t="str">
        <f t="shared" ref="CJ767:CJ804" si="69">IF(OR(AND(C767="Efficiency",B767="30% AMI",NOT(M767="Common Space")),AND(C767="Efficiency",B767="HOME 30% AMI",NOT(M767="Common Space"))),E767*F767,"")</f>
        <v/>
      </c>
      <c r="CK767" s="523" t="str">
        <f t="shared" ref="CK767:CK804" si="70">IF(OR(AND(C767=1,B767="30% AMI",NOT(M767="Common Space")),AND(C767=1,B767="HOME 30% AMI",NOT(M767="Common Space"))),E767*F767,"")</f>
        <v/>
      </c>
      <c r="CL767" s="523" t="str">
        <f t="shared" ref="CL767:CL804" si="71">IF(OR(AND(C767=2,B767="30% AMI",NOT(M767="Common Space")),AND(C767=2,B767="HOME 30% AMI",NOT(M767="Common Space"))),E767*F767,"")</f>
        <v/>
      </c>
      <c r="CM767" s="523" t="str">
        <f t="shared" ref="CM767:CM804" si="72">IF(OR(AND(C767=3,B767="30% AMI",NOT(M767="Common Space")),AND(C767=3,B767="HOME 30% AMI",NOT(M767="Common Space"))),E767*F767,"")</f>
        <v/>
      </c>
      <c r="CN767" s="523" t="str">
        <f t="shared" ref="CN767:CN804" si="73">IF(OR(AND(C767=4,B767="30% AMI",NOT(M767="Common Space")),AND(C767=4,B767="HOME 30% AMI",NOT(M767="Common Space"))),E767*F767,"")</f>
        <v/>
      </c>
      <c r="CO767" s="523" t="str">
        <f t="shared" ref="CO767:CO804" si="74">IF(AND(C767="Efficiency",B767="Unrestricted",NOT(M767="Common Space")),E767*F767,"")</f>
        <v/>
      </c>
      <c r="CP767" s="523" t="str">
        <f t="shared" ref="CP767:CP804" si="75">IF(AND(C767=1,B767="Unrestricted",NOT(M767="Common Space")),E767*F767,"")</f>
        <v/>
      </c>
      <c r="CQ767" s="523" t="str">
        <f t="shared" ref="CQ767:CQ804" si="76">IF(AND(C767=2,B767="Unrestricted",NOT(M767="Common Space")),E767*F767,"")</f>
        <v/>
      </c>
      <c r="CR767" s="523" t="str">
        <f t="shared" ref="CR767:CR804" si="77">IF(AND(C767=3,B767="Unrestricted",NOT(M767="Common Space")),E767*F767,"")</f>
        <v/>
      </c>
      <c r="CS767" s="523" t="str">
        <f t="shared" ref="CS767:CS804" si="78">IF(AND(C767=4,B767="Unrestricted",NOT(M767="Common Space")),E767*F767,"")</f>
        <v/>
      </c>
      <c r="CT767" s="523" t="str">
        <f t="shared" ref="CT767:CT804" si="79">IF(AND(C767="Efficiency",NOT(J767=""),NOT($J767=0),NOT(M767="Common Space")),E767*F767,"")</f>
        <v/>
      </c>
      <c r="CU767" s="523" t="str">
        <f t="shared" ref="CU767:CU804" si="80">IF(AND(C767=1,NOT(J767=""),NOT($J767=0),NOT(M767="Common Space")),E767*F767,"")</f>
        <v/>
      </c>
      <c r="CV767" s="523" t="str">
        <f t="shared" ref="CV767:CV804" si="81">IF(AND(C767=2,NOT(J767=""),NOT($J767=0),NOT(M767="Common Space")),E767*F767,"")</f>
        <v/>
      </c>
      <c r="CW767" s="523" t="str">
        <f t="shared" ref="CW767:CW804" si="82">IF(AND(C767=3,NOT(J767=""),NOT($J767=0),NOT(M767="Common Space")),E767*F767,"")</f>
        <v/>
      </c>
      <c r="CX767" s="523" t="str">
        <f t="shared" ref="CX767:CX804" si="83">IF(AND(C767=4,NOT(J767=""),NOT($J767=0),NOT(M767="Common Space")),E767*F767,"")</f>
        <v/>
      </c>
      <c r="CY767" s="523" t="str">
        <f t="shared" ref="CY767:CY804" si="84">IF(AND(C767="Efficiency",M767="Common Space"),E767*F767,"")</f>
        <v/>
      </c>
      <c r="CZ767" s="523" t="str">
        <f t="shared" ref="CZ767:CZ804" si="85">IF(AND(C767=1,M767="Common Space"),E767*F767,"")</f>
        <v/>
      </c>
      <c r="DA767" s="523" t="str">
        <f t="shared" ref="DA767:DA804" si="86">IF(AND(C767=2,M767="Common Space"),E767*F767,"")</f>
        <v/>
      </c>
      <c r="DB767" s="523" t="str">
        <f t="shared" ref="DB767:DB804" si="87">IF(AND(C767=3,M767="Common Space"),E767*F767,"")</f>
        <v/>
      </c>
      <c r="DC767" s="523" t="str">
        <f t="shared" ref="DC767:DC804" si="88">IF(AND(C767=4,M767="Common Space"),E767*F767,"")</f>
        <v/>
      </c>
      <c r="DD767" s="523" t="str">
        <f t="shared" ref="DD767:DD804" si="89">IF(AND($C767="Efficiency", $O767="New Construction",NOT($B767="Unrestricted"),NOT($B767="NSP 120% AMI"),NOT($B767="N/A-CS"),NOT($M767="Common Space")),$E767,"")</f>
        <v/>
      </c>
      <c r="DE767" s="523">
        <f t="shared" ref="DE767:DE804" si="90">IF(AND($C767=1, $O767="New Construction",NOT($B767="Unrestricted"),NOT($B767="NSP 120% AMI"),NOT($B767="N/A-CS"),NOT($M767="Common Space")),$E767,"")</f>
        <v>3</v>
      </c>
      <c r="DF767" s="523" t="str">
        <f t="shared" ref="DF767:DF804" si="91">IF(AND($C767=2, $O767="New Construction",NOT($B767="Unrestricted"),NOT($B767="NSP 120% AMI"),NOT($B767="N/A-CS"),NOT($M767="Common Space")),$E767,"")</f>
        <v/>
      </c>
      <c r="DG767" s="523" t="str">
        <f t="shared" ref="DG767:DG804" si="92">IF(AND($C767=3, $O767="New Construction",NOT($B767="Unrestricted"),NOT($B767="NSP 120% AMI"),NOT($B767="N/A-CS"),NOT($M767="Common Space")),$E767,"")</f>
        <v/>
      </c>
      <c r="DH767" s="523" t="str">
        <f t="shared" ref="DH767:DH804" si="93">IF(AND($C767=4, $O767="New Construction",NOT($B767="Unrestricted"),NOT($B767="NSP 120% AMI"),NOT($B767="N/A-CS"),NOT($M767="Common Space")),$E767,"")</f>
        <v/>
      </c>
      <c r="DI767" s="523" t="str">
        <f t="shared" ref="DI767:DI804" si="94">IF(AND($C767="Efficiency", $O767="New Construction",$B767="Unrestricted",NOT($B767="N/A-CS"),NOT($M767="Common Space")),$E767,"")</f>
        <v/>
      </c>
      <c r="DJ767" s="523" t="str">
        <f t="shared" ref="DJ767:DJ804" si="95">IF(AND($C767=1, $O767="New Construction",$B767="Unrestricted",NOT($B767="N/A-CS"),NOT($M767="Common Space")),$E767,"")</f>
        <v/>
      </c>
      <c r="DK767" s="523" t="str">
        <f t="shared" ref="DK767:DK804" si="96">IF(AND($C767=2, $O767="New Construction",$B767="Unrestricted",NOT($B767="N/A-CS"),NOT($M767="Common Space")),$E767,"")</f>
        <v/>
      </c>
      <c r="DL767" s="523" t="str">
        <f t="shared" ref="DL767:DL804" si="97">IF(AND($C767=3, $O767="New Construction",$B767="Unrestricted",NOT($B767="N/A-CS"),NOT($M767="Common Space")),$E767,"")</f>
        <v/>
      </c>
      <c r="DM767" s="523" t="str">
        <f t="shared" ref="DM767:DM804" si="98">IF(AND($C767=4, $O767="New Construction",$B767="Unrestricted",NOT($B767="N/A-CS"),NOT($M767="Common Space")),$E767,"")</f>
        <v/>
      </c>
      <c r="DN767" s="523" t="str">
        <f t="shared" ref="DN767:DN804" si="99">IF(AND($C767="Efficiency", $O767="New Construction",$B767="N/A-CS",$M767="Common Space"),$E767,"")</f>
        <v/>
      </c>
      <c r="DO767" s="523" t="str">
        <f t="shared" ref="DO767:DO804" si="100">IF(AND($C767=1, $O767="New Construction",$B767="N/A-CS",$M767="Common Space"),$E767,"")</f>
        <v/>
      </c>
      <c r="DP767" s="523" t="str">
        <f t="shared" ref="DP767:DP804" si="101">IF(AND($C767=2, $O767="New Construction",$B767="N/A-CS",$M767="Common Space"),$E767,"")</f>
        <v/>
      </c>
      <c r="DQ767" s="523" t="str">
        <f t="shared" ref="DQ767:DQ804" si="102">IF(AND($C767=3, $O767="New Construction",$B767="N/A-CS",$M767="Common Space"),$E767,"")</f>
        <v/>
      </c>
      <c r="DR767" s="523" t="str">
        <f t="shared" ref="DR767:DR804" si="103">IF(AND($C767=4, $O767="New Construction",$B767="N/A-CS",$M767="Common Space"),$E767,"")</f>
        <v/>
      </c>
      <c r="DS767" s="523" t="str">
        <f t="shared" ref="DS767:DS804" si="104">IF(AND($C767="Efficiency", $O767="Acquisition/Rehab",NOT($B767="Unrestricted"),NOT($B767="NSP 120% AMI"),NOT($B767="N/A-CS"),NOT($M767="Common Space")),$E767,"")</f>
        <v/>
      </c>
      <c r="DT767" s="523" t="str">
        <f t="shared" ref="DT767:DT804" si="105">IF(AND($C767=1, $O767="Acquisition/Rehab",NOT($B767="Unrestricted"),NOT($B767="NSP 120% AMI"),NOT($B767="N/A-CS"),NOT($M767="Common Space")),$E767,"")</f>
        <v/>
      </c>
      <c r="DU767" s="523" t="str">
        <f t="shared" ref="DU767:DU804" si="106">IF(AND($C767=2, $O767="Acquisition/Rehab",NOT($B767="Unrestricted"),NOT($B767="NSP 120% AMI"),NOT($B767="N/A-CS"),NOT($M767="Common Space")),$E767,"")</f>
        <v/>
      </c>
      <c r="DV767" s="523" t="str">
        <f t="shared" ref="DV767:DV804" si="107">IF(AND($C767=3, $O767="Acquisition/Rehab",NOT($B767="Unrestricted"),NOT($B767="NSP 120% AMI"),NOT($B767="N/A-CS"),NOT($M767="Common Space")),$E767,"")</f>
        <v/>
      </c>
      <c r="DW767" s="523" t="str">
        <f t="shared" ref="DW767:DW804" si="108">IF(AND($C767=4, $O767="Acquisition/Rehab",NOT($B767="Unrestricted"),NOT($B767="NSP 120% AMI"),NOT($B767="N/A-CS"),NOT($M767="Common Space")),$E767,"")</f>
        <v/>
      </c>
      <c r="DX767" s="523" t="str">
        <f t="shared" ref="DX767:DX804" si="109">IF(AND($C767="Efficiency", $O767="Acquisition/Rehab",$B767="Unrestricted",NOT($B767="N/A-CS"),NOT($M767="Common Space")),$E767,"")</f>
        <v/>
      </c>
      <c r="DY767" s="523" t="str">
        <f t="shared" ref="DY767:DY804" si="110">IF(AND($C767=1, $O767="Acquisition/Rehab",$B767="Unrestricted",NOT($B767="N/A-CS"),NOT($M767="Common Space")),$E767,"")</f>
        <v/>
      </c>
      <c r="DZ767" s="523" t="str">
        <f t="shared" ref="DZ767:DZ804" si="111">IF(AND($C767=2, $O767="Acquisition/Rehab",$B767="Unrestricted",NOT($B767="N/A-CS"),NOT($M767="Common Space")),$E767,"")</f>
        <v/>
      </c>
      <c r="EA767" s="523" t="str">
        <f t="shared" ref="EA767:EA804" si="112">IF(AND($C767=3, $O767="Acquisition/Rehab",$B767="Unrestricted",NOT($B767="N/A-CS"),NOT($M767="Common Space")),$E767,"")</f>
        <v/>
      </c>
      <c r="EB767" s="523" t="str">
        <f t="shared" ref="EB767:EB804" si="113">IF(AND($C767=4, $O767="Acquisition/Rehab",$B767="Unrestricted",NOT($B767="N/A-CS"),NOT($M767="Common Space")),$E767,"")</f>
        <v/>
      </c>
      <c r="EC767" s="523" t="str">
        <f t="shared" ref="EC767:EC804" si="114">IF(AND($C767="Efficiency", $O767="Acquisition/Rehab",$B767="N/A-CS",$M767="Common Space"),$E767,"")</f>
        <v/>
      </c>
      <c r="ED767" s="523" t="str">
        <f t="shared" ref="ED767:ED804" si="115">IF(AND($C767=1, $O767="Acquisition/Rehab",$B767="N/A-CS",$M767="Common Space"),$E767,"")</f>
        <v/>
      </c>
      <c r="EE767" s="523" t="str">
        <f t="shared" ref="EE767:EE804" si="116">IF(AND($C767=2, $O767="Acquisition/Rehab",$B767="N/A-CS",$M767="Common Space"),$E767,"")</f>
        <v/>
      </c>
      <c r="EF767" s="523" t="str">
        <f t="shared" ref="EF767:EF804" si="117">IF(AND($C767=3, $O767="Acquisition/Rehab",$B767="N/A-CS",$M767="Common Space"),$E767,"")</f>
        <v/>
      </c>
      <c r="EG767" s="523" t="str">
        <f t="shared" ref="EG767:EG804" si="118">IF(AND($C767=4, $O767="Acquisition/Rehab",$B767="N/A-CS",$M767="Common Space"),$E767,"")</f>
        <v/>
      </c>
      <c r="EH767" s="523" t="str">
        <f t="shared" ref="EH767:EH804" si="119">IF(AND($C767="Efficiency", $O767="Rehabilitation",NOT($B767="Unrestricted"),NOT($B767="NSP 120% AMI"),NOT($B767="N/A-CS"),NOT($M767="Common Space")),$E767,"")</f>
        <v/>
      </c>
      <c r="EI767" s="523" t="str">
        <f t="shared" ref="EI767:EI804" si="120">IF(AND($C767=1, $O767="Rehabilitation",NOT($B767="Unrestricted"),NOT($B767="NSP 120% AMI"),NOT($B767="N/A-CS"),NOT($M767="Common Space")),$E767,"")</f>
        <v/>
      </c>
      <c r="EJ767" s="523" t="str">
        <f t="shared" ref="EJ767:EJ804" si="121">IF(AND($C767=2, $O767="Rehabilitation",NOT($B767="Unrestricted"),NOT($B767="NSP 120% AMI"),NOT($B767="N/A-CS"),NOT($M767="Common Space")),$E767,"")</f>
        <v/>
      </c>
      <c r="EK767" s="523" t="str">
        <f t="shared" ref="EK767:EK804" si="122">IF(AND($C767=3, $O767="Rehabilitation",NOT($B767="Unrestricted"),NOT($B767="NSP 120% AMI"),NOT($B767="N/A-CS"),NOT($M767="Common Space")),$E767,"")</f>
        <v/>
      </c>
      <c r="EL767" s="523" t="str">
        <f t="shared" ref="EL767:EL804" si="123">IF(AND($C767=4, $O767="Rehabilitation",NOT($B767="Unrestricted"),NOT($B767="NSP 120% AMI"),NOT($B767="N/A-CS"),NOT($M767="Common Space")),$E767,"")</f>
        <v/>
      </c>
      <c r="EM767" s="523" t="str">
        <f t="shared" ref="EM767:EM804" si="124">IF(AND($C767="Efficiency", $O767="Rehabilitation",$B767="Unrestricted",NOT($B767="N/A-CS"),NOT($M767="Common Space")),$E767,"")</f>
        <v/>
      </c>
      <c r="EN767" s="523" t="str">
        <f t="shared" ref="EN767:EN804" si="125">IF(AND($C767=1, $O767="Rehabilitation",$B767="Unrestricted",NOT($B767="N/A-CS"),NOT($M767="Common Space")),$E767,"")</f>
        <v/>
      </c>
      <c r="EO767" s="523" t="str">
        <f t="shared" ref="EO767:EO804" si="126">IF(AND($C767=2, $O767="Rehabilitation",$B767="Unrestricted",NOT($B767="N/A-CS"),NOT($M767="Common Space")),$E767,"")</f>
        <v/>
      </c>
      <c r="EP767" s="523" t="str">
        <f t="shared" ref="EP767:EP804" si="127">IF(AND($C767=3, $O767="Rehabilitation",$B767="Unrestricted",NOT($B767="N/A-CS"),NOT($M767="Common Space")),$E767,"")</f>
        <v/>
      </c>
      <c r="EQ767" s="523" t="str">
        <f t="shared" ref="EQ767:EQ804" si="128">IF(AND($C767=4, $O767="Rehabilitation",$B767="Unrestricted",NOT($B767="N/A-CS"),NOT($M767="Common Space")),$E767,"")</f>
        <v/>
      </c>
      <c r="ER767" s="523" t="str">
        <f t="shared" ref="ER767:ER804" si="129">IF(AND($C767="Efficiency", $O767="Rehabilitation",$B767="N/A-CS",$M767="Common Space"),$E767,"")</f>
        <v/>
      </c>
      <c r="ES767" s="523" t="str">
        <f t="shared" ref="ES767:ES804" si="130">IF(AND($C767=1, $O767="Rehabilitation",$B767="N/A-CS",$M767="Common Space"),$E767,"")</f>
        <v/>
      </c>
      <c r="ET767" s="523" t="str">
        <f t="shared" ref="ET767:ET804" si="131">IF(AND($C767=2, $O767="Rehabilitation",$B767="N/A-CS",$M767="Common Space"),$E767,"")</f>
        <v/>
      </c>
      <c r="EU767" s="523" t="str">
        <f t="shared" ref="EU767:EU804" si="132">IF(AND($C767=3, $O767="Rehabilitation",$B767="N/A-CS",$M767="Common Space"),$E767,"")</f>
        <v/>
      </c>
      <c r="EV767" s="523" t="str">
        <f t="shared" ref="EV767:EV804" si="133">IF(AND($C767=4, $O767="Rehabilitation",$B767="N/A-CS",$M767="Common Space"),$E767,"")</f>
        <v/>
      </c>
      <c r="EW767" s="3336" t="str">
        <f t="shared" ref="EW767:EW804" si="134">IF(AND($C767="Efficiency", NOT(OR($N767="SF Detached",$N767="Mfd Home",$N767="Duplex",$N767="Townhome"))),$E767,"")</f>
        <v/>
      </c>
      <c r="EX767" s="3336">
        <f t="shared" ref="EX767:EX804" si="135">IF(AND($C767=1, NOT(OR($N767="SF Detached",$N767="Mfd Home",$N767="Duplex",$N767="Townhome"))),$E767,"")</f>
        <v>3</v>
      </c>
      <c r="EY767" s="3336" t="str">
        <f t="shared" ref="EY767:EY804" si="136">IF(AND($C767=2, NOT(OR($N767="SF Detached",$N767="Mfd Home",$N767="Duplex",$N767="Townhome"))),$E767,"")</f>
        <v/>
      </c>
      <c r="EZ767" s="3336" t="str">
        <f t="shared" ref="EZ767:EZ804" si="137">IF(AND($C767=3, NOT(OR($N767="SF Detached",$N767="Mfd Home",$N767="Duplex",$N767="Townhome"))),$E767,"")</f>
        <v/>
      </c>
      <c r="FA767" s="3336" t="str">
        <f t="shared" ref="FA767:FA804" si="138">IF(AND($C767=4, NOT(OR($N767="SF Detached",$N767="Mfd Home",$N767="Duplex",$N767="Townhome"))),$E767,"")</f>
        <v/>
      </c>
      <c r="FB767" s="3336" t="str">
        <f t="shared" ref="FB767:FB804" si="139">IF(AND($C767="Efficiency", $N767="SF Detached",NOT($P767="Yes")),$E767,"")</f>
        <v/>
      </c>
      <c r="FC767" s="3336" t="str">
        <f t="shared" ref="FC767:FC804" si="140">IF(AND($C767=1, $N767="SF Detached",NOT($P767="Yes")),$E767,"")</f>
        <v/>
      </c>
      <c r="FD767" s="3336" t="str">
        <f t="shared" ref="FD767:FD804" si="141">IF(AND($C767=2, $N767="SF Detached",NOT($P767="Yes")),$E767,"")</f>
        <v/>
      </c>
      <c r="FE767" s="3336" t="str">
        <f t="shared" ref="FE767:FE804" si="142">IF(AND($C767=3, $N767="SF Detached",NOT($P767="Yes")),$E767,"")</f>
        <v/>
      </c>
      <c r="FF767" s="3336" t="str">
        <f t="shared" ref="FF767:FF804" si="143">IF(AND($C767=4, $N767="SF Detached",NOT($P767="Yes")),$E767,"")</f>
        <v/>
      </c>
      <c r="FG767" s="3336" t="str">
        <f t="shared" ref="FG767:FG804" si="144">IF(AND($C767="Efficiency", $N767="SF Detached",$P767="Yes"),$E767,"")</f>
        <v/>
      </c>
      <c r="FH767" s="3336" t="str">
        <f t="shared" ref="FH767:FH804" si="145">IF(AND($C767=1, $N767="SF Detached",$P767="Yes"),$E767,"")</f>
        <v/>
      </c>
      <c r="FI767" s="3336" t="str">
        <f t="shared" ref="FI767:FI804" si="146">IF(AND($C767=2, $N767="SF Detached",$P767="Yes"),$E767,"")</f>
        <v/>
      </c>
      <c r="FJ767" s="3336" t="str">
        <f t="shared" ref="FJ767:FJ804" si="147">IF(AND($C767=3, $N767="SF Detached",$P767="Yes"),$E767,"")</f>
        <v/>
      </c>
      <c r="FK767" s="3336" t="str">
        <f t="shared" ref="FK767:FK804" si="148">IF(AND($C767=4, $N767="SF Detached",$P767="Yes"),$E767,"")</f>
        <v/>
      </c>
      <c r="FL767" s="3336" t="str">
        <f t="shared" ref="FL767:FL804" si="149">IF(AND($C767="Efficiency", $N767="Mfd Home",NOT($P767="Yes")),$E767,"")</f>
        <v/>
      </c>
      <c r="FM767" s="3336" t="str">
        <f t="shared" ref="FM767:FM804" si="150">IF(AND($C767=1, $N767="Mfd Home",NOT($P767="Yes")),$E767,"")</f>
        <v/>
      </c>
      <c r="FN767" s="3336" t="str">
        <f t="shared" ref="FN767:FN804" si="151">IF(AND($C767=2, $N767="Mfd Home",NOT($P767="Yes")),$E767,"")</f>
        <v/>
      </c>
      <c r="FO767" s="3336" t="str">
        <f t="shared" ref="FO767:FO804" si="152">IF(AND($C767=3, $N767="Mfd Home",NOT($P767="Yes")),$E767,"")</f>
        <v/>
      </c>
      <c r="FP767" s="3336" t="str">
        <f t="shared" ref="FP767:FP804" si="153">IF(AND($C767=4, $N767="Mfd Home",NOT($P767="Yes")),$E767,"")</f>
        <v/>
      </c>
      <c r="FQ767" s="3336" t="str">
        <f t="shared" ref="FQ767:FQ804" si="154">IF(AND($C767="Efficiency", $N767="Mfd Home",$P767="Yes"),$E767,"")</f>
        <v/>
      </c>
      <c r="FR767" s="3336" t="str">
        <f t="shared" ref="FR767:FR804" si="155">IF(AND($C767=1, $N767="Mfd Home",$P767="Yes"),$E767,"")</f>
        <v/>
      </c>
      <c r="FS767" s="3336" t="str">
        <f t="shared" ref="FS767:FS804" si="156">IF(AND($C767=2, $N767="Mfd Home",$P767="Yes"),$E767,"")</f>
        <v/>
      </c>
      <c r="FT767" s="3336" t="str">
        <f t="shared" ref="FT767:FT804" si="157">IF(AND($C767=3, $N767="Mfd Home",$P767="Yes"),$E767,"")</f>
        <v/>
      </c>
      <c r="FU767" s="3336" t="str">
        <f t="shared" ref="FU767:FU804" si="158">IF(AND($C767=4, $N767="Mfd Home",$P767="Yes"),$E767,"")</f>
        <v/>
      </c>
      <c r="FV767" s="3336" t="str">
        <f t="shared" ref="FV767:FV804" si="159">IF(AND($C767="Efficiency", $N767="Duplex",NOT($P767="Yes")),$E767,"")</f>
        <v/>
      </c>
      <c r="FW767" s="3336" t="str">
        <f t="shared" ref="FW767:FW804" si="160">IF(AND($C767=1, $N767="Duplex",NOT($P767="Yes")),$E767,"")</f>
        <v/>
      </c>
      <c r="FX767" s="3336" t="str">
        <f t="shared" ref="FX767:FX804" si="161">IF(AND($C767=2, $N767="Duplex",NOT($P767="Yes")),$E767,"")</f>
        <v/>
      </c>
      <c r="FY767" s="3336" t="str">
        <f t="shared" ref="FY767:FY804" si="162">IF(AND($C767=3, $N767="Duplex",NOT($P767="Yes")),$E767,"")</f>
        <v/>
      </c>
      <c r="FZ767" s="3336" t="str">
        <f t="shared" ref="FZ767:FZ804" si="163">IF(AND($C767=4, $N767="Duplex",NOT($P767="Yes")),$E767,"")</f>
        <v/>
      </c>
      <c r="GA767" s="3336" t="str">
        <f t="shared" ref="GA767:GA804" si="164">IF(AND($C767="Efficiency", $N767="Duplex",$P767="Yes"),$E767,"")</f>
        <v/>
      </c>
      <c r="GB767" s="3336" t="str">
        <f t="shared" ref="GB767:GB804" si="165">IF(AND($C767=1, $N767="Duplex",$P767="Yes"),$E767,"")</f>
        <v/>
      </c>
      <c r="GC767" s="3336" t="str">
        <f t="shared" ref="GC767:GC804" si="166">IF(AND($C767=2, $N767="Duplex",$P767="Yes"),$E767,"")</f>
        <v/>
      </c>
      <c r="GD767" s="3336" t="str">
        <f t="shared" ref="GD767:GD804" si="167">IF(AND($C767=3, $N767="Duplex",$P767="Yes"),$E767,"")</f>
        <v/>
      </c>
      <c r="GE767" s="3336" t="str">
        <f t="shared" ref="GE767:GE804" si="168">IF(AND($C767=4, $N767="Duplex",$P767="Yes"),$E767,"")</f>
        <v/>
      </c>
      <c r="GF767" s="3336" t="str">
        <f t="shared" ref="GF767:GF804" si="169">IF(AND($C767="Efficiency", $N767="Townhome",NOT($P767="Yes")),$E767,"")</f>
        <v/>
      </c>
      <c r="GG767" s="3336" t="str">
        <f t="shared" ref="GG767:GG804" si="170">IF(AND($C767=1, $N767="Townhome",NOT($P767="Yes")),$E767,"")</f>
        <v/>
      </c>
      <c r="GH767" s="3336" t="str">
        <f t="shared" ref="GH767:GH804" si="171">IF(AND($C767=2, $N767="Townhome",NOT($P767="Yes")),$E767,"")</f>
        <v/>
      </c>
      <c r="GI767" s="3336" t="str">
        <f t="shared" ref="GI767:GI804" si="172">IF(AND($C767=3, $N767="Townhome",NOT($P767="Yes")),$E767,"")</f>
        <v/>
      </c>
      <c r="GJ767" s="3336" t="str">
        <f t="shared" ref="GJ767:GJ804" si="173">IF(AND($C767=4, $N767="Townhome",NOT($P767="Yes")),$E767,"")</f>
        <v/>
      </c>
      <c r="GK767" s="3336" t="str">
        <f t="shared" ref="GK767:GK804" si="174">IF(AND($C767="Efficiency", $N767="Townhome",$P767="Yes"),$E767,"")</f>
        <v/>
      </c>
      <c r="GL767" s="3336" t="str">
        <f t="shared" ref="GL767:GL804" si="175">IF(AND($C767=1, $N767="Townhome",$P767="Yes"),$E767,"")</f>
        <v/>
      </c>
      <c r="GM767" s="3336" t="str">
        <f t="shared" ref="GM767:GM804" si="176">IF(AND($C767=2, $N767="Townhome",$P767="Yes"),$E767,"")</f>
        <v/>
      </c>
      <c r="GN767" s="3336" t="str">
        <f t="shared" ref="GN767:GN804" si="177">IF(AND($C767=3, $N767="Townhome",$P767="Yes"),$E767,"")</f>
        <v/>
      </c>
      <c r="GO767" s="3336" t="str">
        <f t="shared" ref="GO767:GO804" si="178">IF(AND($C767=4, $N767="Townhome",$P767="Yes"),$E767,"")</f>
        <v/>
      </c>
      <c r="GP767" s="3336" t="str">
        <f t="shared" ref="GP767:GP804" si="179">IF(AND($C767="Efficiency", $N767="1-Story",NOT($P767="Yes")),$E767,"")</f>
        <v/>
      </c>
      <c r="GQ767" s="3336" t="str">
        <f t="shared" ref="GQ767:GQ804" si="180">IF(AND($C767=1, $N767="1-Story",NOT($P767="Yes")),$E767,"")</f>
        <v/>
      </c>
      <c r="GR767" s="3336" t="str">
        <f t="shared" ref="GR767:GR804" si="181">IF(AND($C767=2, $N767="1-Story",NOT($P767="Yes")),$E767,"")</f>
        <v/>
      </c>
      <c r="GS767" s="3336" t="str">
        <f t="shared" ref="GS767:GS804" si="182">IF(AND($C767=3, $N767="1-Story",NOT($P767="Yes")),$E767,"")</f>
        <v/>
      </c>
      <c r="GT767" s="3336" t="str">
        <f t="shared" ref="GT767:GT804" si="183">IF(AND($C767=4, $N767="1-Story",NOT($P767="Yes")),$E767,"")</f>
        <v/>
      </c>
      <c r="GU767" s="3336" t="str">
        <f t="shared" ref="GU767:GU804" si="184">IF(AND($C767="Efficiency", $N767="1-Story",$P767="Yes"),$E767,"")</f>
        <v/>
      </c>
      <c r="GV767" s="3336" t="str">
        <f t="shared" ref="GV767:GV804" si="185">IF(AND($C767=1, $N767="1-Story",$P767="Yes"),$E767,"")</f>
        <v/>
      </c>
      <c r="GW767" s="3336" t="str">
        <f t="shared" ref="GW767:GW804" si="186">IF(AND($C767=2, $N767="1-Story",$P767="Yes"),$E767,"")</f>
        <v/>
      </c>
      <c r="GX767" s="3336" t="str">
        <f t="shared" ref="GX767:GX804" si="187">IF(AND($C767=3, $N767="1-Story",$P767="Yes"),$E767,"")</f>
        <v/>
      </c>
      <c r="GY767" s="3336" t="str">
        <f t="shared" ref="GY767:GY804" si="188">IF(AND($C767=4, $N767="1-Story",$P767="Yes"),$E767,"")</f>
        <v/>
      </c>
      <c r="GZ767" s="3336" t="str">
        <f t="shared" ref="GZ767:GZ804" si="189">IF(AND($C767="Efficiency", $N767="2-Story",NOT($P767="Yes")),$E767,"")</f>
        <v/>
      </c>
      <c r="HA767" s="3336" t="str">
        <f t="shared" ref="HA767:HA804" si="190">IF(AND($C767=1, $N767="2-Story",NOT($P767="Yes")),$E767,"")</f>
        <v/>
      </c>
      <c r="HB767" s="3336" t="str">
        <f t="shared" ref="HB767:HB804" si="191">IF(AND($C767=2, $N767="2-Story",NOT($P767="Yes")),$E767,"")</f>
        <v/>
      </c>
      <c r="HC767" s="3336" t="str">
        <f t="shared" ref="HC767:HC804" si="192">IF(AND($C767=3, $N767="2-Story",NOT($P767="Yes")),$E767,"")</f>
        <v/>
      </c>
      <c r="HD767" s="3336" t="str">
        <f t="shared" ref="HD767:HD804" si="193">IF(AND($C767=4, $N767="2-Story",NOT($P767="Yes")),$E767,"")</f>
        <v/>
      </c>
      <c r="HE767" s="3336" t="str">
        <f t="shared" ref="HE767:HE804" si="194">IF(AND($C767="Efficiency", $N767="2-Story",$P767="Yes"),$E767,"")</f>
        <v/>
      </c>
      <c r="HF767" s="3336" t="str">
        <f t="shared" ref="HF767:HF804" si="195">IF(AND($C767=1, $N767="2-Story",$P767="Yes"),$E767,"")</f>
        <v/>
      </c>
      <c r="HG767" s="3336" t="str">
        <f t="shared" ref="HG767:HG804" si="196">IF(AND($C767=2, $N767="2-Story",$P767="Yes"),$E767,"")</f>
        <v/>
      </c>
      <c r="HH767" s="3336" t="str">
        <f t="shared" ref="HH767:HH804" si="197">IF(AND($C767=3, $N767="2-Story",$P767="Yes"),$E767,"")</f>
        <v/>
      </c>
      <c r="HI767" s="3336" t="str">
        <f t="shared" ref="HI767:HI804" si="198">IF(AND($C767=4, $N767="2-Story",$P767="Yes"),$E767,"")</f>
        <v/>
      </c>
      <c r="HJ767" s="3336" t="str">
        <f t="shared" ref="HJ767:HJ804" si="199">IF(AND($C767="Efficiency", $N767="2-Story Walkup",NOT($P767="Yes")),$E767,"")</f>
        <v/>
      </c>
      <c r="HK767" s="3336">
        <f t="shared" ref="HK767:HK804" si="200">IF(AND($C767=1, $N767="2-Story Walkup",NOT($P767="Yes")),$E767,"")</f>
        <v>3</v>
      </c>
      <c r="HL767" s="3336" t="str">
        <f t="shared" ref="HL767:HL804" si="201">IF(AND($C767=2, $N767="2-Story Walkup",NOT($P767="Yes")),$E767,"")</f>
        <v/>
      </c>
      <c r="HM767" s="3336" t="str">
        <f t="shared" ref="HM767:HM804" si="202">IF(AND($C767=3, $N767="2-Story Walkup",NOT($P767="Yes")),$E767,"")</f>
        <v/>
      </c>
      <c r="HN767" s="3336" t="str">
        <f t="shared" ref="HN767:HN804" si="203">IF(AND($C767=4, $N767="2-Story Walkup",NOT($P767="Yes")),$E767,"")</f>
        <v/>
      </c>
      <c r="HO767" s="3336" t="str">
        <f t="shared" ref="HO767:HO804" si="204">IF(AND($C767="Efficiency", $N767="2-Story Walkup",$P767="Yes"),$E767,"")</f>
        <v/>
      </c>
      <c r="HP767" s="3336" t="str">
        <f t="shared" ref="HP767:HP804" si="205">IF(AND($C767=1, $N767="2-Story Walkup",$P767="Yes"),$E767,"")</f>
        <v/>
      </c>
      <c r="HQ767" s="3336" t="str">
        <f t="shared" ref="HQ767:HQ804" si="206">IF(AND($C767=2, $N767="2-Story Walkup",$P767="Yes"),$E767,"")</f>
        <v/>
      </c>
      <c r="HR767" s="3336" t="str">
        <f t="shared" ref="HR767:HR804" si="207">IF(AND($C767=3, $N767="2-Story Walkup",$P767="Yes"),$E767,"")</f>
        <v/>
      </c>
      <c r="HS767" s="3336" t="str">
        <f t="shared" ref="HS767:HS804" si="208">IF(AND($C767=4, $N767="2-Story Walkup",$P767="Yes"),$E767,"")</f>
        <v/>
      </c>
      <c r="HT767" s="3336" t="str">
        <f t="shared" ref="HT767:HT804" si="209">IF(AND($C767="Efficiency", $N767="3+ Story",NOT($P767="Yes")),$E767,"")</f>
        <v/>
      </c>
      <c r="HU767" s="3336" t="str">
        <f t="shared" ref="HU767:HU804" si="210">IF(AND($C767=1, $N767="3+ Story",NOT($P767="Yes")),$E767,"")</f>
        <v/>
      </c>
      <c r="HV767" s="3336" t="str">
        <f t="shared" ref="HV767:HV804" si="211">IF(AND($C767=2, $N767="3+ Story",NOT($P767="Yes")),$E767,"")</f>
        <v/>
      </c>
      <c r="HW767" s="3336" t="str">
        <f t="shared" ref="HW767:HW804" si="212">IF(AND($C767=3, $N767="3+ Story",NOT($P767="Yes")),$E767,"")</f>
        <v/>
      </c>
      <c r="HX767" s="3336" t="str">
        <f t="shared" ref="HX767:HX804" si="213">IF(AND($C767=4, $N767="3+ Story",NOT($P767="Yes")),$E767,"")</f>
        <v/>
      </c>
      <c r="HY767" s="3336" t="str">
        <f t="shared" ref="HY767:HY804" si="214">IF(AND($C767="Efficiency", $N767="3+ Story",$P767="Yes"),$E767,"")</f>
        <v/>
      </c>
      <c r="HZ767" s="3336" t="str">
        <f t="shared" ref="HZ767:HZ804" si="215">IF(AND($C767=1, $N767="3+ Story",$P767="Yes"),$E767,"")</f>
        <v/>
      </c>
      <c r="IA767" s="3336" t="str">
        <f t="shared" ref="IA767:IA804" si="216">IF(AND($C767=2, $N767="3+ Story",$P767="Yes"),$E767,"")</f>
        <v/>
      </c>
      <c r="IB767" s="3336" t="str">
        <f t="shared" ref="IB767:IB804" si="217">IF(AND($C767=3, $N767="3+ Story",$P767="Yes"),$E767,"")</f>
        <v/>
      </c>
      <c r="IC767" s="3336" t="str">
        <f t="shared" ref="IC767:IC804" si="218">IF(AND($C767=4, $N767="3+ Story",$P767="Yes"),$E767,"")</f>
        <v/>
      </c>
      <c r="ID767" s="3308" t="str">
        <f t="shared" ref="ID767:ID804" si="219">IF(AND($B767="NSP 120% AMI",$C767="Efficiency", NOT($M767="Common Space")),$E767,"")</f>
        <v/>
      </c>
      <c r="IE767" s="3308" t="str">
        <f t="shared" ref="IE767:IE804" si="220">IF(AND($B767="NSP 120% AMI",$C767=1,NOT($M767="Common Space")),$E767,"")</f>
        <v/>
      </c>
      <c r="IF767" s="3308" t="str">
        <f t="shared" ref="IF767:IF804" si="221">IF(AND($B767="NSP 120% AMI",$C767=2,NOT($M767="Common Space")),$E767,"")</f>
        <v/>
      </c>
      <c r="IG767" s="3308" t="str">
        <f t="shared" ref="IG767:IG804" si="222">IF(AND($B767="NSP 120% AMI",$C767=3,NOT($M767="Common Space")),$E767,"")</f>
        <v/>
      </c>
      <c r="IH767" s="3308" t="str">
        <f t="shared" ref="IH767:IH804" si="223">IF(AND($B767="NSP 120% AMI",$C767=4,NOT($M767="Common Space")),$E767,"")</f>
        <v/>
      </c>
      <c r="II767" s="523" t="str">
        <f t="shared" ref="II767:II804" si="224">IF(AND(C767="Efficiency",B767="NSP 120% AMI",NOT(M767="Common Space")),E767*F767,"")</f>
        <v/>
      </c>
      <c r="IJ767" s="523" t="str">
        <f t="shared" ref="IJ767:IJ804" si="225">IF(AND(C767=1,B767="NSP 120% AMI",NOT(M767="Common Space")),E767*F767,"")</f>
        <v/>
      </c>
      <c r="IK767" s="523" t="str">
        <f t="shared" ref="IK767:IK804" si="226">IF(AND(C767=2,B767="NSP 120% AMI",NOT(M767="Common Space")),E767*F767,"")</f>
        <v/>
      </c>
      <c r="IL767" s="523" t="str">
        <f t="shared" ref="IL767:IL804" si="227">IF(AND(C767=3,B767="NSP 120% AMI",NOT(M767="Common Space")),E767*F767,"")</f>
        <v/>
      </c>
      <c r="IM767" s="523" t="str">
        <f t="shared" ref="IM767:IM804" si="228">IF(AND(C767=4,B767="NSP 120% AMI",NOT(M767="Common Space")),E767*F767,"")</f>
        <v/>
      </c>
      <c r="IN767" s="523" t="str">
        <f t="shared" ref="IN767:IN804" si="229">IF(AND($C767="Efficiency", $O767="New Construction",$B767="NSP 120% AMI",NOT($M767="Common Space")),$E767,"")</f>
        <v/>
      </c>
      <c r="IO767" s="523" t="str">
        <f t="shared" ref="IO767:IO804" si="230">IF(AND($C767=1, $O767="New Construction",$B767="NSP 120% AMI",NOT($M767="Common Space")),$E767,"")</f>
        <v/>
      </c>
      <c r="IP767" s="523" t="str">
        <f t="shared" ref="IP767:IP804" si="231">IF(AND($C767=2, $O767="New Construction",$B767="NSP 120% AMI",NOT($M767="Common Space")),$E767,"")</f>
        <v/>
      </c>
      <c r="IQ767" s="523" t="str">
        <f t="shared" ref="IQ767:IQ804" si="232">IF(AND($C767=3, $O767="New Construction",$B767="NSP 120% AMI",NOT($M767="Common Space")),$E767,"")</f>
        <v/>
      </c>
      <c r="IR767" s="523" t="str">
        <f t="shared" ref="IR767:IR804" si="233">IF(AND($C767=4, $O767="New Construction",$B767="NSP 120% AMI",NOT($M767="Common Space")),$E767,"")</f>
        <v/>
      </c>
      <c r="IS767" s="523" t="str">
        <f t="shared" ref="IS767:IS804" si="234">IF(AND($C767="Efficiency", $O767="Acquisition/Rehab",$B767="NSP 120% AMI",NOT($M767="Common Space")),$E767,"")</f>
        <v/>
      </c>
      <c r="IT767" s="523" t="str">
        <f t="shared" ref="IT767:IT804" si="235">IF(AND($C767=1, $O767="Acquisition/Rehab",$B767="NSP 120% AMI",NOT($M767="Common Space")),$E767,"")</f>
        <v/>
      </c>
      <c r="IU767" s="523" t="str">
        <f t="shared" ref="IU767:IU804" si="236">IF(AND($C767=2, $O767="Acquisition/Rehab",$B767="NSP 120% AMI",NOT($M767="Common Space")),$E767,"")</f>
        <v/>
      </c>
      <c r="IV767" s="523" t="str">
        <f t="shared" ref="IV767:IV804" si="237">IF(AND($C767=3, $O767="Acquisition/Rehab",$B767="NSP 120% AMI",NOT($M767="Common Space")),$E767,"")</f>
        <v/>
      </c>
      <c r="IW767" s="523" t="str">
        <f t="shared" ref="IW767:IW804" si="238">IF(AND($C767=4, $O767="Acquisition/Rehab",$B767="NSP 120% AMI",NOT($M767="Common Space")),$E767,"")</f>
        <v/>
      </c>
      <c r="IX767" s="523" t="str">
        <f t="shared" ref="IX767:IX804" si="239">IF(AND($C767="Efficiency", $O767="Rehabilitation",$B767="NSP 120% AMI",NOT($M767="Common Space")),$E767,"")</f>
        <v/>
      </c>
      <c r="IY767" s="523" t="str">
        <f t="shared" ref="IY767:IY804" si="240">IF(AND($C767=1, $O767="Rehabilitation",$B767="NSP 120% AMI",NOT($M767="Common Space")),$E767,"")</f>
        <v/>
      </c>
      <c r="IZ767" s="523" t="str">
        <f t="shared" ref="IZ767:IZ804" si="241">IF(AND($C767=2, $O767="Rehabilitation",$B767="NSP 120% AMI",NOT($M767="Common Space")),$E767,"")</f>
        <v/>
      </c>
      <c r="JA767" s="523" t="str">
        <f t="shared" ref="JA767:JA804" si="242">IF(AND($C767=3, $O767="Rehabilitation",$B767="NSP 120% AMI",NOT($M767="Common Space")),$E767,"")</f>
        <v/>
      </c>
      <c r="JB767" s="523" t="str">
        <f t="shared" ref="JB767:JB804" si="243">IF(AND($C767=4, $O767="Rehabilitation",$B767="NSP 120% AMI",NOT($M767="Common Space")),$E767,"")</f>
        <v/>
      </c>
      <c r="JC767" s="3306">
        <f>IF(AND($C767="Efficiency",$E767&gt;0,OR($N767="1-Story",$N767="2-Story",$N767="3+ Story",$N767="2-Story Walkup",$N767="Townhome"),OR($O767="Acquisition/Rehab",$O767="Rehabilitation"),NOT($P767="Yes")),$E767,0)</f>
        <v>0</v>
      </c>
      <c r="JD767" s="3306">
        <f>IF(AND($C767=1,$E767&gt;0,OR($N767="1-Story",$N767="2-Story",$N767="3+ Story",$N767="2-Story Walkup",$N767="Townhome"),OR($O767="Acquisition/Rehab",$O767="Rehabilitation"),NOT($P767="Yes")),$E767,0)</f>
        <v>0</v>
      </c>
      <c r="JE767" s="3306">
        <f>IF(AND($C767=2,$E767&gt;0,OR($N767="1-Story",$N767="2-Story",$N767="3+ Story",$N767="2-Story Walkup",$N767="Townhome"),OR($O767="Acquisition/Rehab",$O767="Rehabilitation"),NOT($P767="Yes")),$E767,0)</f>
        <v>0</v>
      </c>
      <c r="JF767" s="3306">
        <f>IF(AND($C767=3,$E767&gt;0,OR($N767="1-Story",$N767="2-Story",$N767="3+ Story",$N767="2-Story Walkup",$N767="Townhome"),OR($O767="Acquisition/Rehab",$O767="Rehabilitation"),NOT($P767="Yes")),$E767,0)</f>
        <v>0</v>
      </c>
      <c r="JG767" s="3306">
        <f>IF(AND($C767=4,$E767&gt;0,OR($N767="1-Story",$N767="2-Story",$N767="3+ Story",$N767="2-Story Walkup",$N767="Townhome"),OR($O767="Acquisition/Rehab",$O767="Rehabilitation"),NOT($P767="Yes")),$E767,0)</f>
        <v>0</v>
      </c>
      <c r="JH767" s="3306">
        <f>IF(AND($C767="Efficiency",$E767&gt;0,OR($N767="1-Story",$N767="2-Story",$N767="3+ Story",$N767="2-Story Walkup",$N767="Townhome"),$O767="New Construction"),$E767,0)</f>
        <v>0</v>
      </c>
      <c r="JI767" s="3306">
        <f>IF(AND($C767=1,$E767&gt;0,OR($N767="1-Story",$N767="2-Story",$N767="3+ Story",$N767="2-Story Walkup",$N767="Townhome"),$O767="New Construction"),$E767,0)</f>
        <v>3</v>
      </c>
      <c r="JJ767" s="3306">
        <f>IF(AND($C767=2,$E767&gt;0,OR($N767="1-Story",$N767="2-Story",$N767="3+ Story",$N767="2-Story Walkup",$N767="Townhome"),$O767="New Construction"),$E767,0)</f>
        <v>0</v>
      </c>
      <c r="JK767" s="3306">
        <f>IF(AND($C767=3,$E767&gt;0,OR($N767="1-Story",$N767="2-Story",$N767="3+ Story",$N767="2-Story Walkup",$N767="Townhome"),$O767="New Construction"),$E767,0)</f>
        <v>0</v>
      </c>
      <c r="JL767" s="3306">
        <f>IF(AND($C767=4,$E767&gt;0,OR($N767="1-Story",$N767="2-Story",$N767="3+ Story",$N767="2-Story Walkup",$N767="Townhome"),$O767="New Construction"),$E767,0)</f>
        <v>0</v>
      </c>
      <c r="JM767" s="3306">
        <f>IF(AND($C767="Efficiency",$E767&gt;0,OR($N767="SF Detached",$N767="Duplex",$N767="Mfd Home"),NOT($P767="Yes")),$E767,0)</f>
        <v>0</v>
      </c>
      <c r="JN767" s="3306">
        <f>IF(AND($C767=1,$E767&gt;0,OR($N767="SF Detached",$N767="Duplex",$N767="Mfd Home"),NOT($P767="Yes")),$E767,0)</f>
        <v>0</v>
      </c>
      <c r="JO767" s="3306">
        <f>IF(AND($C767=2,$E767&gt;0,OR($N767="SF Detached",$N767="Duplex",$N767="Mfd Home"),NOT($P767="Yes")),$E767,0)</f>
        <v>0</v>
      </c>
      <c r="JP767" s="3306">
        <f>IF(AND($C767=3,$E767&gt;0,OR($N767="SF Detached",$N767="Duplex",$N767="Mfd Home"),NOT($P767="Yes")),$E767,0)</f>
        <v>0</v>
      </c>
      <c r="JQ767" s="3306">
        <f>IF(AND($C767=4,$E767&gt;0,OR($N767="SF Detached",$N767="Duplex",$N767="Mfd Home"),NOT($P767="Yes")),$E767,0)</f>
        <v>0</v>
      </c>
    </row>
    <row r="768" spans="1:277" ht="12" customHeight="1">
      <c r="A768" s="3319" t="str">
        <f t="shared" si="1"/>
        <v/>
      </c>
      <c r="B768" s="3328" t="str">
        <f>'Part VI-Revenues &amp; Expenses'!B11</f>
        <v>60% AMI</v>
      </c>
      <c r="C768" s="3329">
        <f>'Part VI-Revenues &amp; Expenses'!C11</f>
        <v>1</v>
      </c>
      <c r="D768" s="3330">
        <f>'Part VI-Revenues &amp; Expenses'!D11</f>
        <v>1</v>
      </c>
      <c r="E768" s="3331">
        <f>'Part VI-Revenues &amp; Expenses'!E11</f>
        <v>9</v>
      </c>
      <c r="F768" s="3331">
        <f>'Part VI-Revenues &amp; Expenses'!F11</f>
        <v>836</v>
      </c>
      <c r="G768" s="3331">
        <f>'Part VI-Revenues &amp; Expenses'!G11</f>
        <v>784</v>
      </c>
      <c r="H768" s="3331">
        <f>'Part VI-Revenues &amp; Expenses'!H11</f>
        <v>724</v>
      </c>
      <c r="I768" s="3331">
        <f>'Part VI-Revenues &amp; Expenses'!I11</f>
        <v>103</v>
      </c>
      <c r="J768" s="3332">
        <f>'Part VI-Revenues &amp; Expenses'!J11</f>
        <v>0</v>
      </c>
      <c r="K768" s="3333">
        <f t="shared" si="2"/>
        <v>621</v>
      </c>
      <c r="L768" s="3333">
        <f t="shared" si="3"/>
        <v>5589</v>
      </c>
      <c r="M768" s="3207" t="str">
        <f>'Part VI-Revenues &amp; Expenses'!M11</f>
        <v>No</v>
      </c>
      <c r="N768" s="3207" t="str">
        <f>'Part VI-Revenues &amp; Expenses'!N11</f>
        <v>2-Story Walkup</v>
      </c>
      <c r="O768" s="3207" t="str">
        <f>'Part VI-Revenues &amp; Expenses'!O11</f>
        <v>New Construction</v>
      </c>
      <c r="P768" s="3313" t="str">
        <f>'Part VI-Revenues &amp; Expenses'!P11</f>
        <v>No</v>
      </c>
      <c r="Q768" s="3334">
        <f>'Part VI-Revenues &amp; Expenses'!Q11</f>
        <v>28960</v>
      </c>
      <c r="R768" s="3335">
        <f>'Part VI-Revenues &amp; Expenses'!R11</f>
        <v>0.55399330463892871</v>
      </c>
      <c r="S768" s="3334">
        <f>'Part VI-Revenues &amp; Expenses'!S11</f>
        <v>0</v>
      </c>
      <c r="T768" s="3335">
        <f>'Part VI-Revenues &amp; Expenses'!T11</f>
        <v>0</v>
      </c>
      <c r="U768" s="3257"/>
      <c r="V768" s="3257"/>
      <c r="W768" s="523" t="str">
        <f t="shared" si="4"/>
        <v/>
      </c>
      <c r="X768" s="523">
        <f t="shared" si="5"/>
        <v>9</v>
      </c>
      <c r="Y768" s="523" t="str">
        <f t="shared" si="6"/>
        <v/>
      </c>
      <c r="Z768" s="523" t="str">
        <f t="shared" si="7"/>
        <v/>
      </c>
      <c r="AA768" s="523" t="str">
        <f t="shared" si="8"/>
        <v/>
      </c>
      <c r="AB768" s="523" t="str">
        <f t="shared" si="9"/>
        <v/>
      </c>
      <c r="AC768" s="523" t="str">
        <f t="shared" si="10"/>
        <v/>
      </c>
      <c r="AD768" s="523" t="str">
        <f t="shared" si="11"/>
        <v/>
      </c>
      <c r="AE768" s="523" t="str">
        <f t="shared" si="12"/>
        <v/>
      </c>
      <c r="AF768" s="523" t="str">
        <f t="shared" si="13"/>
        <v/>
      </c>
      <c r="AG768" s="523" t="str">
        <f t="shared" si="14"/>
        <v/>
      </c>
      <c r="AH768" s="523" t="str">
        <f t="shared" si="15"/>
        <v/>
      </c>
      <c r="AI768" s="523" t="str">
        <f t="shared" si="16"/>
        <v/>
      </c>
      <c r="AJ768" s="523" t="str">
        <f t="shared" si="17"/>
        <v/>
      </c>
      <c r="AK768" s="523" t="str">
        <f t="shared" si="18"/>
        <v/>
      </c>
      <c r="AL768" s="523" t="str">
        <f t="shared" si="19"/>
        <v/>
      </c>
      <c r="AM768" s="523" t="str">
        <f t="shared" si="20"/>
        <v/>
      </c>
      <c r="AN768" s="523" t="str">
        <f t="shared" si="21"/>
        <v/>
      </c>
      <c r="AO768" s="523" t="str">
        <f t="shared" si="22"/>
        <v/>
      </c>
      <c r="AP768" s="523" t="str">
        <f t="shared" si="23"/>
        <v/>
      </c>
      <c r="AQ768" s="523" t="str">
        <f t="shared" si="24"/>
        <v/>
      </c>
      <c r="AR768" s="523" t="str">
        <f t="shared" si="25"/>
        <v/>
      </c>
      <c r="AS768" s="523" t="str">
        <f t="shared" si="26"/>
        <v/>
      </c>
      <c r="AT768" s="523" t="str">
        <f t="shared" si="27"/>
        <v/>
      </c>
      <c r="AU768" s="523" t="str">
        <f t="shared" si="28"/>
        <v/>
      </c>
      <c r="AV768" s="523" t="str">
        <f t="shared" si="29"/>
        <v/>
      </c>
      <c r="AW768" s="523" t="str">
        <f t="shared" si="30"/>
        <v/>
      </c>
      <c r="AX768" s="523" t="str">
        <f t="shared" si="31"/>
        <v/>
      </c>
      <c r="AY768" s="523" t="str">
        <f t="shared" si="32"/>
        <v/>
      </c>
      <c r="AZ768" s="523" t="str">
        <f t="shared" si="33"/>
        <v/>
      </c>
      <c r="BA768" s="523" t="str">
        <f t="shared" si="34"/>
        <v/>
      </c>
      <c r="BB768" s="523" t="str">
        <f t="shared" si="35"/>
        <v/>
      </c>
      <c r="BC768" s="523" t="str">
        <f t="shared" si="36"/>
        <v/>
      </c>
      <c r="BD768" s="523" t="str">
        <f t="shared" si="37"/>
        <v/>
      </c>
      <c r="BE768" s="523" t="str">
        <f t="shared" si="38"/>
        <v/>
      </c>
      <c r="BF768" s="523" t="str">
        <f t="shared" si="39"/>
        <v/>
      </c>
      <c r="BG768" s="523" t="str">
        <f t="shared" si="40"/>
        <v/>
      </c>
      <c r="BH768" s="523" t="str">
        <f t="shared" si="41"/>
        <v/>
      </c>
      <c r="BI768" s="523" t="str">
        <f t="shared" si="42"/>
        <v/>
      </c>
      <c r="BJ768" s="523" t="str">
        <f t="shared" si="43"/>
        <v/>
      </c>
      <c r="BK768" s="523" t="str">
        <f t="shared" si="44"/>
        <v/>
      </c>
      <c r="BL768" s="523" t="str">
        <f t="shared" si="45"/>
        <v/>
      </c>
      <c r="BM768" s="523" t="str">
        <f t="shared" si="46"/>
        <v/>
      </c>
      <c r="BN768" s="523" t="str">
        <f t="shared" si="47"/>
        <v/>
      </c>
      <c r="BO768" s="523" t="str">
        <f t="shared" si="48"/>
        <v/>
      </c>
      <c r="BP768" s="523" t="str">
        <f t="shared" si="49"/>
        <v/>
      </c>
      <c r="BQ768" s="523" t="str">
        <f t="shared" si="50"/>
        <v/>
      </c>
      <c r="BR768" s="523" t="str">
        <f t="shared" si="51"/>
        <v/>
      </c>
      <c r="BS768" s="523" t="str">
        <f t="shared" si="52"/>
        <v/>
      </c>
      <c r="BT768" s="523" t="str">
        <f t="shared" si="53"/>
        <v/>
      </c>
      <c r="BU768" s="523" t="str">
        <f t="shared" si="54"/>
        <v/>
      </c>
      <c r="BV768" s="523" t="str">
        <f t="shared" si="55"/>
        <v/>
      </c>
      <c r="BW768" s="523" t="str">
        <f t="shared" si="56"/>
        <v/>
      </c>
      <c r="BX768" s="523" t="str">
        <f t="shared" si="57"/>
        <v/>
      </c>
      <c r="BY768" s="523" t="str">
        <f t="shared" si="58"/>
        <v/>
      </c>
      <c r="BZ768" s="523" t="str">
        <f t="shared" si="59"/>
        <v/>
      </c>
      <c r="CA768" s="523">
        <f t="shared" si="60"/>
        <v>7524</v>
      </c>
      <c r="CB768" s="523" t="str">
        <f t="shared" si="61"/>
        <v/>
      </c>
      <c r="CC768" s="523" t="str">
        <f t="shared" si="62"/>
        <v/>
      </c>
      <c r="CD768" s="523" t="str">
        <f t="shared" si="63"/>
        <v/>
      </c>
      <c r="CE768" s="523" t="str">
        <f t="shared" si="64"/>
        <v/>
      </c>
      <c r="CF768" s="523" t="str">
        <f t="shared" si="65"/>
        <v/>
      </c>
      <c r="CG768" s="523" t="str">
        <f t="shared" si="66"/>
        <v/>
      </c>
      <c r="CH768" s="523" t="str">
        <f t="shared" si="67"/>
        <v/>
      </c>
      <c r="CI768" s="523" t="str">
        <f t="shared" si="68"/>
        <v/>
      </c>
      <c r="CJ768" s="523" t="str">
        <f t="shared" si="69"/>
        <v/>
      </c>
      <c r="CK768" s="523" t="str">
        <f t="shared" si="70"/>
        <v/>
      </c>
      <c r="CL768" s="523" t="str">
        <f t="shared" si="71"/>
        <v/>
      </c>
      <c r="CM768" s="523" t="str">
        <f t="shared" si="72"/>
        <v/>
      </c>
      <c r="CN768" s="523" t="str">
        <f t="shared" si="73"/>
        <v/>
      </c>
      <c r="CO768" s="523" t="str">
        <f t="shared" si="74"/>
        <v/>
      </c>
      <c r="CP768" s="523" t="str">
        <f t="shared" si="75"/>
        <v/>
      </c>
      <c r="CQ768" s="523" t="str">
        <f t="shared" si="76"/>
        <v/>
      </c>
      <c r="CR768" s="523" t="str">
        <f t="shared" si="77"/>
        <v/>
      </c>
      <c r="CS768" s="523" t="str">
        <f t="shared" si="78"/>
        <v/>
      </c>
      <c r="CT768" s="523" t="str">
        <f t="shared" si="79"/>
        <v/>
      </c>
      <c r="CU768" s="523" t="str">
        <f t="shared" si="80"/>
        <v/>
      </c>
      <c r="CV768" s="523" t="str">
        <f t="shared" si="81"/>
        <v/>
      </c>
      <c r="CW768" s="523" t="str">
        <f t="shared" si="82"/>
        <v/>
      </c>
      <c r="CX768" s="523" t="str">
        <f t="shared" si="83"/>
        <v/>
      </c>
      <c r="CY768" s="523" t="str">
        <f t="shared" si="84"/>
        <v/>
      </c>
      <c r="CZ768" s="523" t="str">
        <f t="shared" si="85"/>
        <v/>
      </c>
      <c r="DA768" s="523" t="str">
        <f t="shared" si="86"/>
        <v/>
      </c>
      <c r="DB768" s="523" t="str">
        <f t="shared" si="87"/>
        <v/>
      </c>
      <c r="DC768" s="523" t="str">
        <f t="shared" si="88"/>
        <v/>
      </c>
      <c r="DD768" s="523" t="str">
        <f t="shared" si="89"/>
        <v/>
      </c>
      <c r="DE768" s="523">
        <f t="shared" si="90"/>
        <v>9</v>
      </c>
      <c r="DF768" s="523" t="str">
        <f t="shared" si="91"/>
        <v/>
      </c>
      <c r="DG768" s="523" t="str">
        <f t="shared" si="92"/>
        <v/>
      </c>
      <c r="DH768" s="523" t="str">
        <f t="shared" si="93"/>
        <v/>
      </c>
      <c r="DI768" s="523" t="str">
        <f t="shared" si="94"/>
        <v/>
      </c>
      <c r="DJ768" s="523" t="str">
        <f t="shared" si="95"/>
        <v/>
      </c>
      <c r="DK768" s="523" t="str">
        <f t="shared" si="96"/>
        <v/>
      </c>
      <c r="DL768" s="523" t="str">
        <f t="shared" si="97"/>
        <v/>
      </c>
      <c r="DM768" s="523" t="str">
        <f t="shared" si="98"/>
        <v/>
      </c>
      <c r="DN768" s="523" t="str">
        <f t="shared" si="99"/>
        <v/>
      </c>
      <c r="DO768" s="523" t="str">
        <f t="shared" si="100"/>
        <v/>
      </c>
      <c r="DP768" s="523" t="str">
        <f t="shared" si="101"/>
        <v/>
      </c>
      <c r="DQ768" s="523" t="str">
        <f t="shared" si="102"/>
        <v/>
      </c>
      <c r="DR768" s="523" t="str">
        <f t="shared" si="103"/>
        <v/>
      </c>
      <c r="DS768" s="523" t="str">
        <f t="shared" si="104"/>
        <v/>
      </c>
      <c r="DT768" s="523" t="str">
        <f t="shared" si="105"/>
        <v/>
      </c>
      <c r="DU768" s="523" t="str">
        <f t="shared" si="106"/>
        <v/>
      </c>
      <c r="DV768" s="523" t="str">
        <f t="shared" si="107"/>
        <v/>
      </c>
      <c r="DW768" s="523" t="str">
        <f t="shared" si="108"/>
        <v/>
      </c>
      <c r="DX768" s="523" t="str">
        <f t="shared" si="109"/>
        <v/>
      </c>
      <c r="DY768" s="523" t="str">
        <f t="shared" si="110"/>
        <v/>
      </c>
      <c r="DZ768" s="523" t="str">
        <f t="shared" si="111"/>
        <v/>
      </c>
      <c r="EA768" s="523" t="str">
        <f t="shared" si="112"/>
        <v/>
      </c>
      <c r="EB768" s="523" t="str">
        <f t="shared" si="113"/>
        <v/>
      </c>
      <c r="EC768" s="523" t="str">
        <f t="shared" si="114"/>
        <v/>
      </c>
      <c r="ED768" s="523" t="str">
        <f t="shared" si="115"/>
        <v/>
      </c>
      <c r="EE768" s="523" t="str">
        <f t="shared" si="116"/>
        <v/>
      </c>
      <c r="EF768" s="523" t="str">
        <f t="shared" si="117"/>
        <v/>
      </c>
      <c r="EG768" s="523" t="str">
        <f t="shared" si="118"/>
        <v/>
      </c>
      <c r="EH768" s="523" t="str">
        <f t="shared" si="119"/>
        <v/>
      </c>
      <c r="EI768" s="523" t="str">
        <f t="shared" si="120"/>
        <v/>
      </c>
      <c r="EJ768" s="523" t="str">
        <f t="shared" si="121"/>
        <v/>
      </c>
      <c r="EK768" s="523" t="str">
        <f t="shared" si="122"/>
        <v/>
      </c>
      <c r="EL768" s="523" t="str">
        <f t="shared" si="123"/>
        <v/>
      </c>
      <c r="EM768" s="523" t="str">
        <f t="shared" si="124"/>
        <v/>
      </c>
      <c r="EN768" s="523" t="str">
        <f t="shared" si="125"/>
        <v/>
      </c>
      <c r="EO768" s="523" t="str">
        <f t="shared" si="126"/>
        <v/>
      </c>
      <c r="EP768" s="523" t="str">
        <f t="shared" si="127"/>
        <v/>
      </c>
      <c r="EQ768" s="523" t="str">
        <f t="shared" si="128"/>
        <v/>
      </c>
      <c r="ER768" s="523" t="str">
        <f t="shared" si="129"/>
        <v/>
      </c>
      <c r="ES768" s="523" t="str">
        <f t="shared" si="130"/>
        <v/>
      </c>
      <c r="ET768" s="523" t="str">
        <f t="shared" si="131"/>
        <v/>
      </c>
      <c r="EU768" s="523" t="str">
        <f t="shared" si="132"/>
        <v/>
      </c>
      <c r="EV768" s="523" t="str">
        <f t="shared" si="133"/>
        <v/>
      </c>
      <c r="EW768" s="3336" t="str">
        <f t="shared" si="134"/>
        <v/>
      </c>
      <c r="EX768" s="3336">
        <f t="shared" si="135"/>
        <v>9</v>
      </c>
      <c r="EY768" s="3336" t="str">
        <f t="shared" si="136"/>
        <v/>
      </c>
      <c r="EZ768" s="3336" t="str">
        <f t="shared" si="137"/>
        <v/>
      </c>
      <c r="FA768" s="3336" t="str">
        <f t="shared" si="138"/>
        <v/>
      </c>
      <c r="FB768" s="3336" t="str">
        <f t="shared" si="139"/>
        <v/>
      </c>
      <c r="FC768" s="3336" t="str">
        <f t="shared" si="140"/>
        <v/>
      </c>
      <c r="FD768" s="3336" t="str">
        <f t="shared" si="141"/>
        <v/>
      </c>
      <c r="FE768" s="3336" t="str">
        <f t="shared" si="142"/>
        <v/>
      </c>
      <c r="FF768" s="3336" t="str">
        <f t="shared" si="143"/>
        <v/>
      </c>
      <c r="FG768" s="3336" t="str">
        <f t="shared" si="144"/>
        <v/>
      </c>
      <c r="FH768" s="3336" t="str">
        <f t="shared" si="145"/>
        <v/>
      </c>
      <c r="FI768" s="3336" t="str">
        <f t="shared" si="146"/>
        <v/>
      </c>
      <c r="FJ768" s="3336" t="str">
        <f t="shared" si="147"/>
        <v/>
      </c>
      <c r="FK768" s="3336" t="str">
        <f t="shared" si="148"/>
        <v/>
      </c>
      <c r="FL768" s="3336" t="str">
        <f t="shared" si="149"/>
        <v/>
      </c>
      <c r="FM768" s="3336" t="str">
        <f t="shared" si="150"/>
        <v/>
      </c>
      <c r="FN768" s="3336" t="str">
        <f t="shared" si="151"/>
        <v/>
      </c>
      <c r="FO768" s="3336" t="str">
        <f t="shared" si="152"/>
        <v/>
      </c>
      <c r="FP768" s="3336" t="str">
        <f t="shared" si="153"/>
        <v/>
      </c>
      <c r="FQ768" s="3336" t="str">
        <f t="shared" si="154"/>
        <v/>
      </c>
      <c r="FR768" s="3336" t="str">
        <f t="shared" si="155"/>
        <v/>
      </c>
      <c r="FS768" s="3336" t="str">
        <f t="shared" si="156"/>
        <v/>
      </c>
      <c r="FT768" s="3336" t="str">
        <f t="shared" si="157"/>
        <v/>
      </c>
      <c r="FU768" s="3336" t="str">
        <f t="shared" si="158"/>
        <v/>
      </c>
      <c r="FV768" s="3336" t="str">
        <f t="shared" si="159"/>
        <v/>
      </c>
      <c r="FW768" s="3336" t="str">
        <f t="shared" si="160"/>
        <v/>
      </c>
      <c r="FX768" s="3336" t="str">
        <f t="shared" si="161"/>
        <v/>
      </c>
      <c r="FY768" s="3336" t="str">
        <f t="shared" si="162"/>
        <v/>
      </c>
      <c r="FZ768" s="3336" t="str">
        <f t="shared" si="163"/>
        <v/>
      </c>
      <c r="GA768" s="3336" t="str">
        <f t="shared" si="164"/>
        <v/>
      </c>
      <c r="GB768" s="3336" t="str">
        <f t="shared" si="165"/>
        <v/>
      </c>
      <c r="GC768" s="3336" t="str">
        <f t="shared" si="166"/>
        <v/>
      </c>
      <c r="GD768" s="3336" t="str">
        <f t="shared" si="167"/>
        <v/>
      </c>
      <c r="GE768" s="3336" t="str">
        <f t="shared" si="168"/>
        <v/>
      </c>
      <c r="GF768" s="3336" t="str">
        <f t="shared" si="169"/>
        <v/>
      </c>
      <c r="GG768" s="3336" t="str">
        <f t="shared" si="170"/>
        <v/>
      </c>
      <c r="GH768" s="3336" t="str">
        <f t="shared" si="171"/>
        <v/>
      </c>
      <c r="GI768" s="3336" t="str">
        <f t="shared" si="172"/>
        <v/>
      </c>
      <c r="GJ768" s="3336" t="str">
        <f t="shared" si="173"/>
        <v/>
      </c>
      <c r="GK768" s="3336" t="str">
        <f t="shared" si="174"/>
        <v/>
      </c>
      <c r="GL768" s="3336" t="str">
        <f t="shared" si="175"/>
        <v/>
      </c>
      <c r="GM768" s="3336" t="str">
        <f t="shared" si="176"/>
        <v/>
      </c>
      <c r="GN768" s="3336" t="str">
        <f t="shared" si="177"/>
        <v/>
      </c>
      <c r="GO768" s="3336" t="str">
        <f t="shared" si="178"/>
        <v/>
      </c>
      <c r="GP768" s="3336" t="str">
        <f t="shared" si="179"/>
        <v/>
      </c>
      <c r="GQ768" s="3336" t="str">
        <f t="shared" si="180"/>
        <v/>
      </c>
      <c r="GR768" s="3336" t="str">
        <f t="shared" si="181"/>
        <v/>
      </c>
      <c r="GS768" s="3336" t="str">
        <f t="shared" si="182"/>
        <v/>
      </c>
      <c r="GT768" s="3336" t="str">
        <f t="shared" si="183"/>
        <v/>
      </c>
      <c r="GU768" s="3336" t="str">
        <f t="shared" si="184"/>
        <v/>
      </c>
      <c r="GV768" s="3336" t="str">
        <f t="shared" si="185"/>
        <v/>
      </c>
      <c r="GW768" s="3336" t="str">
        <f t="shared" si="186"/>
        <v/>
      </c>
      <c r="GX768" s="3336" t="str">
        <f t="shared" si="187"/>
        <v/>
      </c>
      <c r="GY768" s="3336" t="str">
        <f t="shared" si="188"/>
        <v/>
      </c>
      <c r="GZ768" s="3336" t="str">
        <f t="shared" si="189"/>
        <v/>
      </c>
      <c r="HA768" s="3336" t="str">
        <f t="shared" si="190"/>
        <v/>
      </c>
      <c r="HB768" s="3336" t="str">
        <f t="shared" si="191"/>
        <v/>
      </c>
      <c r="HC768" s="3336" t="str">
        <f t="shared" si="192"/>
        <v/>
      </c>
      <c r="HD768" s="3336" t="str">
        <f t="shared" si="193"/>
        <v/>
      </c>
      <c r="HE768" s="3336" t="str">
        <f t="shared" si="194"/>
        <v/>
      </c>
      <c r="HF768" s="3336" t="str">
        <f t="shared" si="195"/>
        <v/>
      </c>
      <c r="HG768" s="3336" t="str">
        <f t="shared" si="196"/>
        <v/>
      </c>
      <c r="HH768" s="3336" t="str">
        <f t="shared" si="197"/>
        <v/>
      </c>
      <c r="HI768" s="3336" t="str">
        <f t="shared" si="198"/>
        <v/>
      </c>
      <c r="HJ768" s="3336" t="str">
        <f t="shared" si="199"/>
        <v/>
      </c>
      <c r="HK768" s="3336">
        <f t="shared" si="200"/>
        <v>9</v>
      </c>
      <c r="HL768" s="3336" t="str">
        <f t="shared" si="201"/>
        <v/>
      </c>
      <c r="HM768" s="3336" t="str">
        <f t="shared" si="202"/>
        <v/>
      </c>
      <c r="HN768" s="3336" t="str">
        <f t="shared" si="203"/>
        <v/>
      </c>
      <c r="HO768" s="3336" t="str">
        <f t="shared" si="204"/>
        <v/>
      </c>
      <c r="HP768" s="3336" t="str">
        <f t="shared" si="205"/>
        <v/>
      </c>
      <c r="HQ768" s="3336" t="str">
        <f t="shared" si="206"/>
        <v/>
      </c>
      <c r="HR768" s="3336" t="str">
        <f t="shared" si="207"/>
        <v/>
      </c>
      <c r="HS768" s="3336" t="str">
        <f t="shared" si="208"/>
        <v/>
      </c>
      <c r="HT768" s="3336" t="str">
        <f t="shared" si="209"/>
        <v/>
      </c>
      <c r="HU768" s="3336" t="str">
        <f t="shared" si="210"/>
        <v/>
      </c>
      <c r="HV768" s="3336" t="str">
        <f t="shared" si="211"/>
        <v/>
      </c>
      <c r="HW768" s="3336" t="str">
        <f t="shared" si="212"/>
        <v/>
      </c>
      <c r="HX768" s="3336" t="str">
        <f t="shared" si="213"/>
        <v/>
      </c>
      <c r="HY768" s="3336" t="str">
        <f t="shared" si="214"/>
        <v/>
      </c>
      <c r="HZ768" s="3336" t="str">
        <f t="shared" si="215"/>
        <v/>
      </c>
      <c r="IA768" s="3336" t="str">
        <f t="shared" si="216"/>
        <v/>
      </c>
      <c r="IB768" s="3336" t="str">
        <f t="shared" si="217"/>
        <v/>
      </c>
      <c r="IC768" s="3336" t="str">
        <f t="shared" si="218"/>
        <v/>
      </c>
      <c r="ID768" s="3308" t="str">
        <f t="shared" si="219"/>
        <v/>
      </c>
      <c r="IE768" s="3308" t="str">
        <f t="shared" si="220"/>
        <v/>
      </c>
      <c r="IF768" s="3308" t="str">
        <f t="shared" si="221"/>
        <v/>
      </c>
      <c r="IG768" s="3308" t="str">
        <f t="shared" si="222"/>
        <v/>
      </c>
      <c r="IH768" s="3308" t="str">
        <f t="shared" si="223"/>
        <v/>
      </c>
      <c r="II768" s="523" t="str">
        <f t="shared" si="224"/>
        <v/>
      </c>
      <c r="IJ768" s="523" t="str">
        <f t="shared" si="225"/>
        <v/>
      </c>
      <c r="IK768" s="523" t="str">
        <f t="shared" si="226"/>
        <v/>
      </c>
      <c r="IL768" s="523" t="str">
        <f t="shared" si="227"/>
        <v/>
      </c>
      <c r="IM768" s="523" t="str">
        <f t="shared" si="228"/>
        <v/>
      </c>
      <c r="IN768" s="523" t="str">
        <f t="shared" si="229"/>
        <v/>
      </c>
      <c r="IO768" s="523" t="str">
        <f t="shared" si="230"/>
        <v/>
      </c>
      <c r="IP768" s="523" t="str">
        <f t="shared" si="231"/>
        <v/>
      </c>
      <c r="IQ768" s="523" t="str">
        <f t="shared" si="232"/>
        <v/>
      </c>
      <c r="IR768" s="523" t="str">
        <f t="shared" si="233"/>
        <v/>
      </c>
      <c r="IS768" s="523" t="str">
        <f t="shared" si="234"/>
        <v/>
      </c>
      <c r="IT768" s="523" t="str">
        <f t="shared" si="235"/>
        <v/>
      </c>
      <c r="IU768" s="523" t="str">
        <f t="shared" si="236"/>
        <v/>
      </c>
      <c r="IV768" s="523" t="str">
        <f t="shared" si="237"/>
        <v/>
      </c>
      <c r="IW768" s="523" t="str">
        <f t="shared" si="238"/>
        <v/>
      </c>
      <c r="IX768" s="523" t="str">
        <f t="shared" si="239"/>
        <v/>
      </c>
      <c r="IY768" s="523" t="str">
        <f t="shared" si="240"/>
        <v/>
      </c>
      <c r="IZ768" s="523" t="str">
        <f t="shared" si="241"/>
        <v/>
      </c>
      <c r="JA768" s="523" t="str">
        <f t="shared" si="242"/>
        <v/>
      </c>
      <c r="JB768" s="523" t="str">
        <f t="shared" si="243"/>
        <v/>
      </c>
      <c r="JC768" s="3306">
        <f t="shared" ref="JC768:JC804" si="244">IF(AND($C768="Efficiency",$E768&gt;0,OR($N768="1-Story",$N768="2-Story",$N768="3+ Story",$N768="2-Story Walkup",$N768="Townhome"),OR($O768="Acquisition/Rehab",$O768="Rehabilitation"),NOT($P768="Yes")),$E768,0)</f>
        <v>0</v>
      </c>
      <c r="JD768" s="3306">
        <f t="shared" ref="JD768:JD804" si="245">IF(AND($C768=1,$E768&gt;0,OR($N768="1-Story",$N768="2-Story",$N768="3+ Story",$N768="2-Story Walkup",$N768="Townhome"),OR($O768="Acquisition/Rehab",$O768="Rehabilitation"),NOT($P768="Yes")),$E768,0)</f>
        <v>0</v>
      </c>
      <c r="JE768" s="3306">
        <f t="shared" ref="JE768:JE804" si="246">IF(AND($C768=2,$E768&gt;0,OR($N768="1-Story",$N768="2-Story",$N768="3+ Story",$N768="2-Story Walkup",$N768="Townhome"),OR($O768="Acquisition/Rehab",$O768="Rehabilitation"),NOT($P768="Yes")),$E768,0)</f>
        <v>0</v>
      </c>
      <c r="JF768" s="3306">
        <f t="shared" ref="JF768:JF804" si="247">IF(AND($C768=3,$E768&gt;0,OR($N768="1-Story",$N768="2-Story",$N768="3+ Story",$N768="2-Story Walkup",$N768="Townhome"),OR($O768="Acquisition/Rehab",$O768="Rehabilitation"),NOT($P768="Yes")),$E768,0)</f>
        <v>0</v>
      </c>
      <c r="JG768" s="3306">
        <f t="shared" ref="JG768:JG804" si="248">IF(AND($C768=4,$E768&gt;0,OR($N768="1-Story",$N768="2-Story",$N768="3+ Story",$N768="2-Story Walkup",$N768="Townhome"),OR($O768="Acquisition/Rehab",$O768="Rehabilitation"),NOT($P768="Yes")),$E768,0)</f>
        <v>0</v>
      </c>
      <c r="JH768" s="3306">
        <f t="shared" ref="JH768:JH804" si="249">IF(AND($C768="Efficiency",$E768&gt;0,OR($N768="1-Story",$N768="2-Story",$N768="3+ Story",$N768="2-Story Walkup",$N768="Townhome"),$O768="New Construction"),$E768,0)</f>
        <v>0</v>
      </c>
      <c r="JI768" s="3306">
        <f t="shared" ref="JI768:JI804" si="250">IF(AND($C768=1,$E768&gt;0,OR($N768="1-Story",$N768="2-Story",$N768="3+ Story",$N768="2-Story Walkup",$N768="Townhome"),$O768="New Construction"),$E768,0)</f>
        <v>9</v>
      </c>
      <c r="JJ768" s="3306">
        <f t="shared" ref="JJ768:JJ804" si="251">IF(AND($C768=2,$E768&gt;0,OR($N768="1-Story",$N768="2-Story",$N768="3+ Story",$N768="2-Story Walkup",$N768="Townhome"),$O768="New Construction"),$E768,0)</f>
        <v>0</v>
      </c>
      <c r="JK768" s="3306">
        <f t="shared" ref="JK768:JK804" si="252">IF(AND($C768=3,$E768&gt;0,OR($N768="1-Story",$N768="2-Story",$N768="3+ Story",$N768="2-Story Walkup",$N768="Townhome"),$O768="New Construction"),$E768,0)</f>
        <v>0</v>
      </c>
      <c r="JL768" s="3306">
        <f t="shared" ref="JL768:JL804" si="253">IF(AND($C768=4,$E768&gt;0,OR($N768="1-Story",$N768="2-Story",$N768="3+ Story",$N768="2-Story Walkup",$N768="Townhome"),$O768="New Construction"),$E768,0)</f>
        <v>0</v>
      </c>
      <c r="JM768" s="3306">
        <f t="shared" ref="JM768:JM804" si="254">IF(AND($C768="Efficiency",$E768&gt;0,OR($N768="SF Detached",$N768="Duplex",$N768="Mfd Home"),NOT($P768="Yes")),$E768,0)</f>
        <v>0</v>
      </c>
      <c r="JN768" s="3306">
        <f t="shared" ref="JN768:JN804" si="255">IF(AND($C768=1,$E768&gt;0,OR($N768="SF Detached",$N768="Duplex",$N768="Mfd Home"),NOT($P768="Yes")),$E768,0)</f>
        <v>0</v>
      </c>
      <c r="JO768" s="3306">
        <f t="shared" ref="JO768:JO804" si="256">IF(AND($C768=2,$E768&gt;0,OR($N768="SF Detached",$N768="Duplex",$N768="Mfd Home"),NOT($P768="Yes")),$E768,0)</f>
        <v>0</v>
      </c>
      <c r="JP768" s="3306">
        <f t="shared" ref="JP768:JP804" si="257">IF(AND($C768=3,$E768&gt;0,OR($N768="SF Detached",$N768="Duplex",$N768="Mfd Home"),NOT($P768="Yes")),$E768,0)</f>
        <v>0</v>
      </c>
      <c r="JQ768" s="3306">
        <f t="shared" ref="JQ768:JQ804" si="258">IF(AND($C768=4,$E768&gt;0,OR($N768="SF Detached",$N768="Duplex",$N768="Mfd Home"),NOT($P768="Yes")),$E768,0)</f>
        <v>0</v>
      </c>
    </row>
    <row r="769" spans="1:277" ht="12" customHeight="1">
      <c r="A769" s="3319" t="str">
        <f t="shared" si="1"/>
        <v/>
      </c>
      <c r="B769" s="3328" t="str">
        <f>'Part VI-Revenues &amp; Expenses'!B12</f>
        <v>50% AMI</v>
      </c>
      <c r="C769" s="3329">
        <f>'Part VI-Revenues &amp; Expenses'!C12</f>
        <v>2</v>
      </c>
      <c r="D769" s="3330">
        <f>'Part VI-Revenues &amp; Expenses'!D12</f>
        <v>2</v>
      </c>
      <c r="E769" s="3331">
        <f>'Part VI-Revenues &amp; Expenses'!E12</f>
        <v>6</v>
      </c>
      <c r="F769" s="3331">
        <f>'Part VI-Revenues &amp; Expenses'!F12</f>
        <v>1045</v>
      </c>
      <c r="G769" s="3331">
        <f>'Part VI-Revenues &amp; Expenses'!G12</f>
        <v>785</v>
      </c>
      <c r="H769" s="3331">
        <f>'Part VI-Revenues &amp; Expenses'!H12</f>
        <v>725</v>
      </c>
      <c r="I769" s="3331">
        <f>'Part VI-Revenues &amp; Expenses'!I12</f>
        <v>128</v>
      </c>
      <c r="J769" s="3332">
        <f>'Part VI-Revenues &amp; Expenses'!J12</f>
        <v>0</v>
      </c>
      <c r="K769" s="3333">
        <f t="shared" si="2"/>
        <v>597</v>
      </c>
      <c r="L769" s="3333">
        <f t="shared" si="3"/>
        <v>3582</v>
      </c>
      <c r="M769" s="3207" t="str">
        <f>'Part VI-Revenues &amp; Expenses'!M12</f>
        <v>No</v>
      </c>
      <c r="N769" s="3207" t="str">
        <f>'Part VI-Revenues &amp; Expenses'!N12</f>
        <v>2-Story Walkup</v>
      </c>
      <c r="O769" s="3207" t="str">
        <f>'Part VI-Revenues &amp; Expenses'!O12</f>
        <v>New Construction</v>
      </c>
      <c r="P769" s="3313" t="str">
        <f>'Part VI-Revenues &amp; Expenses'!P12</f>
        <v>No</v>
      </c>
      <c r="Q769" s="3334">
        <f>'Part VI-Revenues &amp; Expenses'!Q12</f>
        <v>29000</v>
      </c>
      <c r="R769" s="3335">
        <f>'Part VI-Revenues &amp; Expenses'!R12</f>
        <v>0.46229874063446519</v>
      </c>
      <c r="S769" s="3334">
        <f>'Part VI-Revenues &amp; Expenses'!S12</f>
        <v>0</v>
      </c>
      <c r="T769" s="3335">
        <f>'Part VI-Revenues &amp; Expenses'!T12</f>
        <v>0</v>
      </c>
      <c r="U769" s="3257"/>
      <c r="V769" s="3257"/>
      <c r="W769" s="523" t="str">
        <f t="shared" si="4"/>
        <v/>
      </c>
      <c r="X769" s="523" t="str">
        <f t="shared" si="5"/>
        <v/>
      </c>
      <c r="Y769" s="523" t="str">
        <f t="shared" si="6"/>
        <v/>
      </c>
      <c r="Z769" s="523" t="str">
        <f t="shared" si="7"/>
        <v/>
      </c>
      <c r="AA769" s="523" t="str">
        <f t="shared" si="8"/>
        <v/>
      </c>
      <c r="AB769" s="523" t="str">
        <f t="shared" si="9"/>
        <v/>
      </c>
      <c r="AC769" s="523" t="str">
        <f t="shared" si="10"/>
        <v/>
      </c>
      <c r="AD769" s="523">
        <f t="shared" si="11"/>
        <v>6</v>
      </c>
      <c r="AE769" s="523" t="str">
        <f t="shared" si="12"/>
        <v/>
      </c>
      <c r="AF769" s="523" t="str">
        <f t="shared" si="13"/>
        <v/>
      </c>
      <c r="AG769" s="523" t="str">
        <f t="shared" si="14"/>
        <v/>
      </c>
      <c r="AH769" s="523" t="str">
        <f t="shared" si="15"/>
        <v/>
      </c>
      <c r="AI769" s="523" t="str">
        <f t="shared" si="16"/>
        <v/>
      </c>
      <c r="AJ769" s="523" t="str">
        <f t="shared" si="17"/>
        <v/>
      </c>
      <c r="AK769" s="523" t="str">
        <f t="shared" si="18"/>
        <v/>
      </c>
      <c r="AL769" s="523" t="str">
        <f t="shared" si="19"/>
        <v/>
      </c>
      <c r="AM769" s="523" t="str">
        <f t="shared" si="20"/>
        <v/>
      </c>
      <c r="AN769" s="523" t="str">
        <f t="shared" si="21"/>
        <v/>
      </c>
      <c r="AO769" s="523" t="str">
        <f t="shared" si="22"/>
        <v/>
      </c>
      <c r="AP769" s="523" t="str">
        <f t="shared" si="23"/>
        <v/>
      </c>
      <c r="AQ769" s="523" t="str">
        <f t="shared" si="24"/>
        <v/>
      </c>
      <c r="AR769" s="523" t="str">
        <f t="shared" si="25"/>
        <v/>
      </c>
      <c r="AS769" s="523" t="str">
        <f t="shared" si="26"/>
        <v/>
      </c>
      <c r="AT769" s="523" t="str">
        <f t="shared" si="27"/>
        <v/>
      </c>
      <c r="AU769" s="523" t="str">
        <f t="shared" si="28"/>
        <v/>
      </c>
      <c r="AV769" s="523" t="str">
        <f t="shared" si="29"/>
        <v/>
      </c>
      <c r="AW769" s="523" t="str">
        <f t="shared" si="30"/>
        <v/>
      </c>
      <c r="AX769" s="523" t="str">
        <f t="shared" si="31"/>
        <v/>
      </c>
      <c r="AY769" s="523" t="str">
        <f t="shared" si="32"/>
        <v/>
      </c>
      <c r="AZ769" s="523" t="str">
        <f t="shared" si="33"/>
        <v/>
      </c>
      <c r="BA769" s="523" t="str">
        <f t="shared" si="34"/>
        <v/>
      </c>
      <c r="BB769" s="523" t="str">
        <f t="shared" si="35"/>
        <v/>
      </c>
      <c r="BC769" s="523" t="str">
        <f t="shared" si="36"/>
        <v/>
      </c>
      <c r="BD769" s="523" t="str">
        <f t="shared" si="37"/>
        <v/>
      </c>
      <c r="BE769" s="523" t="str">
        <f t="shared" si="38"/>
        <v/>
      </c>
      <c r="BF769" s="523" t="str">
        <f t="shared" si="39"/>
        <v/>
      </c>
      <c r="BG769" s="523" t="str">
        <f t="shared" si="40"/>
        <v/>
      </c>
      <c r="BH769" s="523" t="str">
        <f t="shared" si="41"/>
        <v/>
      </c>
      <c r="BI769" s="523" t="str">
        <f t="shared" si="42"/>
        <v/>
      </c>
      <c r="BJ769" s="523" t="str">
        <f t="shared" si="43"/>
        <v/>
      </c>
      <c r="BK769" s="523" t="str">
        <f t="shared" si="44"/>
        <v/>
      </c>
      <c r="BL769" s="523" t="str">
        <f t="shared" si="45"/>
        <v/>
      </c>
      <c r="BM769" s="523" t="str">
        <f t="shared" si="46"/>
        <v/>
      </c>
      <c r="BN769" s="523" t="str">
        <f t="shared" si="47"/>
        <v/>
      </c>
      <c r="BO769" s="523" t="str">
        <f t="shared" si="48"/>
        <v/>
      </c>
      <c r="BP769" s="523" t="str">
        <f t="shared" si="49"/>
        <v/>
      </c>
      <c r="BQ769" s="523" t="str">
        <f t="shared" si="50"/>
        <v/>
      </c>
      <c r="BR769" s="523" t="str">
        <f t="shared" si="51"/>
        <v/>
      </c>
      <c r="BS769" s="523" t="str">
        <f t="shared" si="52"/>
        <v/>
      </c>
      <c r="BT769" s="523" t="str">
        <f t="shared" si="53"/>
        <v/>
      </c>
      <c r="BU769" s="523" t="str">
        <f t="shared" si="54"/>
        <v/>
      </c>
      <c r="BV769" s="523" t="str">
        <f t="shared" si="55"/>
        <v/>
      </c>
      <c r="BW769" s="523" t="str">
        <f t="shared" si="56"/>
        <v/>
      </c>
      <c r="BX769" s="523" t="str">
        <f t="shared" si="57"/>
        <v/>
      </c>
      <c r="BY769" s="523" t="str">
        <f t="shared" si="58"/>
        <v/>
      </c>
      <c r="BZ769" s="523" t="str">
        <f t="shared" si="59"/>
        <v/>
      </c>
      <c r="CA769" s="523" t="str">
        <f t="shared" si="60"/>
        <v/>
      </c>
      <c r="CB769" s="523" t="str">
        <f t="shared" si="61"/>
        <v/>
      </c>
      <c r="CC769" s="523" t="str">
        <f t="shared" si="62"/>
        <v/>
      </c>
      <c r="CD769" s="523" t="str">
        <f t="shared" si="63"/>
        <v/>
      </c>
      <c r="CE769" s="523" t="str">
        <f t="shared" si="64"/>
        <v/>
      </c>
      <c r="CF769" s="523" t="str">
        <f t="shared" si="65"/>
        <v/>
      </c>
      <c r="CG769" s="523">
        <f t="shared" si="66"/>
        <v>6270</v>
      </c>
      <c r="CH769" s="523" t="str">
        <f t="shared" si="67"/>
        <v/>
      </c>
      <c r="CI769" s="523" t="str">
        <f t="shared" si="68"/>
        <v/>
      </c>
      <c r="CJ769" s="523" t="str">
        <f t="shared" si="69"/>
        <v/>
      </c>
      <c r="CK769" s="523" t="str">
        <f t="shared" si="70"/>
        <v/>
      </c>
      <c r="CL769" s="523" t="str">
        <f t="shared" si="71"/>
        <v/>
      </c>
      <c r="CM769" s="523" t="str">
        <f t="shared" si="72"/>
        <v/>
      </c>
      <c r="CN769" s="523" t="str">
        <f t="shared" si="73"/>
        <v/>
      </c>
      <c r="CO769" s="523" t="str">
        <f t="shared" si="74"/>
        <v/>
      </c>
      <c r="CP769" s="523" t="str">
        <f t="shared" si="75"/>
        <v/>
      </c>
      <c r="CQ769" s="523" t="str">
        <f t="shared" si="76"/>
        <v/>
      </c>
      <c r="CR769" s="523" t="str">
        <f t="shared" si="77"/>
        <v/>
      </c>
      <c r="CS769" s="523" t="str">
        <f t="shared" si="78"/>
        <v/>
      </c>
      <c r="CT769" s="523" t="str">
        <f t="shared" si="79"/>
        <v/>
      </c>
      <c r="CU769" s="523" t="str">
        <f t="shared" si="80"/>
        <v/>
      </c>
      <c r="CV769" s="523" t="str">
        <f t="shared" si="81"/>
        <v/>
      </c>
      <c r="CW769" s="523" t="str">
        <f t="shared" si="82"/>
        <v/>
      </c>
      <c r="CX769" s="523" t="str">
        <f t="shared" si="83"/>
        <v/>
      </c>
      <c r="CY769" s="523" t="str">
        <f t="shared" si="84"/>
        <v/>
      </c>
      <c r="CZ769" s="523" t="str">
        <f t="shared" si="85"/>
        <v/>
      </c>
      <c r="DA769" s="523" t="str">
        <f t="shared" si="86"/>
        <v/>
      </c>
      <c r="DB769" s="523" t="str">
        <f t="shared" si="87"/>
        <v/>
      </c>
      <c r="DC769" s="523" t="str">
        <f t="shared" si="88"/>
        <v/>
      </c>
      <c r="DD769" s="523" t="str">
        <f t="shared" si="89"/>
        <v/>
      </c>
      <c r="DE769" s="523" t="str">
        <f t="shared" si="90"/>
        <v/>
      </c>
      <c r="DF769" s="523">
        <f t="shared" si="91"/>
        <v>6</v>
      </c>
      <c r="DG769" s="523" t="str">
        <f t="shared" si="92"/>
        <v/>
      </c>
      <c r="DH769" s="523" t="str">
        <f t="shared" si="93"/>
        <v/>
      </c>
      <c r="DI769" s="523" t="str">
        <f t="shared" si="94"/>
        <v/>
      </c>
      <c r="DJ769" s="523" t="str">
        <f t="shared" si="95"/>
        <v/>
      </c>
      <c r="DK769" s="523" t="str">
        <f t="shared" si="96"/>
        <v/>
      </c>
      <c r="DL769" s="523" t="str">
        <f t="shared" si="97"/>
        <v/>
      </c>
      <c r="DM769" s="523" t="str">
        <f t="shared" si="98"/>
        <v/>
      </c>
      <c r="DN769" s="523" t="str">
        <f t="shared" si="99"/>
        <v/>
      </c>
      <c r="DO769" s="523" t="str">
        <f t="shared" si="100"/>
        <v/>
      </c>
      <c r="DP769" s="523" t="str">
        <f t="shared" si="101"/>
        <v/>
      </c>
      <c r="DQ769" s="523" t="str">
        <f t="shared" si="102"/>
        <v/>
      </c>
      <c r="DR769" s="523" t="str">
        <f t="shared" si="103"/>
        <v/>
      </c>
      <c r="DS769" s="523" t="str">
        <f t="shared" si="104"/>
        <v/>
      </c>
      <c r="DT769" s="523" t="str">
        <f t="shared" si="105"/>
        <v/>
      </c>
      <c r="DU769" s="523" t="str">
        <f t="shared" si="106"/>
        <v/>
      </c>
      <c r="DV769" s="523" t="str">
        <f t="shared" si="107"/>
        <v/>
      </c>
      <c r="DW769" s="523" t="str">
        <f t="shared" si="108"/>
        <v/>
      </c>
      <c r="DX769" s="523" t="str">
        <f t="shared" si="109"/>
        <v/>
      </c>
      <c r="DY769" s="523" t="str">
        <f t="shared" si="110"/>
        <v/>
      </c>
      <c r="DZ769" s="523" t="str">
        <f t="shared" si="111"/>
        <v/>
      </c>
      <c r="EA769" s="523" t="str">
        <f t="shared" si="112"/>
        <v/>
      </c>
      <c r="EB769" s="523" t="str">
        <f t="shared" si="113"/>
        <v/>
      </c>
      <c r="EC769" s="523" t="str">
        <f t="shared" si="114"/>
        <v/>
      </c>
      <c r="ED769" s="523" t="str">
        <f t="shared" si="115"/>
        <v/>
      </c>
      <c r="EE769" s="523" t="str">
        <f t="shared" si="116"/>
        <v/>
      </c>
      <c r="EF769" s="523" t="str">
        <f t="shared" si="117"/>
        <v/>
      </c>
      <c r="EG769" s="523" t="str">
        <f t="shared" si="118"/>
        <v/>
      </c>
      <c r="EH769" s="523" t="str">
        <f t="shared" si="119"/>
        <v/>
      </c>
      <c r="EI769" s="523" t="str">
        <f t="shared" si="120"/>
        <v/>
      </c>
      <c r="EJ769" s="523" t="str">
        <f t="shared" si="121"/>
        <v/>
      </c>
      <c r="EK769" s="523" t="str">
        <f t="shared" si="122"/>
        <v/>
      </c>
      <c r="EL769" s="523" t="str">
        <f t="shared" si="123"/>
        <v/>
      </c>
      <c r="EM769" s="523" t="str">
        <f t="shared" si="124"/>
        <v/>
      </c>
      <c r="EN769" s="523" t="str">
        <f t="shared" si="125"/>
        <v/>
      </c>
      <c r="EO769" s="523" t="str">
        <f t="shared" si="126"/>
        <v/>
      </c>
      <c r="EP769" s="523" t="str">
        <f t="shared" si="127"/>
        <v/>
      </c>
      <c r="EQ769" s="523" t="str">
        <f t="shared" si="128"/>
        <v/>
      </c>
      <c r="ER769" s="523" t="str">
        <f t="shared" si="129"/>
        <v/>
      </c>
      <c r="ES769" s="523" t="str">
        <f t="shared" si="130"/>
        <v/>
      </c>
      <c r="ET769" s="523" t="str">
        <f t="shared" si="131"/>
        <v/>
      </c>
      <c r="EU769" s="523" t="str">
        <f t="shared" si="132"/>
        <v/>
      </c>
      <c r="EV769" s="523" t="str">
        <f t="shared" si="133"/>
        <v/>
      </c>
      <c r="EW769" s="3336" t="str">
        <f t="shared" si="134"/>
        <v/>
      </c>
      <c r="EX769" s="3336" t="str">
        <f t="shared" si="135"/>
        <v/>
      </c>
      <c r="EY769" s="3336">
        <f t="shared" si="136"/>
        <v>6</v>
      </c>
      <c r="EZ769" s="3336" t="str">
        <f t="shared" si="137"/>
        <v/>
      </c>
      <c r="FA769" s="3336" t="str">
        <f t="shared" si="138"/>
        <v/>
      </c>
      <c r="FB769" s="3336" t="str">
        <f t="shared" si="139"/>
        <v/>
      </c>
      <c r="FC769" s="3336" t="str">
        <f t="shared" si="140"/>
        <v/>
      </c>
      <c r="FD769" s="3336" t="str">
        <f t="shared" si="141"/>
        <v/>
      </c>
      <c r="FE769" s="3336" t="str">
        <f t="shared" si="142"/>
        <v/>
      </c>
      <c r="FF769" s="3336" t="str">
        <f t="shared" si="143"/>
        <v/>
      </c>
      <c r="FG769" s="3336" t="str">
        <f t="shared" si="144"/>
        <v/>
      </c>
      <c r="FH769" s="3336" t="str">
        <f t="shared" si="145"/>
        <v/>
      </c>
      <c r="FI769" s="3336" t="str">
        <f t="shared" si="146"/>
        <v/>
      </c>
      <c r="FJ769" s="3336" t="str">
        <f t="shared" si="147"/>
        <v/>
      </c>
      <c r="FK769" s="3336" t="str">
        <f t="shared" si="148"/>
        <v/>
      </c>
      <c r="FL769" s="3336" t="str">
        <f t="shared" si="149"/>
        <v/>
      </c>
      <c r="FM769" s="3336" t="str">
        <f t="shared" si="150"/>
        <v/>
      </c>
      <c r="FN769" s="3336" t="str">
        <f t="shared" si="151"/>
        <v/>
      </c>
      <c r="FO769" s="3336" t="str">
        <f t="shared" si="152"/>
        <v/>
      </c>
      <c r="FP769" s="3336" t="str">
        <f t="shared" si="153"/>
        <v/>
      </c>
      <c r="FQ769" s="3336" t="str">
        <f t="shared" si="154"/>
        <v/>
      </c>
      <c r="FR769" s="3336" t="str">
        <f t="shared" si="155"/>
        <v/>
      </c>
      <c r="FS769" s="3336" t="str">
        <f t="shared" si="156"/>
        <v/>
      </c>
      <c r="FT769" s="3336" t="str">
        <f t="shared" si="157"/>
        <v/>
      </c>
      <c r="FU769" s="3336" t="str">
        <f t="shared" si="158"/>
        <v/>
      </c>
      <c r="FV769" s="3336" t="str">
        <f t="shared" si="159"/>
        <v/>
      </c>
      <c r="FW769" s="3336" t="str">
        <f t="shared" si="160"/>
        <v/>
      </c>
      <c r="FX769" s="3336" t="str">
        <f t="shared" si="161"/>
        <v/>
      </c>
      <c r="FY769" s="3336" t="str">
        <f t="shared" si="162"/>
        <v/>
      </c>
      <c r="FZ769" s="3336" t="str">
        <f t="shared" si="163"/>
        <v/>
      </c>
      <c r="GA769" s="3336" t="str">
        <f t="shared" si="164"/>
        <v/>
      </c>
      <c r="GB769" s="3336" t="str">
        <f t="shared" si="165"/>
        <v/>
      </c>
      <c r="GC769" s="3336" t="str">
        <f t="shared" si="166"/>
        <v/>
      </c>
      <c r="GD769" s="3336" t="str">
        <f t="shared" si="167"/>
        <v/>
      </c>
      <c r="GE769" s="3336" t="str">
        <f t="shared" si="168"/>
        <v/>
      </c>
      <c r="GF769" s="3336" t="str">
        <f t="shared" si="169"/>
        <v/>
      </c>
      <c r="GG769" s="3336" t="str">
        <f t="shared" si="170"/>
        <v/>
      </c>
      <c r="GH769" s="3336" t="str">
        <f t="shared" si="171"/>
        <v/>
      </c>
      <c r="GI769" s="3336" t="str">
        <f t="shared" si="172"/>
        <v/>
      </c>
      <c r="GJ769" s="3336" t="str">
        <f t="shared" si="173"/>
        <v/>
      </c>
      <c r="GK769" s="3336" t="str">
        <f t="shared" si="174"/>
        <v/>
      </c>
      <c r="GL769" s="3336" t="str">
        <f t="shared" si="175"/>
        <v/>
      </c>
      <c r="GM769" s="3336" t="str">
        <f t="shared" si="176"/>
        <v/>
      </c>
      <c r="GN769" s="3336" t="str">
        <f t="shared" si="177"/>
        <v/>
      </c>
      <c r="GO769" s="3336" t="str">
        <f t="shared" si="178"/>
        <v/>
      </c>
      <c r="GP769" s="3336" t="str">
        <f t="shared" si="179"/>
        <v/>
      </c>
      <c r="GQ769" s="3336" t="str">
        <f t="shared" si="180"/>
        <v/>
      </c>
      <c r="GR769" s="3336" t="str">
        <f t="shared" si="181"/>
        <v/>
      </c>
      <c r="GS769" s="3336" t="str">
        <f t="shared" si="182"/>
        <v/>
      </c>
      <c r="GT769" s="3336" t="str">
        <f t="shared" si="183"/>
        <v/>
      </c>
      <c r="GU769" s="3336" t="str">
        <f t="shared" si="184"/>
        <v/>
      </c>
      <c r="GV769" s="3336" t="str">
        <f t="shared" si="185"/>
        <v/>
      </c>
      <c r="GW769" s="3336" t="str">
        <f t="shared" si="186"/>
        <v/>
      </c>
      <c r="GX769" s="3336" t="str">
        <f t="shared" si="187"/>
        <v/>
      </c>
      <c r="GY769" s="3336" t="str">
        <f t="shared" si="188"/>
        <v/>
      </c>
      <c r="GZ769" s="3336" t="str">
        <f t="shared" si="189"/>
        <v/>
      </c>
      <c r="HA769" s="3336" t="str">
        <f t="shared" si="190"/>
        <v/>
      </c>
      <c r="HB769" s="3336" t="str">
        <f t="shared" si="191"/>
        <v/>
      </c>
      <c r="HC769" s="3336" t="str">
        <f t="shared" si="192"/>
        <v/>
      </c>
      <c r="HD769" s="3336" t="str">
        <f t="shared" si="193"/>
        <v/>
      </c>
      <c r="HE769" s="3336" t="str">
        <f t="shared" si="194"/>
        <v/>
      </c>
      <c r="HF769" s="3336" t="str">
        <f t="shared" si="195"/>
        <v/>
      </c>
      <c r="HG769" s="3336" t="str">
        <f t="shared" si="196"/>
        <v/>
      </c>
      <c r="HH769" s="3336" t="str">
        <f t="shared" si="197"/>
        <v/>
      </c>
      <c r="HI769" s="3336" t="str">
        <f t="shared" si="198"/>
        <v/>
      </c>
      <c r="HJ769" s="3336" t="str">
        <f t="shared" si="199"/>
        <v/>
      </c>
      <c r="HK769" s="3336" t="str">
        <f t="shared" si="200"/>
        <v/>
      </c>
      <c r="HL769" s="3336">
        <f t="shared" si="201"/>
        <v>6</v>
      </c>
      <c r="HM769" s="3336" t="str">
        <f t="shared" si="202"/>
        <v/>
      </c>
      <c r="HN769" s="3336" t="str">
        <f t="shared" si="203"/>
        <v/>
      </c>
      <c r="HO769" s="3336" t="str">
        <f t="shared" si="204"/>
        <v/>
      </c>
      <c r="HP769" s="3336" t="str">
        <f t="shared" si="205"/>
        <v/>
      </c>
      <c r="HQ769" s="3336" t="str">
        <f t="shared" si="206"/>
        <v/>
      </c>
      <c r="HR769" s="3336" t="str">
        <f t="shared" si="207"/>
        <v/>
      </c>
      <c r="HS769" s="3336" t="str">
        <f t="shared" si="208"/>
        <v/>
      </c>
      <c r="HT769" s="3336" t="str">
        <f t="shared" si="209"/>
        <v/>
      </c>
      <c r="HU769" s="3336" t="str">
        <f t="shared" si="210"/>
        <v/>
      </c>
      <c r="HV769" s="3336" t="str">
        <f t="shared" si="211"/>
        <v/>
      </c>
      <c r="HW769" s="3336" t="str">
        <f t="shared" si="212"/>
        <v/>
      </c>
      <c r="HX769" s="3336" t="str">
        <f t="shared" si="213"/>
        <v/>
      </c>
      <c r="HY769" s="3336" t="str">
        <f t="shared" si="214"/>
        <v/>
      </c>
      <c r="HZ769" s="3336" t="str">
        <f t="shared" si="215"/>
        <v/>
      </c>
      <c r="IA769" s="3336" t="str">
        <f t="shared" si="216"/>
        <v/>
      </c>
      <c r="IB769" s="3336" t="str">
        <f t="shared" si="217"/>
        <v/>
      </c>
      <c r="IC769" s="3336" t="str">
        <f t="shared" si="218"/>
        <v/>
      </c>
      <c r="ID769" s="3308" t="str">
        <f t="shared" si="219"/>
        <v/>
      </c>
      <c r="IE769" s="3308" t="str">
        <f t="shared" si="220"/>
        <v/>
      </c>
      <c r="IF769" s="3308" t="str">
        <f t="shared" si="221"/>
        <v/>
      </c>
      <c r="IG769" s="3308" t="str">
        <f t="shared" si="222"/>
        <v/>
      </c>
      <c r="IH769" s="3308" t="str">
        <f t="shared" si="223"/>
        <v/>
      </c>
      <c r="II769" s="523" t="str">
        <f t="shared" si="224"/>
        <v/>
      </c>
      <c r="IJ769" s="523" t="str">
        <f t="shared" si="225"/>
        <v/>
      </c>
      <c r="IK769" s="523" t="str">
        <f t="shared" si="226"/>
        <v/>
      </c>
      <c r="IL769" s="523" t="str">
        <f t="shared" si="227"/>
        <v/>
      </c>
      <c r="IM769" s="523" t="str">
        <f t="shared" si="228"/>
        <v/>
      </c>
      <c r="IN769" s="523" t="str">
        <f t="shared" si="229"/>
        <v/>
      </c>
      <c r="IO769" s="523" t="str">
        <f t="shared" si="230"/>
        <v/>
      </c>
      <c r="IP769" s="523" t="str">
        <f t="shared" si="231"/>
        <v/>
      </c>
      <c r="IQ769" s="523" t="str">
        <f t="shared" si="232"/>
        <v/>
      </c>
      <c r="IR769" s="523" t="str">
        <f t="shared" si="233"/>
        <v/>
      </c>
      <c r="IS769" s="523" t="str">
        <f t="shared" si="234"/>
        <v/>
      </c>
      <c r="IT769" s="523" t="str">
        <f t="shared" si="235"/>
        <v/>
      </c>
      <c r="IU769" s="523" t="str">
        <f t="shared" si="236"/>
        <v/>
      </c>
      <c r="IV769" s="523" t="str">
        <f t="shared" si="237"/>
        <v/>
      </c>
      <c r="IW769" s="523" t="str">
        <f t="shared" si="238"/>
        <v/>
      </c>
      <c r="IX769" s="523" t="str">
        <f t="shared" si="239"/>
        <v/>
      </c>
      <c r="IY769" s="523" t="str">
        <f t="shared" si="240"/>
        <v/>
      </c>
      <c r="IZ769" s="523" t="str">
        <f t="shared" si="241"/>
        <v/>
      </c>
      <c r="JA769" s="523" t="str">
        <f t="shared" si="242"/>
        <v/>
      </c>
      <c r="JB769" s="523" t="str">
        <f t="shared" si="243"/>
        <v/>
      </c>
      <c r="JC769" s="3306">
        <f t="shared" si="244"/>
        <v>0</v>
      </c>
      <c r="JD769" s="3306">
        <f t="shared" si="245"/>
        <v>0</v>
      </c>
      <c r="JE769" s="3306">
        <f t="shared" si="246"/>
        <v>0</v>
      </c>
      <c r="JF769" s="3306">
        <f t="shared" si="247"/>
        <v>0</v>
      </c>
      <c r="JG769" s="3306">
        <f t="shared" si="248"/>
        <v>0</v>
      </c>
      <c r="JH769" s="3306">
        <f t="shared" si="249"/>
        <v>0</v>
      </c>
      <c r="JI769" s="3306">
        <f t="shared" si="250"/>
        <v>0</v>
      </c>
      <c r="JJ769" s="3306">
        <f t="shared" si="251"/>
        <v>6</v>
      </c>
      <c r="JK769" s="3306">
        <f t="shared" si="252"/>
        <v>0</v>
      </c>
      <c r="JL769" s="3306">
        <f t="shared" si="253"/>
        <v>0</v>
      </c>
      <c r="JM769" s="3306">
        <f t="shared" si="254"/>
        <v>0</v>
      </c>
      <c r="JN769" s="3306">
        <f t="shared" si="255"/>
        <v>0</v>
      </c>
      <c r="JO769" s="3306">
        <f t="shared" si="256"/>
        <v>0</v>
      </c>
      <c r="JP769" s="3306">
        <f t="shared" si="257"/>
        <v>0</v>
      </c>
      <c r="JQ769" s="3306">
        <f t="shared" si="258"/>
        <v>0</v>
      </c>
    </row>
    <row r="770" spans="1:277" ht="12" customHeight="1">
      <c r="A770" s="3319" t="str">
        <f t="shared" si="1"/>
        <v/>
      </c>
      <c r="B770" s="3328" t="str">
        <f>'Part VI-Revenues &amp; Expenses'!B13</f>
        <v>60% AMI</v>
      </c>
      <c r="C770" s="3329">
        <f>'Part VI-Revenues &amp; Expenses'!C13</f>
        <v>2</v>
      </c>
      <c r="D770" s="3330">
        <f>'Part VI-Revenues &amp; Expenses'!D13</f>
        <v>2</v>
      </c>
      <c r="E770" s="3331">
        <f>'Part VI-Revenues &amp; Expenses'!E13</f>
        <v>22</v>
      </c>
      <c r="F770" s="3331">
        <f>'Part VI-Revenues &amp; Expenses'!F13</f>
        <v>1045</v>
      </c>
      <c r="G770" s="3331">
        <f>'Part VI-Revenues &amp; Expenses'!G13</f>
        <v>942</v>
      </c>
      <c r="H770" s="3331">
        <f>'Part VI-Revenues &amp; Expenses'!H13</f>
        <v>882</v>
      </c>
      <c r="I770" s="3331">
        <f>'Part VI-Revenues &amp; Expenses'!I13</f>
        <v>128</v>
      </c>
      <c r="J770" s="3332">
        <f>'Part VI-Revenues &amp; Expenses'!J13</f>
        <v>0</v>
      </c>
      <c r="K770" s="3333">
        <f t="shared" si="2"/>
        <v>754</v>
      </c>
      <c r="L770" s="3333">
        <f t="shared" si="3"/>
        <v>16588</v>
      </c>
      <c r="M770" s="3207" t="str">
        <f>'Part VI-Revenues &amp; Expenses'!M13</f>
        <v>No</v>
      </c>
      <c r="N770" s="3207" t="str">
        <f>'Part VI-Revenues &amp; Expenses'!N13</f>
        <v>2-Story Walkup</v>
      </c>
      <c r="O770" s="3207" t="str">
        <f>'Part VI-Revenues &amp; Expenses'!O13</f>
        <v>New Construction</v>
      </c>
      <c r="P770" s="3313" t="str">
        <f>'Part VI-Revenues &amp; Expenses'!P13</f>
        <v>No</v>
      </c>
      <c r="Q770" s="3334">
        <f>'Part VI-Revenues &amp; Expenses'!Q13</f>
        <v>35280</v>
      </c>
      <c r="R770" s="3335">
        <f>'Part VI-Revenues &amp; Expenses'!R13</f>
        <v>0.56241032998565277</v>
      </c>
      <c r="S770" s="3334">
        <f>'Part VI-Revenues &amp; Expenses'!S13</f>
        <v>0</v>
      </c>
      <c r="T770" s="3335">
        <f>'Part VI-Revenues &amp; Expenses'!T13</f>
        <v>0</v>
      </c>
      <c r="U770" s="3257"/>
      <c r="V770" s="3257"/>
      <c r="W770" s="523" t="str">
        <f t="shared" si="4"/>
        <v/>
      </c>
      <c r="X770" s="523" t="str">
        <f t="shared" si="5"/>
        <v/>
      </c>
      <c r="Y770" s="523">
        <f t="shared" si="6"/>
        <v>22</v>
      </c>
      <c r="Z770" s="523" t="str">
        <f t="shared" si="7"/>
        <v/>
      </c>
      <c r="AA770" s="523" t="str">
        <f t="shared" si="8"/>
        <v/>
      </c>
      <c r="AB770" s="523" t="str">
        <f t="shared" si="9"/>
        <v/>
      </c>
      <c r="AC770" s="523" t="str">
        <f t="shared" si="10"/>
        <v/>
      </c>
      <c r="AD770" s="523" t="str">
        <f t="shared" si="11"/>
        <v/>
      </c>
      <c r="AE770" s="523" t="str">
        <f t="shared" si="12"/>
        <v/>
      </c>
      <c r="AF770" s="523" t="str">
        <f t="shared" si="13"/>
        <v/>
      </c>
      <c r="AG770" s="523" t="str">
        <f t="shared" si="14"/>
        <v/>
      </c>
      <c r="AH770" s="523" t="str">
        <f t="shared" si="15"/>
        <v/>
      </c>
      <c r="AI770" s="523" t="str">
        <f t="shared" si="16"/>
        <v/>
      </c>
      <c r="AJ770" s="523" t="str">
        <f t="shared" si="17"/>
        <v/>
      </c>
      <c r="AK770" s="523" t="str">
        <f t="shared" si="18"/>
        <v/>
      </c>
      <c r="AL770" s="523" t="str">
        <f t="shared" si="19"/>
        <v/>
      </c>
      <c r="AM770" s="523" t="str">
        <f t="shared" si="20"/>
        <v/>
      </c>
      <c r="AN770" s="523" t="str">
        <f t="shared" si="21"/>
        <v/>
      </c>
      <c r="AO770" s="523" t="str">
        <f t="shared" si="22"/>
        <v/>
      </c>
      <c r="AP770" s="523" t="str">
        <f t="shared" si="23"/>
        <v/>
      </c>
      <c r="AQ770" s="523" t="str">
        <f t="shared" si="24"/>
        <v/>
      </c>
      <c r="AR770" s="523" t="str">
        <f t="shared" si="25"/>
        <v/>
      </c>
      <c r="AS770" s="523" t="str">
        <f t="shared" si="26"/>
        <v/>
      </c>
      <c r="AT770" s="523" t="str">
        <f t="shared" si="27"/>
        <v/>
      </c>
      <c r="AU770" s="523" t="str">
        <f t="shared" si="28"/>
        <v/>
      </c>
      <c r="AV770" s="523" t="str">
        <f t="shared" si="29"/>
        <v/>
      </c>
      <c r="AW770" s="523" t="str">
        <f t="shared" si="30"/>
        <v/>
      </c>
      <c r="AX770" s="523" t="str">
        <f t="shared" si="31"/>
        <v/>
      </c>
      <c r="AY770" s="523" t="str">
        <f t="shared" si="32"/>
        <v/>
      </c>
      <c r="AZ770" s="523" t="str">
        <f t="shared" si="33"/>
        <v/>
      </c>
      <c r="BA770" s="523" t="str">
        <f t="shared" si="34"/>
        <v/>
      </c>
      <c r="BB770" s="523" t="str">
        <f t="shared" si="35"/>
        <v/>
      </c>
      <c r="BC770" s="523" t="str">
        <f t="shared" si="36"/>
        <v/>
      </c>
      <c r="BD770" s="523" t="str">
        <f t="shared" si="37"/>
        <v/>
      </c>
      <c r="BE770" s="523" t="str">
        <f t="shared" si="38"/>
        <v/>
      </c>
      <c r="BF770" s="523" t="str">
        <f t="shared" si="39"/>
        <v/>
      </c>
      <c r="BG770" s="523" t="str">
        <f t="shared" si="40"/>
        <v/>
      </c>
      <c r="BH770" s="523" t="str">
        <f t="shared" si="41"/>
        <v/>
      </c>
      <c r="BI770" s="523" t="str">
        <f t="shared" si="42"/>
        <v/>
      </c>
      <c r="BJ770" s="523" t="str">
        <f t="shared" si="43"/>
        <v/>
      </c>
      <c r="BK770" s="523" t="str">
        <f t="shared" si="44"/>
        <v/>
      </c>
      <c r="BL770" s="523" t="str">
        <f t="shared" si="45"/>
        <v/>
      </c>
      <c r="BM770" s="523" t="str">
        <f t="shared" si="46"/>
        <v/>
      </c>
      <c r="BN770" s="523" t="str">
        <f t="shared" si="47"/>
        <v/>
      </c>
      <c r="BO770" s="523" t="str">
        <f t="shared" si="48"/>
        <v/>
      </c>
      <c r="BP770" s="523" t="str">
        <f t="shared" si="49"/>
        <v/>
      </c>
      <c r="BQ770" s="523" t="str">
        <f t="shared" si="50"/>
        <v/>
      </c>
      <c r="BR770" s="523" t="str">
        <f t="shared" si="51"/>
        <v/>
      </c>
      <c r="BS770" s="523" t="str">
        <f t="shared" si="52"/>
        <v/>
      </c>
      <c r="BT770" s="523" t="str">
        <f t="shared" si="53"/>
        <v/>
      </c>
      <c r="BU770" s="523" t="str">
        <f t="shared" si="54"/>
        <v/>
      </c>
      <c r="BV770" s="523" t="str">
        <f t="shared" si="55"/>
        <v/>
      </c>
      <c r="BW770" s="523" t="str">
        <f t="shared" si="56"/>
        <v/>
      </c>
      <c r="BX770" s="523" t="str">
        <f t="shared" si="57"/>
        <v/>
      </c>
      <c r="BY770" s="523" t="str">
        <f t="shared" si="58"/>
        <v/>
      </c>
      <c r="BZ770" s="523" t="str">
        <f t="shared" si="59"/>
        <v/>
      </c>
      <c r="CA770" s="523" t="str">
        <f t="shared" si="60"/>
        <v/>
      </c>
      <c r="CB770" s="523">
        <f t="shared" si="61"/>
        <v>22990</v>
      </c>
      <c r="CC770" s="523" t="str">
        <f t="shared" si="62"/>
        <v/>
      </c>
      <c r="CD770" s="523" t="str">
        <f t="shared" si="63"/>
        <v/>
      </c>
      <c r="CE770" s="523" t="str">
        <f t="shared" si="64"/>
        <v/>
      </c>
      <c r="CF770" s="523" t="str">
        <f t="shared" si="65"/>
        <v/>
      </c>
      <c r="CG770" s="523" t="str">
        <f t="shared" si="66"/>
        <v/>
      </c>
      <c r="CH770" s="523" t="str">
        <f t="shared" si="67"/>
        <v/>
      </c>
      <c r="CI770" s="523" t="str">
        <f t="shared" si="68"/>
        <v/>
      </c>
      <c r="CJ770" s="523" t="str">
        <f t="shared" si="69"/>
        <v/>
      </c>
      <c r="CK770" s="523" t="str">
        <f t="shared" si="70"/>
        <v/>
      </c>
      <c r="CL770" s="523" t="str">
        <f t="shared" si="71"/>
        <v/>
      </c>
      <c r="CM770" s="523" t="str">
        <f t="shared" si="72"/>
        <v/>
      </c>
      <c r="CN770" s="523" t="str">
        <f t="shared" si="73"/>
        <v/>
      </c>
      <c r="CO770" s="523" t="str">
        <f t="shared" si="74"/>
        <v/>
      </c>
      <c r="CP770" s="523" t="str">
        <f t="shared" si="75"/>
        <v/>
      </c>
      <c r="CQ770" s="523" t="str">
        <f t="shared" si="76"/>
        <v/>
      </c>
      <c r="CR770" s="523" t="str">
        <f t="shared" si="77"/>
        <v/>
      </c>
      <c r="CS770" s="523" t="str">
        <f t="shared" si="78"/>
        <v/>
      </c>
      <c r="CT770" s="523" t="str">
        <f t="shared" si="79"/>
        <v/>
      </c>
      <c r="CU770" s="523" t="str">
        <f t="shared" si="80"/>
        <v/>
      </c>
      <c r="CV770" s="523" t="str">
        <f t="shared" si="81"/>
        <v/>
      </c>
      <c r="CW770" s="523" t="str">
        <f t="shared" si="82"/>
        <v/>
      </c>
      <c r="CX770" s="523" t="str">
        <f t="shared" si="83"/>
        <v/>
      </c>
      <c r="CY770" s="523" t="str">
        <f t="shared" si="84"/>
        <v/>
      </c>
      <c r="CZ770" s="523" t="str">
        <f t="shared" si="85"/>
        <v/>
      </c>
      <c r="DA770" s="523" t="str">
        <f t="shared" si="86"/>
        <v/>
      </c>
      <c r="DB770" s="523" t="str">
        <f t="shared" si="87"/>
        <v/>
      </c>
      <c r="DC770" s="523" t="str">
        <f t="shared" si="88"/>
        <v/>
      </c>
      <c r="DD770" s="523" t="str">
        <f t="shared" si="89"/>
        <v/>
      </c>
      <c r="DE770" s="523" t="str">
        <f t="shared" si="90"/>
        <v/>
      </c>
      <c r="DF770" s="523">
        <f t="shared" si="91"/>
        <v>22</v>
      </c>
      <c r="DG770" s="523" t="str">
        <f t="shared" si="92"/>
        <v/>
      </c>
      <c r="DH770" s="523" t="str">
        <f t="shared" si="93"/>
        <v/>
      </c>
      <c r="DI770" s="523" t="str">
        <f t="shared" si="94"/>
        <v/>
      </c>
      <c r="DJ770" s="523" t="str">
        <f t="shared" si="95"/>
        <v/>
      </c>
      <c r="DK770" s="523" t="str">
        <f t="shared" si="96"/>
        <v/>
      </c>
      <c r="DL770" s="523" t="str">
        <f t="shared" si="97"/>
        <v/>
      </c>
      <c r="DM770" s="523" t="str">
        <f t="shared" si="98"/>
        <v/>
      </c>
      <c r="DN770" s="523" t="str">
        <f t="shared" si="99"/>
        <v/>
      </c>
      <c r="DO770" s="523" t="str">
        <f t="shared" si="100"/>
        <v/>
      </c>
      <c r="DP770" s="523" t="str">
        <f t="shared" si="101"/>
        <v/>
      </c>
      <c r="DQ770" s="523" t="str">
        <f t="shared" si="102"/>
        <v/>
      </c>
      <c r="DR770" s="523" t="str">
        <f t="shared" si="103"/>
        <v/>
      </c>
      <c r="DS770" s="523" t="str">
        <f t="shared" si="104"/>
        <v/>
      </c>
      <c r="DT770" s="523" t="str">
        <f t="shared" si="105"/>
        <v/>
      </c>
      <c r="DU770" s="523" t="str">
        <f t="shared" si="106"/>
        <v/>
      </c>
      <c r="DV770" s="523" t="str">
        <f t="shared" si="107"/>
        <v/>
      </c>
      <c r="DW770" s="523" t="str">
        <f t="shared" si="108"/>
        <v/>
      </c>
      <c r="DX770" s="523" t="str">
        <f t="shared" si="109"/>
        <v/>
      </c>
      <c r="DY770" s="523" t="str">
        <f t="shared" si="110"/>
        <v/>
      </c>
      <c r="DZ770" s="523" t="str">
        <f t="shared" si="111"/>
        <v/>
      </c>
      <c r="EA770" s="523" t="str">
        <f t="shared" si="112"/>
        <v/>
      </c>
      <c r="EB770" s="523" t="str">
        <f t="shared" si="113"/>
        <v/>
      </c>
      <c r="EC770" s="523" t="str">
        <f t="shared" si="114"/>
        <v/>
      </c>
      <c r="ED770" s="523" t="str">
        <f t="shared" si="115"/>
        <v/>
      </c>
      <c r="EE770" s="523" t="str">
        <f t="shared" si="116"/>
        <v/>
      </c>
      <c r="EF770" s="523" t="str">
        <f t="shared" si="117"/>
        <v/>
      </c>
      <c r="EG770" s="523" t="str">
        <f t="shared" si="118"/>
        <v/>
      </c>
      <c r="EH770" s="523" t="str">
        <f t="shared" si="119"/>
        <v/>
      </c>
      <c r="EI770" s="523" t="str">
        <f t="shared" si="120"/>
        <v/>
      </c>
      <c r="EJ770" s="523" t="str">
        <f t="shared" si="121"/>
        <v/>
      </c>
      <c r="EK770" s="523" t="str">
        <f t="shared" si="122"/>
        <v/>
      </c>
      <c r="EL770" s="523" t="str">
        <f t="shared" si="123"/>
        <v/>
      </c>
      <c r="EM770" s="523" t="str">
        <f t="shared" si="124"/>
        <v/>
      </c>
      <c r="EN770" s="523" t="str">
        <f t="shared" si="125"/>
        <v/>
      </c>
      <c r="EO770" s="523" t="str">
        <f t="shared" si="126"/>
        <v/>
      </c>
      <c r="EP770" s="523" t="str">
        <f t="shared" si="127"/>
        <v/>
      </c>
      <c r="EQ770" s="523" t="str">
        <f t="shared" si="128"/>
        <v/>
      </c>
      <c r="ER770" s="523" t="str">
        <f t="shared" si="129"/>
        <v/>
      </c>
      <c r="ES770" s="523" t="str">
        <f t="shared" si="130"/>
        <v/>
      </c>
      <c r="ET770" s="523" t="str">
        <f t="shared" si="131"/>
        <v/>
      </c>
      <c r="EU770" s="523" t="str">
        <f t="shared" si="132"/>
        <v/>
      </c>
      <c r="EV770" s="523" t="str">
        <f t="shared" si="133"/>
        <v/>
      </c>
      <c r="EW770" s="3336" t="str">
        <f t="shared" si="134"/>
        <v/>
      </c>
      <c r="EX770" s="3336" t="str">
        <f t="shared" si="135"/>
        <v/>
      </c>
      <c r="EY770" s="3336">
        <f t="shared" si="136"/>
        <v>22</v>
      </c>
      <c r="EZ770" s="3336" t="str">
        <f t="shared" si="137"/>
        <v/>
      </c>
      <c r="FA770" s="3336" t="str">
        <f t="shared" si="138"/>
        <v/>
      </c>
      <c r="FB770" s="3336" t="str">
        <f t="shared" si="139"/>
        <v/>
      </c>
      <c r="FC770" s="3336" t="str">
        <f t="shared" si="140"/>
        <v/>
      </c>
      <c r="FD770" s="3336" t="str">
        <f t="shared" si="141"/>
        <v/>
      </c>
      <c r="FE770" s="3336" t="str">
        <f t="shared" si="142"/>
        <v/>
      </c>
      <c r="FF770" s="3336" t="str">
        <f t="shared" si="143"/>
        <v/>
      </c>
      <c r="FG770" s="3336" t="str">
        <f t="shared" si="144"/>
        <v/>
      </c>
      <c r="FH770" s="3336" t="str">
        <f t="shared" si="145"/>
        <v/>
      </c>
      <c r="FI770" s="3336" t="str">
        <f t="shared" si="146"/>
        <v/>
      </c>
      <c r="FJ770" s="3336" t="str">
        <f t="shared" si="147"/>
        <v/>
      </c>
      <c r="FK770" s="3336" t="str">
        <f t="shared" si="148"/>
        <v/>
      </c>
      <c r="FL770" s="3336" t="str">
        <f t="shared" si="149"/>
        <v/>
      </c>
      <c r="FM770" s="3336" t="str">
        <f t="shared" si="150"/>
        <v/>
      </c>
      <c r="FN770" s="3336" t="str">
        <f t="shared" si="151"/>
        <v/>
      </c>
      <c r="FO770" s="3336" t="str">
        <f t="shared" si="152"/>
        <v/>
      </c>
      <c r="FP770" s="3336" t="str">
        <f t="shared" si="153"/>
        <v/>
      </c>
      <c r="FQ770" s="3336" t="str">
        <f t="shared" si="154"/>
        <v/>
      </c>
      <c r="FR770" s="3336" t="str">
        <f t="shared" si="155"/>
        <v/>
      </c>
      <c r="FS770" s="3336" t="str">
        <f t="shared" si="156"/>
        <v/>
      </c>
      <c r="FT770" s="3336" t="str">
        <f t="shared" si="157"/>
        <v/>
      </c>
      <c r="FU770" s="3336" t="str">
        <f t="shared" si="158"/>
        <v/>
      </c>
      <c r="FV770" s="3336" t="str">
        <f t="shared" si="159"/>
        <v/>
      </c>
      <c r="FW770" s="3336" t="str">
        <f t="shared" si="160"/>
        <v/>
      </c>
      <c r="FX770" s="3336" t="str">
        <f t="shared" si="161"/>
        <v/>
      </c>
      <c r="FY770" s="3336" t="str">
        <f t="shared" si="162"/>
        <v/>
      </c>
      <c r="FZ770" s="3336" t="str">
        <f t="shared" si="163"/>
        <v/>
      </c>
      <c r="GA770" s="3336" t="str">
        <f t="shared" si="164"/>
        <v/>
      </c>
      <c r="GB770" s="3336" t="str">
        <f t="shared" si="165"/>
        <v/>
      </c>
      <c r="GC770" s="3336" t="str">
        <f t="shared" si="166"/>
        <v/>
      </c>
      <c r="GD770" s="3336" t="str">
        <f t="shared" si="167"/>
        <v/>
      </c>
      <c r="GE770" s="3336" t="str">
        <f t="shared" si="168"/>
        <v/>
      </c>
      <c r="GF770" s="3336" t="str">
        <f t="shared" si="169"/>
        <v/>
      </c>
      <c r="GG770" s="3336" t="str">
        <f t="shared" si="170"/>
        <v/>
      </c>
      <c r="GH770" s="3336" t="str">
        <f t="shared" si="171"/>
        <v/>
      </c>
      <c r="GI770" s="3336" t="str">
        <f t="shared" si="172"/>
        <v/>
      </c>
      <c r="GJ770" s="3336" t="str">
        <f t="shared" si="173"/>
        <v/>
      </c>
      <c r="GK770" s="3336" t="str">
        <f t="shared" si="174"/>
        <v/>
      </c>
      <c r="GL770" s="3336" t="str">
        <f t="shared" si="175"/>
        <v/>
      </c>
      <c r="GM770" s="3336" t="str">
        <f t="shared" si="176"/>
        <v/>
      </c>
      <c r="GN770" s="3336" t="str">
        <f t="shared" si="177"/>
        <v/>
      </c>
      <c r="GO770" s="3336" t="str">
        <f t="shared" si="178"/>
        <v/>
      </c>
      <c r="GP770" s="3336" t="str">
        <f t="shared" si="179"/>
        <v/>
      </c>
      <c r="GQ770" s="3336" t="str">
        <f t="shared" si="180"/>
        <v/>
      </c>
      <c r="GR770" s="3336" t="str">
        <f t="shared" si="181"/>
        <v/>
      </c>
      <c r="GS770" s="3336" t="str">
        <f t="shared" si="182"/>
        <v/>
      </c>
      <c r="GT770" s="3336" t="str">
        <f t="shared" si="183"/>
        <v/>
      </c>
      <c r="GU770" s="3336" t="str">
        <f t="shared" si="184"/>
        <v/>
      </c>
      <c r="GV770" s="3336" t="str">
        <f t="shared" si="185"/>
        <v/>
      </c>
      <c r="GW770" s="3336" t="str">
        <f t="shared" si="186"/>
        <v/>
      </c>
      <c r="GX770" s="3336" t="str">
        <f t="shared" si="187"/>
        <v/>
      </c>
      <c r="GY770" s="3336" t="str">
        <f t="shared" si="188"/>
        <v/>
      </c>
      <c r="GZ770" s="3336" t="str">
        <f t="shared" si="189"/>
        <v/>
      </c>
      <c r="HA770" s="3336" t="str">
        <f t="shared" si="190"/>
        <v/>
      </c>
      <c r="HB770" s="3336" t="str">
        <f t="shared" si="191"/>
        <v/>
      </c>
      <c r="HC770" s="3336" t="str">
        <f t="shared" si="192"/>
        <v/>
      </c>
      <c r="HD770" s="3336" t="str">
        <f t="shared" si="193"/>
        <v/>
      </c>
      <c r="HE770" s="3336" t="str">
        <f t="shared" si="194"/>
        <v/>
      </c>
      <c r="HF770" s="3336" t="str">
        <f t="shared" si="195"/>
        <v/>
      </c>
      <c r="HG770" s="3336" t="str">
        <f t="shared" si="196"/>
        <v/>
      </c>
      <c r="HH770" s="3336" t="str">
        <f t="shared" si="197"/>
        <v/>
      </c>
      <c r="HI770" s="3336" t="str">
        <f t="shared" si="198"/>
        <v/>
      </c>
      <c r="HJ770" s="3336" t="str">
        <f t="shared" si="199"/>
        <v/>
      </c>
      <c r="HK770" s="3336" t="str">
        <f t="shared" si="200"/>
        <v/>
      </c>
      <c r="HL770" s="3336">
        <f t="shared" si="201"/>
        <v>22</v>
      </c>
      <c r="HM770" s="3336" t="str">
        <f t="shared" si="202"/>
        <v/>
      </c>
      <c r="HN770" s="3336" t="str">
        <f t="shared" si="203"/>
        <v/>
      </c>
      <c r="HO770" s="3336" t="str">
        <f t="shared" si="204"/>
        <v/>
      </c>
      <c r="HP770" s="3336" t="str">
        <f t="shared" si="205"/>
        <v/>
      </c>
      <c r="HQ770" s="3336" t="str">
        <f t="shared" si="206"/>
        <v/>
      </c>
      <c r="HR770" s="3336" t="str">
        <f t="shared" si="207"/>
        <v/>
      </c>
      <c r="HS770" s="3336" t="str">
        <f t="shared" si="208"/>
        <v/>
      </c>
      <c r="HT770" s="3336" t="str">
        <f t="shared" si="209"/>
        <v/>
      </c>
      <c r="HU770" s="3336" t="str">
        <f t="shared" si="210"/>
        <v/>
      </c>
      <c r="HV770" s="3336" t="str">
        <f t="shared" si="211"/>
        <v/>
      </c>
      <c r="HW770" s="3336" t="str">
        <f t="shared" si="212"/>
        <v/>
      </c>
      <c r="HX770" s="3336" t="str">
        <f t="shared" si="213"/>
        <v/>
      </c>
      <c r="HY770" s="3336" t="str">
        <f t="shared" si="214"/>
        <v/>
      </c>
      <c r="HZ770" s="3336" t="str">
        <f t="shared" si="215"/>
        <v/>
      </c>
      <c r="IA770" s="3336" t="str">
        <f t="shared" si="216"/>
        <v/>
      </c>
      <c r="IB770" s="3336" t="str">
        <f t="shared" si="217"/>
        <v/>
      </c>
      <c r="IC770" s="3336" t="str">
        <f t="shared" si="218"/>
        <v/>
      </c>
      <c r="ID770" s="3308" t="str">
        <f t="shared" si="219"/>
        <v/>
      </c>
      <c r="IE770" s="3308" t="str">
        <f t="shared" si="220"/>
        <v/>
      </c>
      <c r="IF770" s="3308" t="str">
        <f t="shared" si="221"/>
        <v/>
      </c>
      <c r="IG770" s="3308" t="str">
        <f t="shared" si="222"/>
        <v/>
      </c>
      <c r="IH770" s="3308" t="str">
        <f t="shared" si="223"/>
        <v/>
      </c>
      <c r="II770" s="523" t="str">
        <f t="shared" si="224"/>
        <v/>
      </c>
      <c r="IJ770" s="523" t="str">
        <f t="shared" si="225"/>
        <v/>
      </c>
      <c r="IK770" s="523" t="str">
        <f t="shared" si="226"/>
        <v/>
      </c>
      <c r="IL770" s="523" t="str">
        <f t="shared" si="227"/>
        <v/>
      </c>
      <c r="IM770" s="523" t="str">
        <f t="shared" si="228"/>
        <v/>
      </c>
      <c r="IN770" s="523" t="str">
        <f t="shared" si="229"/>
        <v/>
      </c>
      <c r="IO770" s="523" t="str">
        <f t="shared" si="230"/>
        <v/>
      </c>
      <c r="IP770" s="523" t="str">
        <f t="shared" si="231"/>
        <v/>
      </c>
      <c r="IQ770" s="523" t="str">
        <f t="shared" si="232"/>
        <v/>
      </c>
      <c r="IR770" s="523" t="str">
        <f t="shared" si="233"/>
        <v/>
      </c>
      <c r="IS770" s="523" t="str">
        <f t="shared" si="234"/>
        <v/>
      </c>
      <c r="IT770" s="523" t="str">
        <f t="shared" si="235"/>
        <v/>
      </c>
      <c r="IU770" s="523" t="str">
        <f t="shared" si="236"/>
        <v/>
      </c>
      <c r="IV770" s="523" t="str">
        <f t="shared" si="237"/>
        <v/>
      </c>
      <c r="IW770" s="523" t="str">
        <f t="shared" si="238"/>
        <v/>
      </c>
      <c r="IX770" s="523" t="str">
        <f t="shared" si="239"/>
        <v/>
      </c>
      <c r="IY770" s="523" t="str">
        <f t="shared" si="240"/>
        <v/>
      </c>
      <c r="IZ770" s="523" t="str">
        <f t="shared" si="241"/>
        <v/>
      </c>
      <c r="JA770" s="523" t="str">
        <f t="shared" si="242"/>
        <v/>
      </c>
      <c r="JB770" s="523" t="str">
        <f t="shared" si="243"/>
        <v/>
      </c>
      <c r="JC770" s="3306">
        <f t="shared" si="244"/>
        <v>0</v>
      </c>
      <c r="JD770" s="3306">
        <f t="shared" si="245"/>
        <v>0</v>
      </c>
      <c r="JE770" s="3306">
        <f t="shared" si="246"/>
        <v>0</v>
      </c>
      <c r="JF770" s="3306">
        <f t="shared" si="247"/>
        <v>0</v>
      </c>
      <c r="JG770" s="3306">
        <f t="shared" si="248"/>
        <v>0</v>
      </c>
      <c r="JH770" s="3306">
        <f t="shared" si="249"/>
        <v>0</v>
      </c>
      <c r="JI770" s="3306">
        <f t="shared" si="250"/>
        <v>0</v>
      </c>
      <c r="JJ770" s="3306">
        <f t="shared" si="251"/>
        <v>22</v>
      </c>
      <c r="JK770" s="3306">
        <f t="shared" si="252"/>
        <v>0</v>
      </c>
      <c r="JL770" s="3306">
        <f t="shared" si="253"/>
        <v>0</v>
      </c>
      <c r="JM770" s="3306">
        <f t="shared" si="254"/>
        <v>0</v>
      </c>
      <c r="JN770" s="3306">
        <f t="shared" si="255"/>
        <v>0</v>
      </c>
      <c r="JO770" s="3306">
        <f t="shared" si="256"/>
        <v>0</v>
      </c>
      <c r="JP770" s="3306">
        <f t="shared" si="257"/>
        <v>0</v>
      </c>
      <c r="JQ770" s="3306">
        <f t="shared" si="258"/>
        <v>0</v>
      </c>
    </row>
    <row r="771" spans="1:277" ht="12" customHeight="1">
      <c r="A771" s="3319" t="str">
        <f t="shared" si="1"/>
        <v/>
      </c>
      <c r="B771" s="3328" t="str">
        <f>'Part VI-Revenues &amp; Expenses'!B14</f>
        <v>50% AMI</v>
      </c>
      <c r="C771" s="3329">
        <f>'Part VI-Revenues &amp; Expenses'!C14</f>
        <v>3</v>
      </c>
      <c r="D771" s="3330">
        <f>'Part VI-Revenues &amp; Expenses'!D14</f>
        <v>2</v>
      </c>
      <c r="E771" s="3331">
        <f>'Part VI-Revenues &amp; Expenses'!E14</f>
        <v>6</v>
      </c>
      <c r="F771" s="3331">
        <f>'Part VI-Revenues &amp; Expenses'!F14</f>
        <v>1222</v>
      </c>
      <c r="G771" s="3331">
        <f>'Part VI-Revenues &amp; Expenses'!G14</f>
        <v>906</v>
      </c>
      <c r="H771" s="3331">
        <f>'Part VI-Revenues &amp; Expenses'!H14</f>
        <v>846</v>
      </c>
      <c r="I771" s="3331">
        <f>'Part VI-Revenues &amp; Expenses'!I14</f>
        <v>161</v>
      </c>
      <c r="J771" s="3332">
        <f>'Part VI-Revenues &amp; Expenses'!J14</f>
        <v>0</v>
      </c>
      <c r="K771" s="3333">
        <f t="shared" si="2"/>
        <v>685</v>
      </c>
      <c r="L771" s="3333">
        <f t="shared" si="3"/>
        <v>4110</v>
      </c>
      <c r="M771" s="3207" t="str">
        <f>'Part VI-Revenues &amp; Expenses'!M14</f>
        <v>No</v>
      </c>
      <c r="N771" s="3207" t="str">
        <f>'Part VI-Revenues &amp; Expenses'!N14</f>
        <v>2-Story Walkup</v>
      </c>
      <c r="O771" s="3207" t="str">
        <f>'Part VI-Revenues &amp; Expenses'!O14</f>
        <v>New Construction</v>
      </c>
      <c r="P771" s="3313" t="str">
        <f>'Part VI-Revenues &amp; Expenses'!P14</f>
        <v>No</v>
      </c>
      <c r="Q771" s="3334">
        <f>'Part VI-Revenues &amp; Expenses'!Q14</f>
        <v>33840</v>
      </c>
      <c r="R771" s="3335">
        <f>'Part VI-Revenues &amp; Expenses'!R14</f>
        <v>0.4668358900783578</v>
      </c>
      <c r="S771" s="3334">
        <f>'Part VI-Revenues &amp; Expenses'!S14</f>
        <v>0</v>
      </c>
      <c r="T771" s="3335">
        <f>'Part VI-Revenues &amp; Expenses'!T14</f>
        <v>0</v>
      </c>
      <c r="U771" s="3257"/>
      <c r="V771" s="3257"/>
      <c r="W771" s="523" t="str">
        <f t="shared" si="4"/>
        <v/>
      </c>
      <c r="X771" s="523" t="str">
        <f t="shared" si="5"/>
        <v/>
      </c>
      <c r="Y771" s="523" t="str">
        <f t="shared" si="6"/>
        <v/>
      </c>
      <c r="Z771" s="523" t="str">
        <f t="shared" si="7"/>
        <v/>
      </c>
      <c r="AA771" s="523" t="str">
        <f t="shared" si="8"/>
        <v/>
      </c>
      <c r="AB771" s="523" t="str">
        <f t="shared" si="9"/>
        <v/>
      </c>
      <c r="AC771" s="523" t="str">
        <f t="shared" si="10"/>
        <v/>
      </c>
      <c r="AD771" s="523" t="str">
        <f t="shared" si="11"/>
        <v/>
      </c>
      <c r="AE771" s="523">
        <f t="shared" si="12"/>
        <v>6</v>
      </c>
      <c r="AF771" s="523" t="str">
        <f t="shared" si="13"/>
        <v/>
      </c>
      <c r="AG771" s="523" t="str">
        <f t="shared" si="14"/>
        <v/>
      </c>
      <c r="AH771" s="523" t="str">
        <f t="shared" si="15"/>
        <v/>
      </c>
      <c r="AI771" s="523" t="str">
        <f t="shared" si="16"/>
        <v/>
      </c>
      <c r="AJ771" s="523" t="str">
        <f t="shared" si="17"/>
        <v/>
      </c>
      <c r="AK771" s="523" t="str">
        <f t="shared" si="18"/>
        <v/>
      </c>
      <c r="AL771" s="523" t="str">
        <f t="shared" si="19"/>
        <v/>
      </c>
      <c r="AM771" s="523" t="str">
        <f t="shared" si="20"/>
        <v/>
      </c>
      <c r="AN771" s="523" t="str">
        <f t="shared" si="21"/>
        <v/>
      </c>
      <c r="AO771" s="523" t="str">
        <f t="shared" si="22"/>
        <v/>
      </c>
      <c r="AP771" s="523" t="str">
        <f t="shared" si="23"/>
        <v/>
      </c>
      <c r="AQ771" s="523" t="str">
        <f t="shared" si="24"/>
        <v/>
      </c>
      <c r="AR771" s="523" t="str">
        <f t="shared" si="25"/>
        <v/>
      </c>
      <c r="AS771" s="523" t="str">
        <f t="shared" si="26"/>
        <v/>
      </c>
      <c r="AT771" s="523" t="str">
        <f t="shared" si="27"/>
        <v/>
      </c>
      <c r="AU771" s="523" t="str">
        <f t="shared" si="28"/>
        <v/>
      </c>
      <c r="AV771" s="523" t="str">
        <f t="shared" si="29"/>
        <v/>
      </c>
      <c r="AW771" s="523" t="str">
        <f t="shared" si="30"/>
        <v/>
      </c>
      <c r="AX771" s="523" t="str">
        <f t="shared" si="31"/>
        <v/>
      </c>
      <c r="AY771" s="523" t="str">
        <f t="shared" si="32"/>
        <v/>
      </c>
      <c r="AZ771" s="523" t="str">
        <f t="shared" si="33"/>
        <v/>
      </c>
      <c r="BA771" s="523" t="str">
        <f t="shared" si="34"/>
        <v/>
      </c>
      <c r="BB771" s="523" t="str">
        <f t="shared" si="35"/>
        <v/>
      </c>
      <c r="BC771" s="523" t="str">
        <f t="shared" si="36"/>
        <v/>
      </c>
      <c r="BD771" s="523" t="str">
        <f t="shared" si="37"/>
        <v/>
      </c>
      <c r="BE771" s="523" t="str">
        <f t="shared" si="38"/>
        <v/>
      </c>
      <c r="BF771" s="523" t="str">
        <f t="shared" si="39"/>
        <v/>
      </c>
      <c r="BG771" s="523" t="str">
        <f t="shared" si="40"/>
        <v/>
      </c>
      <c r="BH771" s="523" t="str">
        <f t="shared" si="41"/>
        <v/>
      </c>
      <c r="BI771" s="523" t="str">
        <f t="shared" si="42"/>
        <v/>
      </c>
      <c r="BJ771" s="523" t="str">
        <f t="shared" si="43"/>
        <v/>
      </c>
      <c r="BK771" s="523" t="str">
        <f t="shared" si="44"/>
        <v/>
      </c>
      <c r="BL771" s="523" t="str">
        <f t="shared" si="45"/>
        <v/>
      </c>
      <c r="BM771" s="523" t="str">
        <f t="shared" si="46"/>
        <v/>
      </c>
      <c r="BN771" s="523" t="str">
        <f t="shared" si="47"/>
        <v/>
      </c>
      <c r="BO771" s="523" t="str">
        <f t="shared" si="48"/>
        <v/>
      </c>
      <c r="BP771" s="523" t="str">
        <f t="shared" si="49"/>
        <v/>
      </c>
      <c r="BQ771" s="523" t="str">
        <f t="shared" si="50"/>
        <v/>
      </c>
      <c r="BR771" s="523" t="str">
        <f t="shared" si="51"/>
        <v/>
      </c>
      <c r="BS771" s="523" t="str">
        <f t="shared" si="52"/>
        <v/>
      </c>
      <c r="BT771" s="523" t="str">
        <f t="shared" si="53"/>
        <v/>
      </c>
      <c r="BU771" s="523" t="str">
        <f t="shared" si="54"/>
        <v/>
      </c>
      <c r="BV771" s="523" t="str">
        <f t="shared" si="55"/>
        <v/>
      </c>
      <c r="BW771" s="523" t="str">
        <f t="shared" si="56"/>
        <v/>
      </c>
      <c r="BX771" s="523" t="str">
        <f t="shared" si="57"/>
        <v/>
      </c>
      <c r="BY771" s="523" t="str">
        <f t="shared" si="58"/>
        <v/>
      </c>
      <c r="BZ771" s="523" t="str">
        <f t="shared" si="59"/>
        <v/>
      </c>
      <c r="CA771" s="523" t="str">
        <f t="shared" si="60"/>
        <v/>
      </c>
      <c r="CB771" s="523" t="str">
        <f t="shared" si="61"/>
        <v/>
      </c>
      <c r="CC771" s="523" t="str">
        <f t="shared" si="62"/>
        <v/>
      </c>
      <c r="CD771" s="523" t="str">
        <f t="shared" si="63"/>
        <v/>
      </c>
      <c r="CE771" s="523" t="str">
        <f t="shared" si="64"/>
        <v/>
      </c>
      <c r="CF771" s="523" t="str">
        <f t="shared" si="65"/>
        <v/>
      </c>
      <c r="CG771" s="523" t="str">
        <f t="shared" si="66"/>
        <v/>
      </c>
      <c r="CH771" s="523">
        <f t="shared" si="67"/>
        <v>7332</v>
      </c>
      <c r="CI771" s="523" t="str">
        <f t="shared" si="68"/>
        <v/>
      </c>
      <c r="CJ771" s="523" t="str">
        <f t="shared" si="69"/>
        <v/>
      </c>
      <c r="CK771" s="523" t="str">
        <f t="shared" si="70"/>
        <v/>
      </c>
      <c r="CL771" s="523" t="str">
        <f t="shared" si="71"/>
        <v/>
      </c>
      <c r="CM771" s="523" t="str">
        <f t="shared" si="72"/>
        <v/>
      </c>
      <c r="CN771" s="523" t="str">
        <f t="shared" si="73"/>
        <v/>
      </c>
      <c r="CO771" s="523" t="str">
        <f t="shared" si="74"/>
        <v/>
      </c>
      <c r="CP771" s="523" t="str">
        <f t="shared" si="75"/>
        <v/>
      </c>
      <c r="CQ771" s="523" t="str">
        <f t="shared" si="76"/>
        <v/>
      </c>
      <c r="CR771" s="523" t="str">
        <f t="shared" si="77"/>
        <v/>
      </c>
      <c r="CS771" s="523" t="str">
        <f t="shared" si="78"/>
        <v/>
      </c>
      <c r="CT771" s="523" t="str">
        <f t="shared" si="79"/>
        <v/>
      </c>
      <c r="CU771" s="523" t="str">
        <f t="shared" si="80"/>
        <v/>
      </c>
      <c r="CV771" s="523" t="str">
        <f t="shared" si="81"/>
        <v/>
      </c>
      <c r="CW771" s="523" t="str">
        <f t="shared" si="82"/>
        <v/>
      </c>
      <c r="CX771" s="523" t="str">
        <f t="shared" si="83"/>
        <v/>
      </c>
      <c r="CY771" s="523" t="str">
        <f t="shared" si="84"/>
        <v/>
      </c>
      <c r="CZ771" s="523" t="str">
        <f t="shared" si="85"/>
        <v/>
      </c>
      <c r="DA771" s="523" t="str">
        <f t="shared" si="86"/>
        <v/>
      </c>
      <c r="DB771" s="523" t="str">
        <f t="shared" si="87"/>
        <v/>
      </c>
      <c r="DC771" s="523" t="str">
        <f t="shared" si="88"/>
        <v/>
      </c>
      <c r="DD771" s="523" t="str">
        <f t="shared" si="89"/>
        <v/>
      </c>
      <c r="DE771" s="523" t="str">
        <f t="shared" si="90"/>
        <v/>
      </c>
      <c r="DF771" s="523" t="str">
        <f t="shared" si="91"/>
        <v/>
      </c>
      <c r="DG771" s="523">
        <f t="shared" si="92"/>
        <v>6</v>
      </c>
      <c r="DH771" s="523" t="str">
        <f t="shared" si="93"/>
        <v/>
      </c>
      <c r="DI771" s="523" t="str">
        <f t="shared" si="94"/>
        <v/>
      </c>
      <c r="DJ771" s="523" t="str">
        <f t="shared" si="95"/>
        <v/>
      </c>
      <c r="DK771" s="523" t="str">
        <f t="shared" si="96"/>
        <v/>
      </c>
      <c r="DL771" s="523" t="str">
        <f t="shared" si="97"/>
        <v/>
      </c>
      <c r="DM771" s="523" t="str">
        <f t="shared" si="98"/>
        <v/>
      </c>
      <c r="DN771" s="523" t="str">
        <f t="shared" si="99"/>
        <v/>
      </c>
      <c r="DO771" s="523" t="str">
        <f t="shared" si="100"/>
        <v/>
      </c>
      <c r="DP771" s="523" t="str">
        <f t="shared" si="101"/>
        <v/>
      </c>
      <c r="DQ771" s="523" t="str">
        <f t="shared" si="102"/>
        <v/>
      </c>
      <c r="DR771" s="523" t="str">
        <f t="shared" si="103"/>
        <v/>
      </c>
      <c r="DS771" s="523" t="str">
        <f t="shared" si="104"/>
        <v/>
      </c>
      <c r="DT771" s="523" t="str">
        <f t="shared" si="105"/>
        <v/>
      </c>
      <c r="DU771" s="523" t="str">
        <f t="shared" si="106"/>
        <v/>
      </c>
      <c r="DV771" s="523" t="str">
        <f t="shared" si="107"/>
        <v/>
      </c>
      <c r="DW771" s="523" t="str">
        <f t="shared" si="108"/>
        <v/>
      </c>
      <c r="DX771" s="523" t="str">
        <f t="shared" si="109"/>
        <v/>
      </c>
      <c r="DY771" s="523" t="str">
        <f t="shared" si="110"/>
        <v/>
      </c>
      <c r="DZ771" s="523" t="str">
        <f t="shared" si="111"/>
        <v/>
      </c>
      <c r="EA771" s="523" t="str">
        <f t="shared" si="112"/>
        <v/>
      </c>
      <c r="EB771" s="523" t="str">
        <f t="shared" si="113"/>
        <v/>
      </c>
      <c r="EC771" s="523" t="str">
        <f t="shared" si="114"/>
        <v/>
      </c>
      <c r="ED771" s="523" t="str">
        <f t="shared" si="115"/>
        <v/>
      </c>
      <c r="EE771" s="523" t="str">
        <f t="shared" si="116"/>
        <v/>
      </c>
      <c r="EF771" s="523" t="str">
        <f t="shared" si="117"/>
        <v/>
      </c>
      <c r="EG771" s="523" t="str">
        <f t="shared" si="118"/>
        <v/>
      </c>
      <c r="EH771" s="523" t="str">
        <f t="shared" si="119"/>
        <v/>
      </c>
      <c r="EI771" s="523" t="str">
        <f t="shared" si="120"/>
        <v/>
      </c>
      <c r="EJ771" s="523" t="str">
        <f t="shared" si="121"/>
        <v/>
      </c>
      <c r="EK771" s="523" t="str">
        <f t="shared" si="122"/>
        <v/>
      </c>
      <c r="EL771" s="523" t="str">
        <f t="shared" si="123"/>
        <v/>
      </c>
      <c r="EM771" s="523" t="str">
        <f t="shared" si="124"/>
        <v/>
      </c>
      <c r="EN771" s="523" t="str">
        <f t="shared" si="125"/>
        <v/>
      </c>
      <c r="EO771" s="523" t="str">
        <f t="shared" si="126"/>
        <v/>
      </c>
      <c r="EP771" s="523" t="str">
        <f t="shared" si="127"/>
        <v/>
      </c>
      <c r="EQ771" s="523" t="str">
        <f t="shared" si="128"/>
        <v/>
      </c>
      <c r="ER771" s="523" t="str">
        <f t="shared" si="129"/>
        <v/>
      </c>
      <c r="ES771" s="523" t="str">
        <f t="shared" si="130"/>
        <v/>
      </c>
      <c r="ET771" s="523" t="str">
        <f t="shared" si="131"/>
        <v/>
      </c>
      <c r="EU771" s="523" t="str">
        <f t="shared" si="132"/>
        <v/>
      </c>
      <c r="EV771" s="523" t="str">
        <f t="shared" si="133"/>
        <v/>
      </c>
      <c r="EW771" s="3336" t="str">
        <f t="shared" si="134"/>
        <v/>
      </c>
      <c r="EX771" s="3336" t="str">
        <f t="shared" si="135"/>
        <v/>
      </c>
      <c r="EY771" s="3336" t="str">
        <f t="shared" si="136"/>
        <v/>
      </c>
      <c r="EZ771" s="3336">
        <f t="shared" si="137"/>
        <v>6</v>
      </c>
      <c r="FA771" s="3336" t="str">
        <f t="shared" si="138"/>
        <v/>
      </c>
      <c r="FB771" s="3336" t="str">
        <f t="shared" si="139"/>
        <v/>
      </c>
      <c r="FC771" s="3336" t="str">
        <f t="shared" si="140"/>
        <v/>
      </c>
      <c r="FD771" s="3336" t="str">
        <f t="shared" si="141"/>
        <v/>
      </c>
      <c r="FE771" s="3336" t="str">
        <f t="shared" si="142"/>
        <v/>
      </c>
      <c r="FF771" s="3336" t="str">
        <f t="shared" si="143"/>
        <v/>
      </c>
      <c r="FG771" s="3336" t="str">
        <f t="shared" si="144"/>
        <v/>
      </c>
      <c r="FH771" s="3336" t="str">
        <f t="shared" si="145"/>
        <v/>
      </c>
      <c r="FI771" s="3336" t="str">
        <f t="shared" si="146"/>
        <v/>
      </c>
      <c r="FJ771" s="3336" t="str">
        <f t="shared" si="147"/>
        <v/>
      </c>
      <c r="FK771" s="3336" t="str">
        <f t="shared" si="148"/>
        <v/>
      </c>
      <c r="FL771" s="3336" t="str">
        <f t="shared" si="149"/>
        <v/>
      </c>
      <c r="FM771" s="3336" t="str">
        <f t="shared" si="150"/>
        <v/>
      </c>
      <c r="FN771" s="3336" t="str">
        <f t="shared" si="151"/>
        <v/>
      </c>
      <c r="FO771" s="3336" t="str">
        <f t="shared" si="152"/>
        <v/>
      </c>
      <c r="FP771" s="3336" t="str">
        <f t="shared" si="153"/>
        <v/>
      </c>
      <c r="FQ771" s="3336" t="str">
        <f t="shared" si="154"/>
        <v/>
      </c>
      <c r="FR771" s="3336" t="str">
        <f t="shared" si="155"/>
        <v/>
      </c>
      <c r="FS771" s="3336" t="str">
        <f t="shared" si="156"/>
        <v/>
      </c>
      <c r="FT771" s="3336" t="str">
        <f t="shared" si="157"/>
        <v/>
      </c>
      <c r="FU771" s="3336" t="str">
        <f t="shared" si="158"/>
        <v/>
      </c>
      <c r="FV771" s="3336" t="str">
        <f t="shared" si="159"/>
        <v/>
      </c>
      <c r="FW771" s="3336" t="str">
        <f t="shared" si="160"/>
        <v/>
      </c>
      <c r="FX771" s="3336" t="str">
        <f t="shared" si="161"/>
        <v/>
      </c>
      <c r="FY771" s="3336" t="str">
        <f t="shared" si="162"/>
        <v/>
      </c>
      <c r="FZ771" s="3336" t="str">
        <f t="shared" si="163"/>
        <v/>
      </c>
      <c r="GA771" s="3336" t="str">
        <f t="shared" si="164"/>
        <v/>
      </c>
      <c r="GB771" s="3336" t="str">
        <f t="shared" si="165"/>
        <v/>
      </c>
      <c r="GC771" s="3336" t="str">
        <f t="shared" si="166"/>
        <v/>
      </c>
      <c r="GD771" s="3336" t="str">
        <f t="shared" si="167"/>
        <v/>
      </c>
      <c r="GE771" s="3336" t="str">
        <f t="shared" si="168"/>
        <v/>
      </c>
      <c r="GF771" s="3336" t="str">
        <f t="shared" si="169"/>
        <v/>
      </c>
      <c r="GG771" s="3336" t="str">
        <f t="shared" si="170"/>
        <v/>
      </c>
      <c r="GH771" s="3336" t="str">
        <f t="shared" si="171"/>
        <v/>
      </c>
      <c r="GI771" s="3336" t="str">
        <f t="shared" si="172"/>
        <v/>
      </c>
      <c r="GJ771" s="3336" t="str">
        <f t="shared" si="173"/>
        <v/>
      </c>
      <c r="GK771" s="3336" t="str">
        <f t="shared" si="174"/>
        <v/>
      </c>
      <c r="GL771" s="3336" t="str">
        <f t="shared" si="175"/>
        <v/>
      </c>
      <c r="GM771" s="3336" t="str">
        <f t="shared" si="176"/>
        <v/>
      </c>
      <c r="GN771" s="3336" t="str">
        <f t="shared" si="177"/>
        <v/>
      </c>
      <c r="GO771" s="3336" t="str">
        <f t="shared" si="178"/>
        <v/>
      </c>
      <c r="GP771" s="3336" t="str">
        <f t="shared" si="179"/>
        <v/>
      </c>
      <c r="GQ771" s="3336" t="str">
        <f t="shared" si="180"/>
        <v/>
      </c>
      <c r="GR771" s="3336" t="str">
        <f t="shared" si="181"/>
        <v/>
      </c>
      <c r="GS771" s="3336" t="str">
        <f t="shared" si="182"/>
        <v/>
      </c>
      <c r="GT771" s="3336" t="str">
        <f t="shared" si="183"/>
        <v/>
      </c>
      <c r="GU771" s="3336" t="str">
        <f t="shared" si="184"/>
        <v/>
      </c>
      <c r="GV771" s="3336" t="str">
        <f t="shared" si="185"/>
        <v/>
      </c>
      <c r="GW771" s="3336" t="str">
        <f t="shared" si="186"/>
        <v/>
      </c>
      <c r="GX771" s="3336" t="str">
        <f t="shared" si="187"/>
        <v/>
      </c>
      <c r="GY771" s="3336" t="str">
        <f t="shared" si="188"/>
        <v/>
      </c>
      <c r="GZ771" s="3336" t="str">
        <f t="shared" si="189"/>
        <v/>
      </c>
      <c r="HA771" s="3336" t="str">
        <f t="shared" si="190"/>
        <v/>
      </c>
      <c r="HB771" s="3336" t="str">
        <f t="shared" si="191"/>
        <v/>
      </c>
      <c r="HC771" s="3336" t="str">
        <f t="shared" si="192"/>
        <v/>
      </c>
      <c r="HD771" s="3336" t="str">
        <f t="shared" si="193"/>
        <v/>
      </c>
      <c r="HE771" s="3336" t="str">
        <f t="shared" si="194"/>
        <v/>
      </c>
      <c r="HF771" s="3336" t="str">
        <f t="shared" si="195"/>
        <v/>
      </c>
      <c r="HG771" s="3336" t="str">
        <f t="shared" si="196"/>
        <v/>
      </c>
      <c r="HH771" s="3336" t="str">
        <f t="shared" si="197"/>
        <v/>
      </c>
      <c r="HI771" s="3336" t="str">
        <f t="shared" si="198"/>
        <v/>
      </c>
      <c r="HJ771" s="3336" t="str">
        <f t="shared" si="199"/>
        <v/>
      </c>
      <c r="HK771" s="3336" t="str">
        <f t="shared" si="200"/>
        <v/>
      </c>
      <c r="HL771" s="3336" t="str">
        <f t="shared" si="201"/>
        <v/>
      </c>
      <c r="HM771" s="3336">
        <f t="shared" si="202"/>
        <v>6</v>
      </c>
      <c r="HN771" s="3336" t="str">
        <f t="shared" si="203"/>
        <v/>
      </c>
      <c r="HO771" s="3336" t="str">
        <f t="shared" si="204"/>
        <v/>
      </c>
      <c r="HP771" s="3336" t="str">
        <f t="shared" si="205"/>
        <v/>
      </c>
      <c r="HQ771" s="3336" t="str">
        <f t="shared" si="206"/>
        <v/>
      </c>
      <c r="HR771" s="3336" t="str">
        <f t="shared" si="207"/>
        <v/>
      </c>
      <c r="HS771" s="3336" t="str">
        <f t="shared" si="208"/>
        <v/>
      </c>
      <c r="HT771" s="3336" t="str">
        <f t="shared" si="209"/>
        <v/>
      </c>
      <c r="HU771" s="3336" t="str">
        <f t="shared" si="210"/>
        <v/>
      </c>
      <c r="HV771" s="3336" t="str">
        <f t="shared" si="211"/>
        <v/>
      </c>
      <c r="HW771" s="3336" t="str">
        <f t="shared" si="212"/>
        <v/>
      </c>
      <c r="HX771" s="3336" t="str">
        <f t="shared" si="213"/>
        <v/>
      </c>
      <c r="HY771" s="3336" t="str">
        <f t="shared" si="214"/>
        <v/>
      </c>
      <c r="HZ771" s="3336" t="str">
        <f t="shared" si="215"/>
        <v/>
      </c>
      <c r="IA771" s="3336" t="str">
        <f t="shared" si="216"/>
        <v/>
      </c>
      <c r="IB771" s="3336" t="str">
        <f t="shared" si="217"/>
        <v/>
      </c>
      <c r="IC771" s="3336" t="str">
        <f t="shared" si="218"/>
        <v/>
      </c>
      <c r="ID771" s="3308" t="str">
        <f t="shared" si="219"/>
        <v/>
      </c>
      <c r="IE771" s="3308" t="str">
        <f t="shared" si="220"/>
        <v/>
      </c>
      <c r="IF771" s="3308" t="str">
        <f t="shared" si="221"/>
        <v/>
      </c>
      <c r="IG771" s="3308" t="str">
        <f t="shared" si="222"/>
        <v/>
      </c>
      <c r="IH771" s="3308" t="str">
        <f t="shared" si="223"/>
        <v/>
      </c>
      <c r="II771" s="523" t="str">
        <f t="shared" si="224"/>
        <v/>
      </c>
      <c r="IJ771" s="523" t="str">
        <f t="shared" si="225"/>
        <v/>
      </c>
      <c r="IK771" s="523" t="str">
        <f t="shared" si="226"/>
        <v/>
      </c>
      <c r="IL771" s="523" t="str">
        <f t="shared" si="227"/>
        <v/>
      </c>
      <c r="IM771" s="523" t="str">
        <f t="shared" si="228"/>
        <v/>
      </c>
      <c r="IN771" s="523" t="str">
        <f t="shared" si="229"/>
        <v/>
      </c>
      <c r="IO771" s="523" t="str">
        <f t="shared" si="230"/>
        <v/>
      </c>
      <c r="IP771" s="523" t="str">
        <f t="shared" si="231"/>
        <v/>
      </c>
      <c r="IQ771" s="523" t="str">
        <f t="shared" si="232"/>
        <v/>
      </c>
      <c r="IR771" s="523" t="str">
        <f t="shared" si="233"/>
        <v/>
      </c>
      <c r="IS771" s="523" t="str">
        <f t="shared" si="234"/>
        <v/>
      </c>
      <c r="IT771" s="523" t="str">
        <f t="shared" si="235"/>
        <v/>
      </c>
      <c r="IU771" s="523" t="str">
        <f t="shared" si="236"/>
        <v/>
      </c>
      <c r="IV771" s="523" t="str">
        <f t="shared" si="237"/>
        <v/>
      </c>
      <c r="IW771" s="523" t="str">
        <f t="shared" si="238"/>
        <v/>
      </c>
      <c r="IX771" s="523" t="str">
        <f t="shared" si="239"/>
        <v/>
      </c>
      <c r="IY771" s="523" t="str">
        <f t="shared" si="240"/>
        <v/>
      </c>
      <c r="IZ771" s="523" t="str">
        <f t="shared" si="241"/>
        <v/>
      </c>
      <c r="JA771" s="523" t="str">
        <f t="shared" si="242"/>
        <v/>
      </c>
      <c r="JB771" s="523" t="str">
        <f t="shared" si="243"/>
        <v/>
      </c>
      <c r="JC771" s="3306">
        <f t="shared" si="244"/>
        <v>0</v>
      </c>
      <c r="JD771" s="3306">
        <f t="shared" si="245"/>
        <v>0</v>
      </c>
      <c r="JE771" s="3306">
        <f t="shared" si="246"/>
        <v>0</v>
      </c>
      <c r="JF771" s="3306">
        <f t="shared" si="247"/>
        <v>0</v>
      </c>
      <c r="JG771" s="3306">
        <f t="shared" si="248"/>
        <v>0</v>
      </c>
      <c r="JH771" s="3306">
        <f t="shared" si="249"/>
        <v>0</v>
      </c>
      <c r="JI771" s="3306">
        <f t="shared" si="250"/>
        <v>0</v>
      </c>
      <c r="JJ771" s="3306">
        <f t="shared" si="251"/>
        <v>0</v>
      </c>
      <c r="JK771" s="3306">
        <f t="shared" si="252"/>
        <v>6</v>
      </c>
      <c r="JL771" s="3306">
        <f t="shared" si="253"/>
        <v>0</v>
      </c>
      <c r="JM771" s="3306">
        <f t="shared" si="254"/>
        <v>0</v>
      </c>
      <c r="JN771" s="3306">
        <f t="shared" si="255"/>
        <v>0</v>
      </c>
      <c r="JO771" s="3306">
        <f t="shared" si="256"/>
        <v>0</v>
      </c>
      <c r="JP771" s="3306">
        <f t="shared" si="257"/>
        <v>0</v>
      </c>
      <c r="JQ771" s="3306">
        <f t="shared" si="258"/>
        <v>0</v>
      </c>
    </row>
    <row r="772" spans="1:277" ht="12" customHeight="1">
      <c r="A772" s="3319" t="str">
        <f t="shared" si="1"/>
        <v/>
      </c>
      <c r="B772" s="3328" t="str">
        <f>'Part VI-Revenues &amp; Expenses'!B15</f>
        <v>60% AMI</v>
      </c>
      <c r="C772" s="3329">
        <f>'Part VI-Revenues &amp; Expenses'!C15</f>
        <v>3</v>
      </c>
      <c r="D772" s="3330">
        <f>'Part VI-Revenues &amp; Expenses'!D15</f>
        <v>2</v>
      </c>
      <c r="E772" s="3331">
        <f>'Part VI-Revenues &amp; Expenses'!E15</f>
        <v>17</v>
      </c>
      <c r="F772" s="3331">
        <f>'Part VI-Revenues &amp; Expenses'!F15</f>
        <v>1222</v>
      </c>
      <c r="G772" s="3331">
        <f>'Part VI-Revenues &amp; Expenses'!G15</f>
        <v>1087</v>
      </c>
      <c r="H772" s="3331">
        <f>'Part VI-Revenues &amp; Expenses'!H15</f>
        <v>1027</v>
      </c>
      <c r="I772" s="3331">
        <f>'Part VI-Revenues &amp; Expenses'!I15</f>
        <v>161</v>
      </c>
      <c r="J772" s="3332">
        <f>'Part VI-Revenues &amp; Expenses'!J15</f>
        <v>0</v>
      </c>
      <c r="K772" s="3333">
        <f t="shared" si="2"/>
        <v>866</v>
      </c>
      <c r="L772" s="3333">
        <f t="shared" si="3"/>
        <v>14722</v>
      </c>
      <c r="M772" s="3207" t="str">
        <f>'Part VI-Revenues &amp; Expenses'!M15</f>
        <v>No</v>
      </c>
      <c r="N772" s="3207" t="str">
        <f>'Part VI-Revenues &amp; Expenses'!N15</f>
        <v>2-Story Walkup</v>
      </c>
      <c r="O772" s="3207" t="str">
        <f>'Part VI-Revenues &amp; Expenses'!O15</f>
        <v>New Construction</v>
      </c>
      <c r="P772" s="3313" t="str">
        <f>'Part VI-Revenues &amp; Expenses'!P15</f>
        <v>No</v>
      </c>
      <c r="Q772" s="3334">
        <f>'Part VI-Revenues &amp; Expenses'!Q15</f>
        <v>41080</v>
      </c>
      <c r="R772" s="3335">
        <f>'Part VI-Revenues &amp; Expenses'!R15</f>
        <v>0.56671449067431856</v>
      </c>
      <c r="S772" s="3334">
        <f>'Part VI-Revenues &amp; Expenses'!S15</f>
        <v>0</v>
      </c>
      <c r="T772" s="3335">
        <f>'Part VI-Revenues &amp; Expenses'!T15</f>
        <v>0</v>
      </c>
      <c r="U772" s="3257"/>
      <c r="V772" s="3257"/>
      <c r="W772" s="523" t="str">
        <f t="shared" si="4"/>
        <v/>
      </c>
      <c r="X772" s="523" t="str">
        <f t="shared" si="5"/>
        <v/>
      </c>
      <c r="Y772" s="523" t="str">
        <f t="shared" si="6"/>
        <v/>
      </c>
      <c r="Z772" s="523">
        <f t="shared" si="7"/>
        <v>17</v>
      </c>
      <c r="AA772" s="523" t="str">
        <f t="shared" si="8"/>
        <v/>
      </c>
      <c r="AB772" s="523" t="str">
        <f t="shared" si="9"/>
        <v/>
      </c>
      <c r="AC772" s="523" t="str">
        <f t="shared" si="10"/>
        <v/>
      </c>
      <c r="AD772" s="523" t="str">
        <f t="shared" si="11"/>
        <v/>
      </c>
      <c r="AE772" s="523" t="str">
        <f t="shared" si="12"/>
        <v/>
      </c>
      <c r="AF772" s="523" t="str">
        <f t="shared" si="13"/>
        <v/>
      </c>
      <c r="AG772" s="523" t="str">
        <f t="shared" si="14"/>
        <v/>
      </c>
      <c r="AH772" s="523" t="str">
        <f t="shared" si="15"/>
        <v/>
      </c>
      <c r="AI772" s="523" t="str">
        <f t="shared" si="16"/>
        <v/>
      </c>
      <c r="AJ772" s="523" t="str">
        <f t="shared" si="17"/>
        <v/>
      </c>
      <c r="AK772" s="523" t="str">
        <f t="shared" si="18"/>
        <v/>
      </c>
      <c r="AL772" s="523" t="str">
        <f t="shared" si="19"/>
        <v/>
      </c>
      <c r="AM772" s="523" t="str">
        <f t="shared" si="20"/>
        <v/>
      </c>
      <c r="AN772" s="523" t="str">
        <f t="shared" si="21"/>
        <v/>
      </c>
      <c r="AO772" s="523" t="str">
        <f t="shared" si="22"/>
        <v/>
      </c>
      <c r="AP772" s="523" t="str">
        <f t="shared" si="23"/>
        <v/>
      </c>
      <c r="AQ772" s="523" t="str">
        <f t="shared" si="24"/>
        <v/>
      </c>
      <c r="AR772" s="523" t="str">
        <f t="shared" si="25"/>
        <v/>
      </c>
      <c r="AS772" s="523" t="str">
        <f t="shared" si="26"/>
        <v/>
      </c>
      <c r="AT772" s="523" t="str">
        <f t="shared" si="27"/>
        <v/>
      </c>
      <c r="AU772" s="523" t="str">
        <f t="shared" si="28"/>
        <v/>
      </c>
      <c r="AV772" s="523" t="str">
        <f t="shared" si="29"/>
        <v/>
      </c>
      <c r="AW772" s="523" t="str">
        <f t="shared" si="30"/>
        <v/>
      </c>
      <c r="AX772" s="523" t="str">
        <f t="shared" si="31"/>
        <v/>
      </c>
      <c r="AY772" s="523" t="str">
        <f t="shared" si="32"/>
        <v/>
      </c>
      <c r="AZ772" s="523" t="str">
        <f t="shared" si="33"/>
        <v/>
      </c>
      <c r="BA772" s="523" t="str">
        <f t="shared" si="34"/>
        <v/>
      </c>
      <c r="BB772" s="523" t="str">
        <f t="shared" si="35"/>
        <v/>
      </c>
      <c r="BC772" s="523" t="str">
        <f t="shared" si="36"/>
        <v/>
      </c>
      <c r="BD772" s="523" t="str">
        <f t="shared" si="37"/>
        <v/>
      </c>
      <c r="BE772" s="523" t="str">
        <f t="shared" si="38"/>
        <v/>
      </c>
      <c r="BF772" s="523" t="str">
        <f t="shared" si="39"/>
        <v/>
      </c>
      <c r="BG772" s="523" t="str">
        <f t="shared" si="40"/>
        <v/>
      </c>
      <c r="BH772" s="523" t="str">
        <f t="shared" si="41"/>
        <v/>
      </c>
      <c r="BI772" s="523" t="str">
        <f t="shared" si="42"/>
        <v/>
      </c>
      <c r="BJ772" s="523" t="str">
        <f t="shared" si="43"/>
        <v/>
      </c>
      <c r="BK772" s="523" t="str">
        <f t="shared" si="44"/>
        <v/>
      </c>
      <c r="BL772" s="523" t="str">
        <f t="shared" si="45"/>
        <v/>
      </c>
      <c r="BM772" s="523" t="str">
        <f t="shared" si="46"/>
        <v/>
      </c>
      <c r="BN772" s="523" t="str">
        <f t="shared" si="47"/>
        <v/>
      </c>
      <c r="BO772" s="523" t="str">
        <f t="shared" si="48"/>
        <v/>
      </c>
      <c r="BP772" s="523" t="str">
        <f t="shared" si="49"/>
        <v/>
      </c>
      <c r="BQ772" s="523" t="str">
        <f t="shared" si="50"/>
        <v/>
      </c>
      <c r="BR772" s="523" t="str">
        <f t="shared" si="51"/>
        <v/>
      </c>
      <c r="BS772" s="523" t="str">
        <f t="shared" si="52"/>
        <v/>
      </c>
      <c r="BT772" s="523" t="str">
        <f t="shared" si="53"/>
        <v/>
      </c>
      <c r="BU772" s="523" t="str">
        <f t="shared" si="54"/>
        <v/>
      </c>
      <c r="BV772" s="523" t="str">
        <f t="shared" si="55"/>
        <v/>
      </c>
      <c r="BW772" s="523" t="str">
        <f t="shared" si="56"/>
        <v/>
      </c>
      <c r="BX772" s="523" t="str">
        <f t="shared" si="57"/>
        <v/>
      </c>
      <c r="BY772" s="523" t="str">
        <f t="shared" si="58"/>
        <v/>
      </c>
      <c r="BZ772" s="523" t="str">
        <f t="shared" si="59"/>
        <v/>
      </c>
      <c r="CA772" s="523" t="str">
        <f t="shared" si="60"/>
        <v/>
      </c>
      <c r="CB772" s="523" t="str">
        <f t="shared" si="61"/>
        <v/>
      </c>
      <c r="CC772" s="523">
        <f t="shared" si="62"/>
        <v>20774</v>
      </c>
      <c r="CD772" s="523" t="str">
        <f t="shared" si="63"/>
        <v/>
      </c>
      <c r="CE772" s="523" t="str">
        <f t="shared" si="64"/>
        <v/>
      </c>
      <c r="CF772" s="523" t="str">
        <f t="shared" si="65"/>
        <v/>
      </c>
      <c r="CG772" s="523" t="str">
        <f t="shared" si="66"/>
        <v/>
      </c>
      <c r="CH772" s="523" t="str">
        <f t="shared" si="67"/>
        <v/>
      </c>
      <c r="CI772" s="523" t="str">
        <f t="shared" si="68"/>
        <v/>
      </c>
      <c r="CJ772" s="523" t="str">
        <f t="shared" si="69"/>
        <v/>
      </c>
      <c r="CK772" s="523" t="str">
        <f t="shared" si="70"/>
        <v/>
      </c>
      <c r="CL772" s="523" t="str">
        <f t="shared" si="71"/>
        <v/>
      </c>
      <c r="CM772" s="523" t="str">
        <f t="shared" si="72"/>
        <v/>
      </c>
      <c r="CN772" s="523" t="str">
        <f t="shared" si="73"/>
        <v/>
      </c>
      <c r="CO772" s="523" t="str">
        <f t="shared" si="74"/>
        <v/>
      </c>
      <c r="CP772" s="523" t="str">
        <f t="shared" si="75"/>
        <v/>
      </c>
      <c r="CQ772" s="523" t="str">
        <f t="shared" si="76"/>
        <v/>
      </c>
      <c r="CR772" s="523" t="str">
        <f t="shared" si="77"/>
        <v/>
      </c>
      <c r="CS772" s="523" t="str">
        <f t="shared" si="78"/>
        <v/>
      </c>
      <c r="CT772" s="523" t="str">
        <f t="shared" si="79"/>
        <v/>
      </c>
      <c r="CU772" s="523" t="str">
        <f t="shared" si="80"/>
        <v/>
      </c>
      <c r="CV772" s="523" t="str">
        <f t="shared" si="81"/>
        <v/>
      </c>
      <c r="CW772" s="523" t="str">
        <f t="shared" si="82"/>
        <v/>
      </c>
      <c r="CX772" s="523" t="str">
        <f t="shared" si="83"/>
        <v/>
      </c>
      <c r="CY772" s="523" t="str">
        <f t="shared" si="84"/>
        <v/>
      </c>
      <c r="CZ772" s="523" t="str">
        <f t="shared" si="85"/>
        <v/>
      </c>
      <c r="DA772" s="523" t="str">
        <f t="shared" si="86"/>
        <v/>
      </c>
      <c r="DB772" s="523" t="str">
        <f t="shared" si="87"/>
        <v/>
      </c>
      <c r="DC772" s="523" t="str">
        <f t="shared" si="88"/>
        <v/>
      </c>
      <c r="DD772" s="523" t="str">
        <f t="shared" si="89"/>
        <v/>
      </c>
      <c r="DE772" s="523" t="str">
        <f t="shared" si="90"/>
        <v/>
      </c>
      <c r="DF772" s="523" t="str">
        <f t="shared" si="91"/>
        <v/>
      </c>
      <c r="DG772" s="523">
        <f t="shared" si="92"/>
        <v>17</v>
      </c>
      <c r="DH772" s="523" t="str">
        <f t="shared" si="93"/>
        <v/>
      </c>
      <c r="DI772" s="523" t="str">
        <f t="shared" si="94"/>
        <v/>
      </c>
      <c r="DJ772" s="523" t="str">
        <f t="shared" si="95"/>
        <v/>
      </c>
      <c r="DK772" s="523" t="str">
        <f t="shared" si="96"/>
        <v/>
      </c>
      <c r="DL772" s="523" t="str">
        <f t="shared" si="97"/>
        <v/>
      </c>
      <c r="DM772" s="523" t="str">
        <f t="shared" si="98"/>
        <v/>
      </c>
      <c r="DN772" s="523" t="str">
        <f t="shared" si="99"/>
        <v/>
      </c>
      <c r="DO772" s="523" t="str">
        <f t="shared" si="100"/>
        <v/>
      </c>
      <c r="DP772" s="523" t="str">
        <f t="shared" si="101"/>
        <v/>
      </c>
      <c r="DQ772" s="523" t="str">
        <f t="shared" si="102"/>
        <v/>
      </c>
      <c r="DR772" s="523" t="str">
        <f t="shared" si="103"/>
        <v/>
      </c>
      <c r="DS772" s="523" t="str">
        <f t="shared" si="104"/>
        <v/>
      </c>
      <c r="DT772" s="523" t="str">
        <f t="shared" si="105"/>
        <v/>
      </c>
      <c r="DU772" s="523" t="str">
        <f t="shared" si="106"/>
        <v/>
      </c>
      <c r="DV772" s="523" t="str">
        <f t="shared" si="107"/>
        <v/>
      </c>
      <c r="DW772" s="523" t="str">
        <f t="shared" si="108"/>
        <v/>
      </c>
      <c r="DX772" s="523" t="str">
        <f t="shared" si="109"/>
        <v/>
      </c>
      <c r="DY772" s="523" t="str">
        <f t="shared" si="110"/>
        <v/>
      </c>
      <c r="DZ772" s="523" t="str">
        <f t="shared" si="111"/>
        <v/>
      </c>
      <c r="EA772" s="523" t="str">
        <f t="shared" si="112"/>
        <v/>
      </c>
      <c r="EB772" s="523" t="str">
        <f t="shared" si="113"/>
        <v/>
      </c>
      <c r="EC772" s="523" t="str">
        <f t="shared" si="114"/>
        <v/>
      </c>
      <c r="ED772" s="523" t="str">
        <f t="shared" si="115"/>
        <v/>
      </c>
      <c r="EE772" s="523" t="str">
        <f t="shared" si="116"/>
        <v/>
      </c>
      <c r="EF772" s="523" t="str">
        <f t="shared" si="117"/>
        <v/>
      </c>
      <c r="EG772" s="523" t="str">
        <f t="shared" si="118"/>
        <v/>
      </c>
      <c r="EH772" s="523" t="str">
        <f t="shared" si="119"/>
        <v/>
      </c>
      <c r="EI772" s="523" t="str">
        <f t="shared" si="120"/>
        <v/>
      </c>
      <c r="EJ772" s="523" t="str">
        <f t="shared" si="121"/>
        <v/>
      </c>
      <c r="EK772" s="523" t="str">
        <f t="shared" si="122"/>
        <v/>
      </c>
      <c r="EL772" s="523" t="str">
        <f t="shared" si="123"/>
        <v/>
      </c>
      <c r="EM772" s="523" t="str">
        <f t="shared" si="124"/>
        <v/>
      </c>
      <c r="EN772" s="523" t="str">
        <f t="shared" si="125"/>
        <v/>
      </c>
      <c r="EO772" s="523" t="str">
        <f t="shared" si="126"/>
        <v/>
      </c>
      <c r="EP772" s="523" t="str">
        <f t="shared" si="127"/>
        <v/>
      </c>
      <c r="EQ772" s="523" t="str">
        <f t="shared" si="128"/>
        <v/>
      </c>
      <c r="ER772" s="523" t="str">
        <f t="shared" si="129"/>
        <v/>
      </c>
      <c r="ES772" s="523" t="str">
        <f t="shared" si="130"/>
        <v/>
      </c>
      <c r="ET772" s="523" t="str">
        <f t="shared" si="131"/>
        <v/>
      </c>
      <c r="EU772" s="523" t="str">
        <f t="shared" si="132"/>
        <v/>
      </c>
      <c r="EV772" s="523" t="str">
        <f t="shared" si="133"/>
        <v/>
      </c>
      <c r="EW772" s="3336" t="str">
        <f t="shared" si="134"/>
        <v/>
      </c>
      <c r="EX772" s="3336" t="str">
        <f t="shared" si="135"/>
        <v/>
      </c>
      <c r="EY772" s="3336" t="str">
        <f t="shared" si="136"/>
        <v/>
      </c>
      <c r="EZ772" s="3336">
        <f t="shared" si="137"/>
        <v>17</v>
      </c>
      <c r="FA772" s="3336" t="str">
        <f t="shared" si="138"/>
        <v/>
      </c>
      <c r="FB772" s="3336" t="str">
        <f t="shared" si="139"/>
        <v/>
      </c>
      <c r="FC772" s="3336" t="str">
        <f t="shared" si="140"/>
        <v/>
      </c>
      <c r="FD772" s="3336" t="str">
        <f t="shared" si="141"/>
        <v/>
      </c>
      <c r="FE772" s="3336" t="str">
        <f t="shared" si="142"/>
        <v/>
      </c>
      <c r="FF772" s="3336" t="str">
        <f t="shared" si="143"/>
        <v/>
      </c>
      <c r="FG772" s="3336" t="str">
        <f t="shared" si="144"/>
        <v/>
      </c>
      <c r="FH772" s="3336" t="str">
        <f t="shared" si="145"/>
        <v/>
      </c>
      <c r="FI772" s="3336" t="str">
        <f t="shared" si="146"/>
        <v/>
      </c>
      <c r="FJ772" s="3336" t="str">
        <f t="shared" si="147"/>
        <v/>
      </c>
      <c r="FK772" s="3336" t="str">
        <f t="shared" si="148"/>
        <v/>
      </c>
      <c r="FL772" s="3336" t="str">
        <f t="shared" si="149"/>
        <v/>
      </c>
      <c r="FM772" s="3336" t="str">
        <f t="shared" si="150"/>
        <v/>
      </c>
      <c r="FN772" s="3336" t="str">
        <f t="shared" si="151"/>
        <v/>
      </c>
      <c r="FO772" s="3336" t="str">
        <f t="shared" si="152"/>
        <v/>
      </c>
      <c r="FP772" s="3336" t="str">
        <f t="shared" si="153"/>
        <v/>
      </c>
      <c r="FQ772" s="3336" t="str">
        <f t="shared" si="154"/>
        <v/>
      </c>
      <c r="FR772" s="3336" t="str">
        <f t="shared" si="155"/>
        <v/>
      </c>
      <c r="FS772" s="3336" t="str">
        <f t="shared" si="156"/>
        <v/>
      </c>
      <c r="FT772" s="3336" t="str">
        <f t="shared" si="157"/>
        <v/>
      </c>
      <c r="FU772" s="3336" t="str">
        <f t="shared" si="158"/>
        <v/>
      </c>
      <c r="FV772" s="3336" t="str">
        <f t="shared" si="159"/>
        <v/>
      </c>
      <c r="FW772" s="3336" t="str">
        <f t="shared" si="160"/>
        <v/>
      </c>
      <c r="FX772" s="3336" t="str">
        <f t="shared" si="161"/>
        <v/>
      </c>
      <c r="FY772" s="3336" t="str">
        <f t="shared" si="162"/>
        <v/>
      </c>
      <c r="FZ772" s="3336" t="str">
        <f t="shared" si="163"/>
        <v/>
      </c>
      <c r="GA772" s="3336" t="str">
        <f t="shared" si="164"/>
        <v/>
      </c>
      <c r="GB772" s="3336" t="str">
        <f t="shared" si="165"/>
        <v/>
      </c>
      <c r="GC772" s="3336" t="str">
        <f t="shared" si="166"/>
        <v/>
      </c>
      <c r="GD772" s="3336" t="str">
        <f t="shared" si="167"/>
        <v/>
      </c>
      <c r="GE772" s="3336" t="str">
        <f t="shared" si="168"/>
        <v/>
      </c>
      <c r="GF772" s="3336" t="str">
        <f t="shared" si="169"/>
        <v/>
      </c>
      <c r="GG772" s="3336" t="str">
        <f t="shared" si="170"/>
        <v/>
      </c>
      <c r="GH772" s="3336" t="str">
        <f t="shared" si="171"/>
        <v/>
      </c>
      <c r="GI772" s="3336" t="str">
        <f t="shared" si="172"/>
        <v/>
      </c>
      <c r="GJ772" s="3336" t="str">
        <f t="shared" si="173"/>
        <v/>
      </c>
      <c r="GK772" s="3336" t="str">
        <f t="shared" si="174"/>
        <v/>
      </c>
      <c r="GL772" s="3336" t="str">
        <f t="shared" si="175"/>
        <v/>
      </c>
      <c r="GM772" s="3336" t="str">
        <f t="shared" si="176"/>
        <v/>
      </c>
      <c r="GN772" s="3336" t="str">
        <f t="shared" si="177"/>
        <v/>
      </c>
      <c r="GO772" s="3336" t="str">
        <f t="shared" si="178"/>
        <v/>
      </c>
      <c r="GP772" s="3336" t="str">
        <f t="shared" si="179"/>
        <v/>
      </c>
      <c r="GQ772" s="3336" t="str">
        <f t="shared" si="180"/>
        <v/>
      </c>
      <c r="GR772" s="3336" t="str">
        <f t="shared" si="181"/>
        <v/>
      </c>
      <c r="GS772" s="3336" t="str">
        <f t="shared" si="182"/>
        <v/>
      </c>
      <c r="GT772" s="3336" t="str">
        <f t="shared" si="183"/>
        <v/>
      </c>
      <c r="GU772" s="3336" t="str">
        <f t="shared" si="184"/>
        <v/>
      </c>
      <c r="GV772" s="3336" t="str">
        <f t="shared" si="185"/>
        <v/>
      </c>
      <c r="GW772" s="3336" t="str">
        <f t="shared" si="186"/>
        <v/>
      </c>
      <c r="GX772" s="3336" t="str">
        <f t="shared" si="187"/>
        <v/>
      </c>
      <c r="GY772" s="3336" t="str">
        <f t="shared" si="188"/>
        <v/>
      </c>
      <c r="GZ772" s="3336" t="str">
        <f t="shared" si="189"/>
        <v/>
      </c>
      <c r="HA772" s="3336" t="str">
        <f t="shared" si="190"/>
        <v/>
      </c>
      <c r="HB772" s="3336" t="str">
        <f t="shared" si="191"/>
        <v/>
      </c>
      <c r="HC772" s="3336" t="str">
        <f t="shared" si="192"/>
        <v/>
      </c>
      <c r="HD772" s="3336" t="str">
        <f t="shared" si="193"/>
        <v/>
      </c>
      <c r="HE772" s="3336" t="str">
        <f t="shared" si="194"/>
        <v/>
      </c>
      <c r="HF772" s="3336" t="str">
        <f t="shared" si="195"/>
        <v/>
      </c>
      <c r="HG772" s="3336" t="str">
        <f t="shared" si="196"/>
        <v/>
      </c>
      <c r="HH772" s="3336" t="str">
        <f t="shared" si="197"/>
        <v/>
      </c>
      <c r="HI772" s="3336" t="str">
        <f t="shared" si="198"/>
        <v/>
      </c>
      <c r="HJ772" s="3336" t="str">
        <f t="shared" si="199"/>
        <v/>
      </c>
      <c r="HK772" s="3336" t="str">
        <f t="shared" si="200"/>
        <v/>
      </c>
      <c r="HL772" s="3336" t="str">
        <f t="shared" si="201"/>
        <v/>
      </c>
      <c r="HM772" s="3336">
        <f t="shared" si="202"/>
        <v>17</v>
      </c>
      <c r="HN772" s="3336" t="str">
        <f t="shared" si="203"/>
        <v/>
      </c>
      <c r="HO772" s="3336" t="str">
        <f t="shared" si="204"/>
        <v/>
      </c>
      <c r="HP772" s="3336" t="str">
        <f t="shared" si="205"/>
        <v/>
      </c>
      <c r="HQ772" s="3336" t="str">
        <f t="shared" si="206"/>
        <v/>
      </c>
      <c r="HR772" s="3336" t="str">
        <f t="shared" si="207"/>
        <v/>
      </c>
      <c r="HS772" s="3336" t="str">
        <f t="shared" si="208"/>
        <v/>
      </c>
      <c r="HT772" s="3336" t="str">
        <f t="shared" si="209"/>
        <v/>
      </c>
      <c r="HU772" s="3336" t="str">
        <f t="shared" si="210"/>
        <v/>
      </c>
      <c r="HV772" s="3336" t="str">
        <f t="shared" si="211"/>
        <v/>
      </c>
      <c r="HW772" s="3336" t="str">
        <f t="shared" si="212"/>
        <v/>
      </c>
      <c r="HX772" s="3336" t="str">
        <f t="shared" si="213"/>
        <v/>
      </c>
      <c r="HY772" s="3336" t="str">
        <f t="shared" si="214"/>
        <v/>
      </c>
      <c r="HZ772" s="3336" t="str">
        <f t="shared" si="215"/>
        <v/>
      </c>
      <c r="IA772" s="3336" t="str">
        <f t="shared" si="216"/>
        <v/>
      </c>
      <c r="IB772" s="3336" t="str">
        <f t="shared" si="217"/>
        <v/>
      </c>
      <c r="IC772" s="3336" t="str">
        <f t="shared" si="218"/>
        <v/>
      </c>
      <c r="ID772" s="3308" t="str">
        <f t="shared" si="219"/>
        <v/>
      </c>
      <c r="IE772" s="3308" t="str">
        <f t="shared" si="220"/>
        <v/>
      </c>
      <c r="IF772" s="3308" t="str">
        <f t="shared" si="221"/>
        <v/>
      </c>
      <c r="IG772" s="3308" t="str">
        <f t="shared" si="222"/>
        <v/>
      </c>
      <c r="IH772" s="3308" t="str">
        <f t="shared" si="223"/>
        <v/>
      </c>
      <c r="II772" s="523" t="str">
        <f t="shared" si="224"/>
        <v/>
      </c>
      <c r="IJ772" s="523" t="str">
        <f t="shared" si="225"/>
        <v/>
      </c>
      <c r="IK772" s="523" t="str">
        <f t="shared" si="226"/>
        <v/>
      </c>
      <c r="IL772" s="523" t="str">
        <f t="shared" si="227"/>
        <v/>
      </c>
      <c r="IM772" s="523" t="str">
        <f t="shared" si="228"/>
        <v/>
      </c>
      <c r="IN772" s="523" t="str">
        <f t="shared" si="229"/>
        <v/>
      </c>
      <c r="IO772" s="523" t="str">
        <f t="shared" si="230"/>
        <v/>
      </c>
      <c r="IP772" s="523" t="str">
        <f t="shared" si="231"/>
        <v/>
      </c>
      <c r="IQ772" s="523" t="str">
        <f t="shared" si="232"/>
        <v/>
      </c>
      <c r="IR772" s="523" t="str">
        <f t="shared" si="233"/>
        <v/>
      </c>
      <c r="IS772" s="523" t="str">
        <f t="shared" si="234"/>
        <v/>
      </c>
      <c r="IT772" s="523" t="str">
        <f t="shared" si="235"/>
        <v/>
      </c>
      <c r="IU772" s="523" t="str">
        <f t="shared" si="236"/>
        <v/>
      </c>
      <c r="IV772" s="523" t="str">
        <f t="shared" si="237"/>
        <v/>
      </c>
      <c r="IW772" s="523" t="str">
        <f t="shared" si="238"/>
        <v/>
      </c>
      <c r="IX772" s="523" t="str">
        <f t="shared" si="239"/>
        <v/>
      </c>
      <c r="IY772" s="523" t="str">
        <f t="shared" si="240"/>
        <v/>
      </c>
      <c r="IZ772" s="523" t="str">
        <f t="shared" si="241"/>
        <v/>
      </c>
      <c r="JA772" s="523" t="str">
        <f t="shared" si="242"/>
        <v/>
      </c>
      <c r="JB772" s="523" t="str">
        <f t="shared" si="243"/>
        <v/>
      </c>
      <c r="JC772" s="3306">
        <f t="shared" si="244"/>
        <v>0</v>
      </c>
      <c r="JD772" s="3306">
        <f t="shared" si="245"/>
        <v>0</v>
      </c>
      <c r="JE772" s="3306">
        <f t="shared" si="246"/>
        <v>0</v>
      </c>
      <c r="JF772" s="3306">
        <f t="shared" si="247"/>
        <v>0</v>
      </c>
      <c r="JG772" s="3306">
        <f t="shared" si="248"/>
        <v>0</v>
      </c>
      <c r="JH772" s="3306">
        <f t="shared" si="249"/>
        <v>0</v>
      </c>
      <c r="JI772" s="3306">
        <f t="shared" si="250"/>
        <v>0</v>
      </c>
      <c r="JJ772" s="3306">
        <f t="shared" si="251"/>
        <v>0</v>
      </c>
      <c r="JK772" s="3306">
        <f t="shared" si="252"/>
        <v>17</v>
      </c>
      <c r="JL772" s="3306">
        <f t="shared" si="253"/>
        <v>0</v>
      </c>
      <c r="JM772" s="3306">
        <f t="shared" si="254"/>
        <v>0</v>
      </c>
      <c r="JN772" s="3306">
        <f t="shared" si="255"/>
        <v>0</v>
      </c>
      <c r="JO772" s="3306">
        <f t="shared" si="256"/>
        <v>0</v>
      </c>
      <c r="JP772" s="3306">
        <f t="shared" si="257"/>
        <v>0</v>
      </c>
      <c r="JQ772" s="3306">
        <f t="shared" si="258"/>
        <v>0</v>
      </c>
    </row>
    <row r="773" spans="1:277" ht="12" customHeight="1">
      <c r="A773" s="3319" t="str">
        <f t="shared" si="1"/>
        <v/>
      </c>
      <c r="B773" s="3328" t="str">
        <f>'Part VI-Revenues &amp; Expenses'!B16</f>
        <v>N/A-CS</v>
      </c>
      <c r="C773" s="3329">
        <f>'Part VI-Revenues &amp; Expenses'!C16</f>
        <v>3</v>
      </c>
      <c r="D773" s="3330">
        <f>'Part VI-Revenues &amp; Expenses'!D16</f>
        <v>2</v>
      </c>
      <c r="E773" s="3331">
        <f>'Part VI-Revenues &amp; Expenses'!E16</f>
        <v>2</v>
      </c>
      <c r="F773" s="3331">
        <f>'Part VI-Revenues &amp; Expenses'!F16</f>
        <v>1222</v>
      </c>
      <c r="G773" s="3331">
        <f>'Part VI-Revenues &amp; Expenses'!G16</f>
        <v>0</v>
      </c>
      <c r="H773" s="3331">
        <f>'Part VI-Revenues &amp; Expenses'!H16</f>
        <v>0</v>
      </c>
      <c r="I773" s="3331">
        <f>'Part VI-Revenues &amp; Expenses'!I16</f>
        <v>161</v>
      </c>
      <c r="J773" s="3332">
        <f>'Part VI-Revenues &amp; Expenses'!J16</f>
        <v>0</v>
      </c>
      <c r="K773" s="3333">
        <f t="shared" si="2"/>
        <v>0</v>
      </c>
      <c r="L773" s="3333">
        <f t="shared" si="3"/>
        <v>0</v>
      </c>
      <c r="M773" s="3207" t="str">
        <f>'Part VI-Revenues &amp; Expenses'!M16</f>
        <v>Common Space</v>
      </c>
      <c r="N773" s="3207" t="str">
        <f>'Part VI-Revenues &amp; Expenses'!N16</f>
        <v>2-Story Walkup</v>
      </c>
      <c r="O773" s="3207" t="str">
        <f>'Part VI-Revenues &amp; Expenses'!O16</f>
        <v>New Construction</v>
      </c>
      <c r="P773" s="3313" t="str">
        <f>'Part VI-Revenues &amp; Expenses'!P16</f>
        <v>No</v>
      </c>
      <c r="Q773" s="3334">
        <f>'Part VI-Revenues &amp; Expenses'!Q16</f>
        <v>0</v>
      </c>
      <c r="R773" s="3335">
        <f>'Part VI-Revenues &amp; Expenses'!R16</f>
        <v>0</v>
      </c>
      <c r="S773" s="3334">
        <f>'Part VI-Revenues &amp; Expenses'!S16</f>
        <v>0</v>
      </c>
      <c r="T773" s="3335">
        <f>'Part VI-Revenues &amp; Expenses'!T16</f>
        <v>0</v>
      </c>
      <c r="U773" s="3257"/>
      <c r="V773" s="3257"/>
      <c r="W773" s="523" t="str">
        <f t="shared" si="4"/>
        <v/>
      </c>
      <c r="X773" s="523" t="str">
        <f t="shared" si="5"/>
        <v/>
      </c>
      <c r="Y773" s="523" t="str">
        <f t="shared" si="6"/>
        <v/>
      </c>
      <c r="Z773" s="523" t="str">
        <f t="shared" si="7"/>
        <v/>
      </c>
      <c r="AA773" s="523" t="str">
        <f t="shared" si="8"/>
        <v/>
      </c>
      <c r="AB773" s="523" t="str">
        <f t="shared" si="9"/>
        <v/>
      </c>
      <c r="AC773" s="523" t="str">
        <f t="shared" si="10"/>
        <v/>
      </c>
      <c r="AD773" s="523" t="str">
        <f t="shared" si="11"/>
        <v/>
      </c>
      <c r="AE773" s="523" t="str">
        <f t="shared" si="12"/>
        <v/>
      </c>
      <c r="AF773" s="523" t="str">
        <f t="shared" si="13"/>
        <v/>
      </c>
      <c r="AG773" s="523" t="str">
        <f t="shared" si="14"/>
        <v/>
      </c>
      <c r="AH773" s="523" t="str">
        <f t="shared" si="15"/>
        <v/>
      </c>
      <c r="AI773" s="523" t="str">
        <f t="shared" si="16"/>
        <v/>
      </c>
      <c r="AJ773" s="523" t="str">
        <f t="shared" si="17"/>
        <v/>
      </c>
      <c r="AK773" s="523" t="str">
        <f t="shared" si="18"/>
        <v/>
      </c>
      <c r="AL773" s="523" t="str">
        <f t="shared" si="19"/>
        <v/>
      </c>
      <c r="AM773" s="523" t="str">
        <f t="shared" si="20"/>
        <v/>
      </c>
      <c r="AN773" s="523" t="str">
        <f t="shared" si="21"/>
        <v/>
      </c>
      <c r="AO773" s="523" t="str">
        <f t="shared" si="22"/>
        <v/>
      </c>
      <c r="AP773" s="523" t="str">
        <f t="shared" si="23"/>
        <v/>
      </c>
      <c r="AQ773" s="523" t="str">
        <f t="shared" si="24"/>
        <v/>
      </c>
      <c r="AR773" s="523" t="str">
        <f t="shared" si="25"/>
        <v/>
      </c>
      <c r="AS773" s="523" t="str">
        <f t="shared" si="26"/>
        <v/>
      </c>
      <c r="AT773" s="523" t="str">
        <f t="shared" si="27"/>
        <v/>
      </c>
      <c r="AU773" s="523" t="str">
        <f t="shared" si="28"/>
        <v/>
      </c>
      <c r="AV773" s="523" t="str">
        <f t="shared" si="29"/>
        <v/>
      </c>
      <c r="AW773" s="523" t="str">
        <f t="shared" si="30"/>
        <v/>
      </c>
      <c r="AX773" s="523" t="str">
        <f t="shared" si="31"/>
        <v/>
      </c>
      <c r="AY773" s="523" t="str">
        <f t="shared" si="32"/>
        <v/>
      </c>
      <c r="AZ773" s="523" t="str">
        <f t="shared" si="33"/>
        <v/>
      </c>
      <c r="BA773" s="523" t="str">
        <f t="shared" si="34"/>
        <v/>
      </c>
      <c r="BB773" s="523" t="str">
        <f t="shared" si="35"/>
        <v/>
      </c>
      <c r="BC773" s="523" t="str">
        <f t="shared" si="36"/>
        <v/>
      </c>
      <c r="BD773" s="523" t="str">
        <f t="shared" si="37"/>
        <v/>
      </c>
      <c r="BE773" s="523" t="str">
        <f t="shared" si="38"/>
        <v/>
      </c>
      <c r="BF773" s="523" t="str">
        <f t="shared" si="39"/>
        <v/>
      </c>
      <c r="BG773" s="523" t="str">
        <f t="shared" si="40"/>
        <v/>
      </c>
      <c r="BH773" s="523" t="str">
        <f t="shared" si="41"/>
        <v/>
      </c>
      <c r="BI773" s="523" t="str">
        <f t="shared" si="42"/>
        <v/>
      </c>
      <c r="BJ773" s="523" t="str">
        <f t="shared" si="43"/>
        <v/>
      </c>
      <c r="BK773" s="523" t="str">
        <f t="shared" si="44"/>
        <v/>
      </c>
      <c r="BL773" s="523" t="str">
        <f t="shared" si="45"/>
        <v/>
      </c>
      <c r="BM773" s="523" t="str">
        <f t="shared" si="46"/>
        <v/>
      </c>
      <c r="BN773" s="523" t="str">
        <f t="shared" si="47"/>
        <v/>
      </c>
      <c r="BO773" s="523" t="str">
        <f t="shared" si="48"/>
        <v/>
      </c>
      <c r="BP773" s="523" t="str">
        <f t="shared" si="49"/>
        <v/>
      </c>
      <c r="BQ773" s="523" t="str">
        <f t="shared" si="50"/>
        <v/>
      </c>
      <c r="BR773" s="523" t="str">
        <f t="shared" si="51"/>
        <v/>
      </c>
      <c r="BS773" s="523" t="str">
        <f t="shared" si="52"/>
        <v/>
      </c>
      <c r="BT773" s="523" t="str">
        <f t="shared" si="53"/>
        <v/>
      </c>
      <c r="BU773" s="523" t="str">
        <f t="shared" si="54"/>
        <v/>
      </c>
      <c r="BV773" s="523" t="str">
        <f t="shared" si="55"/>
        <v/>
      </c>
      <c r="BW773" s="523" t="str">
        <f t="shared" si="56"/>
        <v/>
      </c>
      <c r="BX773" s="523">
        <f t="shared" si="57"/>
        <v>2</v>
      </c>
      <c r="BY773" s="523" t="str">
        <f t="shared" si="58"/>
        <v/>
      </c>
      <c r="BZ773" s="523" t="str">
        <f t="shared" si="59"/>
        <v/>
      </c>
      <c r="CA773" s="523" t="str">
        <f t="shared" si="60"/>
        <v/>
      </c>
      <c r="CB773" s="523" t="str">
        <f t="shared" si="61"/>
        <v/>
      </c>
      <c r="CC773" s="523" t="str">
        <f t="shared" si="62"/>
        <v/>
      </c>
      <c r="CD773" s="523" t="str">
        <f t="shared" si="63"/>
        <v/>
      </c>
      <c r="CE773" s="523" t="str">
        <f t="shared" si="64"/>
        <v/>
      </c>
      <c r="CF773" s="523" t="str">
        <f t="shared" si="65"/>
        <v/>
      </c>
      <c r="CG773" s="523" t="str">
        <f t="shared" si="66"/>
        <v/>
      </c>
      <c r="CH773" s="523" t="str">
        <f t="shared" si="67"/>
        <v/>
      </c>
      <c r="CI773" s="523" t="str">
        <f t="shared" si="68"/>
        <v/>
      </c>
      <c r="CJ773" s="523" t="str">
        <f t="shared" si="69"/>
        <v/>
      </c>
      <c r="CK773" s="523" t="str">
        <f t="shared" si="70"/>
        <v/>
      </c>
      <c r="CL773" s="523" t="str">
        <f t="shared" si="71"/>
        <v/>
      </c>
      <c r="CM773" s="523" t="str">
        <f t="shared" si="72"/>
        <v/>
      </c>
      <c r="CN773" s="523" t="str">
        <f t="shared" si="73"/>
        <v/>
      </c>
      <c r="CO773" s="523" t="str">
        <f t="shared" si="74"/>
        <v/>
      </c>
      <c r="CP773" s="523" t="str">
        <f t="shared" si="75"/>
        <v/>
      </c>
      <c r="CQ773" s="523" t="str">
        <f t="shared" si="76"/>
        <v/>
      </c>
      <c r="CR773" s="523" t="str">
        <f t="shared" si="77"/>
        <v/>
      </c>
      <c r="CS773" s="523" t="str">
        <f t="shared" si="78"/>
        <v/>
      </c>
      <c r="CT773" s="523" t="str">
        <f t="shared" si="79"/>
        <v/>
      </c>
      <c r="CU773" s="523" t="str">
        <f t="shared" si="80"/>
        <v/>
      </c>
      <c r="CV773" s="523" t="str">
        <f t="shared" si="81"/>
        <v/>
      </c>
      <c r="CW773" s="523" t="str">
        <f t="shared" si="82"/>
        <v/>
      </c>
      <c r="CX773" s="523" t="str">
        <f t="shared" si="83"/>
        <v/>
      </c>
      <c r="CY773" s="523" t="str">
        <f t="shared" si="84"/>
        <v/>
      </c>
      <c r="CZ773" s="523" t="str">
        <f t="shared" si="85"/>
        <v/>
      </c>
      <c r="DA773" s="523" t="str">
        <f t="shared" si="86"/>
        <v/>
      </c>
      <c r="DB773" s="523">
        <f t="shared" si="87"/>
        <v>2444</v>
      </c>
      <c r="DC773" s="523" t="str">
        <f t="shared" si="88"/>
        <v/>
      </c>
      <c r="DD773" s="523" t="str">
        <f t="shared" si="89"/>
        <v/>
      </c>
      <c r="DE773" s="523" t="str">
        <f t="shared" si="90"/>
        <v/>
      </c>
      <c r="DF773" s="523" t="str">
        <f t="shared" si="91"/>
        <v/>
      </c>
      <c r="DG773" s="523" t="str">
        <f t="shared" si="92"/>
        <v/>
      </c>
      <c r="DH773" s="523" t="str">
        <f t="shared" si="93"/>
        <v/>
      </c>
      <c r="DI773" s="523" t="str">
        <f t="shared" si="94"/>
        <v/>
      </c>
      <c r="DJ773" s="523" t="str">
        <f t="shared" si="95"/>
        <v/>
      </c>
      <c r="DK773" s="523" t="str">
        <f t="shared" si="96"/>
        <v/>
      </c>
      <c r="DL773" s="523" t="str">
        <f t="shared" si="97"/>
        <v/>
      </c>
      <c r="DM773" s="523" t="str">
        <f t="shared" si="98"/>
        <v/>
      </c>
      <c r="DN773" s="523" t="str">
        <f t="shared" si="99"/>
        <v/>
      </c>
      <c r="DO773" s="523" t="str">
        <f t="shared" si="100"/>
        <v/>
      </c>
      <c r="DP773" s="523" t="str">
        <f t="shared" si="101"/>
        <v/>
      </c>
      <c r="DQ773" s="523">
        <f t="shared" si="102"/>
        <v>2</v>
      </c>
      <c r="DR773" s="523" t="str">
        <f t="shared" si="103"/>
        <v/>
      </c>
      <c r="DS773" s="523" t="str">
        <f t="shared" si="104"/>
        <v/>
      </c>
      <c r="DT773" s="523" t="str">
        <f t="shared" si="105"/>
        <v/>
      </c>
      <c r="DU773" s="523" t="str">
        <f t="shared" si="106"/>
        <v/>
      </c>
      <c r="DV773" s="523" t="str">
        <f t="shared" si="107"/>
        <v/>
      </c>
      <c r="DW773" s="523" t="str">
        <f t="shared" si="108"/>
        <v/>
      </c>
      <c r="DX773" s="523" t="str">
        <f t="shared" si="109"/>
        <v/>
      </c>
      <c r="DY773" s="523" t="str">
        <f t="shared" si="110"/>
        <v/>
      </c>
      <c r="DZ773" s="523" t="str">
        <f t="shared" si="111"/>
        <v/>
      </c>
      <c r="EA773" s="523" t="str">
        <f t="shared" si="112"/>
        <v/>
      </c>
      <c r="EB773" s="523" t="str">
        <f t="shared" si="113"/>
        <v/>
      </c>
      <c r="EC773" s="523" t="str">
        <f t="shared" si="114"/>
        <v/>
      </c>
      <c r="ED773" s="523" t="str">
        <f t="shared" si="115"/>
        <v/>
      </c>
      <c r="EE773" s="523" t="str">
        <f t="shared" si="116"/>
        <v/>
      </c>
      <c r="EF773" s="523" t="str">
        <f t="shared" si="117"/>
        <v/>
      </c>
      <c r="EG773" s="523" t="str">
        <f t="shared" si="118"/>
        <v/>
      </c>
      <c r="EH773" s="523" t="str">
        <f t="shared" si="119"/>
        <v/>
      </c>
      <c r="EI773" s="523" t="str">
        <f t="shared" si="120"/>
        <v/>
      </c>
      <c r="EJ773" s="523" t="str">
        <f t="shared" si="121"/>
        <v/>
      </c>
      <c r="EK773" s="523" t="str">
        <f t="shared" si="122"/>
        <v/>
      </c>
      <c r="EL773" s="523" t="str">
        <f t="shared" si="123"/>
        <v/>
      </c>
      <c r="EM773" s="523" t="str">
        <f t="shared" si="124"/>
        <v/>
      </c>
      <c r="EN773" s="523" t="str">
        <f t="shared" si="125"/>
        <v/>
      </c>
      <c r="EO773" s="523" t="str">
        <f t="shared" si="126"/>
        <v/>
      </c>
      <c r="EP773" s="523" t="str">
        <f t="shared" si="127"/>
        <v/>
      </c>
      <c r="EQ773" s="523" t="str">
        <f t="shared" si="128"/>
        <v/>
      </c>
      <c r="ER773" s="523" t="str">
        <f t="shared" si="129"/>
        <v/>
      </c>
      <c r="ES773" s="523" t="str">
        <f t="shared" si="130"/>
        <v/>
      </c>
      <c r="ET773" s="523" t="str">
        <f t="shared" si="131"/>
        <v/>
      </c>
      <c r="EU773" s="523" t="str">
        <f t="shared" si="132"/>
        <v/>
      </c>
      <c r="EV773" s="523" t="str">
        <f t="shared" si="133"/>
        <v/>
      </c>
      <c r="EW773" s="3336" t="str">
        <f t="shared" si="134"/>
        <v/>
      </c>
      <c r="EX773" s="3336" t="str">
        <f t="shared" si="135"/>
        <v/>
      </c>
      <c r="EY773" s="3336" t="str">
        <f t="shared" si="136"/>
        <v/>
      </c>
      <c r="EZ773" s="3336">
        <f t="shared" si="137"/>
        <v>2</v>
      </c>
      <c r="FA773" s="3336" t="str">
        <f t="shared" si="138"/>
        <v/>
      </c>
      <c r="FB773" s="3336" t="str">
        <f t="shared" si="139"/>
        <v/>
      </c>
      <c r="FC773" s="3336" t="str">
        <f t="shared" si="140"/>
        <v/>
      </c>
      <c r="FD773" s="3336" t="str">
        <f t="shared" si="141"/>
        <v/>
      </c>
      <c r="FE773" s="3336" t="str">
        <f t="shared" si="142"/>
        <v/>
      </c>
      <c r="FF773" s="3336" t="str">
        <f t="shared" si="143"/>
        <v/>
      </c>
      <c r="FG773" s="3336" t="str">
        <f t="shared" si="144"/>
        <v/>
      </c>
      <c r="FH773" s="3336" t="str">
        <f t="shared" si="145"/>
        <v/>
      </c>
      <c r="FI773" s="3336" t="str">
        <f t="shared" si="146"/>
        <v/>
      </c>
      <c r="FJ773" s="3336" t="str">
        <f t="shared" si="147"/>
        <v/>
      </c>
      <c r="FK773" s="3336" t="str">
        <f t="shared" si="148"/>
        <v/>
      </c>
      <c r="FL773" s="3336" t="str">
        <f t="shared" si="149"/>
        <v/>
      </c>
      <c r="FM773" s="3336" t="str">
        <f t="shared" si="150"/>
        <v/>
      </c>
      <c r="FN773" s="3336" t="str">
        <f t="shared" si="151"/>
        <v/>
      </c>
      <c r="FO773" s="3336" t="str">
        <f t="shared" si="152"/>
        <v/>
      </c>
      <c r="FP773" s="3336" t="str">
        <f t="shared" si="153"/>
        <v/>
      </c>
      <c r="FQ773" s="3336" t="str">
        <f t="shared" si="154"/>
        <v/>
      </c>
      <c r="FR773" s="3336" t="str">
        <f t="shared" si="155"/>
        <v/>
      </c>
      <c r="FS773" s="3336" t="str">
        <f t="shared" si="156"/>
        <v/>
      </c>
      <c r="FT773" s="3336" t="str">
        <f t="shared" si="157"/>
        <v/>
      </c>
      <c r="FU773" s="3336" t="str">
        <f t="shared" si="158"/>
        <v/>
      </c>
      <c r="FV773" s="3336" t="str">
        <f t="shared" si="159"/>
        <v/>
      </c>
      <c r="FW773" s="3336" t="str">
        <f t="shared" si="160"/>
        <v/>
      </c>
      <c r="FX773" s="3336" t="str">
        <f t="shared" si="161"/>
        <v/>
      </c>
      <c r="FY773" s="3336" t="str">
        <f t="shared" si="162"/>
        <v/>
      </c>
      <c r="FZ773" s="3336" t="str">
        <f t="shared" si="163"/>
        <v/>
      </c>
      <c r="GA773" s="3336" t="str">
        <f t="shared" si="164"/>
        <v/>
      </c>
      <c r="GB773" s="3336" t="str">
        <f t="shared" si="165"/>
        <v/>
      </c>
      <c r="GC773" s="3336" t="str">
        <f t="shared" si="166"/>
        <v/>
      </c>
      <c r="GD773" s="3336" t="str">
        <f t="shared" si="167"/>
        <v/>
      </c>
      <c r="GE773" s="3336" t="str">
        <f t="shared" si="168"/>
        <v/>
      </c>
      <c r="GF773" s="3336" t="str">
        <f t="shared" si="169"/>
        <v/>
      </c>
      <c r="GG773" s="3336" t="str">
        <f t="shared" si="170"/>
        <v/>
      </c>
      <c r="GH773" s="3336" t="str">
        <f t="shared" si="171"/>
        <v/>
      </c>
      <c r="GI773" s="3336" t="str">
        <f t="shared" si="172"/>
        <v/>
      </c>
      <c r="GJ773" s="3336" t="str">
        <f t="shared" si="173"/>
        <v/>
      </c>
      <c r="GK773" s="3336" t="str">
        <f t="shared" si="174"/>
        <v/>
      </c>
      <c r="GL773" s="3336" t="str">
        <f t="shared" si="175"/>
        <v/>
      </c>
      <c r="GM773" s="3336" t="str">
        <f t="shared" si="176"/>
        <v/>
      </c>
      <c r="GN773" s="3336" t="str">
        <f t="shared" si="177"/>
        <v/>
      </c>
      <c r="GO773" s="3336" t="str">
        <f t="shared" si="178"/>
        <v/>
      </c>
      <c r="GP773" s="3336" t="str">
        <f t="shared" si="179"/>
        <v/>
      </c>
      <c r="GQ773" s="3336" t="str">
        <f t="shared" si="180"/>
        <v/>
      </c>
      <c r="GR773" s="3336" t="str">
        <f t="shared" si="181"/>
        <v/>
      </c>
      <c r="GS773" s="3336" t="str">
        <f t="shared" si="182"/>
        <v/>
      </c>
      <c r="GT773" s="3336" t="str">
        <f t="shared" si="183"/>
        <v/>
      </c>
      <c r="GU773" s="3336" t="str">
        <f t="shared" si="184"/>
        <v/>
      </c>
      <c r="GV773" s="3336" t="str">
        <f t="shared" si="185"/>
        <v/>
      </c>
      <c r="GW773" s="3336" t="str">
        <f t="shared" si="186"/>
        <v/>
      </c>
      <c r="GX773" s="3336" t="str">
        <f t="shared" si="187"/>
        <v/>
      </c>
      <c r="GY773" s="3336" t="str">
        <f t="shared" si="188"/>
        <v/>
      </c>
      <c r="GZ773" s="3336" t="str">
        <f t="shared" si="189"/>
        <v/>
      </c>
      <c r="HA773" s="3336" t="str">
        <f t="shared" si="190"/>
        <v/>
      </c>
      <c r="HB773" s="3336" t="str">
        <f t="shared" si="191"/>
        <v/>
      </c>
      <c r="HC773" s="3336" t="str">
        <f t="shared" si="192"/>
        <v/>
      </c>
      <c r="HD773" s="3336" t="str">
        <f t="shared" si="193"/>
        <v/>
      </c>
      <c r="HE773" s="3336" t="str">
        <f t="shared" si="194"/>
        <v/>
      </c>
      <c r="HF773" s="3336" t="str">
        <f t="shared" si="195"/>
        <v/>
      </c>
      <c r="HG773" s="3336" t="str">
        <f t="shared" si="196"/>
        <v/>
      </c>
      <c r="HH773" s="3336" t="str">
        <f t="shared" si="197"/>
        <v/>
      </c>
      <c r="HI773" s="3336" t="str">
        <f t="shared" si="198"/>
        <v/>
      </c>
      <c r="HJ773" s="3336" t="str">
        <f t="shared" si="199"/>
        <v/>
      </c>
      <c r="HK773" s="3336" t="str">
        <f t="shared" si="200"/>
        <v/>
      </c>
      <c r="HL773" s="3336" t="str">
        <f t="shared" si="201"/>
        <v/>
      </c>
      <c r="HM773" s="3336">
        <f t="shared" si="202"/>
        <v>2</v>
      </c>
      <c r="HN773" s="3336" t="str">
        <f t="shared" si="203"/>
        <v/>
      </c>
      <c r="HO773" s="3336" t="str">
        <f t="shared" si="204"/>
        <v/>
      </c>
      <c r="HP773" s="3336" t="str">
        <f t="shared" si="205"/>
        <v/>
      </c>
      <c r="HQ773" s="3336" t="str">
        <f t="shared" si="206"/>
        <v/>
      </c>
      <c r="HR773" s="3336" t="str">
        <f t="shared" si="207"/>
        <v/>
      </c>
      <c r="HS773" s="3336" t="str">
        <f t="shared" si="208"/>
        <v/>
      </c>
      <c r="HT773" s="3336" t="str">
        <f t="shared" si="209"/>
        <v/>
      </c>
      <c r="HU773" s="3336" t="str">
        <f t="shared" si="210"/>
        <v/>
      </c>
      <c r="HV773" s="3336" t="str">
        <f t="shared" si="211"/>
        <v/>
      </c>
      <c r="HW773" s="3336" t="str">
        <f t="shared" si="212"/>
        <v/>
      </c>
      <c r="HX773" s="3336" t="str">
        <f t="shared" si="213"/>
        <v/>
      </c>
      <c r="HY773" s="3336" t="str">
        <f t="shared" si="214"/>
        <v/>
      </c>
      <c r="HZ773" s="3336" t="str">
        <f t="shared" si="215"/>
        <v/>
      </c>
      <c r="IA773" s="3336" t="str">
        <f t="shared" si="216"/>
        <v/>
      </c>
      <c r="IB773" s="3336" t="str">
        <f t="shared" si="217"/>
        <v/>
      </c>
      <c r="IC773" s="3336" t="str">
        <f t="shared" si="218"/>
        <v/>
      </c>
      <c r="ID773" s="3308" t="str">
        <f t="shared" si="219"/>
        <v/>
      </c>
      <c r="IE773" s="3308" t="str">
        <f t="shared" si="220"/>
        <v/>
      </c>
      <c r="IF773" s="3308" t="str">
        <f t="shared" si="221"/>
        <v/>
      </c>
      <c r="IG773" s="3308" t="str">
        <f t="shared" si="222"/>
        <v/>
      </c>
      <c r="IH773" s="3308" t="str">
        <f t="shared" si="223"/>
        <v/>
      </c>
      <c r="II773" s="523" t="str">
        <f t="shared" si="224"/>
        <v/>
      </c>
      <c r="IJ773" s="523" t="str">
        <f t="shared" si="225"/>
        <v/>
      </c>
      <c r="IK773" s="523" t="str">
        <f t="shared" si="226"/>
        <v/>
      </c>
      <c r="IL773" s="523" t="str">
        <f t="shared" si="227"/>
        <v/>
      </c>
      <c r="IM773" s="523" t="str">
        <f t="shared" si="228"/>
        <v/>
      </c>
      <c r="IN773" s="523" t="str">
        <f t="shared" si="229"/>
        <v/>
      </c>
      <c r="IO773" s="523" t="str">
        <f t="shared" si="230"/>
        <v/>
      </c>
      <c r="IP773" s="523" t="str">
        <f t="shared" si="231"/>
        <v/>
      </c>
      <c r="IQ773" s="523" t="str">
        <f t="shared" si="232"/>
        <v/>
      </c>
      <c r="IR773" s="523" t="str">
        <f t="shared" si="233"/>
        <v/>
      </c>
      <c r="IS773" s="523" t="str">
        <f t="shared" si="234"/>
        <v/>
      </c>
      <c r="IT773" s="523" t="str">
        <f t="shared" si="235"/>
        <v/>
      </c>
      <c r="IU773" s="523" t="str">
        <f t="shared" si="236"/>
        <v/>
      </c>
      <c r="IV773" s="523" t="str">
        <f t="shared" si="237"/>
        <v/>
      </c>
      <c r="IW773" s="523" t="str">
        <f t="shared" si="238"/>
        <v/>
      </c>
      <c r="IX773" s="523" t="str">
        <f t="shared" si="239"/>
        <v/>
      </c>
      <c r="IY773" s="523" t="str">
        <f t="shared" si="240"/>
        <v/>
      </c>
      <c r="IZ773" s="523" t="str">
        <f t="shared" si="241"/>
        <v/>
      </c>
      <c r="JA773" s="523" t="str">
        <f t="shared" si="242"/>
        <v/>
      </c>
      <c r="JB773" s="523" t="str">
        <f t="shared" si="243"/>
        <v/>
      </c>
      <c r="JC773" s="3306">
        <f t="shared" si="244"/>
        <v>0</v>
      </c>
      <c r="JD773" s="3306">
        <f t="shared" si="245"/>
        <v>0</v>
      </c>
      <c r="JE773" s="3306">
        <f t="shared" si="246"/>
        <v>0</v>
      </c>
      <c r="JF773" s="3306">
        <f t="shared" si="247"/>
        <v>0</v>
      </c>
      <c r="JG773" s="3306">
        <f t="shared" si="248"/>
        <v>0</v>
      </c>
      <c r="JH773" s="3306">
        <f t="shared" si="249"/>
        <v>0</v>
      </c>
      <c r="JI773" s="3306">
        <f t="shared" si="250"/>
        <v>0</v>
      </c>
      <c r="JJ773" s="3306">
        <f t="shared" si="251"/>
        <v>0</v>
      </c>
      <c r="JK773" s="3306">
        <f t="shared" si="252"/>
        <v>2</v>
      </c>
      <c r="JL773" s="3306">
        <f t="shared" si="253"/>
        <v>0</v>
      </c>
      <c r="JM773" s="3306">
        <f t="shared" si="254"/>
        <v>0</v>
      </c>
      <c r="JN773" s="3306">
        <f t="shared" si="255"/>
        <v>0</v>
      </c>
      <c r="JO773" s="3306">
        <f t="shared" si="256"/>
        <v>0</v>
      </c>
      <c r="JP773" s="3306">
        <f t="shared" si="257"/>
        <v>0</v>
      </c>
      <c r="JQ773" s="3306">
        <f t="shared" si="258"/>
        <v>0</v>
      </c>
    </row>
    <row r="774" spans="1:277" ht="12" customHeight="1">
      <c r="A774" s="3319" t="str">
        <f t="shared" si="1"/>
        <v/>
      </c>
      <c r="B774" s="3328" t="str">
        <f>'Part VI-Revenues &amp; Expenses'!B17</f>
        <v>Unrestricted</v>
      </c>
      <c r="C774" s="3329">
        <f>'Part VI-Revenues &amp; Expenses'!C17</f>
        <v>3</v>
      </c>
      <c r="D774" s="3330">
        <f>'Part VI-Revenues &amp; Expenses'!D17</f>
        <v>2</v>
      </c>
      <c r="E774" s="3331">
        <f>'Part VI-Revenues &amp; Expenses'!E17</f>
        <v>5</v>
      </c>
      <c r="F774" s="3331">
        <f>'Part VI-Revenues &amp; Expenses'!F17</f>
        <v>1222</v>
      </c>
      <c r="G774" s="3331">
        <f>'Part VI-Revenues &amp; Expenses'!G17</f>
        <v>1087</v>
      </c>
      <c r="H774" s="3331">
        <f>'Part VI-Revenues &amp; Expenses'!H17</f>
        <v>1027</v>
      </c>
      <c r="I774" s="3331">
        <f>'Part VI-Revenues &amp; Expenses'!I17</f>
        <v>161</v>
      </c>
      <c r="J774" s="3332">
        <f>'Part VI-Revenues &amp; Expenses'!J17</f>
        <v>0</v>
      </c>
      <c r="K774" s="3333">
        <f t="shared" si="2"/>
        <v>866</v>
      </c>
      <c r="L774" s="3333">
        <f t="shared" si="3"/>
        <v>4330</v>
      </c>
      <c r="M774" s="3207" t="str">
        <f>'Part VI-Revenues &amp; Expenses'!M17</f>
        <v>No</v>
      </c>
      <c r="N774" s="3207" t="str">
        <f>'Part VI-Revenues &amp; Expenses'!N17</f>
        <v>2-Story Walkup</v>
      </c>
      <c r="O774" s="3207" t="str">
        <f>'Part VI-Revenues &amp; Expenses'!O17</f>
        <v>New Construction</v>
      </c>
      <c r="P774" s="3313" t="str">
        <f>'Part VI-Revenues &amp; Expenses'!P17</f>
        <v>No</v>
      </c>
      <c r="Q774" s="3334">
        <f>'Part VI-Revenues &amp; Expenses'!Q17</f>
        <v>41080</v>
      </c>
      <c r="R774" s="3335">
        <f>'Part VI-Revenues &amp; Expenses'!R17</f>
        <v>0.56671449067431856</v>
      </c>
      <c r="S774" s="3334">
        <f>'Part VI-Revenues &amp; Expenses'!S17</f>
        <v>0</v>
      </c>
      <c r="T774" s="3335">
        <f>'Part VI-Revenues &amp; Expenses'!T17</f>
        <v>0</v>
      </c>
      <c r="U774" s="3257"/>
      <c r="V774" s="3257"/>
      <c r="W774" s="523" t="str">
        <f t="shared" si="4"/>
        <v/>
      </c>
      <c r="X774" s="523" t="str">
        <f t="shared" si="5"/>
        <v/>
      </c>
      <c r="Y774" s="523" t="str">
        <f t="shared" si="6"/>
        <v/>
      </c>
      <c r="Z774" s="523" t="str">
        <f t="shared" si="7"/>
        <v/>
      </c>
      <c r="AA774" s="523" t="str">
        <f t="shared" si="8"/>
        <v/>
      </c>
      <c r="AB774" s="523" t="str">
        <f t="shared" si="9"/>
        <v/>
      </c>
      <c r="AC774" s="523" t="str">
        <f t="shared" si="10"/>
        <v/>
      </c>
      <c r="AD774" s="523" t="str">
        <f t="shared" si="11"/>
        <v/>
      </c>
      <c r="AE774" s="523" t="str">
        <f t="shared" si="12"/>
        <v/>
      </c>
      <c r="AF774" s="523" t="str">
        <f t="shared" si="13"/>
        <v/>
      </c>
      <c r="AG774" s="523" t="str">
        <f t="shared" si="14"/>
        <v/>
      </c>
      <c r="AH774" s="523" t="str">
        <f t="shared" si="15"/>
        <v/>
      </c>
      <c r="AI774" s="523" t="str">
        <f t="shared" si="16"/>
        <v/>
      </c>
      <c r="AJ774" s="523" t="str">
        <f t="shared" si="17"/>
        <v/>
      </c>
      <c r="AK774" s="523" t="str">
        <f t="shared" si="18"/>
        <v/>
      </c>
      <c r="AL774" s="523" t="str">
        <f t="shared" si="19"/>
        <v/>
      </c>
      <c r="AM774" s="523" t="str">
        <f t="shared" si="20"/>
        <v/>
      </c>
      <c r="AN774" s="523" t="str">
        <f t="shared" si="21"/>
        <v/>
      </c>
      <c r="AO774" s="523">
        <f t="shared" si="22"/>
        <v>5</v>
      </c>
      <c r="AP774" s="523" t="str">
        <f t="shared" si="23"/>
        <v/>
      </c>
      <c r="AQ774" s="523" t="str">
        <f t="shared" si="24"/>
        <v/>
      </c>
      <c r="AR774" s="523" t="str">
        <f t="shared" si="25"/>
        <v/>
      </c>
      <c r="AS774" s="523" t="str">
        <f t="shared" si="26"/>
        <v/>
      </c>
      <c r="AT774" s="523" t="str">
        <f t="shared" si="27"/>
        <v/>
      </c>
      <c r="AU774" s="523" t="str">
        <f t="shared" si="28"/>
        <v/>
      </c>
      <c r="AV774" s="523" t="str">
        <f t="shared" si="29"/>
        <v/>
      </c>
      <c r="AW774" s="523" t="str">
        <f t="shared" si="30"/>
        <v/>
      </c>
      <c r="AX774" s="523" t="str">
        <f t="shared" si="31"/>
        <v/>
      </c>
      <c r="AY774" s="523" t="str">
        <f t="shared" si="32"/>
        <v/>
      </c>
      <c r="AZ774" s="523" t="str">
        <f t="shared" si="33"/>
        <v/>
      </c>
      <c r="BA774" s="523" t="str">
        <f t="shared" si="34"/>
        <v/>
      </c>
      <c r="BB774" s="523" t="str">
        <f t="shared" si="35"/>
        <v/>
      </c>
      <c r="BC774" s="523" t="str">
        <f t="shared" si="36"/>
        <v/>
      </c>
      <c r="BD774" s="523" t="str">
        <f t="shared" si="37"/>
        <v/>
      </c>
      <c r="BE774" s="523" t="str">
        <f t="shared" si="38"/>
        <v/>
      </c>
      <c r="BF774" s="523" t="str">
        <f t="shared" si="39"/>
        <v/>
      </c>
      <c r="BG774" s="523" t="str">
        <f t="shared" si="40"/>
        <v/>
      </c>
      <c r="BH774" s="523" t="str">
        <f t="shared" si="41"/>
        <v/>
      </c>
      <c r="BI774" s="523" t="str">
        <f t="shared" si="42"/>
        <v/>
      </c>
      <c r="BJ774" s="523" t="str">
        <f t="shared" si="43"/>
        <v/>
      </c>
      <c r="BK774" s="523" t="str">
        <f t="shared" si="44"/>
        <v/>
      </c>
      <c r="BL774" s="523" t="str">
        <f t="shared" si="45"/>
        <v/>
      </c>
      <c r="BM774" s="523" t="str">
        <f t="shared" si="46"/>
        <v/>
      </c>
      <c r="BN774" s="523" t="str">
        <f t="shared" si="47"/>
        <v/>
      </c>
      <c r="BO774" s="523" t="str">
        <f t="shared" si="48"/>
        <v/>
      </c>
      <c r="BP774" s="523" t="str">
        <f t="shared" si="49"/>
        <v/>
      </c>
      <c r="BQ774" s="523" t="str">
        <f t="shared" si="50"/>
        <v/>
      </c>
      <c r="BR774" s="523" t="str">
        <f t="shared" si="51"/>
        <v/>
      </c>
      <c r="BS774" s="523" t="str">
        <f t="shared" si="52"/>
        <v/>
      </c>
      <c r="BT774" s="523" t="str">
        <f t="shared" si="53"/>
        <v/>
      </c>
      <c r="BU774" s="523" t="str">
        <f t="shared" si="54"/>
        <v/>
      </c>
      <c r="BV774" s="523" t="str">
        <f t="shared" si="55"/>
        <v/>
      </c>
      <c r="BW774" s="523" t="str">
        <f t="shared" si="56"/>
        <v/>
      </c>
      <c r="BX774" s="523" t="str">
        <f t="shared" si="57"/>
        <v/>
      </c>
      <c r="BY774" s="523" t="str">
        <f t="shared" si="58"/>
        <v/>
      </c>
      <c r="BZ774" s="523" t="str">
        <f t="shared" si="59"/>
        <v/>
      </c>
      <c r="CA774" s="523" t="str">
        <f t="shared" si="60"/>
        <v/>
      </c>
      <c r="CB774" s="523" t="str">
        <f t="shared" si="61"/>
        <v/>
      </c>
      <c r="CC774" s="523" t="str">
        <f t="shared" si="62"/>
        <v/>
      </c>
      <c r="CD774" s="523" t="str">
        <f t="shared" si="63"/>
        <v/>
      </c>
      <c r="CE774" s="523" t="str">
        <f t="shared" si="64"/>
        <v/>
      </c>
      <c r="CF774" s="523" t="str">
        <f t="shared" si="65"/>
        <v/>
      </c>
      <c r="CG774" s="523" t="str">
        <f t="shared" si="66"/>
        <v/>
      </c>
      <c r="CH774" s="523" t="str">
        <f t="shared" si="67"/>
        <v/>
      </c>
      <c r="CI774" s="523" t="str">
        <f t="shared" si="68"/>
        <v/>
      </c>
      <c r="CJ774" s="523" t="str">
        <f t="shared" si="69"/>
        <v/>
      </c>
      <c r="CK774" s="523" t="str">
        <f t="shared" si="70"/>
        <v/>
      </c>
      <c r="CL774" s="523" t="str">
        <f t="shared" si="71"/>
        <v/>
      </c>
      <c r="CM774" s="523" t="str">
        <f t="shared" si="72"/>
        <v/>
      </c>
      <c r="CN774" s="523" t="str">
        <f t="shared" si="73"/>
        <v/>
      </c>
      <c r="CO774" s="523" t="str">
        <f t="shared" si="74"/>
        <v/>
      </c>
      <c r="CP774" s="523" t="str">
        <f t="shared" si="75"/>
        <v/>
      </c>
      <c r="CQ774" s="523" t="str">
        <f t="shared" si="76"/>
        <v/>
      </c>
      <c r="CR774" s="523">
        <f t="shared" si="77"/>
        <v>6110</v>
      </c>
      <c r="CS774" s="523" t="str">
        <f t="shared" si="78"/>
        <v/>
      </c>
      <c r="CT774" s="523" t="str">
        <f t="shared" si="79"/>
        <v/>
      </c>
      <c r="CU774" s="523" t="str">
        <f t="shared" si="80"/>
        <v/>
      </c>
      <c r="CV774" s="523" t="str">
        <f t="shared" si="81"/>
        <v/>
      </c>
      <c r="CW774" s="523" t="str">
        <f t="shared" si="82"/>
        <v/>
      </c>
      <c r="CX774" s="523" t="str">
        <f t="shared" si="83"/>
        <v/>
      </c>
      <c r="CY774" s="523" t="str">
        <f t="shared" si="84"/>
        <v/>
      </c>
      <c r="CZ774" s="523" t="str">
        <f t="shared" si="85"/>
        <v/>
      </c>
      <c r="DA774" s="523" t="str">
        <f t="shared" si="86"/>
        <v/>
      </c>
      <c r="DB774" s="523" t="str">
        <f t="shared" si="87"/>
        <v/>
      </c>
      <c r="DC774" s="523" t="str">
        <f t="shared" si="88"/>
        <v/>
      </c>
      <c r="DD774" s="523" t="str">
        <f t="shared" si="89"/>
        <v/>
      </c>
      <c r="DE774" s="523" t="str">
        <f t="shared" si="90"/>
        <v/>
      </c>
      <c r="DF774" s="523" t="str">
        <f t="shared" si="91"/>
        <v/>
      </c>
      <c r="DG774" s="523" t="str">
        <f t="shared" si="92"/>
        <v/>
      </c>
      <c r="DH774" s="523" t="str">
        <f t="shared" si="93"/>
        <v/>
      </c>
      <c r="DI774" s="523" t="str">
        <f t="shared" si="94"/>
        <v/>
      </c>
      <c r="DJ774" s="523" t="str">
        <f t="shared" si="95"/>
        <v/>
      </c>
      <c r="DK774" s="523" t="str">
        <f t="shared" si="96"/>
        <v/>
      </c>
      <c r="DL774" s="523">
        <f t="shared" si="97"/>
        <v>5</v>
      </c>
      <c r="DM774" s="523" t="str">
        <f t="shared" si="98"/>
        <v/>
      </c>
      <c r="DN774" s="523" t="str">
        <f t="shared" si="99"/>
        <v/>
      </c>
      <c r="DO774" s="523" t="str">
        <f t="shared" si="100"/>
        <v/>
      </c>
      <c r="DP774" s="523" t="str">
        <f t="shared" si="101"/>
        <v/>
      </c>
      <c r="DQ774" s="523" t="str">
        <f t="shared" si="102"/>
        <v/>
      </c>
      <c r="DR774" s="523" t="str">
        <f t="shared" si="103"/>
        <v/>
      </c>
      <c r="DS774" s="523" t="str">
        <f t="shared" si="104"/>
        <v/>
      </c>
      <c r="DT774" s="523" t="str">
        <f t="shared" si="105"/>
        <v/>
      </c>
      <c r="DU774" s="523" t="str">
        <f t="shared" si="106"/>
        <v/>
      </c>
      <c r="DV774" s="523" t="str">
        <f t="shared" si="107"/>
        <v/>
      </c>
      <c r="DW774" s="523" t="str">
        <f t="shared" si="108"/>
        <v/>
      </c>
      <c r="DX774" s="523" t="str">
        <f t="shared" si="109"/>
        <v/>
      </c>
      <c r="DY774" s="523" t="str">
        <f t="shared" si="110"/>
        <v/>
      </c>
      <c r="DZ774" s="523" t="str">
        <f t="shared" si="111"/>
        <v/>
      </c>
      <c r="EA774" s="523" t="str">
        <f t="shared" si="112"/>
        <v/>
      </c>
      <c r="EB774" s="523" t="str">
        <f t="shared" si="113"/>
        <v/>
      </c>
      <c r="EC774" s="523" t="str">
        <f t="shared" si="114"/>
        <v/>
      </c>
      <c r="ED774" s="523" t="str">
        <f t="shared" si="115"/>
        <v/>
      </c>
      <c r="EE774" s="523" t="str">
        <f t="shared" si="116"/>
        <v/>
      </c>
      <c r="EF774" s="523" t="str">
        <f t="shared" si="117"/>
        <v/>
      </c>
      <c r="EG774" s="523" t="str">
        <f t="shared" si="118"/>
        <v/>
      </c>
      <c r="EH774" s="523" t="str">
        <f t="shared" si="119"/>
        <v/>
      </c>
      <c r="EI774" s="523" t="str">
        <f t="shared" si="120"/>
        <v/>
      </c>
      <c r="EJ774" s="523" t="str">
        <f t="shared" si="121"/>
        <v/>
      </c>
      <c r="EK774" s="523" t="str">
        <f t="shared" si="122"/>
        <v/>
      </c>
      <c r="EL774" s="523" t="str">
        <f t="shared" si="123"/>
        <v/>
      </c>
      <c r="EM774" s="523" t="str">
        <f t="shared" si="124"/>
        <v/>
      </c>
      <c r="EN774" s="523" t="str">
        <f t="shared" si="125"/>
        <v/>
      </c>
      <c r="EO774" s="523" t="str">
        <f t="shared" si="126"/>
        <v/>
      </c>
      <c r="EP774" s="523" t="str">
        <f t="shared" si="127"/>
        <v/>
      </c>
      <c r="EQ774" s="523" t="str">
        <f t="shared" si="128"/>
        <v/>
      </c>
      <c r="ER774" s="523" t="str">
        <f t="shared" si="129"/>
        <v/>
      </c>
      <c r="ES774" s="523" t="str">
        <f t="shared" si="130"/>
        <v/>
      </c>
      <c r="ET774" s="523" t="str">
        <f t="shared" si="131"/>
        <v/>
      </c>
      <c r="EU774" s="523" t="str">
        <f t="shared" si="132"/>
        <v/>
      </c>
      <c r="EV774" s="523" t="str">
        <f t="shared" si="133"/>
        <v/>
      </c>
      <c r="EW774" s="3336" t="str">
        <f t="shared" si="134"/>
        <v/>
      </c>
      <c r="EX774" s="3336" t="str">
        <f t="shared" si="135"/>
        <v/>
      </c>
      <c r="EY774" s="3336" t="str">
        <f t="shared" si="136"/>
        <v/>
      </c>
      <c r="EZ774" s="3336">
        <f t="shared" si="137"/>
        <v>5</v>
      </c>
      <c r="FA774" s="3336" t="str">
        <f t="shared" si="138"/>
        <v/>
      </c>
      <c r="FB774" s="3336" t="str">
        <f t="shared" si="139"/>
        <v/>
      </c>
      <c r="FC774" s="3336" t="str">
        <f t="shared" si="140"/>
        <v/>
      </c>
      <c r="FD774" s="3336" t="str">
        <f t="shared" si="141"/>
        <v/>
      </c>
      <c r="FE774" s="3336" t="str">
        <f t="shared" si="142"/>
        <v/>
      </c>
      <c r="FF774" s="3336" t="str">
        <f t="shared" si="143"/>
        <v/>
      </c>
      <c r="FG774" s="3336" t="str">
        <f t="shared" si="144"/>
        <v/>
      </c>
      <c r="FH774" s="3336" t="str">
        <f t="shared" si="145"/>
        <v/>
      </c>
      <c r="FI774" s="3336" t="str">
        <f t="shared" si="146"/>
        <v/>
      </c>
      <c r="FJ774" s="3336" t="str">
        <f t="shared" si="147"/>
        <v/>
      </c>
      <c r="FK774" s="3336" t="str">
        <f t="shared" si="148"/>
        <v/>
      </c>
      <c r="FL774" s="3336" t="str">
        <f t="shared" si="149"/>
        <v/>
      </c>
      <c r="FM774" s="3336" t="str">
        <f t="shared" si="150"/>
        <v/>
      </c>
      <c r="FN774" s="3336" t="str">
        <f t="shared" si="151"/>
        <v/>
      </c>
      <c r="FO774" s="3336" t="str">
        <f t="shared" si="152"/>
        <v/>
      </c>
      <c r="FP774" s="3336" t="str">
        <f t="shared" si="153"/>
        <v/>
      </c>
      <c r="FQ774" s="3336" t="str">
        <f t="shared" si="154"/>
        <v/>
      </c>
      <c r="FR774" s="3336" t="str">
        <f t="shared" si="155"/>
        <v/>
      </c>
      <c r="FS774" s="3336" t="str">
        <f t="shared" si="156"/>
        <v/>
      </c>
      <c r="FT774" s="3336" t="str">
        <f t="shared" si="157"/>
        <v/>
      </c>
      <c r="FU774" s="3336" t="str">
        <f t="shared" si="158"/>
        <v/>
      </c>
      <c r="FV774" s="3336" t="str">
        <f t="shared" si="159"/>
        <v/>
      </c>
      <c r="FW774" s="3336" t="str">
        <f t="shared" si="160"/>
        <v/>
      </c>
      <c r="FX774" s="3336" t="str">
        <f t="shared" si="161"/>
        <v/>
      </c>
      <c r="FY774" s="3336" t="str">
        <f t="shared" si="162"/>
        <v/>
      </c>
      <c r="FZ774" s="3336" t="str">
        <f t="shared" si="163"/>
        <v/>
      </c>
      <c r="GA774" s="3336" t="str">
        <f t="shared" si="164"/>
        <v/>
      </c>
      <c r="GB774" s="3336" t="str">
        <f t="shared" si="165"/>
        <v/>
      </c>
      <c r="GC774" s="3336" t="str">
        <f t="shared" si="166"/>
        <v/>
      </c>
      <c r="GD774" s="3336" t="str">
        <f t="shared" si="167"/>
        <v/>
      </c>
      <c r="GE774" s="3336" t="str">
        <f t="shared" si="168"/>
        <v/>
      </c>
      <c r="GF774" s="3336" t="str">
        <f t="shared" si="169"/>
        <v/>
      </c>
      <c r="GG774" s="3336" t="str">
        <f t="shared" si="170"/>
        <v/>
      </c>
      <c r="GH774" s="3336" t="str">
        <f t="shared" si="171"/>
        <v/>
      </c>
      <c r="GI774" s="3336" t="str">
        <f t="shared" si="172"/>
        <v/>
      </c>
      <c r="GJ774" s="3336" t="str">
        <f t="shared" si="173"/>
        <v/>
      </c>
      <c r="GK774" s="3336" t="str">
        <f t="shared" si="174"/>
        <v/>
      </c>
      <c r="GL774" s="3336" t="str">
        <f t="shared" si="175"/>
        <v/>
      </c>
      <c r="GM774" s="3336" t="str">
        <f t="shared" si="176"/>
        <v/>
      </c>
      <c r="GN774" s="3336" t="str">
        <f t="shared" si="177"/>
        <v/>
      </c>
      <c r="GO774" s="3336" t="str">
        <f t="shared" si="178"/>
        <v/>
      </c>
      <c r="GP774" s="3336" t="str">
        <f t="shared" si="179"/>
        <v/>
      </c>
      <c r="GQ774" s="3336" t="str">
        <f t="shared" si="180"/>
        <v/>
      </c>
      <c r="GR774" s="3336" t="str">
        <f t="shared" si="181"/>
        <v/>
      </c>
      <c r="GS774" s="3336" t="str">
        <f t="shared" si="182"/>
        <v/>
      </c>
      <c r="GT774" s="3336" t="str">
        <f t="shared" si="183"/>
        <v/>
      </c>
      <c r="GU774" s="3336" t="str">
        <f t="shared" si="184"/>
        <v/>
      </c>
      <c r="GV774" s="3336" t="str">
        <f t="shared" si="185"/>
        <v/>
      </c>
      <c r="GW774" s="3336" t="str">
        <f t="shared" si="186"/>
        <v/>
      </c>
      <c r="GX774" s="3336" t="str">
        <f t="shared" si="187"/>
        <v/>
      </c>
      <c r="GY774" s="3336" t="str">
        <f t="shared" si="188"/>
        <v/>
      </c>
      <c r="GZ774" s="3336" t="str">
        <f t="shared" si="189"/>
        <v/>
      </c>
      <c r="HA774" s="3336" t="str">
        <f t="shared" si="190"/>
        <v/>
      </c>
      <c r="HB774" s="3336" t="str">
        <f t="shared" si="191"/>
        <v/>
      </c>
      <c r="HC774" s="3336" t="str">
        <f t="shared" si="192"/>
        <v/>
      </c>
      <c r="HD774" s="3336" t="str">
        <f t="shared" si="193"/>
        <v/>
      </c>
      <c r="HE774" s="3336" t="str">
        <f t="shared" si="194"/>
        <v/>
      </c>
      <c r="HF774" s="3336" t="str">
        <f t="shared" si="195"/>
        <v/>
      </c>
      <c r="HG774" s="3336" t="str">
        <f t="shared" si="196"/>
        <v/>
      </c>
      <c r="HH774" s="3336" t="str">
        <f t="shared" si="197"/>
        <v/>
      </c>
      <c r="HI774" s="3336" t="str">
        <f t="shared" si="198"/>
        <v/>
      </c>
      <c r="HJ774" s="3336" t="str">
        <f t="shared" si="199"/>
        <v/>
      </c>
      <c r="HK774" s="3336" t="str">
        <f t="shared" si="200"/>
        <v/>
      </c>
      <c r="HL774" s="3336" t="str">
        <f t="shared" si="201"/>
        <v/>
      </c>
      <c r="HM774" s="3336">
        <f t="shared" si="202"/>
        <v>5</v>
      </c>
      <c r="HN774" s="3336" t="str">
        <f t="shared" si="203"/>
        <v/>
      </c>
      <c r="HO774" s="3336" t="str">
        <f t="shared" si="204"/>
        <v/>
      </c>
      <c r="HP774" s="3336" t="str">
        <f t="shared" si="205"/>
        <v/>
      </c>
      <c r="HQ774" s="3336" t="str">
        <f t="shared" si="206"/>
        <v/>
      </c>
      <c r="HR774" s="3336" t="str">
        <f t="shared" si="207"/>
        <v/>
      </c>
      <c r="HS774" s="3336" t="str">
        <f t="shared" si="208"/>
        <v/>
      </c>
      <c r="HT774" s="3336" t="str">
        <f t="shared" si="209"/>
        <v/>
      </c>
      <c r="HU774" s="3336" t="str">
        <f t="shared" si="210"/>
        <v/>
      </c>
      <c r="HV774" s="3336" t="str">
        <f t="shared" si="211"/>
        <v/>
      </c>
      <c r="HW774" s="3336" t="str">
        <f t="shared" si="212"/>
        <v/>
      </c>
      <c r="HX774" s="3336" t="str">
        <f t="shared" si="213"/>
        <v/>
      </c>
      <c r="HY774" s="3336" t="str">
        <f t="shared" si="214"/>
        <v/>
      </c>
      <c r="HZ774" s="3336" t="str">
        <f t="shared" si="215"/>
        <v/>
      </c>
      <c r="IA774" s="3336" t="str">
        <f t="shared" si="216"/>
        <v/>
      </c>
      <c r="IB774" s="3336" t="str">
        <f t="shared" si="217"/>
        <v/>
      </c>
      <c r="IC774" s="3336" t="str">
        <f t="shared" si="218"/>
        <v/>
      </c>
      <c r="ID774" s="3308" t="str">
        <f t="shared" si="219"/>
        <v/>
      </c>
      <c r="IE774" s="3308" t="str">
        <f t="shared" si="220"/>
        <v/>
      </c>
      <c r="IF774" s="3308" t="str">
        <f t="shared" si="221"/>
        <v/>
      </c>
      <c r="IG774" s="3308" t="str">
        <f t="shared" si="222"/>
        <v/>
      </c>
      <c r="IH774" s="3308" t="str">
        <f t="shared" si="223"/>
        <v/>
      </c>
      <c r="II774" s="523" t="str">
        <f t="shared" si="224"/>
        <v/>
      </c>
      <c r="IJ774" s="523" t="str">
        <f t="shared" si="225"/>
        <v/>
      </c>
      <c r="IK774" s="523" t="str">
        <f t="shared" si="226"/>
        <v/>
      </c>
      <c r="IL774" s="523" t="str">
        <f t="shared" si="227"/>
        <v/>
      </c>
      <c r="IM774" s="523" t="str">
        <f t="shared" si="228"/>
        <v/>
      </c>
      <c r="IN774" s="523" t="str">
        <f t="shared" si="229"/>
        <v/>
      </c>
      <c r="IO774" s="523" t="str">
        <f t="shared" si="230"/>
        <v/>
      </c>
      <c r="IP774" s="523" t="str">
        <f t="shared" si="231"/>
        <v/>
      </c>
      <c r="IQ774" s="523" t="str">
        <f t="shared" si="232"/>
        <v/>
      </c>
      <c r="IR774" s="523" t="str">
        <f t="shared" si="233"/>
        <v/>
      </c>
      <c r="IS774" s="523" t="str">
        <f t="shared" si="234"/>
        <v/>
      </c>
      <c r="IT774" s="523" t="str">
        <f t="shared" si="235"/>
        <v/>
      </c>
      <c r="IU774" s="523" t="str">
        <f t="shared" si="236"/>
        <v/>
      </c>
      <c r="IV774" s="523" t="str">
        <f t="shared" si="237"/>
        <v/>
      </c>
      <c r="IW774" s="523" t="str">
        <f t="shared" si="238"/>
        <v/>
      </c>
      <c r="IX774" s="523" t="str">
        <f t="shared" si="239"/>
        <v/>
      </c>
      <c r="IY774" s="523" t="str">
        <f t="shared" si="240"/>
        <v/>
      </c>
      <c r="IZ774" s="523" t="str">
        <f t="shared" si="241"/>
        <v/>
      </c>
      <c r="JA774" s="523" t="str">
        <f t="shared" si="242"/>
        <v/>
      </c>
      <c r="JB774" s="523" t="str">
        <f t="shared" si="243"/>
        <v/>
      </c>
      <c r="JC774" s="3306">
        <f t="shared" si="244"/>
        <v>0</v>
      </c>
      <c r="JD774" s="3306">
        <f t="shared" si="245"/>
        <v>0</v>
      </c>
      <c r="JE774" s="3306">
        <f t="shared" si="246"/>
        <v>0</v>
      </c>
      <c r="JF774" s="3306">
        <f t="shared" si="247"/>
        <v>0</v>
      </c>
      <c r="JG774" s="3306">
        <f t="shared" si="248"/>
        <v>0</v>
      </c>
      <c r="JH774" s="3306">
        <f t="shared" si="249"/>
        <v>0</v>
      </c>
      <c r="JI774" s="3306">
        <f t="shared" si="250"/>
        <v>0</v>
      </c>
      <c r="JJ774" s="3306">
        <f t="shared" si="251"/>
        <v>0</v>
      </c>
      <c r="JK774" s="3306">
        <f t="shared" si="252"/>
        <v>5</v>
      </c>
      <c r="JL774" s="3306">
        <f t="shared" si="253"/>
        <v>0</v>
      </c>
      <c r="JM774" s="3306">
        <f t="shared" si="254"/>
        <v>0</v>
      </c>
      <c r="JN774" s="3306">
        <f t="shared" si="255"/>
        <v>0</v>
      </c>
      <c r="JO774" s="3306">
        <f t="shared" si="256"/>
        <v>0</v>
      </c>
      <c r="JP774" s="3306">
        <f t="shared" si="257"/>
        <v>0</v>
      </c>
      <c r="JQ774" s="3306">
        <f t="shared" si="258"/>
        <v>0</v>
      </c>
    </row>
    <row r="775" spans="1:277" ht="12" customHeight="1">
      <c r="A775" s="3319" t="str">
        <f t="shared" si="1"/>
        <v/>
      </c>
      <c r="B775" s="3328" t="str">
        <f>'Part VI-Revenues &amp; Expenses'!B18</f>
        <v>Unrestricted</v>
      </c>
      <c r="C775" s="3329">
        <f>'Part VI-Revenues &amp; Expenses'!C18</f>
        <v>2</v>
      </c>
      <c r="D775" s="3330">
        <f>'Part VI-Revenues &amp; Expenses'!D18</f>
        <v>2</v>
      </c>
      <c r="E775" s="3331">
        <f>'Part VI-Revenues &amp; Expenses'!E18</f>
        <v>4</v>
      </c>
      <c r="F775" s="3331">
        <f>'Part VI-Revenues &amp; Expenses'!F18</f>
        <v>1045</v>
      </c>
      <c r="G775" s="3331">
        <f>'Part VI-Revenues &amp; Expenses'!G18</f>
        <v>942</v>
      </c>
      <c r="H775" s="3331">
        <f>'Part VI-Revenues &amp; Expenses'!H18</f>
        <v>882</v>
      </c>
      <c r="I775" s="3331">
        <f>'Part VI-Revenues &amp; Expenses'!I18</f>
        <v>128</v>
      </c>
      <c r="J775" s="3332">
        <f>'Part VI-Revenues &amp; Expenses'!J18</f>
        <v>0</v>
      </c>
      <c r="K775" s="3333">
        <f t="shared" si="2"/>
        <v>754</v>
      </c>
      <c r="L775" s="3333">
        <f t="shared" si="3"/>
        <v>3016</v>
      </c>
      <c r="M775" s="3207" t="str">
        <f>'Part VI-Revenues &amp; Expenses'!M18</f>
        <v>No</v>
      </c>
      <c r="N775" s="3207" t="str">
        <f>'Part VI-Revenues &amp; Expenses'!N18</f>
        <v>2-Story Walkup</v>
      </c>
      <c r="O775" s="3207" t="str">
        <f>'Part VI-Revenues &amp; Expenses'!O18</f>
        <v>New Construction</v>
      </c>
      <c r="P775" s="3313" t="str">
        <f>'Part VI-Revenues &amp; Expenses'!P18</f>
        <v>No</v>
      </c>
      <c r="Q775" s="3334">
        <f>'Part VI-Revenues &amp; Expenses'!Q18</f>
        <v>35280</v>
      </c>
      <c r="R775" s="3335">
        <f>'Part VI-Revenues &amp; Expenses'!R18</f>
        <v>0.56241032998565277</v>
      </c>
      <c r="S775" s="3334">
        <f>'Part VI-Revenues &amp; Expenses'!S18</f>
        <v>0</v>
      </c>
      <c r="T775" s="3335">
        <f>'Part VI-Revenues &amp; Expenses'!T18</f>
        <v>0</v>
      </c>
      <c r="U775" s="3257"/>
      <c r="V775" s="3257"/>
      <c r="W775" s="523" t="str">
        <f t="shared" si="4"/>
        <v/>
      </c>
      <c r="X775" s="523" t="str">
        <f t="shared" si="5"/>
        <v/>
      </c>
      <c r="Y775" s="523" t="str">
        <f t="shared" si="6"/>
        <v/>
      </c>
      <c r="Z775" s="523" t="str">
        <f t="shared" si="7"/>
        <v/>
      </c>
      <c r="AA775" s="523" t="str">
        <f t="shared" si="8"/>
        <v/>
      </c>
      <c r="AB775" s="523" t="str">
        <f t="shared" si="9"/>
        <v/>
      </c>
      <c r="AC775" s="523" t="str">
        <f t="shared" si="10"/>
        <v/>
      </c>
      <c r="AD775" s="523" t="str">
        <f t="shared" si="11"/>
        <v/>
      </c>
      <c r="AE775" s="523" t="str">
        <f t="shared" si="12"/>
        <v/>
      </c>
      <c r="AF775" s="523" t="str">
        <f t="shared" si="13"/>
        <v/>
      </c>
      <c r="AG775" s="523" t="str">
        <f t="shared" si="14"/>
        <v/>
      </c>
      <c r="AH775" s="523" t="str">
        <f t="shared" si="15"/>
        <v/>
      </c>
      <c r="AI775" s="523" t="str">
        <f t="shared" si="16"/>
        <v/>
      </c>
      <c r="AJ775" s="523" t="str">
        <f t="shared" si="17"/>
        <v/>
      </c>
      <c r="AK775" s="523" t="str">
        <f t="shared" si="18"/>
        <v/>
      </c>
      <c r="AL775" s="523" t="str">
        <f t="shared" si="19"/>
        <v/>
      </c>
      <c r="AM775" s="523" t="str">
        <f t="shared" si="20"/>
        <v/>
      </c>
      <c r="AN775" s="523">
        <f t="shared" si="21"/>
        <v>4</v>
      </c>
      <c r="AO775" s="523" t="str">
        <f t="shared" si="22"/>
        <v/>
      </c>
      <c r="AP775" s="523" t="str">
        <f t="shared" si="23"/>
        <v/>
      </c>
      <c r="AQ775" s="523" t="str">
        <f t="shared" si="24"/>
        <v/>
      </c>
      <c r="AR775" s="523" t="str">
        <f t="shared" si="25"/>
        <v/>
      </c>
      <c r="AS775" s="523" t="str">
        <f t="shared" si="26"/>
        <v/>
      </c>
      <c r="AT775" s="523" t="str">
        <f t="shared" si="27"/>
        <v/>
      </c>
      <c r="AU775" s="523" t="str">
        <f t="shared" si="28"/>
        <v/>
      </c>
      <c r="AV775" s="523" t="str">
        <f t="shared" si="29"/>
        <v/>
      </c>
      <c r="AW775" s="523" t="str">
        <f t="shared" si="30"/>
        <v/>
      </c>
      <c r="AX775" s="523" t="str">
        <f t="shared" si="31"/>
        <v/>
      </c>
      <c r="AY775" s="523" t="str">
        <f t="shared" si="32"/>
        <v/>
      </c>
      <c r="AZ775" s="523" t="str">
        <f t="shared" si="33"/>
        <v/>
      </c>
      <c r="BA775" s="523" t="str">
        <f t="shared" si="34"/>
        <v/>
      </c>
      <c r="BB775" s="523" t="str">
        <f t="shared" si="35"/>
        <v/>
      </c>
      <c r="BC775" s="523" t="str">
        <f t="shared" si="36"/>
        <v/>
      </c>
      <c r="BD775" s="523" t="str">
        <f t="shared" si="37"/>
        <v/>
      </c>
      <c r="BE775" s="523" t="str">
        <f t="shared" si="38"/>
        <v/>
      </c>
      <c r="BF775" s="523" t="str">
        <f t="shared" si="39"/>
        <v/>
      </c>
      <c r="BG775" s="523" t="str">
        <f t="shared" si="40"/>
        <v/>
      </c>
      <c r="BH775" s="523" t="str">
        <f t="shared" si="41"/>
        <v/>
      </c>
      <c r="BI775" s="523" t="str">
        <f t="shared" si="42"/>
        <v/>
      </c>
      <c r="BJ775" s="523" t="str">
        <f t="shared" si="43"/>
        <v/>
      </c>
      <c r="BK775" s="523" t="str">
        <f t="shared" si="44"/>
        <v/>
      </c>
      <c r="BL775" s="523" t="str">
        <f t="shared" si="45"/>
        <v/>
      </c>
      <c r="BM775" s="523" t="str">
        <f t="shared" si="46"/>
        <v/>
      </c>
      <c r="BN775" s="523" t="str">
        <f t="shared" si="47"/>
        <v/>
      </c>
      <c r="BO775" s="523" t="str">
        <f t="shared" si="48"/>
        <v/>
      </c>
      <c r="BP775" s="523" t="str">
        <f t="shared" si="49"/>
        <v/>
      </c>
      <c r="BQ775" s="523" t="str">
        <f t="shared" si="50"/>
        <v/>
      </c>
      <c r="BR775" s="523" t="str">
        <f t="shared" si="51"/>
        <v/>
      </c>
      <c r="BS775" s="523" t="str">
        <f t="shared" si="52"/>
        <v/>
      </c>
      <c r="BT775" s="523" t="str">
        <f t="shared" si="53"/>
        <v/>
      </c>
      <c r="BU775" s="523" t="str">
        <f t="shared" si="54"/>
        <v/>
      </c>
      <c r="BV775" s="523" t="str">
        <f t="shared" si="55"/>
        <v/>
      </c>
      <c r="BW775" s="523" t="str">
        <f t="shared" si="56"/>
        <v/>
      </c>
      <c r="BX775" s="523" t="str">
        <f t="shared" si="57"/>
        <v/>
      </c>
      <c r="BY775" s="523" t="str">
        <f t="shared" si="58"/>
        <v/>
      </c>
      <c r="BZ775" s="523" t="str">
        <f t="shared" si="59"/>
        <v/>
      </c>
      <c r="CA775" s="523" t="str">
        <f t="shared" si="60"/>
        <v/>
      </c>
      <c r="CB775" s="523" t="str">
        <f t="shared" si="61"/>
        <v/>
      </c>
      <c r="CC775" s="523" t="str">
        <f t="shared" si="62"/>
        <v/>
      </c>
      <c r="CD775" s="523" t="str">
        <f t="shared" si="63"/>
        <v/>
      </c>
      <c r="CE775" s="523" t="str">
        <f t="shared" si="64"/>
        <v/>
      </c>
      <c r="CF775" s="523" t="str">
        <f t="shared" si="65"/>
        <v/>
      </c>
      <c r="CG775" s="523" t="str">
        <f t="shared" si="66"/>
        <v/>
      </c>
      <c r="CH775" s="523" t="str">
        <f t="shared" si="67"/>
        <v/>
      </c>
      <c r="CI775" s="523" t="str">
        <f t="shared" si="68"/>
        <v/>
      </c>
      <c r="CJ775" s="523" t="str">
        <f t="shared" si="69"/>
        <v/>
      </c>
      <c r="CK775" s="523" t="str">
        <f t="shared" si="70"/>
        <v/>
      </c>
      <c r="CL775" s="523" t="str">
        <f t="shared" si="71"/>
        <v/>
      </c>
      <c r="CM775" s="523" t="str">
        <f t="shared" si="72"/>
        <v/>
      </c>
      <c r="CN775" s="523" t="str">
        <f t="shared" si="73"/>
        <v/>
      </c>
      <c r="CO775" s="523" t="str">
        <f t="shared" si="74"/>
        <v/>
      </c>
      <c r="CP775" s="523" t="str">
        <f t="shared" si="75"/>
        <v/>
      </c>
      <c r="CQ775" s="523">
        <f t="shared" si="76"/>
        <v>4180</v>
      </c>
      <c r="CR775" s="523" t="str">
        <f t="shared" si="77"/>
        <v/>
      </c>
      <c r="CS775" s="523" t="str">
        <f t="shared" si="78"/>
        <v/>
      </c>
      <c r="CT775" s="523" t="str">
        <f t="shared" si="79"/>
        <v/>
      </c>
      <c r="CU775" s="523" t="str">
        <f t="shared" si="80"/>
        <v/>
      </c>
      <c r="CV775" s="523" t="str">
        <f t="shared" si="81"/>
        <v/>
      </c>
      <c r="CW775" s="523" t="str">
        <f t="shared" si="82"/>
        <v/>
      </c>
      <c r="CX775" s="523" t="str">
        <f t="shared" si="83"/>
        <v/>
      </c>
      <c r="CY775" s="523" t="str">
        <f t="shared" si="84"/>
        <v/>
      </c>
      <c r="CZ775" s="523" t="str">
        <f t="shared" si="85"/>
        <v/>
      </c>
      <c r="DA775" s="523" t="str">
        <f t="shared" si="86"/>
        <v/>
      </c>
      <c r="DB775" s="523" t="str">
        <f t="shared" si="87"/>
        <v/>
      </c>
      <c r="DC775" s="523" t="str">
        <f t="shared" si="88"/>
        <v/>
      </c>
      <c r="DD775" s="523" t="str">
        <f t="shared" si="89"/>
        <v/>
      </c>
      <c r="DE775" s="523" t="str">
        <f t="shared" si="90"/>
        <v/>
      </c>
      <c r="DF775" s="523" t="str">
        <f t="shared" si="91"/>
        <v/>
      </c>
      <c r="DG775" s="523" t="str">
        <f t="shared" si="92"/>
        <v/>
      </c>
      <c r="DH775" s="523" t="str">
        <f t="shared" si="93"/>
        <v/>
      </c>
      <c r="DI775" s="523" t="str">
        <f t="shared" si="94"/>
        <v/>
      </c>
      <c r="DJ775" s="523" t="str">
        <f t="shared" si="95"/>
        <v/>
      </c>
      <c r="DK775" s="523">
        <f t="shared" si="96"/>
        <v>4</v>
      </c>
      <c r="DL775" s="523" t="str">
        <f t="shared" si="97"/>
        <v/>
      </c>
      <c r="DM775" s="523" t="str">
        <f t="shared" si="98"/>
        <v/>
      </c>
      <c r="DN775" s="523" t="str">
        <f t="shared" si="99"/>
        <v/>
      </c>
      <c r="DO775" s="523" t="str">
        <f t="shared" si="100"/>
        <v/>
      </c>
      <c r="DP775" s="523" t="str">
        <f t="shared" si="101"/>
        <v/>
      </c>
      <c r="DQ775" s="523" t="str">
        <f t="shared" si="102"/>
        <v/>
      </c>
      <c r="DR775" s="523" t="str">
        <f t="shared" si="103"/>
        <v/>
      </c>
      <c r="DS775" s="523" t="str">
        <f t="shared" si="104"/>
        <v/>
      </c>
      <c r="DT775" s="523" t="str">
        <f t="shared" si="105"/>
        <v/>
      </c>
      <c r="DU775" s="523" t="str">
        <f t="shared" si="106"/>
        <v/>
      </c>
      <c r="DV775" s="523" t="str">
        <f t="shared" si="107"/>
        <v/>
      </c>
      <c r="DW775" s="523" t="str">
        <f t="shared" si="108"/>
        <v/>
      </c>
      <c r="DX775" s="523" t="str">
        <f t="shared" si="109"/>
        <v/>
      </c>
      <c r="DY775" s="523" t="str">
        <f t="shared" si="110"/>
        <v/>
      </c>
      <c r="DZ775" s="523" t="str">
        <f t="shared" si="111"/>
        <v/>
      </c>
      <c r="EA775" s="523" t="str">
        <f t="shared" si="112"/>
        <v/>
      </c>
      <c r="EB775" s="523" t="str">
        <f t="shared" si="113"/>
        <v/>
      </c>
      <c r="EC775" s="523" t="str">
        <f t="shared" si="114"/>
        <v/>
      </c>
      <c r="ED775" s="523" t="str">
        <f t="shared" si="115"/>
        <v/>
      </c>
      <c r="EE775" s="523" t="str">
        <f t="shared" si="116"/>
        <v/>
      </c>
      <c r="EF775" s="523" t="str">
        <f t="shared" si="117"/>
        <v/>
      </c>
      <c r="EG775" s="523" t="str">
        <f t="shared" si="118"/>
        <v/>
      </c>
      <c r="EH775" s="523" t="str">
        <f t="shared" si="119"/>
        <v/>
      </c>
      <c r="EI775" s="523" t="str">
        <f t="shared" si="120"/>
        <v/>
      </c>
      <c r="EJ775" s="523" t="str">
        <f t="shared" si="121"/>
        <v/>
      </c>
      <c r="EK775" s="523" t="str">
        <f t="shared" si="122"/>
        <v/>
      </c>
      <c r="EL775" s="523" t="str">
        <f t="shared" si="123"/>
        <v/>
      </c>
      <c r="EM775" s="523" t="str">
        <f t="shared" si="124"/>
        <v/>
      </c>
      <c r="EN775" s="523" t="str">
        <f t="shared" si="125"/>
        <v/>
      </c>
      <c r="EO775" s="523" t="str">
        <f t="shared" si="126"/>
        <v/>
      </c>
      <c r="EP775" s="523" t="str">
        <f t="shared" si="127"/>
        <v/>
      </c>
      <c r="EQ775" s="523" t="str">
        <f t="shared" si="128"/>
        <v/>
      </c>
      <c r="ER775" s="523" t="str">
        <f t="shared" si="129"/>
        <v/>
      </c>
      <c r="ES775" s="523" t="str">
        <f t="shared" si="130"/>
        <v/>
      </c>
      <c r="ET775" s="523" t="str">
        <f t="shared" si="131"/>
        <v/>
      </c>
      <c r="EU775" s="523" t="str">
        <f t="shared" si="132"/>
        <v/>
      </c>
      <c r="EV775" s="523" t="str">
        <f t="shared" si="133"/>
        <v/>
      </c>
      <c r="EW775" s="3336" t="str">
        <f t="shared" si="134"/>
        <v/>
      </c>
      <c r="EX775" s="3336" t="str">
        <f t="shared" si="135"/>
        <v/>
      </c>
      <c r="EY775" s="3336">
        <f t="shared" si="136"/>
        <v>4</v>
      </c>
      <c r="EZ775" s="3336" t="str">
        <f t="shared" si="137"/>
        <v/>
      </c>
      <c r="FA775" s="3336" t="str">
        <f t="shared" si="138"/>
        <v/>
      </c>
      <c r="FB775" s="3336" t="str">
        <f t="shared" si="139"/>
        <v/>
      </c>
      <c r="FC775" s="3336" t="str">
        <f t="shared" si="140"/>
        <v/>
      </c>
      <c r="FD775" s="3336" t="str">
        <f t="shared" si="141"/>
        <v/>
      </c>
      <c r="FE775" s="3336" t="str">
        <f t="shared" si="142"/>
        <v/>
      </c>
      <c r="FF775" s="3336" t="str">
        <f t="shared" si="143"/>
        <v/>
      </c>
      <c r="FG775" s="3336" t="str">
        <f t="shared" si="144"/>
        <v/>
      </c>
      <c r="FH775" s="3336" t="str">
        <f t="shared" si="145"/>
        <v/>
      </c>
      <c r="FI775" s="3336" t="str">
        <f t="shared" si="146"/>
        <v/>
      </c>
      <c r="FJ775" s="3336" t="str">
        <f t="shared" si="147"/>
        <v/>
      </c>
      <c r="FK775" s="3336" t="str">
        <f t="shared" si="148"/>
        <v/>
      </c>
      <c r="FL775" s="3336" t="str">
        <f t="shared" si="149"/>
        <v/>
      </c>
      <c r="FM775" s="3336" t="str">
        <f t="shared" si="150"/>
        <v/>
      </c>
      <c r="FN775" s="3336" t="str">
        <f t="shared" si="151"/>
        <v/>
      </c>
      <c r="FO775" s="3336" t="str">
        <f t="shared" si="152"/>
        <v/>
      </c>
      <c r="FP775" s="3336" t="str">
        <f t="shared" si="153"/>
        <v/>
      </c>
      <c r="FQ775" s="3336" t="str">
        <f t="shared" si="154"/>
        <v/>
      </c>
      <c r="FR775" s="3336" t="str">
        <f t="shared" si="155"/>
        <v/>
      </c>
      <c r="FS775" s="3336" t="str">
        <f t="shared" si="156"/>
        <v/>
      </c>
      <c r="FT775" s="3336" t="str">
        <f t="shared" si="157"/>
        <v/>
      </c>
      <c r="FU775" s="3336" t="str">
        <f t="shared" si="158"/>
        <v/>
      </c>
      <c r="FV775" s="3336" t="str">
        <f t="shared" si="159"/>
        <v/>
      </c>
      <c r="FW775" s="3336" t="str">
        <f t="shared" si="160"/>
        <v/>
      </c>
      <c r="FX775" s="3336" t="str">
        <f t="shared" si="161"/>
        <v/>
      </c>
      <c r="FY775" s="3336" t="str">
        <f t="shared" si="162"/>
        <v/>
      </c>
      <c r="FZ775" s="3336" t="str">
        <f t="shared" si="163"/>
        <v/>
      </c>
      <c r="GA775" s="3336" t="str">
        <f t="shared" si="164"/>
        <v/>
      </c>
      <c r="GB775" s="3336" t="str">
        <f t="shared" si="165"/>
        <v/>
      </c>
      <c r="GC775" s="3336" t="str">
        <f t="shared" si="166"/>
        <v/>
      </c>
      <c r="GD775" s="3336" t="str">
        <f t="shared" si="167"/>
        <v/>
      </c>
      <c r="GE775" s="3336" t="str">
        <f t="shared" si="168"/>
        <v/>
      </c>
      <c r="GF775" s="3336" t="str">
        <f t="shared" si="169"/>
        <v/>
      </c>
      <c r="GG775" s="3336" t="str">
        <f t="shared" si="170"/>
        <v/>
      </c>
      <c r="GH775" s="3336" t="str">
        <f t="shared" si="171"/>
        <v/>
      </c>
      <c r="GI775" s="3336" t="str">
        <f t="shared" si="172"/>
        <v/>
      </c>
      <c r="GJ775" s="3336" t="str">
        <f t="shared" si="173"/>
        <v/>
      </c>
      <c r="GK775" s="3336" t="str">
        <f t="shared" si="174"/>
        <v/>
      </c>
      <c r="GL775" s="3336" t="str">
        <f t="shared" si="175"/>
        <v/>
      </c>
      <c r="GM775" s="3336" t="str">
        <f t="shared" si="176"/>
        <v/>
      </c>
      <c r="GN775" s="3336" t="str">
        <f t="shared" si="177"/>
        <v/>
      </c>
      <c r="GO775" s="3336" t="str">
        <f t="shared" si="178"/>
        <v/>
      </c>
      <c r="GP775" s="3336" t="str">
        <f t="shared" si="179"/>
        <v/>
      </c>
      <c r="GQ775" s="3336" t="str">
        <f t="shared" si="180"/>
        <v/>
      </c>
      <c r="GR775" s="3336" t="str">
        <f t="shared" si="181"/>
        <v/>
      </c>
      <c r="GS775" s="3336" t="str">
        <f t="shared" si="182"/>
        <v/>
      </c>
      <c r="GT775" s="3336" t="str">
        <f t="shared" si="183"/>
        <v/>
      </c>
      <c r="GU775" s="3336" t="str">
        <f t="shared" si="184"/>
        <v/>
      </c>
      <c r="GV775" s="3336" t="str">
        <f t="shared" si="185"/>
        <v/>
      </c>
      <c r="GW775" s="3336" t="str">
        <f t="shared" si="186"/>
        <v/>
      </c>
      <c r="GX775" s="3336" t="str">
        <f t="shared" si="187"/>
        <v/>
      </c>
      <c r="GY775" s="3336" t="str">
        <f t="shared" si="188"/>
        <v/>
      </c>
      <c r="GZ775" s="3336" t="str">
        <f t="shared" si="189"/>
        <v/>
      </c>
      <c r="HA775" s="3336" t="str">
        <f t="shared" si="190"/>
        <v/>
      </c>
      <c r="HB775" s="3336" t="str">
        <f t="shared" si="191"/>
        <v/>
      </c>
      <c r="HC775" s="3336" t="str">
        <f t="shared" si="192"/>
        <v/>
      </c>
      <c r="HD775" s="3336" t="str">
        <f t="shared" si="193"/>
        <v/>
      </c>
      <c r="HE775" s="3336" t="str">
        <f t="shared" si="194"/>
        <v/>
      </c>
      <c r="HF775" s="3336" t="str">
        <f t="shared" si="195"/>
        <v/>
      </c>
      <c r="HG775" s="3336" t="str">
        <f t="shared" si="196"/>
        <v/>
      </c>
      <c r="HH775" s="3336" t="str">
        <f t="shared" si="197"/>
        <v/>
      </c>
      <c r="HI775" s="3336" t="str">
        <f t="shared" si="198"/>
        <v/>
      </c>
      <c r="HJ775" s="3336" t="str">
        <f t="shared" si="199"/>
        <v/>
      </c>
      <c r="HK775" s="3336" t="str">
        <f t="shared" si="200"/>
        <v/>
      </c>
      <c r="HL775" s="3336">
        <f t="shared" si="201"/>
        <v>4</v>
      </c>
      <c r="HM775" s="3336" t="str">
        <f t="shared" si="202"/>
        <v/>
      </c>
      <c r="HN775" s="3336" t="str">
        <f t="shared" si="203"/>
        <v/>
      </c>
      <c r="HO775" s="3336" t="str">
        <f t="shared" si="204"/>
        <v/>
      </c>
      <c r="HP775" s="3336" t="str">
        <f t="shared" si="205"/>
        <v/>
      </c>
      <c r="HQ775" s="3336" t="str">
        <f t="shared" si="206"/>
        <v/>
      </c>
      <c r="HR775" s="3336" t="str">
        <f t="shared" si="207"/>
        <v/>
      </c>
      <c r="HS775" s="3336" t="str">
        <f t="shared" si="208"/>
        <v/>
      </c>
      <c r="HT775" s="3336" t="str">
        <f t="shared" si="209"/>
        <v/>
      </c>
      <c r="HU775" s="3336" t="str">
        <f t="shared" si="210"/>
        <v/>
      </c>
      <c r="HV775" s="3336" t="str">
        <f t="shared" si="211"/>
        <v/>
      </c>
      <c r="HW775" s="3336" t="str">
        <f t="shared" si="212"/>
        <v/>
      </c>
      <c r="HX775" s="3336" t="str">
        <f t="shared" si="213"/>
        <v/>
      </c>
      <c r="HY775" s="3336" t="str">
        <f t="shared" si="214"/>
        <v/>
      </c>
      <c r="HZ775" s="3336" t="str">
        <f t="shared" si="215"/>
        <v/>
      </c>
      <c r="IA775" s="3336" t="str">
        <f t="shared" si="216"/>
        <v/>
      </c>
      <c r="IB775" s="3336" t="str">
        <f t="shared" si="217"/>
        <v/>
      </c>
      <c r="IC775" s="3336" t="str">
        <f t="shared" si="218"/>
        <v/>
      </c>
      <c r="ID775" s="3308" t="str">
        <f t="shared" si="219"/>
        <v/>
      </c>
      <c r="IE775" s="3308" t="str">
        <f t="shared" si="220"/>
        <v/>
      </c>
      <c r="IF775" s="3308" t="str">
        <f t="shared" si="221"/>
        <v/>
      </c>
      <c r="IG775" s="3308" t="str">
        <f t="shared" si="222"/>
        <v/>
      </c>
      <c r="IH775" s="3308" t="str">
        <f t="shared" si="223"/>
        <v/>
      </c>
      <c r="II775" s="523" t="str">
        <f t="shared" si="224"/>
        <v/>
      </c>
      <c r="IJ775" s="523" t="str">
        <f t="shared" si="225"/>
        <v/>
      </c>
      <c r="IK775" s="523" t="str">
        <f t="shared" si="226"/>
        <v/>
      </c>
      <c r="IL775" s="523" t="str">
        <f t="shared" si="227"/>
        <v/>
      </c>
      <c r="IM775" s="523" t="str">
        <f t="shared" si="228"/>
        <v/>
      </c>
      <c r="IN775" s="523" t="str">
        <f t="shared" si="229"/>
        <v/>
      </c>
      <c r="IO775" s="523" t="str">
        <f t="shared" si="230"/>
        <v/>
      </c>
      <c r="IP775" s="523" t="str">
        <f t="shared" si="231"/>
        <v/>
      </c>
      <c r="IQ775" s="523" t="str">
        <f t="shared" si="232"/>
        <v/>
      </c>
      <c r="IR775" s="523" t="str">
        <f t="shared" si="233"/>
        <v/>
      </c>
      <c r="IS775" s="523" t="str">
        <f t="shared" si="234"/>
        <v/>
      </c>
      <c r="IT775" s="523" t="str">
        <f t="shared" si="235"/>
        <v/>
      </c>
      <c r="IU775" s="523" t="str">
        <f t="shared" si="236"/>
        <v/>
      </c>
      <c r="IV775" s="523" t="str">
        <f t="shared" si="237"/>
        <v/>
      </c>
      <c r="IW775" s="523" t="str">
        <f t="shared" si="238"/>
        <v/>
      </c>
      <c r="IX775" s="523" t="str">
        <f t="shared" si="239"/>
        <v/>
      </c>
      <c r="IY775" s="523" t="str">
        <f t="shared" si="240"/>
        <v/>
      </c>
      <c r="IZ775" s="523" t="str">
        <f t="shared" si="241"/>
        <v/>
      </c>
      <c r="JA775" s="523" t="str">
        <f t="shared" si="242"/>
        <v/>
      </c>
      <c r="JB775" s="523" t="str">
        <f t="shared" si="243"/>
        <v/>
      </c>
      <c r="JC775" s="3306">
        <f t="shared" si="244"/>
        <v>0</v>
      </c>
      <c r="JD775" s="3306">
        <f t="shared" si="245"/>
        <v>0</v>
      </c>
      <c r="JE775" s="3306">
        <f t="shared" si="246"/>
        <v>0</v>
      </c>
      <c r="JF775" s="3306">
        <f t="shared" si="247"/>
        <v>0</v>
      </c>
      <c r="JG775" s="3306">
        <f t="shared" si="248"/>
        <v>0</v>
      </c>
      <c r="JH775" s="3306">
        <f t="shared" si="249"/>
        <v>0</v>
      </c>
      <c r="JI775" s="3306">
        <f t="shared" si="250"/>
        <v>0</v>
      </c>
      <c r="JJ775" s="3306">
        <f t="shared" si="251"/>
        <v>4</v>
      </c>
      <c r="JK775" s="3306">
        <f t="shared" si="252"/>
        <v>0</v>
      </c>
      <c r="JL775" s="3306">
        <f t="shared" si="253"/>
        <v>0</v>
      </c>
      <c r="JM775" s="3306">
        <f t="shared" si="254"/>
        <v>0</v>
      </c>
      <c r="JN775" s="3306">
        <f t="shared" si="255"/>
        <v>0</v>
      </c>
      <c r="JO775" s="3306">
        <f t="shared" si="256"/>
        <v>0</v>
      </c>
      <c r="JP775" s="3306">
        <f t="shared" si="257"/>
        <v>0</v>
      </c>
      <c r="JQ775" s="3306">
        <f t="shared" si="258"/>
        <v>0</v>
      </c>
    </row>
    <row r="776" spans="1:277" ht="12" customHeight="1">
      <c r="A776" s="3319" t="str">
        <f t="shared" si="1"/>
        <v/>
      </c>
      <c r="B776" s="3328" t="str">
        <f>'Part VI-Revenues &amp; Expenses'!B19</f>
        <v>&lt;&lt;Select&gt;&gt;</v>
      </c>
      <c r="C776" s="3329">
        <f>'Part VI-Revenues &amp; Expenses'!C19</f>
        <v>0</v>
      </c>
      <c r="D776" s="3330">
        <f>'Part VI-Revenues &amp; Expenses'!D19</f>
        <v>0</v>
      </c>
      <c r="E776" s="3331">
        <f>'Part VI-Revenues &amp; Expenses'!E19</f>
        <v>0</v>
      </c>
      <c r="F776" s="3331">
        <f>'Part VI-Revenues &amp; Expenses'!F19</f>
        <v>0</v>
      </c>
      <c r="G776" s="3331">
        <f>'Part VI-Revenues &amp; Expenses'!G19</f>
        <v>0</v>
      </c>
      <c r="H776" s="3331">
        <f>'Part VI-Revenues &amp; Expenses'!H19</f>
        <v>0</v>
      </c>
      <c r="I776" s="3331">
        <f>'Part VI-Revenues &amp; Expenses'!I19</f>
        <v>0</v>
      </c>
      <c r="J776" s="3332">
        <f>'Part VI-Revenues &amp; Expenses'!J19</f>
        <v>0</v>
      </c>
      <c r="K776" s="3333">
        <f t="shared" si="2"/>
        <v>0</v>
      </c>
      <c r="L776" s="3333">
        <f t="shared" si="3"/>
        <v>0</v>
      </c>
      <c r="M776" s="3207">
        <f>'Part VI-Revenues &amp; Expenses'!M19</f>
        <v>0</v>
      </c>
      <c r="N776" s="3207">
        <f>'Part VI-Revenues &amp; Expenses'!N19</f>
        <v>0</v>
      </c>
      <c r="O776" s="3207">
        <f>'Part VI-Revenues &amp; Expenses'!O19</f>
        <v>0</v>
      </c>
      <c r="P776" s="3313">
        <f>'Part VI-Revenues &amp; Expenses'!P19</f>
        <v>0</v>
      </c>
      <c r="Q776" s="3334" t="str">
        <f>'Part VI-Revenues &amp; Expenses'!Q19</f>
        <v/>
      </c>
      <c r="R776" s="3335" t="str">
        <f>'Part VI-Revenues &amp; Expenses'!R19</f>
        <v/>
      </c>
      <c r="S776" s="3334">
        <f>'Part VI-Revenues &amp; Expenses'!S19</f>
        <v>0</v>
      </c>
      <c r="T776" s="3335">
        <f>'Part VI-Revenues &amp; Expenses'!T19</f>
        <v>0</v>
      </c>
      <c r="U776" s="3257"/>
      <c r="V776" s="3257"/>
      <c r="W776" s="523" t="str">
        <f t="shared" si="4"/>
        <v/>
      </c>
      <c r="X776" s="523" t="str">
        <f t="shared" si="5"/>
        <v/>
      </c>
      <c r="Y776" s="523" t="str">
        <f t="shared" si="6"/>
        <v/>
      </c>
      <c r="Z776" s="523" t="str">
        <f t="shared" si="7"/>
        <v/>
      </c>
      <c r="AA776" s="523" t="str">
        <f t="shared" si="8"/>
        <v/>
      </c>
      <c r="AB776" s="523" t="str">
        <f t="shared" si="9"/>
        <v/>
      </c>
      <c r="AC776" s="523" t="str">
        <f t="shared" si="10"/>
        <v/>
      </c>
      <c r="AD776" s="523" t="str">
        <f t="shared" si="11"/>
        <v/>
      </c>
      <c r="AE776" s="523" t="str">
        <f t="shared" si="12"/>
        <v/>
      </c>
      <c r="AF776" s="523" t="str">
        <f t="shared" si="13"/>
        <v/>
      </c>
      <c r="AG776" s="523" t="str">
        <f t="shared" si="14"/>
        <v/>
      </c>
      <c r="AH776" s="523" t="str">
        <f t="shared" si="15"/>
        <v/>
      </c>
      <c r="AI776" s="523" t="str">
        <f t="shared" si="16"/>
        <v/>
      </c>
      <c r="AJ776" s="523" t="str">
        <f t="shared" si="17"/>
        <v/>
      </c>
      <c r="AK776" s="523" t="str">
        <f t="shared" si="18"/>
        <v/>
      </c>
      <c r="AL776" s="523" t="str">
        <f t="shared" si="19"/>
        <v/>
      </c>
      <c r="AM776" s="523" t="str">
        <f t="shared" si="20"/>
        <v/>
      </c>
      <c r="AN776" s="523" t="str">
        <f t="shared" si="21"/>
        <v/>
      </c>
      <c r="AO776" s="523" t="str">
        <f t="shared" si="22"/>
        <v/>
      </c>
      <c r="AP776" s="523" t="str">
        <f t="shared" si="23"/>
        <v/>
      </c>
      <c r="AQ776" s="523" t="str">
        <f t="shared" si="24"/>
        <v/>
      </c>
      <c r="AR776" s="523" t="str">
        <f t="shared" si="25"/>
        <v/>
      </c>
      <c r="AS776" s="523" t="str">
        <f t="shared" si="26"/>
        <v/>
      </c>
      <c r="AT776" s="523" t="str">
        <f t="shared" si="27"/>
        <v/>
      </c>
      <c r="AU776" s="523" t="str">
        <f t="shared" si="28"/>
        <v/>
      </c>
      <c r="AV776" s="523" t="str">
        <f t="shared" si="29"/>
        <v/>
      </c>
      <c r="AW776" s="523" t="str">
        <f t="shared" si="30"/>
        <v/>
      </c>
      <c r="AX776" s="523" t="str">
        <f t="shared" si="31"/>
        <v/>
      </c>
      <c r="AY776" s="523" t="str">
        <f t="shared" si="32"/>
        <v/>
      </c>
      <c r="AZ776" s="523" t="str">
        <f t="shared" si="33"/>
        <v/>
      </c>
      <c r="BA776" s="523" t="str">
        <f t="shared" si="34"/>
        <v/>
      </c>
      <c r="BB776" s="523" t="str">
        <f t="shared" si="35"/>
        <v/>
      </c>
      <c r="BC776" s="523" t="str">
        <f t="shared" si="36"/>
        <v/>
      </c>
      <c r="BD776" s="523" t="str">
        <f t="shared" si="37"/>
        <v/>
      </c>
      <c r="BE776" s="523" t="str">
        <f t="shared" si="38"/>
        <v/>
      </c>
      <c r="BF776" s="523" t="str">
        <f t="shared" si="39"/>
        <v/>
      </c>
      <c r="BG776" s="523" t="str">
        <f t="shared" si="40"/>
        <v/>
      </c>
      <c r="BH776" s="523" t="str">
        <f t="shared" si="41"/>
        <v/>
      </c>
      <c r="BI776" s="523" t="str">
        <f t="shared" si="42"/>
        <v/>
      </c>
      <c r="BJ776" s="523" t="str">
        <f t="shared" si="43"/>
        <v/>
      </c>
      <c r="BK776" s="523" t="str">
        <f t="shared" si="44"/>
        <v/>
      </c>
      <c r="BL776" s="523" t="str">
        <f t="shared" si="45"/>
        <v/>
      </c>
      <c r="BM776" s="523" t="str">
        <f t="shared" si="46"/>
        <v/>
      </c>
      <c r="BN776" s="523" t="str">
        <f t="shared" si="47"/>
        <v/>
      </c>
      <c r="BO776" s="523" t="str">
        <f t="shared" si="48"/>
        <v/>
      </c>
      <c r="BP776" s="523" t="str">
        <f t="shared" si="49"/>
        <v/>
      </c>
      <c r="BQ776" s="523" t="str">
        <f t="shared" si="50"/>
        <v/>
      </c>
      <c r="BR776" s="523" t="str">
        <f t="shared" si="51"/>
        <v/>
      </c>
      <c r="BS776" s="523" t="str">
        <f t="shared" si="52"/>
        <v/>
      </c>
      <c r="BT776" s="523" t="str">
        <f t="shared" si="53"/>
        <v/>
      </c>
      <c r="BU776" s="523" t="str">
        <f t="shared" si="54"/>
        <v/>
      </c>
      <c r="BV776" s="523" t="str">
        <f t="shared" si="55"/>
        <v/>
      </c>
      <c r="BW776" s="523" t="str">
        <f t="shared" si="56"/>
        <v/>
      </c>
      <c r="BX776" s="523" t="str">
        <f t="shared" si="57"/>
        <v/>
      </c>
      <c r="BY776" s="523" t="str">
        <f t="shared" si="58"/>
        <v/>
      </c>
      <c r="BZ776" s="523" t="str">
        <f t="shared" si="59"/>
        <v/>
      </c>
      <c r="CA776" s="523" t="str">
        <f t="shared" si="60"/>
        <v/>
      </c>
      <c r="CB776" s="523" t="str">
        <f t="shared" si="61"/>
        <v/>
      </c>
      <c r="CC776" s="523" t="str">
        <f t="shared" si="62"/>
        <v/>
      </c>
      <c r="CD776" s="523" t="str">
        <f t="shared" si="63"/>
        <v/>
      </c>
      <c r="CE776" s="523" t="str">
        <f t="shared" si="64"/>
        <v/>
      </c>
      <c r="CF776" s="523" t="str">
        <f t="shared" si="65"/>
        <v/>
      </c>
      <c r="CG776" s="523" t="str">
        <f t="shared" si="66"/>
        <v/>
      </c>
      <c r="CH776" s="523" t="str">
        <f t="shared" si="67"/>
        <v/>
      </c>
      <c r="CI776" s="523" t="str">
        <f t="shared" si="68"/>
        <v/>
      </c>
      <c r="CJ776" s="523" t="str">
        <f t="shared" si="69"/>
        <v/>
      </c>
      <c r="CK776" s="523" t="str">
        <f t="shared" si="70"/>
        <v/>
      </c>
      <c r="CL776" s="523" t="str">
        <f t="shared" si="71"/>
        <v/>
      </c>
      <c r="CM776" s="523" t="str">
        <f t="shared" si="72"/>
        <v/>
      </c>
      <c r="CN776" s="523" t="str">
        <f t="shared" si="73"/>
        <v/>
      </c>
      <c r="CO776" s="523" t="str">
        <f t="shared" si="74"/>
        <v/>
      </c>
      <c r="CP776" s="523" t="str">
        <f t="shared" si="75"/>
        <v/>
      </c>
      <c r="CQ776" s="523" t="str">
        <f t="shared" si="76"/>
        <v/>
      </c>
      <c r="CR776" s="523" t="str">
        <f t="shared" si="77"/>
        <v/>
      </c>
      <c r="CS776" s="523" t="str">
        <f t="shared" si="78"/>
        <v/>
      </c>
      <c r="CT776" s="523" t="str">
        <f t="shared" si="79"/>
        <v/>
      </c>
      <c r="CU776" s="523" t="str">
        <f t="shared" si="80"/>
        <v/>
      </c>
      <c r="CV776" s="523" t="str">
        <f t="shared" si="81"/>
        <v/>
      </c>
      <c r="CW776" s="523" t="str">
        <f t="shared" si="82"/>
        <v/>
      </c>
      <c r="CX776" s="523" t="str">
        <f t="shared" si="83"/>
        <v/>
      </c>
      <c r="CY776" s="523" t="str">
        <f t="shared" si="84"/>
        <v/>
      </c>
      <c r="CZ776" s="523" t="str">
        <f t="shared" si="85"/>
        <v/>
      </c>
      <c r="DA776" s="523" t="str">
        <f t="shared" si="86"/>
        <v/>
      </c>
      <c r="DB776" s="523" t="str">
        <f t="shared" si="87"/>
        <v/>
      </c>
      <c r="DC776" s="523" t="str">
        <f t="shared" si="88"/>
        <v/>
      </c>
      <c r="DD776" s="523" t="str">
        <f t="shared" si="89"/>
        <v/>
      </c>
      <c r="DE776" s="523" t="str">
        <f t="shared" si="90"/>
        <v/>
      </c>
      <c r="DF776" s="523" t="str">
        <f t="shared" si="91"/>
        <v/>
      </c>
      <c r="DG776" s="523" t="str">
        <f t="shared" si="92"/>
        <v/>
      </c>
      <c r="DH776" s="523" t="str">
        <f t="shared" si="93"/>
        <v/>
      </c>
      <c r="DI776" s="523" t="str">
        <f t="shared" si="94"/>
        <v/>
      </c>
      <c r="DJ776" s="523" t="str">
        <f t="shared" si="95"/>
        <v/>
      </c>
      <c r="DK776" s="523" t="str">
        <f t="shared" si="96"/>
        <v/>
      </c>
      <c r="DL776" s="523" t="str">
        <f t="shared" si="97"/>
        <v/>
      </c>
      <c r="DM776" s="523" t="str">
        <f t="shared" si="98"/>
        <v/>
      </c>
      <c r="DN776" s="523" t="str">
        <f t="shared" si="99"/>
        <v/>
      </c>
      <c r="DO776" s="523" t="str">
        <f t="shared" si="100"/>
        <v/>
      </c>
      <c r="DP776" s="523" t="str">
        <f t="shared" si="101"/>
        <v/>
      </c>
      <c r="DQ776" s="523" t="str">
        <f t="shared" si="102"/>
        <v/>
      </c>
      <c r="DR776" s="523" t="str">
        <f t="shared" si="103"/>
        <v/>
      </c>
      <c r="DS776" s="523" t="str">
        <f t="shared" si="104"/>
        <v/>
      </c>
      <c r="DT776" s="523" t="str">
        <f t="shared" si="105"/>
        <v/>
      </c>
      <c r="DU776" s="523" t="str">
        <f t="shared" si="106"/>
        <v/>
      </c>
      <c r="DV776" s="523" t="str">
        <f t="shared" si="107"/>
        <v/>
      </c>
      <c r="DW776" s="523" t="str">
        <f t="shared" si="108"/>
        <v/>
      </c>
      <c r="DX776" s="523" t="str">
        <f t="shared" si="109"/>
        <v/>
      </c>
      <c r="DY776" s="523" t="str">
        <f t="shared" si="110"/>
        <v/>
      </c>
      <c r="DZ776" s="523" t="str">
        <f t="shared" si="111"/>
        <v/>
      </c>
      <c r="EA776" s="523" t="str">
        <f t="shared" si="112"/>
        <v/>
      </c>
      <c r="EB776" s="523" t="str">
        <f t="shared" si="113"/>
        <v/>
      </c>
      <c r="EC776" s="523" t="str">
        <f t="shared" si="114"/>
        <v/>
      </c>
      <c r="ED776" s="523" t="str">
        <f t="shared" si="115"/>
        <v/>
      </c>
      <c r="EE776" s="523" t="str">
        <f t="shared" si="116"/>
        <v/>
      </c>
      <c r="EF776" s="523" t="str">
        <f t="shared" si="117"/>
        <v/>
      </c>
      <c r="EG776" s="523" t="str">
        <f t="shared" si="118"/>
        <v/>
      </c>
      <c r="EH776" s="523" t="str">
        <f t="shared" si="119"/>
        <v/>
      </c>
      <c r="EI776" s="523" t="str">
        <f t="shared" si="120"/>
        <v/>
      </c>
      <c r="EJ776" s="523" t="str">
        <f t="shared" si="121"/>
        <v/>
      </c>
      <c r="EK776" s="523" t="str">
        <f t="shared" si="122"/>
        <v/>
      </c>
      <c r="EL776" s="523" t="str">
        <f t="shared" si="123"/>
        <v/>
      </c>
      <c r="EM776" s="523" t="str">
        <f t="shared" si="124"/>
        <v/>
      </c>
      <c r="EN776" s="523" t="str">
        <f t="shared" si="125"/>
        <v/>
      </c>
      <c r="EO776" s="523" t="str">
        <f t="shared" si="126"/>
        <v/>
      </c>
      <c r="EP776" s="523" t="str">
        <f t="shared" si="127"/>
        <v/>
      </c>
      <c r="EQ776" s="523" t="str">
        <f t="shared" si="128"/>
        <v/>
      </c>
      <c r="ER776" s="523" t="str">
        <f t="shared" si="129"/>
        <v/>
      </c>
      <c r="ES776" s="523" t="str">
        <f t="shared" si="130"/>
        <v/>
      </c>
      <c r="ET776" s="523" t="str">
        <f t="shared" si="131"/>
        <v/>
      </c>
      <c r="EU776" s="523" t="str">
        <f t="shared" si="132"/>
        <v/>
      </c>
      <c r="EV776" s="523" t="str">
        <f t="shared" si="133"/>
        <v/>
      </c>
      <c r="EW776" s="3336" t="str">
        <f t="shared" si="134"/>
        <v/>
      </c>
      <c r="EX776" s="3336" t="str">
        <f t="shared" si="135"/>
        <v/>
      </c>
      <c r="EY776" s="3336" t="str">
        <f t="shared" si="136"/>
        <v/>
      </c>
      <c r="EZ776" s="3336" t="str">
        <f t="shared" si="137"/>
        <v/>
      </c>
      <c r="FA776" s="3336" t="str">
        <f t="shared" si="138"/>
        <v/>
      </c>
      <c r="FB776" s="3336" t="str">
        <f t="shared" si="139"/>
        <v/>
      </c>
      <c r="FC776" s="3336" t="str">
        <f t="shared" si="140"/>
        <v/>
      </c>
      <c r="FD776" s="3336" t="str">
        <f t="shared" si="141"/>
        <v/>
      </c>
      <c r="FE776" s="3336" t="str">
        <f t="shared" si="142"/>
        <v/>
      </c>
      <c r="FF776" s="3336" t="str">
        <f t="shared" si="143"/>
        <v/>
      </c>
      <c r="FG776" s="3336" t="str">
        <f t="shared" si="144"/>
        <v/>
      </c>
      <c r="FH776" s="3336" t="str">
        <f t="shared" si="145"/>
        <v/>
      </c>
      <c r="FI776" s="3336" t="str">
        <f t="shared" si="146"/>
        <v/>
      </c>
      <c r="FJ776" s="3336" t="str">
        <f t="shared" si="147"/>
        <v/>
      </c>
      <c r="FK776" s="3336" t="str">
        <f t="shared" si="148"/>
        <v/>
      </c>
      <c r="FL776" s="3336" t="str">
        <f t="shared" si="149"/>
        <v/>
      </c>
      <c r="FM776" s="3336" t="str">
        <f t="shared" si="150"/>
        <v/>
      </c>
      <c r="FN776" s="3336" t="str">
        <f t="shared" si="151"/>
        <v/>
      </c>
      <c r="FO776" s="3336" t="str">
        <f t="shared" si="152"/>
        <v/>
      </c>
      <c r="FP776" s="3336" t="str">
        <f t="shared" si="153"/>
        <v/>
      </c>
      <c r="FQ776" s="3336" t="str">
        <f t="shared" si="154"/>
        <v/>
      </c>
      <c r="FR776" s="3336" t="str">
        <f t="shared" si="155"/>
        <v/>
      </c>
      <c r="FS776" s="3336" t="str">
        <f t="shared" si="156"/>
        <v/>
      </c>
      <c r="FT776" s="3336" t="str">
        <f t="shared" si="157"/>
        <v/>
      </c>
      <c r="FU776" s="3336" t="str">
        <f t="shared" si="158"/>
        <v/>
      </c>
      <c r="FV776" s="3336" t="str">
        <f t="shared" si="159"/>
        <v/>
      </c>
      <c r="FW776" s="3336" t="str">
        <f t="shared" si="160"/>
        <v/>
      </c>
      <c r="FX776" s="3336" t="str">
        <f t="shared" si="161"/>
        <v/>
      </c>
      <c r="FY776" s="3336" t="str">
        <f t="shared" si="162"/>
        <v/>
      </c>
      <c r="FZ776" s="3336" t="str">
        <f t="shared" si="163"/>
        <v/>
      </c>
      <c r="GA776" s="3336" t="str">
        <f t="shared" si="164"/>
        <v/>
      </c>
      <c r="GB776" s="3336" t="str">
        <f t="shared" si="165"/>
        <v/>
      </c>
      <c r="GC776" s="3336" t="str">
        <f t="shared" si="166"/>
        <v/>
      </c>
      <c r="GD776" s="3336" t="str">
        <f t="shared" si="167"/>
        <v/>
      </c>
      <c r="GE776" s="3336" t="str">
        <f t="shared" si="168"/>
        <v/>
      </c>
      <c r="GF776" s="3336" t="str">
        <f t="shared" si="169"/>
        <v/>
      </c>
      <c r="GG776" s="3336" t="str">
        <f t="shared" si="170"/>
        <v/>
      </c>
      <c r="GH776" s="3336" t="str">
        <f t="shared" si="171"/>
        <v/>
      </c>
      <c r="GI776" s="3336" t="str">
        <f t="shared" si="172"/>
        <v/>
      </c>
      <c r="GJ776" s="3336" t="str">
        <f t="shared" si="173"/>
        <v/>
      </c>
      <c r="GK776" s="3336" t="str">
        <f t="shared" si="174"/>
        <v/>
      </c>
      <c r="GL776" s="3336" t="str">
        <f t="shared" si="175"/>
        <v/>
      </c>
      <c r="GM776" s="3336" t="str">
        <f t="shared" si="176"/>
        <v/>
      </c>
      <c r="GN776" s="3336" t="str">
        <f t="shared" si="177"/>
        <v/>
      </c>
      <c r="GO776" s="3336" t="str">
        <f t="shared" si="178"/>
        <v/>
      </c>
      <c r="GP776" s="3336" t="str">
        <f t="shared" si="179"/>
        <v/>
      </c>
      <c r="GQ776" s="3336" t="str">
        <f t="shared" si="180"/>
        <v/>
      </c>
      <c r="GR776" s="3336" t="str">
        <f t="shared" si="181"/>
        <v/>
      </c>
      <c r="GS776" s="3336" t="str">
        <f t="shared" si="182"/>
        <v/>
      </c>
      <c r="GT776" s="3336" t="str">
        <f t="shared" si="183"/>
        <v/>
      </c>
      <c r="GU776" s="3336" t="str">
        <f t="shared" si="184"/>
        <v/>
      </c>
      <c r="GV776" s="3336" t="str">
        <f t="shared" si="185"/>
        <v/>
      </c>
      <c r="GW776" s="3336" t="str">
        <f t="shared" si="186"/>
        <v/>
      </c>
      <c r="GX776" s="3336" t="str">
        <f t="shared" si="187"/>
        <v/>
      </c>
      <c r="GY776" s="3336" t="str">
        <f t="shared" si="188"/>
        <v/>
      </c>
      <c r="GZ776" s="3336" t="str">
        <f t="shared" si="189"/>
        <v/>
      </c>
      <c r="HA776" s="3336" t="str">
        <f t="shared" si="190"/>
        <v/>
      </c>
      <c r="HB776" s="3336" t="str">
        <f t="shared" si="191"/>
        <v/>
      </c>
      <c r="HC776" s="3336" t="str">
        <f t="shared" si="192"/>
        <v/>
      </c>
      <c r="HD776" s="3336" t="str">
        <f t="shared" si="193"/>
        <v/>
      </c>
      <c r="HE776" s="3336" t="str">
        <f t="shared" si="194"/>
        <v/>
      </c>
      <c r="HF776" s="3336" t="str">
        <f t="shared" si="195"/>
        <v/>
      </c>
      <c r="HG776" s="3336" t="str">
        <f t="shared" si="196"/>
        <v/>
      </c>
      <c r="HH776" s="3336" t="str">
        <f t="shared" si="197"/>
        <v/>
      </c>
      <c r="HI776" s="3336" t="str">
        <f t="shared" si="198"/>
        <v/>
      </c>
      <c r="HJ776" s="3336" t="str">
        <f t="shared" si="199"/>
        <v/>
      </c>
      <c r="HK776" s="3336" t="str">
        <f t="shared" si="200"/>
        <v/>
      </c>
      <c r="HL776" s="3336" t="str">
        <f t="shared" si="201"/>
        <v/>
      </c>
      <c r="HM776" s="3336" t="str">
        <f t="shared" si="202"/>
        <v/>
      </c>
      <c r="HN776" s="3336" t="str">
        <f t="shared" si="203"/>
        <v/>
      </c>
      <c r="HO776" s="3336" t="str">
        <f t="shared" si="204"/>
        <v/>
      </c>
      <c r="HP776" s="3336" t="str">
        <f t="shared" si="205"/>
        <v/>
      </c>
      <c r="HQ776" s="3336" t="str">
        <f t="shared" si="206"/>
        <v/>
      </c>
      <c r="HR776" s="3336" t="str">
        <f t="shared" si="207"/>
        <v/>
      </c>
      <c r="HS776" s="3336" t="str">
        <f t="shared" si="208"/>
        <v/>
      </c>
      <c r="HT776" s="3336" t="str">
        <f t="shared" si="209"/>
        <v/>
      </c>
      <c r="HU776" s="3336" t="str">
        <f t="shared" si="210"/>
        <v/>
      </c>
      <c r="HV776" s="3336" t="str">
        <f t="shared" si="211"/>
        <v/>
      </c>
      <c r="HW776" s="3336" t="str">
        <f t="shared" si="212"/>
        <v/>
      </c>
      <c r="HX776" s="3336" t="str">
        <f t="shared" si="213"/>
        <v/>
      </c>
      <c r="HY776" s="3336" t="str">
        <f t="shared" si="214"/>
        <v/>
      </c>
      <c r="HZ776" s="3336" t="str">
        <f t="shared" si="215"/>
        <v/>
      </c>
      <c r="IA776" s="3336" t="str">
        <f t="shared" si="216"/>
        <v/>
      </c>
      <c r="IB776" s="3336" t="str">
        <f t="shared" si="217"/>
        <v/>
      </c>
      <c r="IC776" s="3336" t="str">
        <f t="shared" si="218"/>
        <v/>
      </c>
      <c r="ID776" s="3308" t="str">
        <f t="shared" si="219"/>
        <v/>
      </c>
      <c r="IE776" s="3308" t="str">
        <f t="shared" si="220"/>
        <v/>
      </c>
      <c r="IF776" s="3308" t="str">
        <f t="shared" si="221"/>
        <v/>
      </c>
      <c r="IG776" s="3308" t="str">
        <f t="shared" si="222"/>
        <v/>
      </c>
      <c r="IH776" s="3308" t="str">
        <f t="shared" si="223"/>
        <v/>
      </c>
      <c r="II776" s="523" t="str">
        <f t="shared" si="224"/>
        <v/>
      </c>
      <c r="IJ776" s="523" t="str">
        <f t="shared" si="225"/>
        <v/>
      </c>
      <c r="IK776" s="523" t="str">
        <f t="shared" si="226"/>
        <v/>
      </c>
      <c r="IL776" s="523" t="str">
        <f t="shared" si="227"/>
        <v/>
      </c>
      <c r="IM776" s="523" t="str">
        <f t="shared" si="228"/>
        <v/>
      </c>
      <c r="IN776" s="523" t="str">
        <f t="shared" si="229"/>
        <v/>
      </c>
      <c r="IO776" s="523" t="str">
        <f t="shared" si="230"/>
        <v/>
      </c>
      <c r="IP776" s="523" t="str">
        <f t="shared" si="231"/>
        <v/>
      </c>
      <c r="IQ776" s="523" t="str">
        <f t="shared" si="232"/>
        <v/>
      </c>
      <c r="IR776" s="523" t="str">
        <f t="shared" si="233"/>
        <v/>
      </c>
      <c r="IS776" s="523" t="str">
        <f t="shared" si="234"/>
        <v/>
      </c>
      <c r="IT776" s="523" t="str">
        <f t="shared" si="235"/>
        <v/>
      </c>
      <c r="IU776" s="523" t="str">
        <f t="shared" si="236"/>
        <v/>
      </c>
      <c r="IV776" s="523" t="str">
        <f t="shared" si="237"/>
        <v/>
      </c>
      <c r="IW776" s="523" t="str">
        <f t="shared" si="238"/>
        <v/>
      </c>
      <c r="IX776" s="523" t="str">
        <f t="shared" si="239"/>
        <v/>
      </c>
      <c r="IY776" s="523" t="str">
        <f t="shared" si="240"/>
        <v/>
      </c>
      <c r="IZ776" s="523" t="str">
        <f t="shared" si="241"/>
        <v/>
      </c>
      <c r="JA776" s="523" t="str">
        <f t="shared" si="242"/>
        <v/>
      </c>
      <c r="JB776" s="523" t="str">
        <f t="shared" si="243"/>
        <v/>
      </c>
      <c r="JC776" s="3306">
        <f t="shared" si="244"/>
        <v>0</v>
      </c>
      <c r="JD776" s="3306">
        <f t="shared" si="245"/>
        <v>0</v>
      </c>
      <c r="JE776" s="3306">
        <f t="shared" si="246"/>
        <v>0</v>
      </c>
      <c r="JF776" s="3306">
        <f t="shared" si="247"/>
        <v>0</v>
      </c>
      <c r="JG776" s="3306">
        <f t="shared" si="248"/>
        <v>0</v>
      </c>
      <c r="JH776" s="3306">
        <f t="shared" si="249"/>
        <v>0</v>
      </c>
      <c r="JI776" s="3306">
        <f t="shared" si="250"/>
        <v>0</v>
      </c>
      <c r="JJ776" s="3306">
        <f t="shared" si="251"/>
        <v>0</v>
      </c>
      <c r="JK776" s="3306">
        <f t="shared" si="252"/>
        <v>0</v>
      </c>
      <c r="JL776" s="3306">
        <f t="shared" si="253"/>
        <v>0</v>
      </c>
      <c r="JM776" s="3306">
        <f t="shared" si="254"/>
        <v>0</v>
      </c>
      <c r="JN776" s="3306">
        <f t="shared" si="255"/>
        <v>0</v>
      </c>
      <c r="JO776" s="3306">
        <f t="shared" si="256"/>
        <v>0</v>
      </c>
      <c r="JP776" s="3306">
        <f t="shared" si="257"/>
        <v>0</v>
      </c>
      <c r="JQ776" s="3306">
        <f t="shared" si="258"/>
        <v>0</v>
      </c>
    </row>
    <row r="777" spans="1:277" ht="12" customHeight="1">
      <c r="A777" s="3319" t="str">
        <f t="shared" si="1"/>
        <v/>
      </c>
      <c r="B777" s="3328" t="str">
        <f>'Part VI-Revenues &amp; Expenses'!B20</f>
        <v>&lt;&lt;Select&gt;&gt;</v>
      </c>
      <c r="C777" s="3329">
        <f>'Part VI-Revenues &amp; Expenses'!C20</f>
        <v>0</v>
      </c>
      <c r="D777" s="3330">
        <f>'Part VI-Revenues &amp; Expenses'!D20</f>
        <v>0</v>
      </c>
      <c r="E777" s="3331">
        <f>'Part VI-Revenues &amp; Expenses'!E20</f>
        <v>0</v>
      </c>
      <c r="F777" s="3331">
        <f>'Part VI-Revenues &amp; Expenses'!F20</f>
        <v>0</v>
      </c>
      <c r="G777" s="3331">
        <f>'Part VI-Revenues &amp; Expenses'!G20</f>
        <v>0</v>
      </c>
      <c r="H777" s="3331">
        <f>'Part VI-Revenues &amp; Expenses'!H20</f>
        <v>0</v>
      </c>
      <c r="I777" s="3331">
        <f>'Part VI-Revenues &amp; Expenses'!I20</f>
        <v>0</v>
      </c>
      <c r="J777" s="3332">
        <f>'Part VI-Revenues &amp; Expenses'!J20</f>
        <v>0</v>
      </c>
      <c r="K777" s="3333">
        <f t="shared" si="2"/>
        <v>0</v>
      </c>
      <c r="L777" s="3333">
        <f t="shared" si="3"/>
        <v>0</v>
      </c>
      <c r="M777" s="3207">
        <f>'Part VI-Revenues &amp; Expenses'!M20</f>
        <v>0</v>
      </c>
      <c r="N777" s="3207">
        <f>'Part VI-Revenues &amp; Expenses'!N20</f>
        <v>0</v>
      </c>
      <c r="O777" s="3207">
        <f>'Part VI-Revenues &amp; Expenses'!O20</f>
        <v>0</v>
      </c>
      <c r="P777" s="3313">
        <f>'Part VI-Revenues &amp; Expenses'!P20</f>
        <v>0</v>
      </c>
      <c r="Q777" s="3334" t="str">
        <f>'Part VI-Revenues &amp; Expenses'!Q20</f>
        <v/>
      </c>
      <c r="R777" s="3335" t="str">
        <f>'Part VI-Revenues &amp; Expenses'!R20</f>
        <v/>
      </c>
      <c r="S777" s="3334">
        <f>'Part VI-Revenues &amp; Expenses'!S20</f>
        <v>0</v>
      </c>
      <c r="T777" s="3335">
        <f>'Part VI-Revenues &amp; Expenses'!T20</f>
        <v>0</v>
      </c>
      <c r="U777" s="3257"/>
      <c r="V777" s="3257"/>
      <c r="W777" s="523" t="str">
        <f t="shared" si="4"/>
        <v/>
      </c>
      <c r="X777" s="523" t="str">
        <f t="shared" si="5"/>
        <v/>
      </c>
      <c r="Y777" s="523" t="str">
        <f t="shared" si="6"/>
        <v/>
      </c>
      <c r="Z777" s="523" t="str">
        <f t="shared" si="7"/>
        <v/>
      </c>
      <c r="AA777" s="523" t="str">
        <f t="shared" si="8"/>
        <v/>
      </c>
      <c r="AB777" s="523" t="str">
        <f t="shared" si="9"/>
        <v/>
      </c>
      <c r="AC777" s="523" t="str">
        <f t="shared" si="10"/>
        <v/>
      </c>
      <c r="AD777" s="523" t="str">
        <f t="shared" si="11"/>
        <v/>
      </c>
      <c r="AE777" s="523" t="str">
        <f t="shared" si="12"/>
        <v/>
      </c>
      <c r="AF777" s="523" t="str">
        <f t="shared" si="13"/>
        <v/>
      </c>
      <c r="AG777" s="523" t="str">
        <f t="shared" si="14"/>
        <v/>
      </c>
      <c r="AH777" s="523" t="str">
        <f t="shared" si="15"/>
        <v/>
      </c>
      <c r="AI777" s="523" t="str">
        <f t="shared" si="16"/>
        <v/>
      </c>
      <c r="AJ777" s="523" t="str">
        <f t="shared" si="17"/>
        <v/>
      </c>
      <c r="AK777" s="523" t="str">
        <f t="shared" si="18"/>
        <v/>
      </c>
      <c r="AL777" s="523" t="str">
        <f t="shared" si="19"/>
        <v/>
      </c>
      <c r="AM777" s="523" t="str">
        <f t="shared" si="20"/>
        <v/>
      </c>
      <c r="AN777" s="523" t="str">
        <f t="shared" si="21"/>
        <v/>
      </c>
      <c r="AO777" s="523" t="str">
        <f t="shared" si="22"/>
        <v/>
      </c>
      <c r="AP777" s="523" t="str">
        <f t="shared" si="23"/>
        <v/>
      </c>
      <c r="AQ777" s="523" t="str">
        <f t="shared" si="24"/>
        <v/>
      </c>
      <c r="AR777" s="523" t="str">
        <f t="shared" si="25"/>
        <v/>
      </c>
      <c r="AS777" s="523" t="str">
        <f t="shared" si="26"/>
        <v/>
      </c>
      <c r="AT777" s="523" t="str">
        <f t="shared" si="27"/>
        <v/>
      </c>
      <c r="AU777" s="523" t="str">
        <f t="shared" si="28"/>
        <v/>
      </c>
      <c r="AV777" s="523" t="str">
        <f t="shared" si="29"/>
        <v/>
      </c>
      <c r="AW777" s="523" t="str">
        <f t="shared" si="30"/>
        <v/>
      </c>
      <c r="AX777" s="523" t="str">
        <f t="shared" si="31"/>
        <v/>
      </c>
      <c r="AY777" s="523" t="str">
        <f t="shared" si="32"/>
        <v/>
      </c>
      <c r="AZ777" s="523" t="str">
        <f t="shared" si="33"/>
        <v/>
      </c>
      <c r="BA777" s="523" t="str">
        <f t="shared" si="34"/>
        <v/>
      </c>
      <c r="BB777" s="523" t="str">
        <f t="shared" si="35"/>
        <v/>
      </c>
      <c r="BC777" s="523" t="str">
        <f t="shared" si="36"/>
        <v/>
      </c>
      <c r="BD777" s="523" t="str">
        <f t="shared" si="37"/>
        <v/>
      </c>
      <c r="BE777" s="523" t="str">
        <f t="shared" si="38"/>
        <v/>
      </c>
      <c r="BF777" s="523" t="str">
        <f t="shared" si="39"/>
        <v/>
      </c>
      <c r="BG777" s="523" t="str">
        <f t="shared" si="40"/>
        <v/>
      </c>
      <c r="BH777" s="523" t="str">
        <f t="shared" si="41"/>
        <v/>
      </c>
      <c r="BI777" s="523" t="str">
        <f t="shared" si="42"/>
        <v/>
      </c>
      <c r="BJ777" s="523" t="str">
        <f t="shared" si="43"/>
        <v/>
      </c>
      <c r="BK777" s="523" t="str">
        <f t="shared" si="44"/>
        <v/>
      </c>
      <c r="BL777" s="523" t="str">
        <f t="shared" si="45"/>
        <v/>
      </c>
      <c r="BM777" s="523" t="str">
        <f t="shared" si="46"/>
        <v/>
      </c>
      <c r="BN777" s="523" t="str">
        <f t="shared" si="47"/>
        <v/>
      </c>
      <c r="BO777" s="523" t="str">
        <f t="shared" si="48"/>
        <v/>
      </c>
      <c r="BP777" s="523" t="str">
        <f t="shared" si="49"/>
        <v/>
      </c>
      <c r="BQ777" s="523" t="str">
        <f t="shared" si="50"/>
        <v/>
      </c>
      <c r="BR777" s="523" t="str">
        <f t="shared" si="51"/>
        <v/>
      </c>
      <c r="BS777" s="523" t="str">
        <f t="shared" si="52"/>
        <v/>
      </c>
      <c r="BT777" s="523" t="str">
        <f t="shared" si="53"/>
        <v/>
      </c>
      <c r="BU777" s="523" t="str">
        <f t="shared" si="54"/>
        <v/>
      </c>
      <c r="BV777" s="523" t="str">
        <f t="shared" si="55"/>
        <v/>
      </c>
      <c r="BW777" s="523" t="str">
        <f t="shared" si="56"/>
        <v/>
      </c>
      <c r="BX777" s="523" t="str">
        <f t="shared" si="57"/>
        <v/>
      </c>
      <c r="BY777" s="523" t="str">
        <f t="shared" si="58"/>
        <v/>
      </c>
      <c r="BZ777" s="523" t="str">
        <f t="shared" si="59"/>
        <v/>
      </c>
      <c r="CA777" s="523" t="str">
        <f t="shared" si="60"/>
        <v/>
      </c>
      <c r="CB777" s="523" t="str">
        <f t="shared" si="61"/>
        <v/>
      </c>
      <c r="CC777" s="523" t="str">
        <f t="shared" si="62"/>
        <v/>
      </c>
      <c r="CD777" s="523" t="str">
        <f t="shared" si="63"/>
        <v/>
      </c>
      <c r="CE777" s="523" t="str">
        <f t="shared" si="64"/>
        <v/>
      </c>
      <c r="CF777" s="523" t="str">
        <f t="shared" si="65"/>
        <v/>
      </c>
      <c r="CG777" s="523" t="str">
        <f t="shared" si="66"/>
        <v/>
      </c>
      <c r="CH777" s="523" t="str">
        <f t="shared" si="67"/>
        <v/>
      </c>
      <c r="CI777" s="523" t="str">
        <f t="shared" si="68"/>
        <v/>
      </c>
      <c r="CJ777" s="523" t="str">
        <f t="shared" si="69"/>
        <v/>
      </c>
      <c r="CK777" s="523" t="str">
        <f t="shared" si="70"/>
        <v/>
      </c>
      <c r="CL777" s="523" t="str">
        <f t="shared" si="71"/>
        <v/>
      </c>
      <c r="CM777" s="523" t="str">
        <f t="shared" si="72"/>
        <v/>
      </c>
      <c r="CN777" s="523" t="str">
        <f t="shared" si="73"/>
        <v/>
      </c>
      <c r="CO777" s="523" t="str">
        <f t="shared" si="74"/>
        <v/>
      </c>
      <c r="CP777" s="523" t="str">
        <f t="shared" si="75"/>
        <v/>
      </c>
      <c r="CQ777" s="523" t="str">
        <f t="shared" si="76"/>
        <v/>
      </c>
      <c r="CR777" s="523" t="str">
        <f t="shared" si="77"/>
        <v/>
      </c>
      <c r="CS777" s="523" t="str">
        <f t="shared" si="78"/>
        <v/>
      </c>
      <c r="CT777" s="523" t="str">
        <f t="shared" si="79"/>
        <v/>
      </c>
      <c r="CU777" s="523" t="str">
        <f t="shared" si="80"/>
        <v/>
      </c>
      <c r="CV777" s="523" t="str">
        <f t="shared" si="81"/>
        <v/>
      </c>
      <c r="CW777" s="523" t="str">
        <f t="shared" si="82"/>
        <v/>
      </c>
      <c r="CX777" s="523" t="str">
        <f t="shared" si="83"/>
        <v/>
      </c>
      <c r="CY777" s="523" t="str">
        <f t="shared" si="84"/>
        <v/>
      </c>
      <c r="CZ777" s="523" t="str">
        <f t="shared" si="85"/>
        <v/>
      </c>
      <c r="DA777" s="523" t="str">
        <f t="shared" si="86"/>
        <v/>
      </c>
      <c r="DB777" s="523" t="str">
        <f t="shared" si="87"/>
        <v/>
      </c>
      <c r="DC777" s="523" t="str">
        <f t="shared" si="88"/>
        <v/>
      </c>
      <c r="DD777" s="523" t="str">
        <f t="shared" si="89"/>
        <v/>
      </c>
      <c r="DE777" s="523" t="str">
        <f t="shared" si="90"/>
        <v/>
      </c>
      <c r="DF777" s="523" t="str">
        <f t="shared" si="91"/>
        <v/>
      </c>
      <c r="DG777" s="523" t="str">
        <f t="shared" si="92"/>
        <v/>
      </c>
      <c r="DH777" s="523" t="str">
        <f t="shared" si="93"/>
        <v/>
      </c>
      <c r="DI777" s="523" t="str">
        <f t="shared" si="94"/>
        <v/>
      </c>
      <c r="DJ777" s="523" t="str">
        <f t="shared" si="95"/>
        <v/>
      </c>
      <c r="DK777" s="523" t="str">
        <f t="shared" si="96"/>
        <v/>
      </c>
      <c r="DL777" s="523" t="str">
        <f t="shared" si="97"/>
        <v/>
      </c>
      <c r="DM777" s="523" t="str">
        <f t="shared" si="98"/>
        <v/>
      </c>
      <c r="DN777" s="523" t="str">
        <f t="shared" si="99"/>
        <v/>
      </c>
      <c r="DO777" s="523" t="str">
        <f t="shared" si="100"/>
        <v/>
      </c>
      <c r="DP777" s="523" t="str">
        <f t="shared" si="101"/>
        <v/>
      </c>
      <c r="DQ777" s="523" t="str">
        <f t="shared" si="102"/>
        <v/>
      </c>
      <c r="DR777" s="523" t="str">
        <f t="shared" si="103"/>
        <v/>
      </c>
      <c r="DS777" s="523" t="str">
        <f t="shared" si="104"/>
        <v/>
      </c>
      <c r="DT777" s="523" t="str">
        <f t="shared" si="105"/>
        <v/>
      </c>
      <c r="DU777" s="523" t="str">
        <f t="shared" si="106"/>
        <v/>
      </c>
      <c r="DV777" s="523" t="str">
        <f t="shared" si="107"/>
        <v/>
      </c>
      <c r="DW777" s="523" t="str">
        <f t="shared" si="108"/>
        <v/>
      </c>
      <c r="DX777" s="523" t="str">
        <f t="shared" si="109"/>
        <v/>
      </c>
      <c r="DY777" s="523" t="str">
        <f t="shared" si="110"/>
        <v/>
      </c>
      <c r="DZ777" s="523" t="str">
        <f t="shared" si="111"/>
        <v/>
      </c>
      <c r="EA777" s="523" t="str">
        <f t="shared" si="112"/>
        <v/>
      </c>
      <c r="EB777" s="523" t="str">
        <f t="shared" si="113"/>
        <v/>
      </c>
      <c r="EC777" s="523" t="str">
        <f t="shared" si="114"/>
        <v/>
      </c>
      <c r="ED777" s="523" t="str">
        <f t="shared" si="115"/>
        <v/>
      </c>
      <c r="EE777" s="523" t="str">
        <f t="shared" si="116"/>
        <v/>
      </c>
      <c r="EF777" s="523" t="str">
        <f t="shared" si="117"/>
        <v/>
      </c>
      <c r="EG777" s="523" t="str">
        <f t="shared" si="118"/>
        <v/>
      </c>
      <c r="EH777" s="523" t="str">
        <f t="shared" si="119"/>
        <v/>
      </c>
      <c r="EI777" s="523" t="str">
        <f t="shared" si="120"/>
        <v/>
      </c>
      <c r="EJ777" s="523" t="str">
        <f t="shared" si="121"/>
        <v/>
      </c>
      <c r="EK777" s="523" t="str">
        <f t="shared" si="122"/>
        <v/>
      </c>
      <c r="EL777" s="523" t="str">
        <f t="shared" si="123"/>
        <v/>
      </c>
      <c r="EM777" s="523" t="str">
        <f t="shared" si="124"/>
        <v/>
      </c>
      <c r="EN777" s="523" t="str">
        <f t="shared" si="125"/>
        <v/>
      </c>
      <c r="EO777" s="523" t="str">
        <f t="shared" si="126"/>
        <v/>
      </c>
      <c r="EP777" s="523" t="str">
        <f t="shared" si="127"/>
        <v/>
      </c>
      <c r="EQ777" s="523" t="str">
        <f t="shared" si="128"/>
        <v/>
      </c>
      <c r="ER777" s="523" t="str">
        <f t="shared" si="129"/>
        <v/>
      </c>
      <c r="ES777" s="523" t="str">
        <f t="shared" si="130"/>
        <v/>
      </c>
      <c r="ET777" s="523" t="str">
        <f t="shared" si="131"/>
        <v/>
      </c>
      <c r="EU777" s="523" t="str">
        <f t="shared" si="132"/>
        <v/>
      </c>
      <c r="EV777" s="523" t="str">
        <f t="shared" si="133"/>
        <v/>
      </c>
      <c r="EW777" s="3336" t="str">
        <f t="shared" si="134"/>
        <v/>
      </c>
      <c r="EX777" s="3336" t="str">
        <f t="shared" si="135"/>
        <v/>
      </c>
      <c r="EY777" s="3336" t="str">
        <f t="shared" si="136"/>
        <v/>
      </c>
      <c r="EZ777" s="3336" t="str">
        <f t="shared" si="137"/>
        <v/>
      </c>
      <c r="FA777" s="3336" t="str">
        <f t="shared" si="138"/>
        <v/>
      </c>
      <c r="FB777" s="3336" t="str">
        <f t="shared" si="139"/>
        <v/>
      </c>
      <c r="FC777" s="3336" t="str">
        <f t="shared" si="140"/>
        <v/>
      </c>
      <c r="FD777" s="3336" t="str">
        <f t="shared" si="141"/>
        <v/>
      </c>
      <c r="FE777" s="3336" t="str">
        <f t="shared" si="142"/>
        <v/>
      </c>
      <c r="FF777" s="3336" t="str">
        <f t="shared" si="143"/>
        <v/>
      </c>
      <c r="FG777" s="3336" t="str">
        <f t="shared" si="144"/>
        <v/>
      </c>
      <c r="FH777" s="3336" t="str">
        <f t="shared" si="145"/>
        <v/>
      </c>
      <c r="FI777" s="3336" t="str">
        <f t="shared" si="146"/>
        <v/>
      </c>
      <c r="FJ777" s="3336" t="str">
        <f t="shared" si="147"/>
        <v/>
      </c>
      <c r="FK777" s="3336" t="str">
        <f t="shared" si="148"/>
        <v/>
      </c>
      <c r="FL777" s="3336" t="str">
        <f t="shared" si="149"/>
        <v/>
      </c>
      <c r="FM777" s="3336" t="str">
        <f t="shared" si="150"/>
        <v/>
      </c>
      <c r="FN777" s="3336" t="str">
        <f t="shared" si="151"/>
        <v/>
      </c>
      <c r="FO777" s="3336" t="str">
        <f t="shared" si="152"/>
        <v/>
      </c>
      <c r="FP777" s="3336" t="str">
        <f t="shared" si="153"/>
        <v/>
      </c>
      <c r="FQ777" s="3336" t="str">
        <f t="shared" si="154"/>
        <v/>
      </c>
      <c r="FR777" s="3336" t="str">
        <f t="shared" si="155"/>
        <v/>
      </c>
      <c r="FS777" s="3336" t="str">
        <f t="shared" si="156"/>
        <v/>
      </c>
      <c r="FT777" s="3336" t="str">
        <f t="shared" si="157"/>
        <v/>
      </c>
      <c r="FU777" s="3336" t="str">
        <f t="shared" si="158"/>
        <v/>
      </c>
      <c r="FV777" s="3336" t="str">
        <f t="shared" si="159"/>
        <v/>
      </c>
      <c r="FW777" s="3336" t="str">
        <f t="shared" si="160"/>
        <v/>
      </c>
      <c r="FX777" s="3336" t="str">
        <f t="shared" si="161"/>
        <v/>
      </c>
      <c r="FY777" s="3336" t="str">
        <f t="shared" si="162"/>
        <v/>
      </c>
      <c r="FZ777" s="3336" t="str">
        <f t="shared" si="163"/>
        <v/>
      </c>
      <c r="GA777" s="3336" t="str">
        <f t="shared" si="164"/>
        <v/>
      </c>
      <c r="GB777" s="3336" t="str">
        <f t="shared" si="165"/>
        <v/>
      </c>
      <c r="GC777" s="3336" t="str">
        <f t="shared" si="166"/>
        <v/>
      </c>
      <c r="GD777" s="3336" t="str">
        <f t="shared" si="167"/>
        <v/>
      </c>
      <c r="GE777" s="3336" t="str">
        <f t="shared" si="168"/>
        <v/>
      </c>
      <c r="GF777" s="3336" t="str">
        <f t="shared" si="169"/>
        <v/>
      </c>
      <c r="GG777" s="3336" t="str">
        <f t="shared" si="170"/>
        <v/>
      </c>
      <c r="GH777" s="3336" t="str">
        <f t="shared" si="171"/>
        <v/>
      </c>
      <c r="GI777" s="3336" t="str">
        <f t="shared" si="172"/>
        <v/>
      </c>
      <c r="GJ777" s="3336" t="str">
        <f t="shared" si="173"/>
        <v/>
      </c>
      <c r="GK777" s="3336" t="str">
        <f t="shared" si="174"/>
        <v/>
      </c>
      <c r="GL777" s="3336" t="str">
        <f t="shared" si="175"/>
        <v/>
      </c>
      <c r="GM777" s="3336" t="str">
        <f t="shared" si="176"/>
        <v/>
      </c>
      <c r="GN777" s="3336" t="str">
        <f t="shared" si="177"/>
        <v/>
      </c>
      <c r="GO777" s="3336" t="str">
        <f t="shared" si="178"/>
        <v/>
      </c>
      <c r="GP777" s="3336" t="str">
        <f t="shared" si="179"/>
        <v/>
      </c>
      <c r="GQ777" s="3336" t="str">
        <f t="shared" si="180"/>
        <v/>
      </c>
      <c r="GR777" s="3336" t="str">
        <f t="shared" si="181"/>
        <v/>
      </c>
      <c r="GS777" s="3336" t="str">
        <f t="shared" si="182"/>
        <v/>
      </c>
      <c r="GT777" s="3336" t="str">
        <f t="shared" si="183"/>
        <v/>
      </c>
      <c r="GU777" s="3336" t="str">
        <f t="shared" si="184"/>
        <v/>
      </c>
      <c r="GV777" s="3336" t="str">
        <f t="shared" si="185"/>
        <v/>
      </c>
      <c r="GW777" s="3336" t="str">
        <f t="shared" si="186"/>
        <v/>
      </c>
      <c r="GX777" s="3336" t="str">
        <f t="shared" si="187"/>
        <v/>
      </c>
      <c r="GY777" s="3336" t="str">
        <f t="shared" si="188"/>
        <v/>
      </c>
      <c r="GZ777" s="3336" t="str">
        <f t="shared" si="189"/>
        <v/>
      </c>
      <c r="HA777" s="3336" t="str">
        <f t="shared" si="190"/>
        <v/>
      </c>
      <c r="HB777" s="3336" t="str">
        <f t="shared" si="191"/>
        <v/>
      </c>
      <c r="HC777" s="3336" t="str">
        <f t="shared" si="192"/>
        <v/>
      </c>
      <c r="HD777" s="3336" t="str">
        <f t="shared" si="193"/>
        <v/>
      </c>
      <c r="HE777" s="3336" t="str">
        <f t="shared" si="194"/>
        <v/>
      </c>
      <c r="HF777" s="3336" t="str">
        <f t="shared" si="195"/>
        <v/>
      </c>
      <c r="HG777" s="3336" t="str">
        <f t="shared" si="196"/>
        <v/>
      </c>
      <c r="HH777" s="3336" t="str">
        <f t="shared" si="197"/>
        <v/>
      </c>
      <c r="HI777" s="3336" t="str">
        <f t="shared" si="198"/>
        <v/>
      </c>
      <c r="HJ777" s="3336" t="str">
        <f t="shared" si="199"/>
        <v/>
      </c>
      <c r="HK777" s="3336" t="str">
        <f t="shared" si="200"/>
        <v/>
      </c>
      <c r="HL777" s="3336" t="str">
        <f t="shared" si="201"/>
        <v/>
      </c>
      <c r="HM777" s="3336" t="str">
        <f t="shared" si="202"/>
        <v/>
      </c>
      <c r="HN777" s="3336" t="str">
        <f t="shared" si="203"/>
        <v/>
      </c>
      <c r="HO777" s="3336" t="str">
        <f t="shared" si="204"/>
        <v/>
      </c>
      <c r="HP777" s="3336" t="str">
        <f t="shared" si="205"/>
        <v/>
      </c>
      <c r="HQ777" s="3336" t="str">
        <f t="shared" si="206"/>
        <v/>
      </c>
      <c r="HR777" s="3336" t="str">
        <f t="shared" si="207"/>
        <v/>
      </c>
      <c r="HS777" s="3336" t="str">
        <f t="shared" si="208"/>
        <v/>
      </c>
      <c r="HT777" s="3336" t="str">
        <f t="shared" si="209"/>
        <v/>
      </c>
      <c r="HU777" s="3336" t="str">
        <f t="shared" si="210"/>
        <v/>
      </c>
      <c r="HV777" s="3336" t="str">
        <f t="shared" si="211"/>
        <v/>
      </c>
      <c r="HW777" s="3336" t="str">
        <f t="shared" si="212"/>
        <v/>
      </c>
      <c r="HX777" s="3336" t="str">
        <f t="shared" si="213"/>
        <v/>
      </c>
      <c r="HY777" s="3336" t="str">
        <f t="shared" si="214"/>
        <v/>
      </c>
      <c r="HZ777" s="3336" t="str">
        <f t="shared" si="215"/>
        <v/>
      </c>
      <c r="IA777" s="3336" t="str">
        <f t="shared" si="216"/>
        <v/>
      </c>
      <c r="IB777" s="3336" t="str">
        <f t="shared" si="217"/>
        <v/>
      </c>
      <c r="IC777" s="3336" t="str">
        <f t="shared" si="218"/>
        <v/>
      </c>
      <c r="ID777" s="3308" t="str">
        <f t="shared" si="219"/>
        <v/>
      </c>
      <c r="IE777" s="3308" t="str">
        <f t="shared" si="220"/>
        <v/>
      </c>
      <c r="IF777" s="3308" t="str">
        <f t="shared" si="221"/>
        <v/>
      </c>
      <c r="IG777" s="3308" t="str">
        <f t="shared" si="222"/>
        <v/>
      </c>
      <c r="IH777" s="3308" t="str">
        <f t="shared" si="223"/>
        <v/>
      </c>
      <c r="II777" s="523" t="str">
        <f t="shared" si="224"/>
        <v/>
      </c>
      <c r="IJ777" s="523" t="str">
        <f t="shared" si="225"/>
        <v/>
      </c>
      <c r="IK777" s="523" t="str">
        <f t="shared" si="226"/>
        <v/>
      </c>
      <c r="IL777" s="523" t="str">
        <f t="shared" si="227"/>
        <v/>
      </c>
      <c r="IM777" s="523" t="str">
        <f t="shared" si="228"/>
        <v/>
      </c>
      <c r="IN777" s="523" t="str">
        <f t="shared" si="229"/>
        <v/>
      </c>
      <c r="IO777" s="523" t="str">
        <f t="shared" si="230"/>
        <v/>
      </c>
      <c r="IP777" s="523" t="str">
        <f t="shared" si="231"/>
        <v/>
      </c>
      <c r="IQ777" s="523" t="str">
        <f t="shared" si="232"/>
        <v/>
      </c>
      <c r="IR777" s="523" t="str">
        <f t="shared" si="233"/>
        <v/>
      </c>
      <c r="IS777" s="523" t="str">
        <f t="shared" si="234"/>
        <v/>
      </c>
      <c r="IT777" s="523" t="str">
        <f t="shared" si="235"/>
        <v/>
      </c>
      <c r="IU777" s="523" t="str">
        <f t="shared" si="236"/>
        <v/>
      </c>
      <c r="IV777" s="523" t="str">
        <f t="shared" si="237"/>
        <v/>
      </c>
      <c r="IW777" s="523" t="str">
        <f t="shared" si="238"/>
        <v/>
      </c>
      <c r="IX777" s="523" t="str">
        <f t="shared" si="239"/>
        <v/>
      </c>
      <c r="IY777" s="523" t="str">
        <f t="shared" si="240"/>
        <v/>
      </c>
      <c r="IZ777" s="523" t="str">
        <f t="shared" si="241"/>
        <v/>
      </c>
      <c r="JA777" s="523" t="str">
        <f t="shared" si="242"/>
        <v/>
      </c>
      <c r="JB777" s="523" t="str">
        <f t="shared" si="243"/>
        <v/>
      </c>
      <c r="JC777" s="3306">
        <f t="shared" si="244"/>
        <v>0</v>
      </c>
      <c r="JD777" s="3306">
        <f t="shared" si="245"/>
        <v>0</v>
      </c>
      <c r="JE777" s="3306">
        <f t="shared" si="246"/>
        <v>0</v>
      </c>
      <c r="JF777" s="3306">
        <f t="shared" si="247"/>
        <v>0</v>
      </c>
      <c r="JG777" s="3306">
        <f t="shared" si="248"/>
        <v>0</v>
      </c>
      <c r="JH777" s="3306">
        <f t="shared" si="249"/>
        <v>0</v>
      </c>
      <c r="JI777" s="3306">
        <f t="shared" si="250"/>
        <v>0</v>
      </c>
      <c r="JJ777" s="3306">
        <f t="shared" si="251"/>
        <v>0</v>
      </c>
      <c r="JK777" s="3306">
        <f t="shared" si="252"/>
        <v>0</v>
      </c>
      <c r="JL777" s="3306">
        <f t="shared" si="253"/>
        <v>0</v>
      </c>
      <c r="JM777" s="3306">
        <f t="shared" si="254"/>
        <v>0</v>
      </c>
      <c r="JN777" s="3306">
        <f t="shared" si="255"/>
        <v>0</v>
      </c>
      <c r="JO777" s="3306">
        <f t="shared" si="256"/>
        <v>0</v>
      </c>
      <c r="JP777" s="3306">
        <f t="shared" si="257"/>
        <v>0</v>
      </c>
      <c r="JQ777" s="3306">
        <f t="shared" si="258"/>
        <v>0</v>
      </c>
    </row>
    <row r="778" spans="1:277" ht="12" customHeight="1">
      <c r="A778" s="3319" t="str">
        <f t="shared" si="1"/>
        <v/>
      </c>
      <c r="B778" s="3328" t="str">
        <f>'Part VI-Revenues &amp; Expenses'!B21</f>
        <v>&lt;&lt;Select&gt;&gt;</v>
      </c>
      <c r="C778" s="3329">
        <f>'Part VI-Revenues &amp; Expenses'!C21</f>
        <v>0</v>
      </c>
      <c r="D778" s="3330">
        <f>'Part VI-Revenues &amp; Expenses'!D21</f>
        <v>0</v>
      </c>
      <c r="E778" s="3331">
        <f>'Part VI-Revenues &amp; Expenses'!E21</f>
        <v>0</v>
      </c>
      <c r="F778" s="3331">
        <f>'Part VI-Revenues &amp; Expenses'!F21</f>
        <v>0</v>
      </c>
      <c r="G778" s="3331">
        <f>'Part VI-Revenues &amp; Expenses'!G21</f>
        <v>0</v>
      </c>
      <c r="H778" s="3331">
        <f>'Part VI-Revenues &amp; Expenses'!H21</f>
        <v>0</v>
      </c>
      <c r="I778" s="3331">
        <f>'Part VI-Revenues &amp; Expenses'!I21</f>
        <v>0</v>
      </c>
      <c r="J778" s="3332">
        <f>'Part VI-Revenues &amp; Expenses'!J21</f>
        <v>0</v>
      </c>
      <c r="K778" s="3333">
        <f t="shared" si="2"/>
        <v>0</v>
      </c>
      <c r="L778" s="3333">
        <f t="shared" si="3"/>
        <v>0</v>
      </c>
      <c r="M778" s="3207">
        <f>'Part VI-Revenues &amp; Expenses'!M21</f>
        <v>0</v>
      </c>
      <c r="N778" s="3207">
        <f>'Part VI-Revenues &amp; Expenses'!N21</f>
        <v>0</v>
      </c>
      <c r="O778" s="3207">
        <f>'Part VI-Revenues &amp; Expenses'!O21</f>
        <v>0</v>
      </c>
      <c r="P778" s="3313">
        <f>'Part VI-Revenues &amp; Expenses'!P21</f>
        <v>0</v>
      </c>
      <c r="Q778" s="3334" t="str">
        <f>'Part VI-Revenues &amp; Expenses'!Q21</f>
        <v/>
      </c>
      <c r="R778" s="3335" t="str">
        <f>'Part VI-Revenues &amp; Expenses'!R21</f>
        <v/>
      </c>
      <c r="S778" s="3334">
        <f>'Part VI-Revenues &amp; Expenses'!S21</f>
        <v>0</v>
      </c>
      <c r="T778" s="3335">
        <f>'Part VI-Revenues &amp; Expenses'!T21</f>
        <v>0</v>
      </c>
      <c r="U778" s="3257"/>
      <c r="V778" s="3257"/>
      <c r="W778" s="523" t="str">
        <f t="shared" si="4"/>
        <v/>
      </c>
      <c r="X778" s="523" t="str">
        <f t="shared" si="5"/>
        <v/>
      </c>
      <c r="Y778" s="523" t="str">
        <f t="shared" si="6"/>
        <v/>
      </c>
      <c r="Z778" s="523" t="str">
        <f t="shared" si="7"/>
        <v/>
      </c>
      <c r="AA778" s="523" t="str">
        <f t="shared" si="8"/>
        <v/>
      </c>
      <c r="AB778" s="523" t="str">
        <f t="shared" si="9"/>
        <v/>
      </c>
      <c r="AC778" s="523" t="str">
        <f t="shared" si="10"/>
        <v/>
      </c>
      <c r="AD778" s="523" t="str">
        <f t="shared" si="11"/>
        <v/>
      </c>
      <c r="AE778" s="523" t="str">
        <f t="shared" si="12"/>
        <v/>
      </c>
      <c r="AF778" s="523" t="str">
        <f t="shared" si="13"/>
        <v/>
      </c>
      <c r="AG778" s="523" t="str">
        <f t="shared" si="14"/>
        <v/>
      </c>
      <c r="AH778" s="523" t="str">
        <f t="shared" si="15"/>
        <v/>
      </c>
      <c r="AI778" s="523" t="str">
        <f t="shared" si="16"/>
        <v/>
      </c>
      <c r="AJ778" s="523" t="str">
        <f t="shared" si="17"/>
        <v/>
      </c>
      <c r="AK778" s="523" t="str">
        <f t="shared" si="18"/>
        <v/>
      </c>
      <c r="AL778" s="523" t="str">
        <f t="shared" si="19"/>
        <v/>
      </c>
      <c r="AM778" s="523" t="str">
        <f t="shared" si="20"/>
        <v/>
      </c>
      <c r="AN778" s="523" t="str">
        <f t="shared" si="21"/>
        <v/>
      </c>
      <c r="AO778" s="523" t="str">
        <f t="shared" si="22"/>
        <v/>
      </c>
      <c r="AP778" s="523" t="str">
        <f t="shared" si="23"/>
        <v/>
      </c>
      <c r="AQ778" s="523" t="str">
        <f t="shared" si="24"/>
        <v/>
      </c>
      <c r="AR778" s="523" t="str">
        <f t="shared" si="25"/>
        <v/>
      </c>
      <c r="AS778" s="523" t="str">
        <f t="shared" si="26"/>
        <v/>
      </c>
      <c r="AT778" s="523" t="str">
        <f t="shared" si="27"/>
        <v/>
      </c>
      <c r="AU778" s="523" t="str">
        <f t="shared" si="28"/>
        <v/>
      </c>
      <c r="AV778" s="523" t="str">
        <f t="shared" si="29"/>
        <v/>
      </c>
      <c r="AW778" s="523" t="str">
        <f t="shared" si="30"/>
        <v/>
      </c>
      <c r="AX778" s="523" t="str">
        <f t="shared" si="31"/>
        <v/>
      </c>
      <c r="AY778" s="523" t="str">
        <f t="shared" si="32"/>
        <v/>
      </c>
      <c r="AZ778" s="523" t="str">
        <f t="shared" si="33"/>
        <v/>
      </c>
      <c r="BA778" s="523" t="str">
        <f t="shared" si="34"/>
        <v/>
      </c>
      <c r="BB778" s="523" t="str">
        <f t="shared" si="35"/>
        <v/>
      </c>
      <c r="BC778" s="523" t="str">
        <f t="shared" si="36"/>
        <v/>
      </c>
      <c r="BD778" s="523" t="str">
        <f t="shared" si="37"/>
        <v/>
      </c>
      <c r="BE778" s="523" t="str">
        <f t="shared" si="38"/>
        <v/>
      </c>
      <c r="BF778" s="523" t="str">
        <f t="shared" si="39"/>
        <v/>
      </c>
      <c r="BG778" s="523" t="str">
        <f t="shared" si="40"/>
        <v/>
      </c>
      <c r="BH778" s="523" t="str">
        <f t="shared" si="41"/>
        <v/>
      </c>
      <c r="BI778" s="523" t="str">
        <f t="shared" si="42"/>
        <v/>
      </c>
      <c r="BJ778" s="523" t="str">
        <f t="shared" si="43"/>
        <v/>
      </c>
      <c r="BK778" s="523" t="str">
        <f t="shared" si="44"/>
        <v/>
      </c>
      <c r="BL778" s="523" t="str">
        <f t="shared" si="45"/>
        <v/>
      </c>
      <c r="BM778" s="523" t="str">
        <f t="shared" si="46"/>
        <v/>
      </c>
      <c r="BN778" s="523" t="str">
        <f t="shared" si="47"/>
        <v/>
      </c>
      <c r="BO778" s="523" t="str">
        <f t="shared" si="48"/>
        <v/>
      </c>
      <c r="BP778" s="523" t="str">
        <f t="shared" si="49"/>
        <v/>
      </c>
      <c r="BQ778" s="523" t="str">
        <f t="shared" si="50"/>
        <v/>
      </c>
      <c r="BR778" s="523" t="str">
        <f t="shared" si="51"/>
        <v/>
      </c>
      <c r="BS778" s="523" t="str">
        <f t="shared" si="52"/>
        <v/>
      </c>
      <c r="BT778" s="523" t="str">
        <f t="shared" si="53"/>
        <v/>
      </c>
      <c r="BU778" s="523" t="str">
        <f t="shared" si="54"/>
        <v/>
      </c>
      <c r="BV778" s="523" t="str">
        <f t="shared" si="55"/>
        <v/>
      </c>
      <c r="BW778" s="523" t="str">
        <f t="shared" si="56"/>
        <v/>
      </c>
      <c r="BX778" s="523" t="str">
        <f t="shared" si="57"/>
        <v/>
      </c>
      <c r="BY778" s="523" t="str">
        <f t="shared" si="58"/>
        <v/>
      </c>
      <c r="BZ778" s="523" t="str">
        <f t="shared" si="59"/>
        <v/>
      </c>
      <c r="CA778" s="523" t="str">
        <f t="shared" si="60"/>
        <v/>
      </c>
      <c r="CB778" s="523" t="str">
        <f t="shared" si="61"/>
        <v/>
      </c>
      <c r="CC778" s="523" t="str">
        <f t="shared" si="62"/>
        <v/>
      </c>
      <c r="CD778" s="523" t="str">
        <f t="shared" si="63"/>
        <v/>
      </c>
      <c r="CE778" s="523" t="str">
        <f t="shared" si="64"/>
        <v/>
      </c>
      <c r="CF778" s="523" t="str">
        <f t="shared" si="65"/>
        <v/>
      </c>
      <c r="CG778" s="523" t="str">
        <f t="shared" si="66"/>
        <v/>
      </c>
      <c r="CH778" s="523" t="str">
        <f t="shared" si="67"/>
        <v/>
      </c>
      <c r="CI778" s="523" t="str">
        <f t="shared" si="68"/>
        <v/>
      </c>
      <c r="CJ778" s="523" t="str">
        <f t="shared" si="69"/>
        <v/>
      </c>
      <c r="CK778" s="523" t="str">
        <f t="shared" si="70"/>
        <v/>
      </c>
      <c r="CL778" s="523" t="str">
        <f t="shared" si="71"/>
        <v/>
      </c>
      <c r="CM778" s="523" t="str">
        <f t="shared" si="72"/>
        <v/>
      </c>
      <c r="CN778" s="523" t="str">
        <f t="shared" si="73"/>
        <v/>
      </c>
      <c r="CO778" s="523" t="str">
        <f t="shared" si="74"/>
        <v/>
      </c>
      <c r="CP778" s="523" t="str">
        <f t="shared" si="75"/>
        <v/>
      </c>
      <c r="CQ778" s="523" t="str">
        <f t="shared" si="76"/>
        <v/>
      </c>
      <c r="CR778" s="523" t="str">
        <f t="shared" si="77"/>
        <v/>
      </c>
      <c r="CS778" s="523" t="str">
        <f t="shared" si="78"/>
        <v/>
      </c>
      <c r="CT778" s="523" t="str">
        <f t="shared" si="79"/>
        <v/>
      </c>
      <c r="CU778" s="523" t="str">
        <f t="shared" si="80"/>
        <v/>
      </c>
      <c r="CV778" s="523" t="str">
        <f t="shared" si="81"/>
        <v/>
      </c>
      <c r="CW778" s="523" t="str">
        <f t="shared" si="82"/>
        <v/>
      </c>
      <c r="CX778" s="523" t="str">
        <f t="shared" si="83"/>
        <v/>
      </c>
      <c r="CY778" s="523" t="str">
        <f t="shared" si="84"/>
        <v/>
      </c>
      <c r="CZ778" s="523" t="str">
        <f t="shared" si="85"/>
        <v/>
      </c>
      <c r="DA778" s="523" t="str">
        <f t="shared" si="86"/>
        <v/>
      </c>
      <c r="DB778" s="523" t="str">
        <f t="shared" si="87"/>
        <v/>
      </c>
      <c r="DC778" s="523" t="str">
        <f t="shared" si="88"/>
        <v/>
      </c>
      <c r="DD778" s="523" t="str">
        <f t="shared" si="89"/>
        <v/>
      </c>
      <c r="DE778" s="523" t="str">
        <f t="shared" si="90"/>
        <v/>
      </c>
      <c r="DF778" s="523" t="str">
        <f t="shared" si="91"/>
        <v/>
      </c>
      <c r="DG778" s="523" t="str">
        <f t="shared" si="92"/>
        <v/>
      </c>
      <c r="DH778" s="523" t="str">
        <f t="shared" si="93"/>
        <v/>
      </c>
      <c r="DI778" s="523" t="str">
        <f t="shared" si="94"/>
        <v/>
      </c>
      <c r="DJ778" s="523" t="str">
        <f t="shared" si="95"/>
        <v/>
      </c>
      <c r="DK778" s="523" t="str">
        <f t="shared" si="96"/>
        <v/>
      </c>
      <c r="DL778" s="523" t="str">
        <f t="shared" si="97"/>
        <v/>
      </c>
      <c r="DM778" s="523" t="str">
        <f t="shared" si="98"/>
        <v/>
      </c>
      <c r="DN778" s="523" t="str">
        <f t="shared" si="99"/>
        <v/>
      </c>
      <c r="DO778" s="523" t="str">
        <f t="shared" si="100"/>
        <v/>
      </c>
      <c r="DP778" s="523" t="str">
        <f t="shared" si="101"/>
        <v/>
      </c>
      <c r="DQ778" s="523" t="str">
        <f t="shared" si="102"/>
        <v/>
      </c>
      <c r="DR778" s="523" t="str">
        <f t="shared" si="103"/>
        <v/>
      </c>
      <c r="DS778" s="523" t="str">
        <f t="shared" si="104"/>
        <v/>
      </c>
      <c r="DT778" s="523" t="str">
        <f t="shared" si="105"/>
        <v/>
      </c>
      <c r="DU778" s="523" t="str">
        <f t="shared" si="106"/>
        <v/>
      </c>
      <c r="DV778" s="523" t="str">
        <f t="shared" si="107"/>
        <v/>
      </c>
      <c r="DW778" s="523" t="str">
        <f t="shared" si="108"/>
        <v/>
      </c>
      <c r="DX778" s="523" t="str">
        <f t="shared" si="109"/>
        <v/>
      </c>
      <c r="DY778" s="523" t="str">
        <f t="shared" si="110"/>
        <v/>
      </c>
      <c r="DZ778" s="523" t="str">
        <f t="shared" si="111"/>
        <v/>
      </c>
      <c r="EA778" s="523" t="str">
        <f t="shared" si="112"/>
        <v/>
      </c>
      <c r="EB778" s="523" t="str">
        <f t="shared" si="113"/>
        <v/>
      </c>
      <c r="EC778" s="523" t="str">
        <f t="shared" si="114"/>
        <v/>
      </c>
      <c r="ED778" s="523" t="str">
        <f t="shared" si="115"/>
        <v/>
      </c>
      <c r="EE778" s="523" t="str">
        <f t="shared" si="116"/>
        <v/>
      </c>
      <c r="EF778" s="523" t="str">
        <f t="shared" si="117"/>
        <v/>
      </c>
      <c r="EG778" s="523" t="str">
        <f t="shared" si="118"/>
        <v/>
      </c>
      <c r="EH778" s="523" t="str">
        <f t="shared" si="119"/>
        <v/>
      </c>
      <c r="EI778" s="523" t="str">
        <f t="shared" si="120"/>
        <v/>
      </c>
      <c r="EJ778" s="523" t="str">
        <f t="shared" si="121"/>
        <v/>
      </c>
      <c r="EK778" s="523" t="str">
        <f t="shared" si="122"/>
        <v/>
      </c>
      <c r="EL778" s="523" t="str">
        <f t="shared" si="123"/>
        <v/>
      </c>
      <c r="EM778" s="523" t="str">
        <f t="shared" si="124"/>
        <v/>
      </c>
      <c r="EN778" s="523" t="str">
        <f t="shared" si="125"/>
        <v/>
      </c>
      <c r="EO778" s="523" t="str">
        <f t="shared" si="126"/>
        <v/>
      </c>
      <c r="EP778" s="523" t="str">
        <f t="shared" si="127"/>
        <v/>
      </c>
      <c r="EQ778" s="523" t="str">
        <f t="shared" si="128"/>
        <v/>
      </c>
      <c r="ER778" s="523" t="str">
        <f t="shared" si="129"/>
        <v/>
      </c>
      <c r="ES778" s="523" t="str">
        <f t="shared" si="130"/>
        <v/>
      </c>
      <c r="ET778" s="523" t="str">
        <f t="shared" si="131"/>
        <v/>
      </c>
      <c r="EU778" s="523" t="str">
        <f t="shared" si="132"/>
        <v/>
      </c>
      <c r="EV778" s="523" t="str">
        <f t="shared" si="133"/>
        <v/>
      </c>
      <c r="EW778" s="3336" t="str">
        <f t="shared" si="134"/>
        <v/>
      </c>
      <c r="EX778" s="3336" t="str">
        <f t="shared" si="135"/>
        <v/>
      </c>
      <c r="EY778" s="3336" t="str">
        <f t="shared" si="136"/>
        <v/>
      </c>
      <c r="EZ778" s="3336" t="str">
        <f t="shared" si="137"/>
        <v/>
      </c>
      <c r="FA778" s="3336" t="str">
        <f t="shared" si="138"/>
        <v/>
      </c>
      <c r="FB778" s="3336" t="str">
        <f t="shared" si="139"/>
        <v/>
      </c>
      <c r="FC778" s="3336" t="str">
        <f t="shared" si="140"/>
        <v/>
      </c>
      <c r="FD778" s="3336" t="str">
        <f t="shared" si="141"/>
        <v/>
      </c>
      <c r="FE778" s="3336" t="str">
        <f t="shared" si="142"/>
        <v/>
      </c>
      <c r="FF778" s="3336" t="str">
        <f t="shared" si="143"/>
        <v/>
      </c>
      <c r="FG778" s="3336" t="str">
        <f t="shared" si="144"/>
        <v/>
      </c>
      <c r="FH778" s="3336" t="str">
        <f t="shared" si="145"/>
        <v/>
      </c>
      <c r="FI778" s="3336" t="str">
        <f t="shared" si="146"/>
        <v/>
      </c>
      <c r="FJ778" s="3336" t="str">
        <f t="shared" si="147"/>
        <v/>
      </c>
      <c r="FK778" s="3336" t="str">
        <f t="shared" si="148"/>
        <v/>
      </c>
      <c r="FL778" s="3336" t="str">
        <f t="shared" si="149"/>
        <v/>
      </c>
      <c r="FM778" s="3336" t="str">
        <f t="shared" si="150"/>
        <v/>
      </c>
      <c r="FN778" s="3336" t="str">
        <f t="shared" si="151"/>
        <v/>
      </c>
      <c r="FO778" s="3336" t="str">
        <f t="shared" si="152"/>
        <v/>
      </c>
      <c r="FP778" s="3336" t="str">
        <f t="shared" si="153"/>
        <v/>
      </c>
      <c r="FQ778" s="3336" t="str">
        <f t="shared" si="154"/>
        <v/>
      </c>
      <c r="FR778" s="3336" t="str">
        <f t="shared" si="155"/>
        <v/>
      </c>
      <c r="FS778" s="3336" t="str">
        <f t="shared" si="156"/>
        <v/>
      </c>
      <c r="FT778" s="3336" t="str">
        <f t="shared" si="157"/>
        <v/>
      </c>
      <c r="FU778" s="3336" t="str">
        <f t="shared" si="158"/>
        <v/>
      </c>
      <c r="FV778" s="3336" t="str">
        <f t="shared" si="159"/>
        <v/>
      </c>
      <c r="FW778" s="3336" t="str">
        <f t="shared" si="160"/>
        <v/>
      </c>
      <c r="FX778" s="3336" t="str">
        <f t="shared" si="161"/>
        <v/>
      </c>
      <c r="FY778" s="3336" t="str">
        <f t="shared" si="162"/>
        <v/>
      </c>
      <c r="FZ778" s="3336" t="str">
        <f t="shared" si="163"/>
        <v/>
      </c>
      <c r="GA778" s="3336" t="str">
        <f t="shared" si="164"/>
        <v/>
      </c>
      <c r="GB778" s="3336" t="str">
        <f t="shared" si="165"/>
        <v/>
      </c>
      <c r="GC778" s="3336" t="str">
        <f t="shared" si="166"/>
        <v/>
      </c>
      <c r="GD778" s="3336" t="str">
        <f t="shared" si="167"/>
        <v/>
      </c>
      <c r="GE778" s="3336" t="str">
        <f t="shared" si="168"/>
        <v/>
      </c>
      <c r="GF778" s="3336" t="str">
        <f t="shared" si="169"/>
        <v/>
      </c>
      <c r="GG778" s="3336" t="str">
        <f t="shared" si="170"/>
        <v/>
      </c>
      <c r="GH778" s="3336" t="str">
        <f t="shared" si="171"/>
        <v/>
      </c>
      <c r="GI778" s="3336" t="str">
        <f t="shared" si="172"/>
        <v/>
      </c>
      <c r="GJ778" s="3336" t="str">
        <f t="shared" si="173"/>
        <v/>
      </c>
      <c r="GK778" s="3336" t="str">
        <f t="shared" si="174"/>
        <v/>
      </c>
      <c r="GL778" s="3336" t="str">
        <f t="shared" si="175"/>
        <v/>
      </c>
      <c r="GM778" s="3336" t="str">
        <f t="shared" si="176"/>
        <v/>
      </c>
      <c r="GN778" s="3336" t="str">
        <f t="shared" si="177"/>
        <v/>
      </c>
      <c r="GO778" s="3336" t="str">
        <f t="shared" si="178"/>
        <v/>
      </c>
      <c r="GP778" s="3336" t="str">
        <f t="shared" si="179"/>
        <v/>
      </c>
      <c r="GQ778" s="3336" t="str">
        <f t="shared" si="180"/>
        <v/>
      </c>
      <c r="GR778" s="3336" t="str">
        <f t="shared" si="181"/>
        <v/>
      </c>
      <c r="GS778" s="3336" t="str">
        <f t="shared" si="182"/>
        <v/>
      </c>
      <c r="GT778" s="3336" t="str">
        <f t="shared" si="183"/>
        <v/>
      </c>
      <c r="GU778" s="3336" t="str">
        <f t="shared" si="184"/>
        <v/>
      </c>
      <c r="GV778" s="3336" t="str">
        <f t="shared" si="185"/>
        <v/>
      </c>
      <c r="GW778" s="3336" t="str">
        <f t="shared" si="186"/>
        <v/>
      </c>
      <c r="GX778" s="3336" t="str">
        <f t="shared" si="187"/>
        <v/>
      </c>
      <c r="GY778" s="3336" t="str">
        <f t="shared" si="188"/>
        <v/>
      </c>
      <c r="GZ778" s="3336" t="str">
        <f t="shared" si="189"/>
        <v/>
      </c>
      <c r="HA778" s="3336" t="str">
        <f t="shared" si="190"/>
        <v/>
      </c>
      <c r="HB778" s="3336" t="str">
        <f t="shared" si="191"/>
        <v/>
      </c>
      <c r="HC778" s="3336" t="str">
        <f t="shared" si="192"/>
        <v/>
      </c>
      <c r="HD778" s="3336" t="str">
        <f t="shared" si="193"/>
        <v/>
      </c>
      <c r="HE778" s="3336" t="str">
        <f t="shared" si="194"/>
        <v/>
      </c>
      <c r="HF778" s="3336" t="str">
        <f t="shared" si="195"/>
        <v/>
      </c>
      <c r="HG778" s="3336" t="str">
        <f t="shared" si="196"/>
        <v/>
      </c>
      <c r="HH778" s="3336" t="str">
        <f t="shared" si="197"/>
        <v/>
      </c>
      <c r="HI778" s="3336" t="str">
        <f t="shared" si="198"/>
        <v/>
      </c>
      <c r="HJ778" s="3336" t="str">
        <f t="shared" si="199"/>
        <v/>
      </c>
      <c r="HK778" s="3336" t="str">
        <f t="shared" si="200"/>
        <v/>
      </c>
      <c r="HL778" s="3336" t="str">
        <f t="shared" si="201"/>
        <v/>
      </c>
      <c r="HM778" s="3336" t="str">
        <f t="shared" si="202"/>
        <v/>
      </c>
      <c r="HN778" s="3336" t="str">
        <f t="shared" si="203"/>
        <v/>
      </c>
      <c r="HO778" s="3336" t="str">
        <f t="shared" si="204"/>
        <v/>
      </c>
      <c r="HP778" s="3336" t="str">
        <f t="shared" si="205"/>
        <v/>
      </c>
      <c r="HQ778" s="3336" t="str">
        <f t="shared" si="206"/>
        <v/>
      </c>
      <c r="HR778" s="3336" t="str">
        <f t="shared" si="207"/>
        <v/>
      </c>
      <c r="HS778" s="3336" t="str">
        <f t="shared" si="208"/>
        <v/>
      </c>
      <c r="HT778" s="3336" t="str">
        <f t="shared" si="209"/>
        <v/>
      </c>
      <c r="HU778" s="3336" t="str">
        <f t="shared" si="210"/>
        <v/>
      </c>
      <c r="HV778" s="3336" t="str">
        <f t="shared" si="211"/>
        <v/>
      </c>
      <c r="HW778" s="3336" t="str">
        <f t="shared" si="212"/>
        <v/>
      </c>
      <c r="HX778" s="3336" t="str">
        <f t="shared" si="213"/>
        <v/>
      </c>
      <c r="HY778" s="3336" t="str">
        <f t="shared" si="214"/>
        <v/>
      </c>
      <c r="HZ778" s="3336" t="str">
        <f t="shared" si="215"/>
        <v/>
      </c>
      <c r="IA778" s="3336" t="str">
        <f t="shared" si="216"/>
        <v/>
      </c>
      <c r="IB778" s="3336" t="str">
        <f t="shared" si="217"/>
        <v/>
      </c>
      <c r="IC778" s="3336" t="str">
        <f t="shared" si="218"/>
        <v/>
      </c>
      <c r="ID778" s="3308" t="str">
        <f t="shared" si="219"/>
        <v/>
      </c>
      <c r="IE778" s="3308" t="str">
        <f t="shared" si="220"/>
        <v/>
      </c>
      <c r="IF778" s="3308" t="str">
        <f t="shared" si="221"/>
        <v/>
      </c>
      <c r="IG778" s="3308" t="str">
        <f t="shared" si="222"/>
        <v/>
      </c>
      <c r="IH778" s="3308" t="str">
        <f t="shared" si="223"/>
        <v/>
      </c>
      <c r="II778" s="523" t="str">
        <f t="shared" si="224"/>
        <v/>
      </c>
      <c r="IJ778" s="523" t="str">
        <f t="shared" si="225"/>
        <v/>
      </c>
      <c r="IK778" s="523" t="str">
        <f t="shared" si="226"/>
        <v/>
      </c>
      <c r="IL778" s="523" t="str">
        <f t="shared" si="227"/>
        <v/>
      </c>
      <c r="IM778" s="523" t="str">
        <f t="shared" si="228"/>
        <v/>
      </c>
      <c r="IN778" s="523" t="str">
        <f t="shared" si="229"/>
        <v/>
      </c>
      <c r="IO778" s="523" t="str">
        <f t="shared" si="230"/>
        <v/>
      </c>
      <c r="IP778" s="523" t="str">
        <f t="shared" si="231"/>
        <v/>
      </c>
      <c r="IQ778" s="523" t="str">
        <f t="shared" si="232"/>
        <v/>
      </c>
      <c r="IR778" s="523" t="str">
        <f t="shared" si="233"/>
        <v/>
      </c>
      <c r="IS778" s="523" t="str">
        <f t="shared" si="234"/>
        <v/>
      </c>
      <c r="IT778" s="523" t="str">
        <f t="shared" si="235"/>
        <v/>
      </c>
      <c r="IU778" s="523" t="str">
        <f t="shared" si="236"/>
        <v/>
      </c>
      <c r="IV778" s="523" t="str">
        <f t="shared" si="237"/>
        <v/>
      </c>
      <c r="IW778" s="523" t="str">
        <f t="shared" si="238"/>
        <v/>
      </c>
      <c r="IX778" s="523" t="str">
        <f t="shared" si="239"/>
        <v/>
      </c>
      <c r="IY778" s="523" t="str">
        <f t="shared" si="240"/>
        <v/>
      </c>
      <c r="IZ778" s="523" t="str">
        <f t="shared" si="241"/>
        <v/>
      </c>
      <c r="JA778" s="523" t="str">
        <f t="shared" si="242"/>
        <v/>
      </c>
      <c r="JB778" s="523" t="str">
        <f t="shared" si="243"/>
        <v/>
      </c>
      <c r="JC778" s="3306">
        <f t="shared" si="244"/>
        <v>0</v>
      </c>
      <c r="JD778" s="3306">
        <f t="shared" si="245"/>
        <v>0</v>
      </c>
      <c r="JE778" s="3306">
        <f t="shared" si="246"/>
        <v>0</v>
      </c>
      <c r="JF778" s="3306">
        <f t="shared" si="247"/>
        <v>0</v>
      </c>
      <c r="JG778" s="3306">
        <f t="shared" si="248"/>
        <v>0</v>
      </c>
      <c r="JH778" s="3306">
        <f t="shared" si="249"/>
        <v>0</v>
      </c>
      <c r="JI778" s="3306">
        <f t="shared" si="250"/>
        <v>0</v>
      </c>
      <c r="JJ778" s="3306">
        <f t="shared" si="251"/>
        <v>0</v>
      </c>
      <c r="JK778" s="3306">
        <f t="shared" si="252"/>
        <v>0</v>
      </c>
      <c r="JL778" s="3306">
        <f t="shared" si="253"/>
        <v>0</v>
      </c>
      <c r="JM778" s="3306">
        <f t="shared" si="254"/>
        <v>0</v>
      </c>
      <c r="JN778" s="3306">
        <f t="shared" si="255"/>
        <v>0</v>
      </c>
      <c r="JO778" s="3306">
        <f t="shared" si="256"/>
        <v>0</v>
      </c>
      <c r="JP778" s="3306">
        <f t="shared" si="257"/>
        <v>0</v>
      </c>
      <c r="JQ778" s="3306">
        <f t="shared" si="258"/>
        <v>0</v>
      </c>
    </row>
    <row r="779" spans="1:277" ht="12" customHeight="1">
      <c r="A779" s="3319" t="str">
        <f t="shared" si="1"/>
        <v/>
      </c>
      <c r="B779" s="3328" t="str">
        <f>'Part VI-Revenues &amp; Expenses'!B22</f>
        <v>&lt;&lt;Select&gt;&gt;</v>
      </c>
      <c r="C779" s="3329">
        <f>'Part VI-Revenues &amp; Expenses'!C22</f>
        <v>0</v>
      </c>
      <c r="D779" s="3330">
        <f>'Part VI-Revenues &amp; Expenses'!D22</f>
        <v>0</v>
      </c>
      <c r="E779" s="3331">
        <f>'Part VI-Revenues &amp; Expenses'!E22</f>
        <v>0</v>
      </c>
      <c r="F779" s="3331">
        <f>'Part VI-Revenues &amp; Expenses'!F22</f>
        <v>0</v>
      </c>
      <c r="G779" s="3331">
        <f>'Part VI-Revenues &amp; Expenses'!G22</f>
        <v>0</v>
      </c>
      <c r="H779" s="3331">
        <f>'Part VI-Revenues &amp; Expenses'!H22</f>
        <v>0</v>
      </c>
      <c r="I779" s="3331">
        <f>'Part VI-Revenues &amp; Expenses'!I22</f>
        <v>0</v>
      </c>
      <c r="J779" s="3332">
        <f>'Part VI-Revenues &amp; Expenses'!J22</f>
        <v>0</v>
      </c>
      <c r="K779" s="3333">
        <f t="shared" si="2"/>
        <v>0</v>
      </c>
      <c r="L779" s="3333">
        <f t="shared" si="3"/>
        <v>0</v>
      </c>
      <c r="M779" s="3207">
        <f>'Part VI-Revenues &amp; Expenses'!M22</f>
        <v>0</v>
      </c>
      <c r="N779" s="3207">
        <f>'Part VI-Revenues &amp; Expenses'!N22</f>
        <v>0</v>
      </c>
      <c r="O779" s="3207">
        <f>'Part VI-Revenues &amp; Expenses'!O22</f>
        <v>0</v>
      </c>
      <c r="P779" s="3313">
        <f>'Part VI-Revenues &amp; Expenses'!P22</f>
        <v>0</v>
      </c>
      <c r="Q779" s="3334" t="str">
        <f>'Part VI-Revenues &amp; Expenses'!Q22</f>
        <v/>
      </c>
      <c r="R779" s="3335" t="str">
        <f>'Part VI-Revenues &amp; Expenses'!R22</f>
        <v/>
      </c>
      <c r="S779" s="3334">
        <f>'Part VI-Revenues &amp; Expenses'!S22</f>
        <v>0</v>
      </c>
      <c r="T779" s="3335">
        <f>'Part VI-Revenues &amp; Expenses'!T22</f>
        <v>0</v>
      </c>
      <c r="U779" s="3257"/>
      <c r="V779" s="3257"/>
      <c r="W779" s="523" t="str">
        <f t="shared" si="4"/>
        <v/>
      </c>
      <c r="X779" s="523" t="str">
        <f t="shared" si="5"/>
        <v/>
      </c>
      <c r="Y779" s="523" t="str">
        <f t="shared" si="6"/>
        <v/>
      </c>
      <c r="Z779" s="523" t="str">
        <f t="shared" si="7"/>
        <v/>
      </c>
      <c r="AA779" s="523" t="str">
        <f t="shared" si="8"/>
        <v/>
      </c>
      <c r="AB779" s="523" t="str">
        <f t="shared" si="9"/>
        <v/>
      </c>
      <c r="AC779" s="523" t="str">
        <f t="shared" si="10"/>
        <v/>
      </c>
      <c r="AD779" s="523" t="str">
        <f t="shared" si="11"/>
        <v/>
      </c>
      <c r="AE779" s="523" t="str">
        <f t="shared" si="12"/>
        <v/>
      </c>
      <c r="AF779" s="523" t="str">
        <f t="shared" si="13"/>
        <v/>
      </c>
      <c r="AG779" s="523" t="str">
        <f t="shared" si="14"/>
        <v/>
      </c>
      <c r="AH779" s="523" t="str">
        <f t="shared" si="15"/>
        <v/>
      </c>
      <c r="AI779" s="523" t="str">
        <f t="shared" si="16"/>
        <v/>
      </c>
      <c r="AJ779" s="523" t="str">
        <f t="shared" si="17"/>
        <v/>
      </c>
      <c r="AK779" s="523" t="str">
        <f t="shared" si="18"/>
        <v/>
      </c>
      <c r="AL779" s="523" t="str">
        <f t="shared" si="19"/>
        <v/>
      </c>
      <c r="AM779" s="523" t="str">
        <f t="shared" si="20"/>
        <v/>
      </c>
      <c r="AN779" s="523" t="str">
        <f t="shared" si="21"/>
        <v/>
      </c>
      <c r="AO779" s="523" t="str">
        <f t="shared" si="22"/>
        <v/>
      </c>
      <c r="AP779" s="523" t="str">
        <f t="shared" si="23"/>
        <v/>
      </c>
      <c r="AQ779" s="523" t="str">
        <f t="shared" si="24"/>
        <v/>
      </c>
      <c r="AR779" s="523" t="str">
        <f t="shared" si="25"/>
        <v/>
      </c>
      <c r="AS779" s="523" t="str">
        <f t="shared" si="26"/>
        <v/>
      </c>
      <c r="AT779" s="523" t="str">
        <f t="shared" si="27"/>
        <v/>
      </c>
      <c r="AU779" s="523" t="str">
        <f t="shared" si="28"/>
        <v/>
      </c>
      <c r="AV779" s="523" t="str">
        <f t="shared" si="29"/>
        <v/>
      </c>
      <c r="AW779" s="523" t="str">
        <f t="shared" si="30"/>
        <v/>
      </c>
      <c r="AX779" s="523" t="str">
        <f t="shared" si="31"/>
        <v/>
      </c>
      <c r="AY779" s="523" t="str">
        <f t="shared" si="32"/>
        <v/>
      </c>
      <c r="AZ779" s="523" t="str">
        <f t="shared" si="33"/>
        <v/>
      </c>
      <c r="BA779" s="523" t="str">
        <f t="shared" si="34"/>
        <v/>
      </c>
      <c r="BB779" s="523" t="str">
        <f t="shared" si="35"/>
        <v/>
      </c>
      <c r="BC779" s="523" t="str">
        <f t="shared" si="36"/>
        <v/>
      </c>
      <c r="BD779" s="523" t="str">
        <f t="shared" si="37"/>
        <v/>
      </c>
      <c r="BE779" s="523" t="str">
        <f t="shared" si="38"/>
        <v/>
      </c>
      <c r="BF779" s="523" t="str">
        <f t="shared" si="39"/>
        <v/>
      </c>
      <c r="BG779" s="523" t="str">
        <f t="shared" si="40"/>
        <v/>
      </c>
      <c r="BH779" s="523" t="str">
        <f t="shared" si="41"/>
        <v/>
      </c>
      <c r="BI779" s="523" t="str">
        <f t="shared" si="42"/>
        <v/>
      </c>
      <c r="BJ779" s="523" t="str">
        <f t="shared" si="43"/>
        <v/>
      </c>
      <c r="BK779" s="523" t="str">
        <f t="shared" si="44"/>
        <v/>
      </c>
      <c r="BL779" s="523" t="str">
        <f t="shared" si="45"/>
        <v/>
      </c>
      <c r="BM779" s="523" t="str">
        <f t="shared" si="46"/>
        <v/>
      </c>
      <c r="BN779" s="523" t="str">
        <f t="shared" si="47"/>
        <v/>
      </c>
      <c r="BO779" s="523" t="str">
        <f t="shared" si="48"/>
        <v/>
      </c>
      <c r="BP779" s="523" t="str">
        <f t="shared" si="49"/>
        <v/>
      </c>
      <c r="BQ779" s="523" t="str">
        <f t="shared" si="50"/>
        <v/>
      </c>
      <c r="BR779" s="523" t="str">
        <f t="shared" si="51"/>
        <v/>
      </c>
      <c r="BS779" s="523" t="str">
        <f t="shared" si="52"/>
        <v/>
      </c>
      <c r="BT779" s="523" t="str">
        <f t="shared" si="53"/>
        <v/>
      </c>
      <c r="BU779" s="523" t="str">
        <f t="shared" si="54"/>
        <v/>
      </c>
      <c r="BV779" s="523" t="str">
        <f t="shared" si="55"/>
        <v/>
      </c>
      <c r="BW779" s="523" t="str">
        <f t="shared" si="56"/>
        <v/>
      </c>
      <c r="BX779" s="523" t="str">
        <f t="shared" si="57"/>
        <v/>
      </c>
      <c r="BY779" s="523" t="str">
        <f t="shared" si="58"/>
        <v/>
      </c>
      <c r="BZ779" s="523" t="str">
        <f t="shared" si="59"/>
        <v/>
      </c>
      <c r="CA779" s="523" t="str">
        <f t="shared" si="60"/>
        <v/>
      </c>
      <c r="CB779" s="523" t="str">
        <f t="shared" si="61"/>
        <v/>
      </c>
      <c r="CC779" s="523" t="str">
        <f t="shared" si="62"/>
        <v/>
      </c>
      <c r="CD779" s="523" t="str">
        <f t="shared" si="63"/>
        <v/>
      </c>
      <c r="CE779" s="523" t="str">
        <f t="shared" si="64"/>
        <v/>
      </c>
      <c r="CF779" s="523" t="str">
        <f t="shared" si="65"/>
        <v/>
      </c>
      <c r="CG779" s="523" t="str">
        <f t="shared" si="66"/>
        <v/>
      </c>
      <c r="CH779" s="523" t="str">
        <f t="shared" si="67"/>
        <v/>
      </c>
      <c r="CI779" s="523" t="str">
        <f t="shared" si="68"/>
        <v/>
      </c>
      <c r="CJ779" s="523" t="str">
        <f t="shared" si="69"/>
        <v/>
      </c>
      <c r="CK779" s="523" t="str">
        <f t="shared" si="70"/>
        <v/>
      </c>
      <c r="CL779" s="523" t="str">
        <f t="shared" si="71"/>
        <v/>
      </c>
      <c r="CM779" s="523" t="str">
        <f t="shared" si="72"/>
        <v/>
      </c>
      <c r="CN779" s="523" t="str">
        <f t="shared" si="73"/>
        <v/>
      </c>
      <c r="CO779" s="523" t="str">
        <f t="shared" si="74"/>
        <v/>
      </c>
      <c r="CP779" s="523" t="str">
        <f t="shared" si="75"/>
        <v/>
      </c>
      <c r="CQ779" s="523" t="str">
        <f t="shared" si="76"/>
        <v/>
      </c>
      <c r="CR779" s="523" t="str">
        <f t="shared" si="77"/>
        <v/>
      </c>
      <c r="CS779" s="523" t="str">
        <f t="shared" si="78"/>
        <v/>
      </c>
      <c r="CT779" s="523" t="str">
        <f t="shared" si="79"/>
        <v/>
      </c>
      <c r="CU779" s="523" t="str">
        <f t="shared" si="80"/>
        <v/>
      </c>
      <c r="CV779" s="523" t="str">
        <f t="shared" si="81"/>
        <v/>
      </c>
      <c r="CW779" s="523" t="str">
        <f t="shared" si="82"/>
        <v/>
      </c>
      <c r="CX779" s="523" t="str">
        <f t="shared" si="83"/>
        <v/>
      </c>
      <c r="CY779" s="523" t="str">
        <f t="shared" si="84"/>
        <v/>
      </c>
      <c r="CZ779" s="523" t="str">
        <f t="shared" si="85"/>
        <v/>
      </c>
      <c r="DA779" s="523" t="str">
        <f t="shared" si="86"/>
        <v/>
      </c>
      <c r="DB779" s="523" t="str">
        <f t="shared" si="87"/>
        <v/>
      </c>
      <c r="DC779" s="523" t="str">
        <f t="shared" si="88"/>
        <v/>
      </c>
      <c r="DD779" s="523" t="str">
        <f t="shared" si="89"/>
        <v/>
      </c>
      <c r="DE779" s="523" t="str">
        <f t="shared" si="90"/>
        <v/>
      </c>
      <c r="DF779" s="523" t="str">
        <f t="shared" si="91"/>
        <v/>
      </c>
      <c r="DG779" s="523" t="str">
        <f t="shared" si="92"/>
        <v/>
      </c>
      <c r="DH779" s="523" t="str">
        <f t="shared" si="93"/>
        <v/>
      </c>
      <c r="DI779" s="523" t="str">
        <f t="shared" si="94"/>
        <v/>
      </c>
      <c r="DJ779" s="523" t="str">
        <f t="shared" si="95"/>
        <v/>
      </c>
      <c r="DK779" s="523" t="str">
        <f t="shared" si="96"/>
        <v/>
      </c>
      <c r="DL779" s="523" t="str">
        <f t="shared" si="97"/>
        <v/>
      </c>
      <c r="DM779" s="523" t="str">
        <f t="shared" si="98"/>
        <v/>
      </c>
      <c r="DN779" s="523" t="str">
        <f t="shared" si="99"/>
        <v/>
      </c>
      <c r="DO779" s="523" t="str">
        <f t="shared" si="100"/>
        <v/>
      </c>
      <c r="DP779" s="523" t="str">
        <f t="shared" si="101"/>
        <v/>
      </c>
      <c r="DQ779" s="523" t="str">
        <f t="shared" si="102"/>
        <v/>
      </c>
      <c r="DR779" s="523" t="str">
        <f t="shared" si="103"/>
        <v/>
      </c>
      <c r="DS779" s="523" t="str">
        <f t="shared" si="104"/>
        <v/>
      </c>
      <c r="DT779" s="523" t="str">
        <f t="shared" si="105"/>
        <v/>
      </c>
      <c r="DU779" s="523" t="str">
        <f t="shared" si="106"/>
        <v/>
      </c>
      <c r="DV779" s="523" t="str">
        <f t="shared" si="107"/>
        <v/>
      </c>
      <c r="DW779" s="523" t="str">
        <f t="shared" si="108"/>
        <v/>
      </c>
      <c r="DX779" s="523" t="str">
        <f t="shared" si="109"/>
        <v/>
      </c>
      <c r="DY779" s="523" t="str">
        <f t="shared" si="110"/>
        <v/>
      </c>
      <c r="DZ779" s="523" t="str">
        <f t="shared" si="111"/>
        <v/>
      </c>
      <c r="EA779" s="523" t="str">
        <f t="shared" si="112"/>
        <v/>
      </c>
      <c r="EB779" s="523" t="str">
        <f t="shared" si="113"/>
        <v/>
      </c>
      <c r="EC779" s="523" t="str">
        <f t="shared" si="114"/>
        <v/>
      </c>
      <c r="ED779" s="523" t="str">
        <f t="shared" si="115"/>
        <v/>
      </c>
      <c r="EE779" s="523" t="str">
        <f t="shared" si="116"/>
        <v/>
      </c>
      <c r="EF779" s="523" t="str">
        <f t="shared" si="117"/>
        <v/>
      </c>
      <c r="EG779" s="523" t="str">
        <f t="shared" si="118"/>
        <v/>
      </c>
      <c r="EH779" s="523" t="str">
        <f t="shared" si="119"/>
        <v/>
      </c>
      <c r="EI779" s="523" t="str">
        <f t="shared" si="120"/>
        <v/>
      </c>
      <c r="EJ779" s="523" t="str">
        <f t="shared" si="121"/>
        <v/>
      </c>
      <c r="EK779" s="523" t="str">
        <f t="shared" si="122"/>
        <v/>
      </c>
      <c r="EL779" s="523" t="str">
        <f t="shared" si="123"/>
        <v/>
      </c>
      <c r="EM779" s="523" t="str">
        <f t="shared" si="124"/>
        <v/>
      </c>
      <c r="EN779" s="523" t="str">
        <f t="shared" si="125"/>
        <v/>
      </c>
      <c r="EO779" s="523" t="str">
        <f t="shared" si="126"/>
        <v/>
      </c>
      <c r="EP779" s="523" t="str">
        <f t="shared" si="127"/>
        <v/>
      </c>
      <c r="EQ779" s="523" t="str">
        <f t="shared" si="128"/>
        <v/>
      </c>
      <c r="ER779" s="523" t="str">
        <f t="shared" si="129"/>
        <v/>
      </c>
      <c r="ES779" s="523" t="str">
        <f t="shared" si="130"/>
        <v/>
      </c>
      <c r="ET779" s="523" t="str">
        <f t="shared" si="131"/>
        <v/>
      </c>
      <c r="EU779" s="523" t="str">
        <f t="shared" si="132"/>
        <v/>
      </c>
      <c r="EV779" s="523" t="str">
        <f t="shared" si="133"/>
        <v/>
      </c>
      <c r="EW779" s="3336" t="str">
        <f t="shared" si="134"/>
        <v/>
      </c>
      <c r="EX779" s="3336" t="str">
        <f t="shared" si="135"/>
        <v/>
      </c>
      <c r="EY779" s="3336" t="str">
        <f t="shared" si="136"/>
        <v/>
      </c>
      <c r="EZ779" s="3336" t="str">
        <f t="shared" si="137"/>
        <v/>
      </c>
      <c r="FA779" s="3336" t="str">
        <f t="shared" si="138"/>
        <v/>
      </c>
      <c r="FB779" s="3336" t="str">
        <f t="shared" si="139"/>
        <v/>
      </c>
      <c r="FC779" s="3336" t="str">
        <f t="shared" si="140"/>
        <v/>
      </c>
      <c r="FD779" s="3336" t="str">
        <f t="shared" si="141"/>
        <v/>
      </c>
      <c r="FE779" s="3336" t="str">
        <f t="shared" si="142"/>
        <v/>
      </c>
      <c r="FF779" s="3336" t="str">
        <f t="shared" si="143"/>
        <v/>
      </c>
      <c r="FG779" s="3336" t="str">
        <f t="shared" si="144"/>
        <v/>
      </c>
      <c r="FH779" s="3336" t="str">
        <f t="shared" si="145"/>
        <v/>
      </c>
      <c r="FI779" s="3336" t="str">
        <f t="shared" si="146"/>
        <v/>
      </c>
      <c r="FJ779" s="3336" t="str">
        <f t="shared" si="147"/>
        <v/>
      </c>
      <c r="FK779" s="3336" t="str">
        <f t="shared" si="148"/>
        <v/>
      </c>
      <c r="FL779" s="3336" t="str">
        <f t="shared" si="149"/>
        <v/>
      </c>
      <c r="FM779" s="3336" t="str">
        <f t="shared" si="150"/>
        <v/>
      </c>
      <c r="FN779" s="3336" t="str">
        <f t="shared" si="151"/>
        <v/>
      </c>
      <c r="FO779" s="3336" t="str">
        <f t="shared" si="152"/>
        <v/>
      </c>
      <c r="FP779" s="3336" t="str">
        <f t="shared" si="153"/>
        <v/>
      </c>
      <c r="FQ779" s="3336" t="str">
        <f t="shared" si="154"/>
        <v/>
      </c>
      <c r="FR779" s="3336" t="str">
        <f t="shared" si="155"/>
        <v/>
      </c>
      <c r="FS779" s="3336" t="str">
        <f t="shared" si="156"/>
        <v/>
      </c>
      <c r="FT779" s="3336" t="str">
        <f t="shared" si="157"/>
        <v/>
      </c>
      <c r="FU779" s="3336" t="str">
        <f t="shared" si="158"/>
        <v/>
      </c>
      <c r="FV779" s="3336" t="str">
        <f t="shared" si="159"/>
        <v/>
      </c>
      <c r="FW779" s="3336" t="str">
        <f t="shared" si="160"/>
        <v/>
      </c>
      <c r="FX779" s="3336" t="str">
        <f t="shared" si="161"/>
        <v/>
      </c>
      <c r="FY779" s="3336" t="str">
        <f t="shared" si="162"/>
        <v/>
      </c>
      <c r="FZ779" s="3336" t="str">
        <f t="shared" si="163"/>
        <v/>
      </c>
      <c r="GA779" s="3336" t="str">
        <f t="shared" si="164"/>
        <v/>
      </c>
      <c r="GB779" s="3336" t="str">
        <f t="shared" si="165"/>
        <v/>
      </c>
      <c r="GC779" s="3336" t="str">
        <f t="shared" si="166"/>
        <v/>
      </c>
      <c r="GD779" s="3336" t="str">
        <f t="shared" si="167"/>
        <v/>
      </c>
      <c r="GE779" s="3336" t="str">
        <f t="shared" si="168"/>
        <v/>
      </c>
      <c r="GF779" s="3336" t="str">
        <f t="shared" si="169"/>
        <v/>
      </c>
      <c r="GG779" s="3336" t="str">
        <f t="shared" si="170"/>
        <v/>
      </c>
      <c r="GH779" s="3336" t="str">
        <f t="shared" si="171"/>
        <v/>
      </c>
      <c r="GI779" s="3336" t="str">
        <f t="shared" si="172"/>
        <v/>
      </c>
      <c r="GJ779" s="3336" t="str">
        <f t="shared" si="173"/>
        <v/>
      </c>
      <c r="GK779" s="3336" t="str">
        <f t="shared" si="174"/>
        <v/>
      </c>
      <c r="GL779" s="3336" t="str">
        <f t="shared" si="175"/>
        <v/>
      </c>
      <c r="GM779" s="3336" t="str">
        <f t="shared" si="176"/>
        <v/>
      </c>
      <c r="GN779" s="3336" t="str">
        <f t="shared" si="177"/>
        <v/>
      </c>
      <c r="GO779" s="3336" t="str">
        <f t="shared" si="178"/>
        <v/>
      </c>
      <c r="GP779" s="3336" t="str">
        <f t="shared" si="179"/>
        <v/>
      </c>
      <c r="GQ779" s="3336" t="str">
        <f t="shared" si="180"/>
        <v/>
      </c>
      <c r="GR779" s="3336" t="str">
        <f t="shared" si="181"/>
        <v/>
      </c>
      <c r="GS779" s="3336" t="str">
        <f t="shared" si="182"/>
        <v/>
      </c>
      <c r="GT779" s="3336" t="str">
        <f t="shared" si="183"/>
        <v/>
      </c>
      <c r="GU779" s="3336" t="str">
        <f t="shared" si="184"/>
        <v/>
      </c>
      <c r="GV779" s="3336" t="str">
        <f t="shared" si="185"/>
        <v/>
      </c>
      <c r="GW779" s="3336" t="str">
        <f t="shared" si="186"/>
        <v/>
      </c>
      <c r="GX779" s="3336" t="str">
        <f t="shared" si="187"/>
        <v/>
      </c>
      <c r="GY779" s="3336" t="str">
        <f t="shared" si="188"/>
        <v/>
      </c>
      <c r="GZ779" s="3336" t="str">
        <f t="shared" si="189"/>
        <v/>
      </c>
      <c r="HA779" s="3336" t="str">
        <f t="shared" si="190"/>
        <v/>
      </c>
      <c r="HB779" s="3336" t="str">
        <f t="shared" si="191"/>
        <v/>
      </c>
      <c r="HC779" s="3336" t="str">
        <f t="shared" si="192"/>
        <v/>
      </c>
      <c r="HD779" s="3336" t="str">
        <f t="shared" si="193"/>
        <v/>
      </c>
      <c r="HE779" s="3336" t="str">
        <f t="shared" si="194"/>
        <v/>
      </c>
      <c r="HF779" s="3336" t="str">
        <f t="shared" si="195"/>
        <v/>
      </c>
      <c r="HG779" s="3336" t="str">
        <f t="shared" si="196"/>
        <v/>
      </c>
      <c r="HH779" s="3336" t="str">
        <f t="shared" si="197"/>
        <v/>
      </c>
      <c r="HI779" s="3336" t="str">
        <f t="shared" si="198"/>
        <v/>
      </c>
      <c r="HJ779" s="3336" t="str">
        <f t="shared" si="199"/>
        <v/>
      </c>
      <c r="HK779" s="3336" t="str">
        <f t="shared" si="200"/>
        <v/>
      </c>
      <c r="HL779" s="3336" t="str">
        <f t="shared" si="201"/>
        <v/>
      </c>
      <c r="HM779" s="3336" t="str">
        <f t="shared" si="202"/>
        <v/>
      </c>
      <c r="HN779" s="3336" t="str">
        <f t="shared" si="203"/>
        <v/>
      </c>
      <c r="HO779" s="3336" t="str">
        <f t="shared" si="204"/>
        <v/>
      </c>
      <c r="HP779" s="3336" t="str">
        <f t="shared" si="205"/>
        <v/>
      </c>
      <c r="HQ779" s="3336" t="str">
        <f t="shared" si="206"/>
        <v/>
      </c>
      <c r="HR779" s="3336" t="str">
        <f t="shared" si="207"/>
        <v/>
      </c>
      <c r="HS779" s="3336" t="str">
        <f t="shared" si="208"/>
        <v/>
      </c>
      <c r="HT779" s="3336" t="str">
        <f t="shared" si="209"/>
        <v/>
      </c>
      <c r="HU779" s="3336" t="str">
        <f t="shared" si="210"/>
        <v/>
      </c>
      <c r="HV779" s="3336" t="str">
        <f t="shared" si="211"/>
        <v/>
      </c>
      <c r="HW779" s="3336" t="str">
        <f t="shared" si="212"/>
        <v/>
      </c>
      <c r="HX779" s="3336" t="str">
        <f t="shared" si="213"/>
        <v/>
      </c>
      <c r="HY779" s="3336" t="str">
        <f t="shared" si="214"/>
        <v/>
      </c>
      <c r="HZ779" s="3336" t="str">
        <f t="shared" si="215"/>
        <v/>
      </c>
      <c r="IA779" s="3336" t="str">
        <f t="shared" si="216"/>
        <v/>
      </c>
      <c r="IB779" s="3336" t="str">
        <f t="shared" si="217"/>
        <v/>
      </c>
      <c r="IC779" s="3336" t="str">
        <f t="shared" si="218"/>
        <v/>
      </c>
      <c r="ID779" s="3308" t="str">
        <f t="shared" si="219"/>
        <v/>
      </c>
      <c r="IE779" s="3308" t="str">
        <f t="shared" si="220"/>
        <v/>
      </c>
      <c r="IF779" s="3308" t="str">
        <f t="shared" si="221"/>
        <v/>
      </c>
      <c r="IG779" s="3308" t="str">
        <f t="shared" si="222"/>
        <v/>
      </c>
      <c r="IH779" s="3308" t="str">
        <f t="shared" si="223"/>
        <v/>
      </c>
      <c r="II779" s="523" t="str">
        <f t="shared" si="224"/>
        <v/>
      </c>
      <c r="IJ779" s="523" t="str">
        <f t="shared" si="225"/>
        <v/>
      </c>
      <c r="IK779" s="523" t="str">
        <f t="shared" si="226"/>
        <v/>
      </c>
      <c r="IL779" s="523" t="str">
        <f t="shared" si="227"/>
        <v/>
      </c>
      <c r="IM779" s="523" t="str">
        <f t="shared" si="228"/>
        <v/>
      </c>
      <c r="IN779" s="523" t="str">
        <f t="shared" si="229"/>
        <v/>
      </c>
      <c r="IO779" s="523" t="str">
        <f t="shared" si="230"/>
        <v/>
      </c>
      <c r="IP779" s="523" t="str">
        <f t="shared" si="231"/>
        <v/>
      </c>
      <c r="IQ779" s="523" t="str">
        <f t="shared" si="232"/>
        <v/>
      </c>
      <c r="IR779" s="523" t="str">
        <f t="shared" si="233"/>
        <v/>
      </c>
      <c r="IS779" s="523" t="str">
        <f t="shared" si="234"/>
        <v/>
      </c>
      <c r="IT779" s="523" t="str">
        <f t="shared" si="235"/>
        <v/>
      </c>
      <c r="IU779" s="523" t="str">
        <f t="shared" si="236"/>
        <v/>
      </c>
      <c r="IV779" s="523" t="str">
        <f t="shared" si="237"/>
        <v/>
      </c>
      <c r="IW779" s="523" t="str">
        <f t="shared" si="238"/>
        <v/>
      </c>
      <c r="IX779" s="523" t="str">
        <f t="shared" si="239"/>
        <v/>
      </c>
      <c r="IY779" s="523" t="str">
        <f t="shared" si="240"/>
        <v/>
      </c>
      <c r="IZ779" s="523" t="str">
        <f t="shared" si="241"/>
        <v/>
      </c>
      <c r="JA779" s="523" t="str">
        <f t="shared" si="242"/>
        <v/>
      </c>
      <c r="JB779" s="523" t="str">
        <f t="shared" si="243"/>
        <v/>
      </c>
      <c r="JC779" s="3306">
        <f t="shared" si="244"/>
        <v>0</v>
      </c>
      <c r="JD779" s="3306">
        <f t="shared" si="245"/>
        <v>0</v>
      </c>
      <c r="JE779" s="3306">
        <f t="shared" si="246"/>
        <v>0</v>
      </c>
      <c r="JF779" s="3306">
        <f t="shared" si="247"/>
        <v>0</v>
      </c>
      <c r="JG779" s="3306">
        <f t="shared" si="248"/>
        <v>0</v>
      </c>
      <c r="JH779" s="3306">
        <f t="shared" si="249"/>
        <v>0</v>
      </c>
      <c r="JI779" s="3306">
        <f t="shared" si="250"/>
        <v>0</v>
      </c>
      <c r="JJ779" s="3306">
        <f t="shared" si="251"/>
        <v>0</v>
      </c>
      <c r="JK779" s="3306">
        <f t="shared" si="252"/>
        <v>0</v>
      </c>
      <c r="JL779" s="3306">
        <f t="shared" si="253"/>
        <v>0</v>
      </c>
      <c r="JM779" s="3306">
        <f t="shared" si="254"/>
        <v>0</v>
      </c>
      <c r="JN779" s="3306">
        <f t="shared" si="255"/>
        <v>0</v>
      </c>
      <c r="JO779" s="3306">
        <f t="shared" si="256"/>
        <v>0</v>
      </c>
      <c r="JP779" s="3306">
        <f t="shared" si="257"/>
        <v>0</v>
      </c>
      <c r="JQ779" s="3306">
        <f t="shared" si="258"/>
        <v>0</v>
      </c>
    </row>
    <row r="780" spans="1:277" ht="12" customHeight="1">
      <c r="A780" s="3319" t="str">
        <f t="shared" si="1"/>
        <v/>
      </c>
      <c r="B780" s="3328" t="str">
        <f>'Part VI-Revenues &amp; Expenses'!B23</f>
        <v>&lt;&lt;Select&gt;&gt;</v>
      </c>
      <c r="C780" s="3329">
        <f>'Part VI-Revenues &amp; Expenses'!C23</f>
        <v>0</v>
      </c>
      <c r="D780" s="3330">
        <f>'Part VI-Revenues &amp; Expenses'!D23</f>
        <v>0</v>
      </c>
      <c r="E780" s="3331">
        <f>'Part VI-Revenues &amp; Expenses'!E23</f>
        <v>0</v>
      </c>
      <c r="F780" s="3331">
        <f>'Part VI-Revenues &amp; Expenses'!F23</f>
        <v>0</v>
      </c>
      <c r="G780" s="3331">
        <f>'Part VI-Revenues &amp; Expenses'!G23</f>
        <v>0</v>
      </c>
      <c r="H780" s="3331">
        <f>'Part VI-Revenues &amp; Expenses'!H23</f>
        <v>0</v>
      </c>
      <c r="I780" s="3331">
        <f>'Part VI-Revenues &amp; Expenses'!I23</f>
        <v>0</v>
      </c>
      <c r="J780" s="3332">
        <f>'Part VI-Revenues &amp; Expenses'!J23</f>
        <v>0</v>
      </c>
      <c r="K780" s="3333">
        <f t="shared" si="2"/>
        <v>0</v>
      </c>
      <c r="L780" s="3333">
        <f t="shared" si="3"/>
        <v>0</v>
      </c>
      <c r="M780" s="3207">
        <f>'Part VI-Revenues &amp; Expenses'!M23</f>
        <v>0</v>
      </c>
      <c r="N780" s="3207">
        <f>'Part VI-Revenues &amp; Expenses'!N23</f>
        <v>0</v>
      </c>
      <c r="O780" s="3207">
        <f>'Part VI-Revenues &amp; Expenses'!O23</f>
        <v>0</v>
      </c>
      <c r="P780" s="3313">
        <f>'Part VI-Revenues &amp; Expenses'!P23</f>
        <v>0</v>
      </c>
      <c r="Q780" s="3334" t="str">
        <f>'Part VI-Revenues &amp; Expenses'!Q23</f>
        <v/>
      </c>
      <c r="R780" s="3335" t="str">
        <f>'Part VI-Revenues &amp; Expenses'!R23</f>
        <v/>
      </c>
      <c r="S780" s="3334">
        <f>'Part VI-Revenues &amp; Expenses'!S23</f>
        <v>0</v>
      </c>
      <c r="T780" s="3335">
        <f>'Part VI-Revenues &amp; Expenses'!T23</f>
        <v>0</v>
      </c>
      <c r="U780" s="3257"/>
      <c r="V780" s="3257"/>
      <c r="W780" s="523" t="str">
        <f t="shared" si="4"/>
        <v/>
      </c>
      <c r="X780" s="523" t="str">
        <f t="shared" si="5"/>
        <v/>
      </c>
      <c r="Y780" s="523" t="str">
        <f t="shared" si="6"/>
        <v/>
      </c>
      <c r="Z780" s="523" t="str">
        <f t="shared" si="7"/>
        <v/>
      </c>
      <c r="AA780" s="523" t="str">
        <f t="shared" si="8"/>
        <v/>
      </c>
      <c r="AB780" s="523" t="str">
        <f t="shared" si="9"/>
        <v/>
      </c>
      <c r="AC780" s="523" t="str">
        <f t="shared" si="10"/>
        <v/>
      </c>
      <c r="AD780" s="523" t="str">
        <f t="shared" si="11"/>
        <v/>
      </c>
      <c r="AE780" s="523" t="str">
        <f t="shared" si="12"/>
        <v/>
      </c>
      <c r="AF780" s="523" t="str">
        <f t="shared" si="13"/>
        <v/>
      </c>
      <c r="AG780" s="523" t="str">
        <f t="shared" si="14"/>
        <v/>
      </c>
      <c r="AH780" s="523" t="str">
        <f t="shared" si="15"/>
        <v/>
      </c>
      <c r="AI780" s="523" t="str">
        <f t="shared" si="16"/>
        <v/>
      </c>
      <c r="AJ780" s="523" t="str">
        <f t="shared" si="17"/>
        <v/>
      </c>
      <c r="AK780" s="523" t="str">
        <f t="shared" si="18"/>
        <v/>
      </c>
      <c r="AL780" s="523" t="str">
        <f t="shared" si="19"/>
        <v/>
      </c>
      <c r="AM780" s="523" t="str">
        <f t="shared" si="20"/>
        <v/>
      </c>
      <c r="AN780" s="523" t="str">
        <f t="shared" si="21"/>
        <v/>
      </c>
      <c r="AO780" s="523" t="str">
        <f t="shared" si="22"/>
        <v/>
      </c>
      <c r="AP780" s="523" t="str">
        <f t="shared" si="23"/>
        <v/>
      </c>
      <c r="AQ780" s="523" t="str">
        <f t="shared" si="24"/>
        <v/>
      </c>
      <c r="AR780" s="523" t="str">
        <f t="shared" si="25"/>
        <v/>
      </c>
      <c r="AS780" s="523" t="str">
        <f t="shared" si="26"/>
        <v/>
      </c>
      <c r="AT780" s="523" t="str">
        <f t="shared" si="27"/>
        <v/>
      </c>
      <c r="AU780" s="523" t="str">
        <f t="shared" si="28"/>
        <v/>
      </c>
      <c r="AV780" s="523" t="str">
        <f t="shared" si="29"/>
        <v/>
      </c>
      <c r="AW780" s="523" t="str">
        <f t="shared" si="30"/>
        <v/>
      </c>
      <c r="AX780" s="523" t="str">
        <f t="shared" si="31"/>
        <v/>
      </c>
      <c r="AY780" s="523" t="str">
        <f t="shared" si="32"/>
        <v/>
      </c>
      <c r="AZ780" s="523" t="str">
        <f t="shared" si="33"/>
        <v/>
      </c>
      <c r="BA780" s="523" t="str">
        <f t="shared" si="34"/>
        <v/>
      </c>
      <c r="BB780" s="523" t="str">
        <f t="shared" si="35"/>
        <v/>
      </c>
      <c r="BC780" s="523" t="str">
        <f t="shared" si="36"/>
        <v/>
      </c>
      <c r="BD780" s="523" t="str">
        <f t="shared" si="37"/>
        <v/>
      </c>
      <c r="BE780" s="523" t="str">
        <f t="shared" si="38"/>
        <v/>
      </c>
      <c r="BF780" s="523" t="str">
        <f t="shared" si="39"/>
        <v/>
      </c>
      <c r="BG780" s="523" t="str">
        <f t="shared" si="40"/>
        <v/>
      </c>
      <c r="BH780" s="523" t="str">
        <f t="shared" si="41"/>
        <v/>
      </c>
      <c r="BI780" s="523" t="str">
        <f t="shared" si="42"/>
        <v/>
      </c>
      <c r="BJ780" s="523" t="str">
        <f t="shared" si="43"/>
        <v/>
      </c>
      <c r="BK780" s="523" t="str">
        <f t="shared" si="44"/>
        <v/>
      </c>
      <c r="BL780" s="523" t="str">
        <f t="shared" si="45"/>
        <v/>
      </c>
      <c r="BM780" s="523" t="str">
        <f t="shared" si="46"/>
        <v/>
      </c>
      <c r="BN780" s="523" t="str">
        <f t="shared" si="47"/>
        <v/>
      </c>
      <c r="BO780" s="523" t="str">
        <f t="shared" si="48"/>
        <v/>
      </c>
      <c r="BP780" s="523" t="str">
        <f t="shared" si="49"/>
        <v/>
      </c>
      <c r="BQ780" s="523" t="str">
        <f t="shared" si="50"/>
        <v/>
      </c>
      <c r="BR780" s="523" t="str">
        <f t="shared" si="51"/>
        <v/>
      </c>
      <c r="BS780" s="523" t="str">
        <f t="shared" si="52"/>
        <v/>
      </c>
      <c r="BT780" s="523" t="str">
        <f t="shared" si="53"/>
        <v/>
      </c>
      <c r="BU780" s="523" t="str">
        <f t="shared" si="54"/>
        <v/>
      </c>
      <c r="BV780" s="523" t="str">
        <f t="shared" si="55"/>
        <v/>
      </c>
      <c r="BW780" s="523" t="str">
        <f t="shared" si="56"/>
        <v/>
      </c>
      <c r="BX780" s="523" t="str">
        <f t="shared" si="57"/>
        <v/>
      </c>
      <c r="BY780" s="523" t="str">
        <f t="shared" si="58"/>
        <v/>
      </c>
      <c r="BZ780" s="523" t="str">
        <f t="shared" si="59"/>
        <v/>
      </c>
      <c r="CA780" s="523" t="str">
        <f t="shared" si="60"/>
        <v/>
      </c>
      <c r="CB780" s="523" t="str">
        <f t="shared" si="61"/>
        <v/>
      </c>
      <c r="CC780" s="523" t="str">
        <f t="shared" si="62"/>
        <v/>
      </c>
      <c r="CD780" s="523" t="str">
        <f t="shared" si="63"/>
        <v/>
      </c>
      <c r="CE780" s="523" t="str">
        <f t="shared" si="64"/>
        <v/>
      </c>
      <c r="CF780" s="523" t="str">
        <f t="shared" si="65"/>
        <v/>
      </c>
      <c r="CG780" s="523" t="str">
        <f t="shared" si="66"/>
        <v/>
      </c>
      <c r="CH780" s="523" t="str">
        <f t="shared" si="67"/>
        <v/>
      </c>
      <c r="CI780" s="523" t="str">
        <f t="shared" si="68"/>
        <v/>
      </c>
      <c r="CJ780" s="523" t="str">
        <f t="shared" si="69"/>
        <v/>
      </c>
      <c r="CK780" s="523" t="str">
        <f t="shared" si="70"/>
        <v/>
      </c>
      <c r="CL780" s="523" t="str">
        <f t="shared" si="71"/>
        <v/>
      </c>
      <c r="CM780" s="523" t="str">
        <f t="shared" si="72"/>
        <v/>
      </c>
      <c r="CN780" s="523" t="str">
        <f t="shared" si="73"/>
        <v/>
      </c>
      <c r="CO780" s="523" t="str">
        <f t="shared" si="74"/>
        <v/>
      </c>
      <c r="CP780" s="523" t="str">
        <f t="shared" si="75"/>
        <v/>
      </c>
      <c r="CQ780" s="523" t="str">
        <f t="shared" si="76"/>
        <v/>
      </c>
      <c r="CR780" s="523" t="str">
        <f t="shared" si="77"/>
        <v/>
      </c>
      <c r="CS780" s="523" t="str">
        <f t="shared" si="78"/>
        <v/>
      </c>
      <c r="CT780" s="523" t="str">
        <f t="shared" si="79"/>
        <v/>
      </c>
      <c r="CU780" s="523" t="str">
        <f t="shared" si="80"/>
        <v/>
      </c>
      <c r="CV780" s="523" t="str">
        <f t="shared" si="81"/>
        <v/>
      </c>
      <c r="CW780" s="523" t="str">
        <f t="shared" si="82"/>
        <v/>
      </c>
      <c r="CX780" s="523" t="str">
        <f t="shared" si="83"/>
        <v/>
      </c>
      <c r="CY780" s="523" t="str">
        <f t="shared" si="84"/>
        <v/>
      </c>
      <c r="CZ780" s="523" t="str">
        <f t="shared" si="85"/>
        <v/>
      </c>
      <c r="DA780" s="523" t="str">
        <f t="shared" si="86"/>
        <v/>
      </c>
      <c r="DB780" s="523" t="str">
        <f t="shared" si="87"/>
        <v/>
      </c>
      <c r="DC780" s="523" t="str">
        <f t="shared" si="88"/>
        <v/>
      </c>
      <c r="DD780" s="523" t="str">
        <f t="shared" si="89"/>
        <v/>
      </c>
      <c r="DE780" s="523" t="str">
        <f t="shared" si="90"/>
        <v/>
      </c>
      <c r="DF780" s="523" t="str">
        <f t="shared" si="91"/>
        <v/>
      </c>
      <c r="DG780" s="523" t="str">
        <f t="shared" si="92"/>
        <v/>
      </c>
      <c r="DH780" s="523" t="str">
        <f t="shared" si="93"/>
        <v/>
      </c>
      <c r="DI780" s="523" t="str">
        <f t="shared" si="94"/>
        <v/>
      </c>
      <c r="DJ780" s="523" t="str">
        <f t="shared" si="95"/>
        <v/>
      </c>
      <c r="DK780" s="523" t="str">
        <f t="shared" si="96"/>
        <v/>
      </c>
      <c r="DL780" s="523" t="str">
        <f t="shared" si="97"/>
        <v/>
      </c>
      <c r="DM780" s="523" t="str">
        <f t="shared" si="98"/>
        <v/>
      </c>
      <c r="DN780" s="523" t="str">
        <f t="shared" si="99"/>
        <v/>
      </c>
      <c r="DO780" s="523" t="str">
        <f t="shared" si="100"/>
        <v/>
      </c>
      <c r="DP780" s="523" t="str">
        <f t="shared" si="101"/>
        <v/>
      </c>
      <c r="DQ780" s="523" t="str">
        <f t="shared" si="102"/>
        <v/>
      </c>
      <c r="DR780" s="523" t="str">
        <f t="shared" si="103"/>
        <v/>
      </c>
      <c r="DS780" s="523" t="str">
        <f t="shared" si="104"/>
        <v/>
      </c>
      <c r="DT780" s="523" t="str">
        <f t="shared" si="105"/>
        <v/>
      </c>
      <c r="DU780" s="523" t="str">
        <f t="shared" si="106"/>
        <v/>
      </c>
      <c r="DV780" s="523" t="str">
        <f t="shared" si="107"/>
        <v/>
      </c>
      <c r="DW780" s="523" t="str">
        <f t="shared" si="108"/>
        <v/>
      </c>
      <c r="DX780" s="523" t="str">
        <f t="shared" si="109"/>
        <v/>
      </c>
      <c r="DY780" s="523" t="str">
        <f t="shared" si="110"/>
        <v/>
      </c>
      <c r="DZ780" s="523" t="str">
        <f t="shared" si="111"/>
        <v/>
      </c>
      <c r="EA780" s="523" t="str">
        <f t="shared" si="112"/>
        <v/>
      </c>
      <c r="EB780" s="523" t="str">
        <f t="shared" si="113"/>
        <v/>
      </c>
      <c r="EC780" s="523" t="str">
        <f t="shared" si="114"/>
        <v/>
      </c>
      <c r="ED780" s="523" t="str">
        <f t="shared" si="115"/>
        <v/>
      </c>
      <c r="EE780" s="523" t="str">
        <f t="shared" si="116"/>
        <v/>
      </c>
      <c r="EF780" s="523" t="str">
        <f t="shared" si="117"/>
        <v/>
      </c>
      <c r="EG780" s="523" t="str">
        <f t="shared" si="118"/>
        <v/>
      </c>
      <c r="EH780" s="523" t="str">
        <f t="shared" si="119"/>
        <v/>
      </c>
      <c r="EI780" s="523" t="str">
        <f t="shared" si="120"/>
        <v/>
      </c>
      <c r="EJ780" s="523" t="str">
        <f t="shared" si="121"/>
        <v/>
      </c>
      <c r="EK780" s="523" t="str">
        <f t="shared" si="122"/>
        <v/>
      </c>
      <c r="EL780" s="523" t="str">
        <f t="shared" si="123"/>
        <v/>
      </c>
      <c r="EM780" s="523" t="str">
        <f t="shared" si="124"/>
        <v/>
      </c>
      <c r="EN780" s="523" t="str">
        <f t="shared" si="125"/>
        <v/>
      </c>
      <c r="EO780" s="523" t="str">
        <f t="shared" si="126"/>
        <v/>
      </c>
      <c r="EP780" s="523" t="str">
        <f t="shared" si="127"/>
        <v/>
      </c>
      <c r="EQ780" s="523" t="str">
        <f t="shared" si="128"/>
        <v/>
      </c>
      <c r="ER780" s="523" t="str">
        <f t="shared" si="129"/>
        <v/>
      </c>
      <c r="ES780" s="523" t="str">
        <f t="shared" si="130"/>
        <v/>
      </c>
      <c r="ET780" s="523" t="str">
        <f t="shared" si="131"/>
        <v/>
      </c>
      <c r="EU780" s="523" t="str">
        <f t="shared" si="132"/>
        <v/>
      </c>
      <c r="EV780" s="523" t="str">
        <f t="shared" si="133"/>
        <v/>
      </c>
      <c r="EW780" s="3336" t="str">
        <f t="shared" si="134"/>
        <v/>
      </c>
      <c r="EX780" s="3336" t="str">
        <f t="shared" si="135"/>
        <v/>
      </c>
      <c r="EY780" s="3336" t="str">
        <f t="shared" si="136"/>
        <v/>
      </c>
      <c r="EZ780" s="3336" t="str">
        <f t="shared" si="137"/>
        <v/>
      </c>
      <c r="FA780" s="3336" t="str">
        <f t="shared" si="138"/>
        <v/>
      </c>
      <c r="FB780" s="3336" t="str">
        <f t="shared" si="139"/>
        <v/>
      </c>
      <c r="FC780" s="3336" t="str">
        <f t="shared" si="140"/>
        <v/>
      </c>
      <c r="FD780" s="3336" t="str">
        <f t="shared" si="141"/>
        <v/>
      </c>
      <c r="FE780" s="3336" t="str">
        <f t="shared" si="142"/>
        <v/>
      </c>
      <c r="FF780" s="3336" t="str">
        <f t="shared" si="143"/>
        <v/>
      </c>
      <c r="FG780" s="3336" t="str">
        <f t="shared" si="144"/>
        <v/>
      </c>
      <c r="FH780" s="3336" t="str">
        <f t="shared" si="145"/>
        <v/>
      </c>
      <c r="FI780" s="3336" t="str">
        <f t="shared" si="146"/>
        <v/>
      </c>
      <c r="FJ780" s="3336" t="str">
        <f t="shared" si="147"/>
        <v/>
      </c>
      <c r="FK780" s="3336" t="str">
        <f t="shared" si="148"/>
        <v/>
      </c>
      <c r="FL780" s="3336" t="str">
        <f t="shared" si="149"/>
        <v/>
      </c>
      <c r="FM780" s="3336" t="str">
        <f t="shared" si="150"/>
        <v/>
      </c>
      <c r="FN780" s="3336" t="str">
        <f t="shared" si="151"/>
        <v/>
      </c>
      <c r="FO780" s="3336" t="str">
        <f t="shared" si="152"/>
        <v/>
      </c>
      <c r="FP780" s="3336" t="str">
        <f t="shared" si="153"/>
        <v/>
      </c>
      <c r="FQ780" s="3336" t="str">
        <f t="shared" si="154"/>
        <v/>
      </c>
      <c r="FR780" s="3336" t="str">
        <f t="shared" si="155"/>
        <v/>
      </c>
      <c r="FS780" s="3336" t="str">
        <f t="shared" si="156"/>
        <v/>
      </c>
      <c r="FT780" s="3336" t="str">
        <f t="shared" si="157"/>
        <v/>
      </c>
      <c r="FU780" s="3336" t="str">
        <f t="shared" si="158"/>
        <v/>
      </c>
      <c r="FV780" s="3336" t="str">
        <f t="shared" si="159"/>
        <v/>
      </c>
      <c r="FW780" s="3336" t="str">
        <f t="shared" si="160"/>
        <v/>
      </c>
      <c r="FX780" s="3336" t="str">
        <f t="shared" si="161"/>
        <v/>
      </c>
      <c r="FY780" s="3336" t="str">
        <f t="shared" si="162"/>
        <v/>
      </c>
      <c r="FZ780" s="3336" t="str">
        <f t="shared" si="163"/>
        <v/>
      </c>
      <c r="GA780" s="3336" t="str">
        <f t="shared" si="164"/>
        <v/>
      </c>
      <c r="GB780" s="3336" t="str">
        <f t="shared" si="165"/>
        <v/>
      </c>
      <c r="GC780" s="3336" t="str">
        <f t="shared" si="166"/>
        <v/>
      </c>
      <c r="GD780" s="3336" t="str">
        <f t="shared" si="167"/>
        <v/>
      </c>
      <c r="GE780" s="3336" t="str">
        <f t="shared" si="168"/>
        <v/>
      </c>
      <c r="GF780" s="3336" t="str">
        <f t="shared" si="169"/>
        <v/>
      </c>
      <c r="GG780" s="3336" t="str">
        <f t="shared" si="170"/>
        <v/>
      </c>
      <c r="GH780" s="3336" t="str">
        <f t="shared" si="171"/>
        <v/>
      </c>
      <c r="GI780" s="3336" t="str">
        <f t="shared" si="172"/>
        <v/>
      </c>
      <c r="GJ780" s="3336" t="str">
        <f t="shared" si="173"/>
        <v/>
      </c>
      <c r="GK780" s="3336" t="str">
        <f t="shared" si="174"/>
        <v/>
      </c>
      <c r="GL780" s="3336" t="str">
        <f t="shared" si="175"/>
        <v/>
      </c>
      <c r="GM780" s="3336" t="str">
        <f t="shared" si="176"/>
        <v/>
      </c>
      <c r="GN780" s="3336" t="str">
        <f t="shared" si="177"/>
        <v/>
      </c>
      <c r="GO780" s="3336" t="str">
        <f t="shared" si="178"/>
        <v/>
      </c>
      <c r="GP780" s="3336" t="str">
        <f t="shared" si="179"/>
        <v/>
      </c>
      <c r="GQ780" s="3336" t="str">
        <f t="shared" si="180"/>
        <v/>
      </c>
      <c r="GR780" s="3336" t="str">
        <f t="shared" si="181"/>
        <v/>
      </c>
      <c r="GS780" s="3336" t="str">
        <f t="shared" si="182"/>
        <v/>
      </c>
      <c r="GT780" s="3336" t="str">
        <f t="shared" si="183"/>
        <v/>
      </c>
      <c r="GU780" s="3336" t="str">
        <f t="shared" si="184"/>
        <v/>
      </c>
      <c r="GV780" s="3336" t="str">
        <f t="shared" si="185"/>
        <v/>
      </c>
      <c r="GW780" s="3336" t="str">
        <f t="shared" si="186"/>
        <v/>
      </c>
      <c r="GX780" s="3336" t="str">
        <f t="shared" si="187"/>
        <v/>
      </c>
      <c r="GY780" s="3336" t="str">
        <f t="shared" si="188"/>
        <v/>
      </c>
      <c r="GZ780" s="3336" t="str">
        <f t="shared" si="189"/>
        <v/>
      </c>
      <c r="HA780" s="3336" t="str">
        <f t="shared" si="190"/>
        <v/>
      </c>
      <c r="HB780" s="3336" t="str">
        <f t="shared" si="191"/>
        <v/>
      </c>
      <c r="HC780" s="3336" t="str">
        <f t="shared" si="192"/>
        <v/>
      </c>
      <c r="HD780" s="3336" t="str">
        <f t="shared" si="193"/>
        <v/>
      </c>
      <c r="HE780" s="3336" t="str">
        <f t="shared" si="194"/>
        <v/>
      </c>
      <c r="HF780" s="3336" t="str">
        <f t="shared" si="195"/>
        <v/>
      </c>
      <c r="HG780" s="3336" t="str">
        <f t="shared" si="196"/>
        <v/>
      </c>
      <c r="HH780" s="3336" t="str">
        <f t="shared" si="197"/>
        <v/>
      </c>
      <c r="HI780" s="3336" t="str">
        <f t="shared" si="198"/>
        <v/>
      </c>
      <c r="HJ780" s="3336" t="str">
        <f t="shared" si="199"/>
        <v/>
      </c>
      <c r="HK780" s="3336" t="str">
        <f t="shared" si="200"/>
        <v/>
      </c>
      <c r="HL780" s="3336" t="str">
        <f t="shared" si="201"/>
        <v/>
      </c>
      <c r="HM780" s="3336" t="str">
        <f t="shared" si="202"/>
        <v/>
      </c>
      <c r="HN780" s="3336" t="str">
        <f t="shared" si="203"/>
        <v/>
      </c>
      <c r="HO780" s="3336" t="str">
        <f t="shared" si="204"/>
        <v/>
      </c>
      <c r="HP780" s="3336" t="str">
        <f t="shared" si="205"/>
        <v/>
      </c>
      <c r="HQ780" s="3336" t="str">
        <f t="shared" si="206"/>
        <v/>
      </c>
      <c r="HR780" s="3336" t="str">
        <f t="shared" si="207"/>
        <v/>
      </c>
      <c r="HS780" s="3336" t="str">
        <f t="shared" si="208"/>
        <v/>
      </c>
      <c r="HT780" s="3336" t="str">
        <f t="shared" si="209"/>
        <v/>
      </c>
      <c r="HU780" s="3336" t="str">
        <f t="shared" si="210"/>
        <v/>
      </c>
      <c r="HV780" s="3336" t="str">
        <f t="shared" si="211"/>
        <v/>
      </c>
      <c r="HW780" s="3336" t="str">
        <f t="shared" si="212"/>
        <v/>
      </c>
      <c r="HX780" s="3336" t="str">
        <f t="shared" si="213"/>
        <v/>
      </c>
      <c r="HY780" s="3336" t="str">
        <f t="shared" si="214"/>
        <v/>
      </c>
      <c r="HZ780" s="3336" t="str">
        <f t="shared" si="215"/>
        <v/>
      </c>
      <c r="IA780" s="3336" t="str">
        <f t="shared" si="216"/>
        <v/>
      </c>
      <c r="IB780" s="3336" t="str">
        <f t="shared" si="217"/>
        <v/>
      </c>
      <c r="IC780" s="3336" t="str">
        <f t="shared" si="218"/>
        <v/>
      </c>
      <c r="ID780" s="3308" t="str">
        <f t="shared" si="219"/>
        <v/>
      </c>
      <c r="IE780" s="3308" t="str">
        <f t="shared" si="220"/>
        <v/>
      </c>
      <c r="IF780" s="3308" t="str">
        <f t="shared" si="221"/>
        <v/>
      </c>
      <c r="IG780" s="3308" t="str">
        <f t="shared" si="222"/>
        <v/>
      </c>
      <c r="IH780" s="3308" t="str">
        <f t="shared" si="223"/>
        <v/>
      </c>
      <c r="II780" s="523" t="str">
        <f t="shared" si="224"/>
        <v/>
      </c>
      <c r="IJ780" s="523" t="str">
        <f t="shared" si="225"/>
        <v/>
      </c>
      <c r="IK780" s="523" t="str">
        <f t="shared" si="226"/>
        <v/>
      </c>
      <c r="IL780" s="523" t="str">
        <f t="shared" si="227"/>
        <v/>
      </c>
      <c r="IM780" s="523" t="str">
        <f t="shared" si="228"/>
        <v/>
      </c>
      <c r="IN780" s="523" t="str">
        <f t="shared" si="229"/>
        <v/>
      </c>
      <c r="IO780" s="523" t="str">
        <f t="shared" si="230"/>
        <v/>
      </c>
      <c r="IP780" s="523" t="str">
        <f t="shared" si="231"/>
        <v/>
      </c>
      <c r="IQ780" s="523" t="str">
        <f t="shared" si="232"/>
        <v/>
      </c>
      <c r="IR780" s="523" t="str">
        <f t="shared" si="233"/>
        <v/>
      </c>
      <c r="IS780" s="523" t="str">
        <f t="shared" si="234"/>
        <v/>
      </c>
      <c r="IT780" s="523" t="str">
        <f t="shared" si="235"/>
        <v/>
      </c>
      <c r="IU780" s="523" t="str">
        <f t="shared" si="236"/>
        <v/>
      </c>
      <c r="IV780" s="523" t="str">
        <f t="shared" si="237"/>
        <v/>
      </c>
      <c r="IW780" s="523" t="str">
        <f t="shared" si="238"/>
        <v/>
      </c>
      <c r="IX780" s="523" t="str">
        <f t="shared" si="239"/>
        <v/>
      </c>
      <c r="IY780" s="523" t="str">
        <f t="shared" si="240"/>
        <v/>
      </c>
      <c r="IZ780" s="523" t="str">
        <f t="shared" si="241"/>
        <v/>
      </c>
      <c r="JA780" s="523" t="str">
        <f t="shared" si="242"/>
        <v/>
      </c>
      <c r="JB780" s="523" t="str">
        <f t="shared" si="243"/>
        <v/>
      </c>
      <c r="JC780" s="3306">
        <f t="shared" si="244"/>
        <v>0</v>
      </c>
      <c r="JD780" s="3306">
        <f t="shared" si="245"/>
        <v>0</v>
      </c>
      <c r="JE780" s="3306">
        <f t="shared" si="246"/>
        <v>0</v>
      </c>
      <c r="JF780" s="3306">
        <f t="shared" si="247"/>
        <v>0</v>
      </c>
      <c r="JG780" s="3306">
        <f t="shared" si="248"/>
        <v>0</v>
      </c>
      <c r="JH780" s="3306">
        <f t="shared" si="249"/>
        <v>0</v>
      </c>
      <c r="JI780" s="3306">
        <f t="shared" si="250"/>
        <v>0</v>
      </c>
      <c r="JJ780" s="3306">
        <f t="shared" si="251"/>
        <v>0</v>
      </c>
      <c r="JK780" s="3306">
        <f t="shared" si="252"/>
        <v>0</v>
      </c>
      <c r="JL780" s="3306">
        <f t="shared" si="253"/>
        <v>0</v>
      </c>
      <c r="JM780" s="3306">
        <f t="shared" si="254"/>
        <v>0</v>
      </c>
      <c r="JN780" s="3306">
        <f t="shared" si="255"/>
        <v>0</v>
      </c>
      <c r="JO780" s="3306">
        <f t="shared" si="256"/>
        <v>0</v>
      </c>
      <c r="JP780" s="3306">
        <f t="shared" si="257"/>
        <v>0</v>
      </c>
      <c r="JQ780" s="3306">
        <f t="shared" si="258"/>
        <v>0</v>
      </c>
    </row>
    <row r="781" spans="1:277" ht="12" customHeight="1">
      <c r="A781" s="3319" t="str">
        <f t="shared" si="1"/>
        <v/>
      </c>
      <c r="B781" s="3328" t="str">
        <f>'Part VI-Revenues &amp; Expenses'!B24</f>
        <v>&lt;&lt;Select&gt;&gt;</v>
      </c>
      <c r="C781" s="3329">
        <f>'Part VI-Revenues &amp; Expenses'!C24</f>
        <v>0</v>
      </c>
      <c r="D781" s="3330">
        <f>'Part VI-Revenues &amp; Expenses'!D24</f>
        <v>0</v>
      </c>
      <c r="E781" s="3331">
        <f>'Part VI-Revenues &amp; Expenses'!E24</f>
        <v>0</v>
      </c>
      <c r="F781" s="3331">
        <f>'Part VI-Revenues &amp; Expenses'!F24</f>
        <v>0</v>
      </c>
      <c r="G781" s="3331">
        <f>'Part VI-Revenues &amp; Expenses'!G24</f>
        <v>0</v>
      </c>
      <c r="H781" s="3331">
        <f>'Part VI-Revenues &amp; Expenses'!H24</f>
        <v>0</v>
      </c>
      <c r="I781" s="3331">
        <f>'Part VI-Revenues &amp; Expenses'!I24</f>
        <v>0</v>
      </c>
      <c r="J781" s="3332">
        <f>'Part VI-Revenues &amp; Expenses'!J24</f>
        <v>0</v>
      </c>
      <c r="K781" s="3333">
        <f t="shared" si="2"/>
        <v>0</v>
      </c>
      <c r="L781" s="3333">
        <f t="shared" si="3"/>
        <v>0</v>
      </c>
      <c r="M781" s="3207">
        <f>'Part VI-Revenues &amp; Expenses'!M24</f>
        <v>0</v>
      </c>
      <c r="N781" s="3207">
        <f>'Part VI-Revenues &amp; Expenses'!N24</f>
        <v>0</v>
      </c>
      <c r="O781" s="3207">
        <f>'Part VI-Revenues &amp; Expenses'!O24</f>
        <v>0</v>
      </c>
      <c r="P781" s="3313">
        <f>'Part VI-Revenues &amp; Expenses'!P24</f>
        <v>0</v>
      </c>
      <c r="Q781" s="3334" t="str">
        <f>'Part VI-Revenues &amp; Expenses'!Q24</f>
        <v/>
      </c>
      <c r="R781" s="3335" t="str">
        <f>'Part VI-Revenues &amp; Expenses'!R24</f>
        <v/>
      </c>
      <c r="S781" s="3334">
        <f>'Part VI-Revenues &amp; Expenses'!S24</f>
        <v>0</v>
      </c>
      <c r="T781" s="3335">
        <f>'Part VI-Revenues &amp; Expenses'!T24</f>
        <v>0</v>
      </c>
      <c r="U781" s="3257"/>
      <c r="V781" s="3257"/>
      <c r="W781" s="523" t="str">
        <f t="shared" si="4"/>
        <v/>
      </c>
      <c r="X781" s="523" t="str">
        <f t="shared" si="5"/>
        <v/>
      </c>
      <c r="Y781" s="523" t="str">
        <f t="shared" si="6"/>
        <v/>
      </c>
      <c r="Z781" s="523" t="str">
        <f t="shared" si="7"/>
        <v/>
      </c>
      <c r="AA781" s="523" t="str">
        <f t="shared" si="8"/>
        <v/>
      </c>
      <c r="AB781" s="523" t="str">
        <f t="shared" si="9"/>
        <v/>
      </c>
      <c r="AC781" s="523" t="str">
        <f t="shared" si="10"/>
        <v/>
      </c>
      <c r="AD781" s="523" t="str">
        <f t="shared" si="11"/>
        <v/>
      </c>
      <c r="AE781" s="523" t="str">
        <f t="shared" si="12"/>
        <v/>
      </c>
      <c r="AF781" s="523" t="str">
        <f t="shared" si="13"/>
        <v/>
      </c>
      <c r="AG781" s="523" t="str">
        <f t="shared" si="14"/>
        <v/>
      </c>
      <c r="AH781" s="523" t="str">
        <f t="shared" si="15"/>
        <v/>
      </c>
      <c r="AI781" s="523" t="str">
        <f t="shared" si="16"/>
        <v/>
      </c>
      <c r="AJ781" s="523" t="str">
        <f t="shared" si="17"/>
        <v/>
      </c>
      <c r="AK781" s="523" t="str">
        <f t="shared" si="18"/>
        <v/>
      </c>
      <c r="AL781" s="523" t="str">
        <f t="shared" si="19"/>
        <v/>
      </c>
      <c r="AM781" s="523" t="str">
        <f t="shared" si="20"/>
        <v/>
      </c>
      <c r="AN781" s="523" t="str">
        <f t="shared" si="21"/>
        <v/>
      </c>
      <c r="AO781" s="523" t="str">
        <f t="shared" si="22"/>
        <v/>
      </c>
      <c r="AP781" s="523" t="str">
        <f t="shared" si="23"/>
        <v/>
      </c>
      <c r="AQ781" s="523" t="str">
        <f t="shared" si="24"/>
        <v/>
      </c>
      <c r="AR781" s="523" t="str">
        <f t="shared" si="25"/>
        <v/>
      </c>
      <c r="AS781" s="523" t="str">
        <f t="shared" si="26"/>
        <v/>
      </c>
      <c r="AT781" s="523" t="str">
        <f t="shared" si="27"/>
        <v/>
      </c>
      <c r="AU781" s="523" t="str">
        <f t="shared" si="28"/>
        <v/>
      </c>
      <c r="AV781" s="523" t="str">
        <f t="shared" si="29"/>
        <v/>
      </c>
      <c r="AW781" s="523" t="str">
        <f t="shared" si="30"/>
        <v/>
      </c>
      <c r="AX781" s="523" t="str">
        <f t="shared" si="31"/>
        <v/>
      </c>
      <c r="AY781" s="523" t="str">
        <f t="shared" si="32"/>
        <v/>
      </c>
      <c r="AZ781" s="523" t="str">
        <f t="shared" si="33"/>
        <v/>
      </c>
      <c r="BA781" s="523" t="str">
        <f t="shared" si="34"/>
        <v/>
      </c>
      <c r="BB781" s="523" t="str">
        <f t="shared" si="35"/>
        <v/>
      </c>
      <c r="BC781" s="523" t="str">
        <f t="shared" si="36"/>
        <v/>
      </c>
      <c r="BD781" s="523" t="str">
        <f t="shared" si="37"/>
        <v/>
      </c>
      <c r="BE781" s="523" t="str">
        <f t="shared" si="38"/>
        <v/>
      </c>
      <c r="BF781" s="523" t="str">
        <f t="shared" si="39"/>
        <v/>
      </c>
      <c r="BG781" s="523" t="str">
        <f t="shared" si="40"/>
        <v/>
      </c>
      <c r="BH781" s="523" t="str">
        <f t="shared" si="41"/>
        <v/>
      </c>
      <c r="BI781" s="523" t="str">
        <f t="shared" si="42"/>
        <v/>
      </c>
      <c r="BJ781" s="523" t="str">
        <f t="shared" si="43"/>
        <v/>
      </c>
      <c r="BK781" s="523" t="str">
        <f t="shared" si="44"/>
        <v/>
      </c>
      <c r="BL781" s="523" t="str">
        <f t="shared" si="45"/>
        <v/>
      </c>
      <c r="BM781" s="523" t="str">
        <f t="shared" si="46"/>
        <v/>
      </c>
      <c r="BN781" s="523" t="str">
        <f t="shared" si="47"/>
        <v/>
      </c>
      <c r="BO781" s="523" t="str">
        <f t="shared" si="48"/>
        <v/>
      </c>
      <c r="BP781" s="523" t="str">
        <f t="shared" si="49"/>
        <v/>
      </c>
      <c r="BQ781" s="523" t="str">
        <f t="shared" si="50"/>
        <v/>
      </c>
      <c r="BR781" s="523" t="str">
        <f t="shared" si="51"/>
        <v/>
      </c>
      <c r="BS781" s="523" t="str">
        <f t="shared" si="52"/>
        <v/>
      </c>
      <c r="BT781" s="523" t="str">
        <f t="shared" si="53"/>
        <v/>
      </c>
      <c r="BU781" s="523" t="str">
        <f t="shared" si="54"/>
        <v/>
      </c>
      <c r="BV781" s="523" t="str">
        <f t="shared" si="55"/>
        <v/>
      </c>
      <c r="BW781" s="523" t="str">
        <f t="shared" si="56"/>
        <v/>
      </c>
      <c r="BX781" s="523" t="str">
        <f t="shared" si="57"/>
        <v/>
      </c>
      <c r="BY781" s="523" t="str">
        <f t="shared" si="58"/>
        <v/>
      </c>
      <c r="BZ781" s="523" t="str">
        <f t="shared" si="59"/>
        <v/>
      </c>
      <c r="CA781" s="523" t="str">
        <f t="shared" si="60"/>
        <v/>
      </c>
      <c r="CB781" s="523" t="str">
        <f t="shared" si="61"/>
        <v/>
      </c>
      <c r="CC781" s="523" t="str">
        <f t="shared" si="62"/>
        <v/>
      </c>
      <c r="CD781" s="523" t="str">
        <f t="shared" si="63"/>
        <v/>
      </c>
      <c r="CE781" s="523" t="str">
        <f t="shared" si="64"/>
        <v/>
      </c>
      <c r="CF781" s="523" t="str">
        <f t="shared" si="65"/>
        <v/>
      </c>
      <c r="CG781" s="523" t="str">
        <f t="shared" si="66"/>
        <v/>
      </c>
      <c r="CH781" s="523" t="str">
        <f t="shared" si="67"/>
        <v/>
      </c>
      <c r="CI781" s="523" t="str">
        <f t="shared" si="68"/>
        <v/>
      </c>
      <c r="CJ781" s="523" t="str">
        <f t="shared" si="69"/>
        <v/>
      </c>
      <c r="CK781" s="523" t="str">
        <f t="shared" si="70"/>
        <v/>
      </c>
      <c r="CL781" s="523" t="str">
        <f t="shared" si="71"/>
        <v/>
      </c>
      <c r="CM781" s="523" t="str">
        <f t="shared" si="72"/>
        <v/>
      </c>
      <c r="CN781" s="523" t="str">
        <f t="shared" si="73"/>
        <v/>
      </c>
      <c r="CO781" s="523" t="str">
        <f t="shared" si="74"/>
        <v/>
      </c>
      <c r="CP781" s="523" t="str">
        <f t="shared" si="75"/>
        <v/>
      </c>
      <c r="CQ781" s="523" t="str">
        <f t="shared" si="76"/>
        <v/>
      </c>
      <c r="CR781" s="523" t="str">
        <f t="shared" si="77"/>
        <v/>
      </c>
      <c r="CS781" s="523" t="str">
        <f t="shared" si="78"/>
        <v/>
      </c>
      <c r="CT781" s="523" t="str">
        <f t="shared" si="79"/>
        <v/>
      </c>
      <c r="CU781" s="523" t="str">
        <f t="shared" si="80"/>
        <v/>
      </c>
      <c r="CV781" s="523" t="str">
        <f t="shared" si="81"/>
        <v/>
      </c>
      <c r="CW781" s="523" t="str">
        <f t="shared" si="82"/>
        <v/>
      </c>
      <c r="CX781" s="523" t="str">
        <f t="shared" si="83"/>
        <v/>
      </c>
      <c r="CY781" s="523" t="str">
        <f t="shared" si="84"/>
        <v/>
      </c>
      <c r="CZ781" s="523" t="str">
        <f t="shared" si="85"/>
        <v/>
      </c>
      <c r="DA781" s="523" t="str">
        <f t="shared" si="86"/>
        <v/>
      </c>
      <c r="DB781" s="523" t="str">
        <f t="shared" si="87"/>
        <v/>
      </c>
      <c r="DC781" s="523" t="str">
        <f t="shared" si="88"/>
        <v/>
      </c>
      <c r="DD781" s="523" t="str">
        <f t="shared" si="89"/>
        <v/>
      </c>
      <c r="DE781" s="523" t="str">
        <f t="shared" si="90"/>
        <v/>
      </c>
      <c r="DF781" s="523" t="str">
        <f t="shared" si="91"/>
        <v/>
      </c>
      <c r="DG781" s="523" t="str">
        <f t="shared" si="92"/>
        <v/>
      </c>
      <c r="DH781" s="523" t="str">
        <f t="shared" si="93"/>
        <v/>
      </c>
      <c r="DI781" s="523" t="str">
        <f t="shared" si="94"/>
        <v/>
      </c>
      <c r="DJ781" s="523" t="str">
        <f t="shared" si="95"/>
        <v/>
      </c>
      <c r="DK781" s="523" t="str">
        <f t="shared" si="96"/>
        <v/>
      </c>
      <c r="DL781" s="523" t="str">
        <f t="shared" si="97"/>
        <v/>
      </c>
      <c r="DM781" s="523" t="str">
        <f t="shared" si="98"/>
        <v/>
      </c>
      <c r="DN781" s="523" t="str">
        <f t="shared" si="99"/>
        <v/>
      </c>
      <c r="DO781" s="523" t="str">
        <f t="shared" si="100"/>
        <v/>
      </c>
      <c r="DP781" s="523" t="str">
        <f t="shared" si="101"/>
        <v/>
      </c>
      <c r="DQ781" s="523" t="str">
        <f t="shared" si="102"/>
        <v/>
      </c>
      <c r="DR781" s="523" t="str">
        <f t="shared" si="103"/>
        <v/>
      </c>
      <c r="DS781" s="523" t="str">
        <f t="shared" si="104"/>
        <v/>
      </c>
      <c r="DT781" s="523" t="str">
        <f t="shared" si="105"/>
        <v/>
      </c>
      <c r="DU781" s="523" t="str">
        <f t="shared" si="106"/>
        <v/>
      </c>
      <c r="DV781" s="523" t="str">
        <f t="shared" si="107"/>
        <v/>
      </c>
      <c r="DW781" s="523" t="str">
        <f t="shared" si="108"/>
        <v/>
      </c>
      <c r="DX781" s="523" t="str">
        <f t="shared" si="109"/>
        <v/>
      </c>
      <c r="DY781" s="523" t="str">
        <f t="shared" si="110"/>
        <v/>
      </c>
      <c r="DZ781" s="523" t="str">
        <f t="shared" si="111"/>
        <v/>
      </c>
      <c r="EA781" s="523" t="str">
        <f t="shared" si="112"/>
        <v/>
      </c>
      <c r="EB781" s="523" t="str">
        <f t="shared" si="113"/>
        <v/>
      </c>
      <c r="EC781" s="523" t="str">
        <f t="shared" si="114"/>
        <v/>
      </c>
      <c r="ED781" s="523" t="str">
        <f t="shared" si="115"/>
        <v/>
      </c>
      <c r="EE781" s="523" t="str">
        <f t="shared" si="116"/>
        <v/>
      </c>
      <c r="EF781" s="523" t="str">
        <f t="shared" si="117"/>
        <v/>
      </c>
      <c r="EG781" s="523" t="str">
        <f t="shared" si="118"/>
        <v/>
      </c>
      <c r="EH781" s="523" t="str">
        <f t="shared" si="119"/>
        <v/>
      </c>
      <c r="EI781" s="523" t="str">
        <f t="shared" si="120"/>
        <v/>
      </c>
      <c r="EJ781" s="523" t="str">
        <f t="shared" si="121"/>
        <v/>
      </c>
      <c r="EK781" s="523" t="str">
        <f t="shared" si="122"/>
        <v/>
      </c>
      <c r="EL781" s="523" t="str">
        <f t="shared" si="123"/>
        <v/>
      </c>
      <c r="EM781" s="523" t="str">
        <f t="shared" si="124"/>
        <v/>
      </c>
      <c r="EN781" s="523" t="str">
        <f t="shared" si="125"/>
        <v/>
      </c>
      <c r="EO781" s="523" t="str">
        <f t="shared" si="126"/>
        <v/>
      </c>
      <c r="EP781" s="523" t="str">
        <f t="shared" si="127"/>
        <v/>
      </c>
      <c r="EQ781" s="523" t="str">
        <f t="shared" si="128"/>
        <v/>
      </c>
      <c r="ER781" s="523" t="str">
        <f t="shared" si="129"/>
        <v/>
      </c>
      <c r="ES781" s="523" t="str">
        <f t="shared" si="130"/>
        <v/>
      </c>
      <c r="ET781" s="523" t="str">
        <f t="shared" si="131"/>
        <v/>
      </c>
      <c r="EU781" s="523" t="str">
        <f t="shared" si="132"/>
        <v/>
      </c>
      <c r="EV781" s="523" t="str">
        <f t="shared" si="133"/>
        <v/>
      </c>
      <c r="EW781" s="3336" t="str">
        <f t="shared" si="134"/>
        <v/>
      </c>
      <c r="EX781" s="3336" t="str">
        <f t="shared" si="135"/>
        <v/>
      </c>
      <c r="EY781" s="3336" t="str">
        <f t="shared" si="136"/>
        <v/>
      </c>
      <c r="EZ781" s="3336" t="str">
        <f t="shared" si="137"/>
        <v/>
      </c>
      <c r="FA781" s="3336" t="str">
        <f t="shared" si="138"/>
        <v/>
      </c>
      <c r="FB781" s="3336" t="str">
        <f t="shared" si="139"/>
        <v/>
      </c>
      <c r="FC781" s="3336" t="str">
        <f t="shared" si="140"/>
        <v/>
      </c>
      <c r="FD781" s="3336" t="str">
        <f t="shared" si="141"/>
        <v/>
      </c>
      <c r="FE781" s="3336" t="str">
        <f t="shared" si="142"/>
        <v/>
      </c>
      <c r="FF781" s="3336" t="str">
        <f t="shared" si="143"/>
        <v/>
      </c>
      <c r="FG781" s="3336" t="str">
        <f t="shared" si="144"/>
        <v/>
      </c>
      <c r="FH781" s="3336" t="str">
        <f t="shared" si="145"/>
        <v/>
      </c>
      <c r="FI781" s="3336" t="str">
        <f t="shared" si="146"/>
        <v/>
      </c>
      <c r="FJ781" s="3336" t="str">
        <f t="shared" si="147"/>
        <v/>
      </c>
      <c r="FK781" s="3336" t="str">
        <f t="shared" si="148"/>
        <v/>
      </c>
      <c r="FL781" s="3336" t="str">
        <f t="shared" si="149"/>
        <v/>
      </c>
      <c r="FM781" s="3336" t="str">
        <f t="shared" si="150"/>
        <v/>
      </c>
      <c r="FN781" s="3336" t="str">
        <f t="shared" si="151"/>
        <v/>
      </c>
      <c r="FO781" s="3336" t="str">
        <f t="shared" si="152"/>
        <v/>
      </c>
      <c r="FP781" s="3336" t="str">
        <f t="shared" si="153"/>
        <v/>
      </c>
      <c r="FQ781" s="3336" t="str">
        <f t="shared" si="154"/>
        <v/>
      </c>
      <c r="FR781" s="3336" t="str">
        <f t="shared" si="155"/>
        <v/>
      </c>
      <c r="FS781" s="3336" t="str">
        <f t="shared" si="156"/>
        <v/>
      </c>
      <c r="FT781" s="3336" t="str">
        <f t="shared" si="157"/>
        <v/>
      </c>
      <c r="FU781" s="3336" t="str">
        <f t="shared" si="158"/>
        <v/>
      </c>
      <c r="FV781" s="3336" t="str">
        <f t="shared" si="159"/>
        <v/>
      </c>
      <c r="FW781" s="3336" t="str">
        <f t="shared" si="160"/>
        <v/>
      </c>
      <c r="FX781" s="3336" t="str">
        <f t="shared" si="161"/>
        <v/>
      </c>
      <c r="FY781" s="3336" t="str">
        <f t="shared" si="162"/>
        <v/>
      </c>
      <c r="FZ781" s="3336" t="str">
        <f t="shared" si="163"/>
        <v/>
      </c>
      <c r="GA781" s="3336" t="str">
        <f t="shared" si="164"/>
        <v/>
      </c>
      <c r="GB781" s="3336" t="str">
        <f t="shared" si="165"/>
        <v/>
      </c>
      <c r="GC781" s="3336" t="str">
        <f t="shared" si="166"/>
        <v/>
      </c>
      <c r="GD781" s="3336" t="str">
        <f t="shared" si="167"/>
        <v/>
      </c>
      <c r="GE781" s="3336" t="str">
        <f t="shared" si="168"/>
        <v/>
      </c>
      <c r="GF781" s="3336" t="str">
        <f t="shared" si="169"/>
        <v/>
      </c>
      <c r="GG781" s="3336" t="str">
        <f t="shared" si="170"/>
        <v/>
      </c>
      <c r="GH781" s="3336" t="str">
        <f t="shared" si="171"/>
        <v/>
      </c>
      <c r="GI781" s="3336" t="str">
        <f t="shared" si="172"/>
        <v/>
      </c>
      <c r="GJ781" s="3336" t="str">
        <f t="shared" si="173"/>
        <v/>
      </c>
      <c r="GK781" s="3336" t="str">
        <f t="shared" si="174"/>
        <v/>
      </c>
      <c r="GL781" s="3336" t="str">
        <f t="shared" si="175"/>
        <v/>
      </c>
      <c r="GM781" s="3336" t="str">
        <f t="shared" si="176"/>
        <v/>
      </c>
      <c r="GN781" s="3336" t="str">
        <f t="shared" si="177"/>
        <v/>
      </c>
      <c r="GO781" s="3336" t="str">
        <f t="shared" si="178"/>
        <v/>
      </c>
      <c r="GP781" s="3336" t="str">
        <f t="shared" si="179"/>
        <v/>
      </c>
      <c r="GQ781" s="3336" t="str">
        <f t="shared" si="180"/>
        <v/>
      </c>
      <c r="GR781" s="3336" t="str">
        <f t="shared" si="181"/>
        <v/>
      </c>
      <c r="GS781" s="3336" t="str">
        <f t="shared" si="182"/>
        <v/>
      </c>
      <c r="GT781" s="3336" t="str">
        <f t="shared" si="183"/>
        <v/>
      </c>
      <c r="GU781" s="3336" t="str">
        <f t="shared" si="184"/>
        <v/>
      </c>
      <c r="GV781" s="3336" t="str">
        <f t="shared" si="185"/>
        <v/>
      </c>
      <c r="GW781" s="3336" t="str">
        <f t="shared" si="186"/>
        <v/>
      </c>
      <c r="GX781" s="3336" t="str">
        <f t="shared" si="187"/>
        <v/>
      </c>
      <c r="GY781" s="3336" t="str">
        <f t="shared" si="188"/>
        <v/>
      </c>
      <c r="GZ781" s="3336" t="str">
        <f t="shared" si="189"/>
        <v/>
      </c>
      <c r="HA781" s="3336" t="str">
        <f t="shared" si="190"/>
        <v/>
      </c>
      <c r="HB781" s="3336" t="str">
        <f t="shared" si="191"/>
        <v/>
      </c>
      <c r="HC781" s="3336" t="str">
        <f t="shared" si="192"/>
        <v/>
      </c>
      <c r="HD781" s="3336" t="str">
        <f t="shared" si="193"/>
        <v/>
      </c>
      <c r="HE781" s="3336" t="str">
        <f t="shared" si="194"/>
        <v/>
      </c>
      <c r="HF781" s="3336" t="str">
        <f t="shared" si="195"/>
        <v/>
      </c>
      <c r="HG781" s="3336" t="str">
        <f t="shared" si="196"/>
        <v/>
      </c>
      <c r="HH781" s="3336" t="str">
        <f t="shared" si="197"/>
        <v/>
      </c>
      <c r="HI781" s="3336" t="str">
        <f t="shared" si="198"/>
        <v/>
      </c>
      <c r="HJ781" s="3336" t="str">
        <f t="shared" si="199"/>
        <v/>
      </c>
      <c r="HK781" s="3336" t="str">
        <f t="shared" si="200"/>
        <v/>
      </c>
      <c r="HL781" s="3336" t="str">
        <f t="shared" si="201"/>
        <v/>
      </c>
      <c r="HM781" s="3336" t="str">
        <f t="shared" si="202"/>
        <v/>
      </c>
      <c r="HN781" s="3336" t="str">
        <f t="shared" si="203"/>
        <v/>
      </c>
      <c r="HO781" s="3336" t="str">
        <f t="shared" si="204"/>
        <v/>
      </c>
      <c r="HP781" s="3336" t="str">
        <f t="shared" si="205"/>
        <v/>
      </c>
      <c r="HQ781" s="3336" t="str">
        <f t="shared" si="206"/>
        <v/>
      </c>
      <c r="HR781" s="3336" t="str">
        <f t="shared" si="207"/>
        <v/>
      </c>
      <c r="HS781" s="3336" t="str">
        <f t="shared" si="208"/>
        <v/>
      </c>
      <c r="HT781" s="3336" t="str">
        <f t="shared" si="209"/>
        <v/>
      </c>
      <c r="HU781" s="3336" t="str">
        <f t="shared" si="210"/>
        <v/>
      </c>
      <c r="HV781" s="3336" t="str">
        <f t="shared" si="211"/>
        <v/>
      </c>
      <c r="HW781" s="3336" t="str">
        <f t="shared" si="212"/>
        <v/>
      </c>
      <c r="HX781" s="3336" t="str">
        <f t="shared" si="213"/>
        <v/>
      </c>
      <c r="HY781" s="3336" t="str">
        <f t="shared" si="214"/>
        <v/>
      </c>
      <c r="HZ781" s="3336" t="str">
        <f t="shared" si="215"/>
        <v/>
      </c>
      <c r="IA781" s="3336" t="str">
        <f t="shared" si="216"/>
        <v/>
      </c>
      <c r="IB781" s="3336" t="str">
        <f t="shared" si="217"/>
        <v/>
      </c>
      <c r="IC781" s="3336" t="str">
        <f t="shared" si="218"/>
        <v/>
      </c>
      <c r="ID781" s="3308" t="str">
        <f t="shared" si="219"/>
        <v/>
      </c>
      <c r="IE781" s="3308" t="str">
        <f t="shared" si="220"/>
        <v/>
      </c>
      <c r="IF781" s="3308" t="str">
        <f t="shared" si="221"/>
        <v/>
      </c>
      <c r="IG781" s="3308" t="str">
        <f t="shared" si="222"/>
        <v/>
      </c>
      <c r="IH781" s="3308" t="str">
        <f t="shared" si="223"/>
        <v/>
      </c>
      <c r="II781" s="523" t="str">
        <f t="shared" si="224"/>
        <v/>
      </c>
      <c r="IJ781" s="523" t="str">
        <f t="shared" si="225"/>
        <v/>
      </c>
      <c r="IK781" s="523" t="str">
        <f t="shared" si="226"/>
        <v/>
      </c>
      <c r="IL781" s="523" t="str">
        <f t="shared" si="227"/>
        <v/>
      </c>
      <c r="IM781" s="523" t="str">
        <f t="shared" si="228"/>
        <v/>
      </c>
      <c r="IN781" s="523" t="str">
        <f t="shared" si="229"/>
        <v/>
      </c>
      <c r="IO781" s="523" t="str">
        <f t="shared" si="230"/>
        <v/>
      </c>
      <c r="IP781" s="523" t="str">
        <f t="shared" si="231"/>
        <v/>
      </c>
      <c r="IQ781" s="523" t="str">
        <f t="shared" si="232"/>
        <v/>
      </c>
      <c r="IR781" s="523" t="str">
        <f t="shared" si="233"/>
        <v/>
      </c>
      <c r="IS781" s="523" t="str">
        <f t="shared" si="234"/>
        <v/>
      </c>
      <c r="IT781" s="523" t="str">
        <f t="shared" si="235"/>
        <v/>
      </c>
      <c r="IU781" s="523" t="str">
        <f t="shared" si="236"/>
        <v/>
      </c>
      <c r="IV781" s="523" t="str">
        <f t="shared" si="237"/>
        <v/>
      </c>
      <c r="IW781" s="523" t="str">
        <f t="shared" si="238"/>
        <v/>
      </c>
      <c r="IX781" s="523" t="str">
        <f t="shared" si="239"/>
        <v/>
      </c>
      <c r="IY781" s="523" t="str">
        <f t="shared" si="240"/>
        <v/>
      </c>
      <c r="IZ781" s="523" t="str">
        <f t="shared" si="241"/>
        <v/>
      </c>
      <c r="JA781" s="523" t="str">
        <f t="shared" si="242"/>
        <v/>
      </c>
      <c r="JB781" s="523" t="str">
        <f t="shared" si="243"/>
        <v/>
      </c>
      <c r="JC781" s="3306">
        <f t="shared" si="244"/>
        <v>0</v>
      </c>
      <c r="JD781" s="3306">
        <f t="shared" si="245"/>
        <v>0</v>
      </c>
      <c r="JE781" s="3306">
        <f t="shared" si="246"/>
        <v>0</v>
      </c>
      <c r="JF781" s="3306">
        <f t="shared" si="247"/>
        <v>0</v>
      </c>
      <c r="JG781" s="3306">
        <f t="shared" si="248"/>
        <v>0</v>
      </c>
      <c r="JH781" s="3306">
        <f t="shared" si="249"/>
        <v>0</v>
      </c>
      <c r="JI781" s="3306">
        <f t="shared" si="250"/>
        <v>0</v>
      </c>
      <c r="JJ781" s="3306">
        <f t="shared" si="251"/>
        <v>0</v>
      </c>
      <c r="JK781" s="3306">
        <f t="shared" si="252"/>
        <v>0</v>
      </c>
      <c r="JL781" s="3306">
        <f t="shared" si="253"/>
        <v>0</v>
      </c>
      <c r="JM781" s="3306">
        <f t="shared" si="254"/>
        <v>0</v>
      </c>
      <c r="JN781" s="3306">
        <f t="shared" si="255"/>
        <v>0</v>
      </c>
      <c r="JO781" s="3306">
        <f t="shared" si="256"/>
        <v>0</v>
      </c>
      <c r="JP781" s="3306">
        <f t="shared" si="257"/>
        <v>0</v>
      </c>
      <c r="JQ781" s="3306">
        <f t="shared" si="258"/>
        <v>0</v>
      </c>
    </row>
    <row r="782" spans="1:277" ht="12" customHeight="1">
      <c r="A782" s="3319" t="str">
        <f t="shared" si="1"/>
        <v/>
      </c>
      <c r="B782" s="3328" t="str">
        <f>'Part VI-Revenues &amp; Expenses'!B25</f>
        <v>&lt;&lt;Select&gt;&gt;</v>
      </c>
      <c r="C782" s="3329">
        <f>'Part VI-Revenues &amp; Expenses'!C25</f>
        <v>0</v>
      </c>
      <c r="D782" s="3330">
        <f>'Part VI-Revenues &amp; Expenses'!D25</f>
        <v>0</v>
      </c>
      <c r="E782" s="3331">
        <f>'Part VI-Revenues &amp; Expenses'!E25</f>
        <v>0</v>
      </c>
      <c r="F782" s="3331">
        <f>'Part VI-Revenues &amp; Expenses'!F25</f>
        <v>0</v>
      </c>
      <c r="G782" s="3331">
        <f>'Part VI-Revenues &amp; Expenses'!G25</f>
        <v>0</v>
      </c>
      <c r="H782" s="3331">
        <f>'Part VI-Revenues &amp; Expenses'!H25</f>
        <v>0</v>
      </c>
      <c r="I782" s="3331">
        <f>'Part VI-Revenues &amp; Expenses'!I25</f>
        <v>0</v>
      </c>
      <c r="J782" s="3332">
        <f>'Part VI-Revenues &amp; Expenses'!J25</f>
        <v>0</v>
      </c>
      <c r="K782" s="3333">
        <f t="shared" si="2"/>
        <v>0</v>
      </c>
      <c r="L782" s="3333">
        <f t="shared" si="3"/>
        <v>0</v>
      </c>
      <c r="M782" s="3207">
        <f>'Part VI-Revenues &amp; Expenses'!M25</f>
        <v>0</v>
      </c>
      <c r="N782" s="3207">
        <f>'Part VI-Revenues &amp; Expenses'!N25</f>
        <v>0</v>
      </c>
      <c r="O782" s="3207">
        <f>'Part VI-Revenues &amp; Expenses'!O25</f>
        <v>0</v>
      </c>
      <c r="P782" s="3313">
        <f>'Part VI-Revenues &amp; Expenses'!P25</f>
        <v>0</v>
      </c>
      <c r="Q782" s="3334" t="str">
        <f>'Part VI-Revenues &amp; Expenses'!Q25</f>
        <v/>
      </c>
      <c r="R782" s="3335" t="str">
        <f>'Part VI-Revenues &amp; Expenses'!R25</f>
        <v/>
      </c>
      <c r="S782" s="3334">
        <f>'Part VI-Revenues &amp; Expenses'!S25</f>
        <v>0</v>
      </c>
      <c r="T782" s="3335">
        <f>'Part VI-Revenues &amp; Expenses'!T25</f>
        <v>0</v>
      </c>
      <c r="U782" s="3257"/>
      <c r="V782" s="3257"/>
      <c r="W782" s="523" t="str">
        <f t="shared" si="4"/>
        <v/>
      </c>
      <c r="X782" s="523" t="str">
        <f t="shared" si="5"/>
        <v/>
      </c>
      <c r="Y782" s="523" t="str">
        <f t="shared" si="6"/>
        <v/>
      </c>
      <c r="Z782" s="523" t="str">
        <f t="shared" si="7"/>
        <v/>
      </c>
      <c r="AA782" s="523" t="str">
        <f t="shared" si="8"/>
        <v/>
      </c>
      <c r="AB782" s="523" t="str">
        <f t="shared" si="9"/>
        <v/>
      </c>
      <c r="AC782" s="523" t="str">
        <f t="shared" si="10"/>
        <v/>
      </c>
      <c r="AD782" s="523" t="str">
        <f t="shared" si="11"/>
        <v/>
      </c>
      <c r="AE782" s="523" t="str">
        <f t="shared" si="12"/>
        <v/>
      </c>
      <c r="AF782" s="523" t="str">
        <f t="shared" si="13"/>
        <v/>
      </c>
      <c r="AG782" s="523" t="str">
        <f t="shared" si="14"/>
        <v/>
      </c>
      <c r="AH782" s="523" t="str">
        <f t="shared" si="15"/>
        <v/>
      </c>
      <c r="AI782" s="523" t="str">
        <f t="shared" si="16"/>
        <v/>
      </c>
      <c r="AJ782" s="523" t="str">
        <f t="shared" si="17"/>
        <v/>
      </c>
      <c r="AK782" s="523" t="str">
        <f t="shared" si="18"/>
        <v/>
      </c>
      <c r="AL782" s="523" t="str">
        <f t="shared" si="19"/>
        <v/>
      </c>
      <c r="AM782" s="523" t="str">
        <f t="shared" si="20"/>
        <v/>
      </c>
      <c r="AN782" s="523" t="str">
        <f t="shared" si="21"/>
        <v/>
      </c>
      <c r="AO782" s="523" t="str">
        <f t="shared" si="22"/>
        <v/>
      </c>
      <c r="AP782" s="523" t="str">
        <f t="shared" si="23"/>
        <v/>
      </c>
      <c r="AQ782" s="523" t="str">
        <f t="shared" si="24"/>
        <v/>
      </c>
      <c r="AR782" s="523" t="str">
        <f t="shared" si="25"/>
        <v/>
      </c>
      <c r="AS782" s="523" t="str">
        <f t="shared" si="26"/>
        <v/>
      </c>
      <c r="AT782" s="523" t="str">
        <f t="shared" si="27"/>
        <v/>
      </c>
      <c r="AU782" s="523" t="str">
        <f t="shared" si="28"/>
        <v/>
      </c>
      <c r="AV782" s="523" t="str">
        <f t="shared" si="29"/>
        <v/>
      </c>
      <c r="AW782" s="523" t="str">
        <f t="shared" si="30"/>
        <v/>
      </c>
      <c r="AX782" s="523" t="str">
        <f t="shared" si="31"/>
        <v/>
      </c>
      <c r="AY782" s="523" t="str">
        <f t="shared" si="32"/>
        <v/>
      </c>
      <c r="AZ782" s="523" t="str">
        <f t="shared" si="33"/>
        <v/>
      </c>
      <c r="BA782" s="523" t="str">
        <f t="shared" si="34"/>
        <v/>
      </c>
      <c r="BB782" s="523" t="str">
        <f t="shared" si="35"/>
        <v/>
      </c>
      <c r="BC782" s="523" t="str">
        <f t="shared" si="36"/>
        <v/>
      </c>
      <c r="BD782" s="523" t="str">
        <f t="shared" si="37"/>
        <v/>
      </c>
      <c r="BE782" s="523" t="str">
        <f t="shared" si="38"/>
        <v/>
      </c>
      <c r="BF782" s="523" t="str">
        <f t="shared" si="39"/>
        <v/>
      </c>
      <c r="BG782" s="523" t="str">
        <f t="shared" si="40"/>
        <v/>
      </c>
      <c r="BH782" s="523" t="str">
        <f t="shared" si="41"/>
        <v/>
      </c>
      <c r="BI782" s="523" t="str">
        <f t="shared" si="42"/>
        <v/>
      </c>
      <c r="BJ782" s="523" t="str">
        <f t="shared" si="43"/>
        <v/>
      </c>
      <c r="BK782" s="523" t="str">
        <f t="shared" si="44"/>
        <v/>
      </c>
      <c r="BL782" s="523" t="str">
        <f t="shared" si="45"/>
        <v/>
      </c>
      <c r="BM782" s="523" t="str">
        <f t="shared" si="46"/>
        <v/>
      </c>
      <c r="BN782" s="523" t="str">
        <f t="shared" si="47"/>
        <v/>
      </c>
      <c r="BO782" s="523" t="str">
        <f t="shared" si="48"/>
        <v/>
      </c>
      <c r="BP782" s="523" t="str">
        <f t="shared" si="49"/>
        <v/>
      </c>
      <c r="BQ782" s="523" t="str">
        <f t="shared" si="50"/>
        <v/>
      </c>
      <c r="BR782" s="523" t="str">
        <f t="shared" si="51"/>
        <v/>
      </c>
      <c r="BS782" s="523" t="str">
        <f t="shared" si="52"/>
        <v/>
      </c>
      <c r="BT782" s="523" t="str">
        <f t="shared" si="53"/>
        <v/>
      </c>
      <c r="BU782" s="523" t="str">
        <f t="shared" si="54"/>
        <v/>
      </c>
      <c r="BV782" s="523" t="str">
        <f t="shared" si="55"/>
        <v/>
      </c>
      <c r="BW782" s="523" t="str">
        <f t="shared" si="56"/>
        <v/>
      </c>
      <c r="BX782" s="523" t="str">
        <f t="shared" si="57"/>
        <v/>
      </c>
      <c r="BY782" s="523" t="str">
        <f t="shared" si="58"/>
        <v/>
      </c>
      <c r="BZ782" s="523" t="str">
        <f t="shared" si="59"/>
        <v/>
      </c>
      <c r="CA782" s="523" t="str">
        <f t="shared" si="60"/>
        <v/>
      </c>
      <c r="CB782" s="523" t="str">
        <f t="shared" si="61"/>
        <v/>
      </c>
      <c r="CC782" s="523" t="str">
        <f t="shared" si="62"/>
        <v/>
      </c>
      <c r="CD782" s="523" t="str">
        <f t="shared" si="63"/>
        <v/>
      </c>
      <c r="CE782" s="523" t="str">
        <f t="shared" si="64"/>
        <v/>
      </c>
      <c r="CF782" s="523" t="str">
        <f t="shared" si="65"/>
        <v/>
      </c>
      <c r="CG782" s="523" t="str">
        <f t="shared" si="66"/>
        <v/>
      </c>
      <c r="CH782" s="523" t="str">
        <f t="shared" si="67"/>
        <v/>
      </c>
      <c r="CI782" s="523" t="str">
        <f t="shared" si="68"/>
        <v/>
      </c>
      <c r="CJ782" s="523" t="str">
        <f t="shared" si="69"/>
        <v/>
      </c>
      <c r="CK782" s="523" t="str">
        <f t="shared" si="70"/>
        <v/>
      </c>
      <c r="CL782" s="523" t="str">
        <f t="shared" si="71"/>
        <v/>
      </c>
      <c r="CM782" s="523" t="str">
        <f t="shared" si="72"/>
        <v/>
      </c>
      <c r="CN782" s="523" t="str">
        <f t="shared" si="73"/>
        <v/>
      </c>
      <c r="CO782" s="523" t="str">
        <f t="shared" si="74"/>
        <v/>
      </c>
      <c r="CP782" s="523" t="str">
        <f t="shared" si="75"/>
        <v/>
      </c>
      <c r="CQ782" s="523" t="str">
        <f t="shared" si="76"/>
        <v/>
      </c>
      <c r="CR782" s="523" t="str">
        <f t="shared" si="77"/>
        <v/>
      </c>
      <c r="CS782" s="523" t="str">
        <f t="shared" si="78"/>
        <v/>
      </c>
      <c r="CT782" s="523" t="str">
        <f t="shared" si="79"/>
        <v/>
      </c>
      <c r="CU782" s="523" t="str">
        <f t="shared" si="80"/>
        <v/>
      </c>
      <c r="CV782" s="523" t="str">
        <f t="shared" si="81"/>
        <v/>
      </c>
      <c r="CW782" s="523" t="str">
        <f t="shared" si="82"/>
        <v/>
      </c>
      <c r="CX782" s="523" t="str">
        <f t="shared" si="83"/>
        <v/>
      </c>
      <c r="CY782" s="523" t="str">
        <f t="shared" si="84"/>
        <v/>
      </c>
      <c r="CZ782" s="523" t="str">
        <f t="shared" si="85"/>
        <v/>
      </c>
      <c r="DA782" s="523" t="str">
        <f t="shared" si="86"/>
        <v/>
      </c>
      <c r="DB782" s="523" t="str">
        <f t="shared" si="87"/>
        <v/>
      </c>
      <c r="DC782" s="523" t="str">
        <f t="shared" si="88"/>
        <v/>
      </c>
      <c r="DD782" s="523" t="str">
        <f t="shared" si="89"/>
        <v/>
      </c>
      <c r="DE782" s="523" t="str">
        <f t="shared" si="90"/>
        <v/>
      </c>
      <c r="DF782" s="523" t="str">
        <f t="shared" si="91"/>
        <v/>
      </c>
      <c r="DG782" s="523" t="str">
        <f t="shared" si="92"/>
        <v/>
      </c>
      <c r="DH782" s="523" t="str">
        <f t="shared" si="93"/>
        <v/>
      </c>
      <c r="DI782" s="523" t="str">
        <f t="shared" si="94"/>
        <v/>
      </c>
      <c r="DJ782" s="523" t="str">
        <f t="shared" si="95"/>
        <v/>
      </c>
      <c r="DK782" s="523" t="str">
        <f t="shared" si="96"/>
        <v/>
      </c>
      <c r="DL782" s="523" t="str">
        <f t="shared" si="97"/>
        <v/>
      </c>
      <c r="DM782" s="523" t="str">
        <f t="shared" si="98"/>
        <v/>
      </c>
      <c r="DN782" s="523" t="str">
        <f t="shared" si="99"/>
        <v/>
      </c>
      <c r="DO782" s="523" t="str">
        <f t="shared" si="100"/>
        <v/>
      </c>
      <c r="DP782" s="523" t="str">
        <f t="shared" si="101"/>
        <v/>
      </c>
      <c r="DQ782" s="523" t="str">
        <f t="shared" si="102"/>
        <v/>
      </c>
      <c r="DR782" s="523" t="str">
        <f t="shared" si="103"/>
        <v/>
      </c>
      <c r="DS782" s="523" t="str">
        <f t="shared" si="104"/>
        <v/>
      </c>
      <c r="DT782" s="523" t="str">
        <f t="shared" si="105"/>
        <v/>
      </c>
      <c r="DU782" s="523" t="str">
        <f t="shared" si="106"/>
        <v/>
      </c>
      <c r="DV782" s="523" t="str">
        <f t="shared" si="107"/>
        <v/>
      </c>
      <c r="DW782" s="523" t="str">
        <f t="shared" si="108"/>
        <v/>
      </c>
      <c r="DX782" s="523" t="str">
        <f t="shared" si="109"/>
        <v/>
      </c>
      <c r="DY782" s="523" t="str">
        <f t="shared" si="110"/>
        <v/>
      </c>
      <c r="DZ782" s="523" t="str">
        <f t="shared" si="111"/>
        <v/>
      </c>
      <c r="EA782" s="523" t="str">
        <f t="shared" si="112"/>
        <v/>
      </c>
      <c r="EB782" s="523" t="str">
        <f t="shared" si="113"/>
        <v/>
      </c>
      <c r="EC782" s="523" t="str">
        <f t="shared" si="114"/>
        <v/>
      </c>
      <c r="ED782" s="523" t="str">
        <f t="shared" si="115"/>
        <v/>
      </c>
      <c r="EE782" s="523" t="str">
        <f t="shared" si="116"/>
        <v/>
      </c>
      <c r="EF782" s="523" t="str">
        <f t="shared" si="117"/>
        <v/>
      </c>
      <c r="EG782" s="523" t="str">
        <f t="shared" si="118"/>
        <v/>
      </c>
      <c r="EH782" s="523" t="str">
        <f t="shared" si="119"/>
        <v/>
      </c>
      <c r="EI782" s="523" t="str">
        <f t="shared" si="120"/>
        <v/>
      </c>
      <c r="EJ782" s="523" t="str">
        <f t="shared" si="121"/>
        <v/>
      </c>
      <c r="EK782" s="523" t="str">
        <f t="shared" si="122"/>
        <v/>
      </c>
      <c r="EL782" s="523" t="str">
        <f t="shared" si="123"/>
        <v/>
      </c>
      <c r="EM782" s="523" t="str">
        <f t="shared" si="124"/>
        <v/>
      </c>
      <c r="EN782" s="523" t="str">
        <f t="shared" si="125"/>
        <v/>
      </c>
      <c r="EO782" s="523" t="str">
        <f t="shared" si="126"/>
        <v/>
      </c>
      <c r="EP782" s="523" t="str">
        <f t="shared" si="127"/>
        <v/>
      </c>
      <c r="EQ782" s="523" t="str">
        <f t="shared" si="128"/>
        <v/>
      </c>
      <c r="ER782" s="523" t="str">
        <f t="shared" si="129"/>
        <v/>
      </c>
      <c r="ES782" s="523" t="str">
        <f t="shared" si="130"/>
        <v/>
      </c>
      <c r="ET782" s="523" t="str">
        <f t="shared" si="131"/>
        <v/>
      </c>
      <c r="EU782" s="523" t="str">
        <f t="shared" si="132"/>
        <v/>
      </c>
      <c r="EV782" s="523" t="str">
        <f t="shared" si="133"/>
        <v/>
      </c>
      <c r="EW782" s="3336" t="str">
        <f t="shared" si="134"/>
        <v/>
      </c>
      <c r="EX782" s="3336" t="str">
        <f t="shared" si="135"/>
        <v/>
      </c>
      <c r="EY782" s="3336" t="str">
        <f t="shared" si="136"/>
        <v/>
      </c>
      <c r="EZ782" s="3336" t="str">
        <f t="shared" si="137"/>
        <v/>
      </c>
      <c r="FA782" s="3336" t="str">
        <f t="shared" si="138"/>
        <v/>
      </c>
      <c r="FB782" s="3336" t="str">
        <f t="shared" si="139"/>
        <v/>
      </c>
      <c r="FC782" s="3336" t="str">
        <f t="shared" si="140"/>
        <v/>
      </c>
      <c r="FD782" s="3336" t="str">
        <f t="shared" si="141"/>
        <v/>
      </c>
      <c r="FE782" s="3336" t="str">
        <f t="shared" si="142"/>
        <v/>
      </c>
      <c r="FF782" s="3336" t="str">
        <f t="shared" si="143"/>
        <v/>
      </c>
      <c r="FG782" s="3336" t="str">
        <f t="shared" si="144"/>
        <v/>
      </c>
      <c r="FH782" s="3336" t="str">
        <f t="shared" si="145"/>
        <v/>
      </c>
      <c r="FI782" s="3336" t="str">
        <f t="shared" si="146"/>
        <v/>
      </c>
      <c r="FJ782" s="3336" t="str">
        <f t="shared" si="147"/>
        <v/>
      </c>
      <c r="FK782" s="3336" t="str">
        <f t="shared" si="148"/>
        <v/>
      </c>
      <c r="FL782" s="3336" t="str">
        <f t="shared" si="149"/>
        <v/>
      </c>
      <c r="FM782" s="3336" t="str">
        <f t="shared" si="150"/>
        <v/>
      </c>
      <c r="FN782" s="3336" t="str">
        <f t="shared" si="151"/>
        <v/>
      </c>
      <c r="FO782" s="3336" t="str">
        <f t="shared" si="152"/>
        <v/>
      </c>
      <c r="FP782" s="3336" t="str">
        <f t="shared" si="153"/>
        <v/>
      </c>
      <c r="FQ782" s="3336" t="str">
        <f t="shared" si="154"/>
        <v/>
      </c>
      <c r="FR782" s="3336" t="str">
        <f t="shared" si="155"/>
        <v/>
      </c>
      <c r="FS782" s="3336" t="str">
        <f t="shared" si="156"/>
        <v/>
      </c>
      <c r="FT782" s="3336" t="str">
        <f t="shared" si="157"/>
        <v/>
      </c>
      <c r="FU782" s="3336" t="str">
        <f t="shared" si="158"/>
        <v/>
      </c>
      <c r="FV782" s="3336" t="str">
        <f t="shared" si="159"/>
        <v/>
      </c>
      <c r="FW782" s="3336" t="str">
        <f t="shared" si="160"/>
        <v/>
      </c>
      <c r="FX782" s="3336" t="str">
        <f t="shared" si="161"/>
        <v/>
      </c>
      <c r="FY782" s="3336" t="str">
        <f t="shared" si="162"/>
        <v/>
      </c>
      <c r="FZ782" s="3336" t="str">
        <f t="shared" si="163"/>
        <v/>
      </c>
      <c r="GA782" s="3336" t="str">
        <f t="shared" si="164"/>
        <v/>
      </c>
      <c r="GB782" s="3336" t="str">
        <f t="shared" si="165"/>
        <v/>
      </c>
      <c r="GC782" s="3336" t="str">
        <f t="shared" si="166"/>
        <v/>
      </c>
      <c r="GD782" s="3336" t="str">
        <f t="shared" si="167"/>
        <v/>
      </c>
      <c r="GE782" s="3336" t="str">
        <f t="shared" si="168"/>
        <v/>
      </c>
      <c r="GF782" s="3336" t="str">
        <f t="shared" si="169"/>
        <v/>
      </c>
      <c r="GG782" s="3336" t="str">
        <f t="shared" si="170"/>
        <v/>
      </c>
      <c r="GH782" s="3336" t="str">
        <f t="shared" si="171"/>
        <v/>
      </c>
      <c r="GI782" s="3336" t="str">
        <f t="shared" si="172"/>
        <v/>
      </c>
      <c r="GJ782" s="3336" t="str">
        <f t="shared" si="173"/>
        <v/>
      </c>
      <c r="GK782" s="3336" t="str">
        <f t="shared" si="174"/>
        <v/>
      </c>
      <c r="GL782" s="3336" t="str">
        <f t="shared" si="175"/>
        <v/>
      </c>
      <c r="GM782" s="3336" t="str">
        <f t="shared" si="176"/>
        <v/>
      </c>
      <c r="GN782" s="3336" t="str">
        <f t="shared" si="177"/>
        <v/>
      </c>
      <c r="GO782" s="3336" t="str">
        <f t="shared" si="178"/>
        <v/>
      </c>
      <c r="GP782" s="3336" t="str">
        <f t="shared" si="179"/>
        <v/>
      </c>
      <c r="GQ782" s="3336" t="str">
        <f t="shared" si="180"/>
        <v/>
      </c>
      <c r="GR782" s="3336" t="str">
        <f t="shared" si="181"/>
        <v/>
      </c>
      <c r="GS782" s="3336" t="str">
        <f t="shared" si="182"/>
        <v/>
      </c>
      <c r="GT782" s="3336" t="str">
        <f t="shared" si="183"/>
        <v/>
      </c>
      <c r="GU782" s="3336" t="str">
        <f t="shared" si="184"/>
        <v/>
      </c>
      <c r="GV782" s="3336" t="str">
        <f t="shared" si="185"/>
        <v/>
      </c>
      <c r="GW782" s="3336" t="str">
        <f t="shared" si="186"/>
        <v/>
      </c>
      <c r="GX782" s="3336" t="str">
        <f t="shared" si="187"/>
        <v/>
      </c>
      <c r="GY782" s="3336" t="str">
        <f t="shared" si="188"/>
        <v/>
      </c>
      <c r="GZ782" s="3336" t="str">
        <f t="shared" si="189"/>
        <v/>
      </c>
      <c r="HA782" s="3336" t="str">
        <f t="shared" si="190"/>
        <v/>
      </c>
      <c r="HB782" s="3336" t="str">
        <f t="shared" si="191"/>
        <v/>
      </c>
      <c r="HC782" s="3336" t="str">
        <f t="shared" si="192"/>
        <v/>
      </c>
      <c r="HD782" s="3336" t="str">
        <f t="shared" si="193"/>
        <v/>
      </c>
      <c r="HE782" s="3336" t="str">
        <f t="shared" si="194"/>
        <v/>
      </c>
      <c r="HF782" s="3336" t="str">
        <f t="shared" si="195"/>
        <v/>
      </c>
      <c r="HG782" s="3336" t="str">
        <f t="shared" si="196"/>
        <v/>
      </c>
      <c r="HH782" s="3336" t="str">
        <f t="shared" si="197"/>
        <v/>
      </c>
      <c r="HI782" s="3336" t="str">
        <f t="shared" si="198"/>
        <v/>
      </c>
      <c r="HJ782" s="3336" t="str">
        <f t="shared" si="199"/>
        <v/>
      </c>
      <c r="HK782" s="3336" t="str">
        <f t="shared" si="200"/>
        <v/>
      </c>
      <c r="HL782" s="3336" t="str">
        <f t="shared" si="201"/>
        <v/>
      </c>
      <c r="HM782" s="3336" t="str">
        <f t="shared" si="202"/>
        <v/>
      </c>
      <c r="HN782" s="3336" t="str">
        <f t="shared" si="203"/>
        <v/>
      </c>
      <c r="HO782" s="3336" t="str">
        <f t="shared" si="204"/>
        <v/>
      </c>
      <c r="HP782" s="3336" t="str">
        <f t="shared" si="205"/>
        <v/>
      </c>
      <c r="HQ782" s="3336" t="str">
        <f t="shared" si="206"/>
        <v/>
      </c>
      <c r="HR782" s="3336" t="str">
        <f t="shared" si="207"/>
        <v/>
      </c>
      <c r="HS782" s="3336" t="str">
        <f t="shared" si="208"/>
        <v/>
      </c>
      <c r="HT782" s="3336" t="str">
        <f t="shared" si="209"/>
        <v/>
      </c>
      <c r="HU782" s="3336" t="str">
        <f t="shared" si="210"/>
        <v/>
      </c>
      <c r="HV782" s="3336" t="str">
        <f t="shared" si="211"/>
        <v/>
      </c>
      <c r="HW782" s="3336" t="str">
        <f t="shared" si="212"/>
        <v/>
      </c>
      <c r="HX782" s="3336" t="str">
        <f t="shared" si="213"/>
        <v/>
      </c>
      <c r="HY782" s="3336" t="str">
        <f t="shared" si="214"/>
        <v/>
      </c>
      <c r="HZ782" s="3336" t="str">
        <f t="shared" si="215"/>
        <v/>
      </c>
      <c r="IA782" s="3336" t="str">
        <f t="shared" si="216"/>
        <v/>
      </c>
      <c r="IB782" s="3336" t="str">
        <f t="shared" si="217"/>
        <v/>
      </c>
      <c r="IC782" s="3336" t="str">
        <f t="shared" si="218"/>
        <v/>
      </c>
      <c r="ID782" s="3308" t="str">
        <f t="shared" si="219"/>
        <v/>
      </c>
      <c r="IE782" s="3308" t="str">
        <f t="shared" si="220"/>
        <v/>
      </c>
      <c r="IF782" s="3308" t="str">
        <f t="shared" si="221"/>
        <v/>
      </c>
      <c r="IG782" s="3308" t="str">
        <f t="shared" si="222"/>
        <v/>
      </c>
      <c r="IH782" s="3308" t="str">
        <f t="shared" si="223"/>
        <v/>
      </c>
      <c r="II782" s="523" t="str">
        <f t="shared" si="224"/>
        <v/>
      </c>
      <c r="IJ782" s="523" t="str">
        <f t="shared" si="225"/>
        <v/>
      </c>
      <c r="IK782" s="523" t="str">
        <f t="shared" si="226"/>
        <v/>
      </c>
      <c r="IL782" s="523" t="str">
        <f t="shared" si="227"/>
        <v/>
      </c>
      <c r="IM782" s="523" t="str">
        <f t="shared" si="228"/>
        <v/>
      </c>
      <c r="IN782" s="523" t="str">
        <f t="shared" si="229"/>
        <v/>
      </c>
      <c r="IO782" s="523" t="str">
        <f t="shared" si="230"/>
        <v/>
      </c>
      <c r="IP782" s="523" t="str">
        <f t="shared" si="231"/>
        <v/>
      </c>
      <c r="IQ782" s="523" t="str">
        <f t="shared" si="232"/>
        <v/>
      </c>
      <c r="IR782" s="523" t="str">
        <f t="shared" si="233"/>
        <v/>
      </c>
      <c r="IS782" s="523" t="str">
        <f t="shared" si="234"/>
        <v/>
      </c>
      <c r="IT782" s="523" t="str">
        <f t="shared" si="235"/>
        <v/>
      </c>
      <c r="IU782" s="523" t="str">
        <f t="shared" si="236"/>
        <v/>
      </c>
      <c r="IV782" s="523" t="str">
        <f t="shared" si="237"/>
        <v/>
      </c>
      <c r="IW782" s="523" t="str">
        <f t="shared" si="238"/>
        <v/>
      </c>
      <c r="IX782" s="523" t="str">
        <f t="shared" si="239"/>
        <v/>
      </c>
      <c r="IY782" s="523" t="str">
        <f t="shared" si="240"/>
        <v/>
      </c>
      <c r="IZ782" s="523" t="str">
        <f t="shared" si="241"/>
        <v/>
      </c>
      <c r="JA782" s="523" t="str">
        <f t="shared" si="242"/>
        <v/>
      </c>
      <c r="JB782" s="523" t="str">
        <f t="shared" si="243"/>
        <v/>
      </c>
      <c r="JC782" s="3306">
        <f t="shared" si="244"/>
        <v>0</v>
      </c>
      <c r="JD782" s="3306">
        <f t="shared" si="245"/>
        <v>0</v>
      </c>
      <c r="JE782" s="3306">
        <f t="shared" si="246"/>
        <v>0</v>
      </c>
      <c r="JF782" s="3306">
        <f t="shared" si="247"/>
        <v>0</v>
      </c>
      <c r="JG782" s="3306">
        <f t="shared" si="248"/>
        <v>0</v>
      </c>
      <c r="JH782" s="3306">
        <f t="shared" si="249"/>
        <v>0</v>
      </c>
      <c r="JI782" s="3306">
        <f t="shared" si="250"/>
        <v>0</v>
      </c>
      <c r="JJ782" s="3306">
        <f t="shared" si="251"/>
        <v>0</v>
      </c>
      <c r="JK782" s="3306">
        <f t="shared" si="252"/>
        <v>0</v>
      </c>
      <c r="JL782" s="3306">
        <f t="shared" si="253"/>
        <v>0</v>
      </c>
      <c r="JM782" s="3306">
        <f t="shared" si="254"/>
        <v>0</v>
      </c>
      <c r="JN782" s="3306">
        <f t="shared" si="255"/>
        <v>0</v>
      </c>
      <c r="JO782" s="3306">
        <f t="shared" si="256"/>
        <v>0</v>
      </c>
      <c r="JP782" s="3306">
        <f t="shared" si="257"/>
        <v>0</v>
      </c>
      <c r="JQ782" s="3306">
        <f t="shared" si="258"/>
        <v>0</v>
      </c>
    </row>
    <row r="783" spans="1:277" ht="12" customHeight="1">
      <c r="A783" s="3319" t="str">
        <f t="shared" si="1"/>
        <v/>
      </c>
      <c r="B783" s="3328" t="str">
        <f>'Part VI-Revenues &amp; Expenses'!B26</f>
        <v>&lt;&lt;Select&gt;&gt;</v>
      </c>
      <c r="C783" s="3329">
        <f>'Part VI-Revenues &amp; Expenses'!C26</f>
        <v>0</v>
      </c>
      <c r="D783" s="3330">
        <f>'Part VI-Revenues &amp; Expenses'!D26</f>
        <v>0</v>
      </c>
      <c r="E783" s="3331">
        <f>'Part VI-Revenues &amp; Expenses'!E26</f>
        <v>0</v>
      </c>
      <c r="F783" s="3331">
        <f>'Part VI-Revenues &amp; Expenses'!F26</f>
        <v>0</v>
      </c>
      <c r="G783" s="3331">
        <f>'Part VI-Revenues &amp; Expenses'!G26</f>
        <v>0</v>
      </c>
      <c r="H783" s="3331">
        <f>'Part VI-Revenues &amp; Expenses'!H26</f>
        <v>0</v>
      </c>
      <c r="I783" s="3331">
        <f>'Part VI-Revenues &amp; Expenses'!I26</f>
        <v>0</v>
      </c>
      <c r="J783" s="3332">
        <f>'Part VI-Revenues &amp; Expenses'!J26</f>
        <v>0</v>
      </c>
      <c r="K783" s="3333">
        <f t="shared" si="2"/>
        <v>0</v>
      </c>
      <c r="L783" s="3333">
        <f t="shared" si="3"/>
        <v>0</v>
      </c>
      <c r="M783" s="3207">
        <f>'Part VI-Revenues &amp; Expenses'!M26</f>
        <v>0</v>
      </c>
      <c r="N783" s="3207">
        <f>'Part VI-Revenues &amp; Expenses'!N26</f>
        <v>0</v>
      </c>
      <c r="O783" s="3207">
        <f>'Part VI-Revenues &amp; Expenses'!O26</f>
        <v>0</v>
      </c>
      <c r="P783" s="3313">
        <f>'Part VI-Revenues &amp; Expenses'!P26</f>
        <v>0</v>
      </c>
      <c r="Q783" s="3334" t="str">
        <f>'Part VI-Revenues &amp; Expenses'!Q26</f>
        <v/>
      </c>
      <c r="R783" s="3335" t="str">
        <f>'Part VI-Revenues &amp; Expenses'!R26</f>
        <v/>
      </c>
      <c r="S783" s="3334">
        <f>'Part VI-Revenues &amp; Expenses'!S26</f>
        <v>0</v>
      </c>
      <c r="T783" s="3335">
        <f>'Part VI-Revenues &amp; Expenses'!T26</f>
        <v>0</v>
      </c>
      <c r="U783" s="3257"/>
      <c r="V783" s="3257"/>
      <c r="W783" s="523" t="str">
        <f t="shared" si="4"/>
        <v/>
      </c>
      <c r="X783" s="523" t="str">
        <f t="shared" si="5"/>
        <v/>
      </c>
      <c r="Y783" s="523" t="str">
        <f t="shared" si="6"/>
        <v/>
      </c>
      <c r="Z783" s="523" t="str">
        <f t="shared" si="7"/>
        <v/>
      </c>
      <c r="AA783" s="523" t="str">
        <f t="shared" si="8"/>
        <v/>
      </c>
      <c r="AB783" s="523" t="str">
        <f t="shared" si="9"/>
        <v/>
      </c>
      <c r="AC783" s="523" t="str">
        <f t="shared" si="10"/>
        <v/>
      </c>
      <c r="AD783" s="523" t="str">
        <f t="shared" si="11"/>
        <v/>
      </c>
      <c r="AE783" s="523" t="str">
        <f t="shared" si="12"/>
        <v/>
      </c>
      <c r="AF783" s="523" t="str">
        <f t="shared" si="13"/>
        <v/>
      </c>
      <c r="AG783" s="523" t="str">
        <f t="shared" si="14"/>
        <v/>
      </c>
      <c r="AH783" s="523" t="str">
        <f t="shared" si="15"/>
        <v/>
      </c>
      <c r="AI783" s="523" t="str">
        <f t="shared" si="16"/>
        <v/>
      </c>
      <c r="AJ783" s="523" t="str">
        <f t="shared" si="17"/>
        <v/>
      </c>
      <c r="AK783" s="523" t="str">
        <f t="shared" si="18"/>
        <v/>
      </c>
      <c r="AL783" s="523" t="str">
        <f t="shared" si="19"/>
        <v/>
      </c>
      <c r="AM783" s="523" t="str">
        <f t="shared" si="20"/>
        <v/>
      </c>
      <c r="AN783" s="523" t="str">
        <f t="shared" si="21"/>
        <v/>
      </c>
      <c r="AO783" s="523" t="str">
        <f t="shared" si="22"/>
        <v/>
      </c>
      <c r="AP783" s="523" t="str">
        <f t="shared" si="23"/>
        <v/>
      </c>
      <c r="AQ783" s="523" t="str">
        <f t="shared" si="24"/>
        <v/>
      </c>
      <c r="AR783" s="523" t="str">
        <f t="shared" si="25"/>
        <v/>
      </c>
      <c r="AS783" s="523" t="str">
        <f t="shared" si="26"/>
        <v/>
      </c>
      <c r="AT783" s="523" t="str">
        <f t="shared" si="27"/>
        <v/>
      </c>
      <c r="AU783" s="523" t="str">
        <f t="shared" si="28"/>
        <v/>
      </c>
      <c r="AV783" s="523" t="str">
        <f t="shared" si="29"/>
        <v/>
      </c>
      <c r="AW783" s="523" t="str">
        <f t="shared" si="30"/>
        <v/>
      </c>
      <c r="AX783" s="523" t="str">
        <f t="shared" si="31"/>
        <v/>
      </c>
      <c r="AY783" s="523" t="str">
        <f t="shared" si="32"/>
        <v/>
      </c>
      <c r="AZ783" s="523" t="str">
        <f t="shared" si="33"/>
        <v/>
      </c>
      <c r="BA783" s="523" t="str">
        <f t="shared" si="34"/>
        <v/>
      </c>
      <c r="BB783" s="523" t="str">
        <f t="shared" si="35"/>
        <v/>
      </c>
      <c r="BC783" s="523" t="str">
        <f t="shared" si="36"/>
        <v/>
      </c>
      <c r="BD783" s="523" t="str">
        <f t="shared" si="37"/>
        <v/>
      </c>
      <c r="BE783" s="523" t="str">
        <f t="shared" si="38"/>
        <v/>
      </c>
      <c r="BF783" s="523" t="str">
        <f t="shared" si="39"/>
        <v/>
      </c>
      <c r="BG783" s="523" t="str">
        <f t="shared" si="40"/>
        <v/>
      </c>
      <c r="BH783" s="523" t="str">
        <f t="shared" si="41"/>
        <v/>
      </c>
      <c r="BI783" s="523" t="str">
        <f t="shared" si="42"/>
        <v/>
      </c>
      <c r="BJ783" s="523" t="str">
        <f t="shared" si="43"/>
        <v/>
      </c>
      <c r="BK783" s="523" t="str">
        <f t="shared" si="44"/>
        <v/>
      </c>
      <c r="BL783" s="523" t="str">
        <f t="shared" si="45"/>
        <v/>
      </c>
      <c r="BM783" s="523" t="str">
        <f t="shared" si="46"/>
        <v/>
      </c>
      <c r="BN783" s="523" t="str">
        <f t="shared" si="47"/>
        <v/>
      </c>
      <c r="BO783" s="523" t="str">
        <f t="shared" si="48"/>
        <v/>
      </c>
      <c r="BP783" s="523" t="str">
        <f t="shared" si="49"/>
        <v/>
      </c>
      <c r="BQ783" s="523" t="str">
        <f t="shared" si="50"/>
        <v/>
      </c>
      <c r="BR783" s="523" t="str">
        <f t="shared" si="51"/>
        <v/>
      </c>
      <c r="BS783" s="523" t="str">
        <f t="shared" si="52"/>
        <v/>
      </c>
      <c r="BT783" s="523" t="str">
        <f t="shared" si="53"/>
        <v/>
      </c>
      <c r="BU783" s="523" t="str">
        <f t="shared" si="54"/>
        <v/>
      </c>
      <c r="BV783" s="523" t="str">
        <f t="shared" si="55"/>
        <v/>
      </c>
      <c r="BW783" s="523" t="str">
        <f t="shared" si="56"/>
        <v/>
      </c>
      <c r="BX783" s="523" t="str">
        <f t="shared" si="57"/>
        <v/>
      </c>
      <c r="BY783" s="523" t="str">
        <f t="shared" si="58"/>
        <v/>
      </c>
      <c r="BZ783" s="523" t="str">
        <f t="shared" si="59"/>
        <v/>
      </c>
      <c r="CA783" s="523" t="str">
        <f t="shared" si="60"/>
        <v/>
      </c>
      <c r="CB783" s="523" t="str">
        <f t="shared" si="61"/>
        <v/>
      </c>
      <c r="CC783" s="523" t="str">
        <f t="shared" si="62"/>
        <v/>
      </c>
      <c r="CD783" s="523" t="str">
        <f t="shared" si="63"/>
        <v/>
      </c>
      <c r="CE783" s="523" t="str">
        <f t="shared" si="64"/>
        <v/>
      </c>
      <c r="CF783" s="523" t="str">
        <f t="shared" si="65"/>
        <v/>
      </c>
      <c r="CG783" s="523" t="str">
        <f t="shared" si="66"/>
        <v/>
      </c>
      <c r="CH783" s="523" t="str">
        <f t="shared" si="67"/>
        <v/>
      </c>
      <c r="CI783" s="523" t="str">
        <f t="shared" si="68"/>
        <v/>
      </c>
      <c r="CJ783" s="523" t="str">
        <f t="shared" si="69"/>
        <v/>
      </c>
      <c r="CK783" s="523" t="str">
        <f t="shared" si="70"/>
        <v/>
      </c>
      <c r="CL783" s="523" t="str">
        <f t="shared" si="71"/>
        <v/>
      </c>
      <c r="CM783" s="523" t="str">
        <f t="shared" si="72"/>
        <v/>
      </c>
      <c r="CN783" s="523" t="str">
        <f t="shared" si="73"/>
        <v/>
      </c>
      <c r="CO783" s="523" t="str">
        <f t="shared" si="74"/>
        <v/>
      </c>
      <c r="CP783" s="523" t="str">
        <f t="shared" si="75"/>
        <v/>
      </c>
      <c r="CQ783" s="523" t="str">
        <f t="shared" si="76"/>
        <v/>
      </c>
      <c r="CR783" s="523" t="str">
        <f t="shared" si="77"/>
        <v/>
      </c>
      <c r="CS783" s="523" t="str">
        <f t="shared" si="78"/>
        <v/>
      </c>
      <c r="CT783" s="523" t="str">
        <f t="shared" si="79"/>
        <v/>
      </c>
      <c r="CU783" s="523" t="str">
        <f t="shared" si="80"/>
        <v/>
      </c>
      <c r="CV783" s="523" t="str">
        <f t="shared" si="81"/>
        <v/>
      </c>
      <c r="CW783" s="523" t="str">
        <f t="shared" si="82"/>
        <v/>
      </c>
      <c r="CX783" s="523" t="str">
        <f t="shared" si="83"/>
        <v/>
      </c>
      <c r="CY783" s="523" t="str">
        <f t="shared" si="84"/>
        <v/>
      </c>
      <c r="CZ783" s="523" t="str">
        <f t="shared" si="85"/>
        <v/>
      </c>
      <c r="DA783" s="523" t="str">
        <f t="shared" si="86"/>
        <v/>
      </c>
      <c r="DB783" s="523" t="str">
        <f t="shared" si="87"/>
        <v/>
      </c>
      <c r="DC783" s="523" t="str">
        <f t="shared" si="88"/>
        <v/>
      </c>
      <c r="DD783" s="523" t="str">
        <f t="shared" si="89"/>
        <v/>
      </c>
      <c r="DE783" s="523" t="str">
        <f t="shared" si="90"/>
        <v/>
      </c>
      <c r="DF783" s="523" t="str">
        <f t="shared" si="91"/>
        <v/>
      </c>
      <c r="DG783" s="523" t="str">
        <f t="shared" si="92"/>
        <v/>
      </c>
      <c r="DH783" s="523" t="str">
        <f t="shared" si="93"/>
        <v/>
      </c>
      <c r="DI783" s="523" t="str">
        <f t="shared" si="94"/>
        <v/>
      </c>
      <c r="DJ783" s="523" t="str">
        <f t="shared" si="95"/>
        <v/>
      </c>
      <c r="DK783" s="523" t="str">
        <f t="shared" si="96"/>
        <v/>
      </c>
      <c r="DL783" s="523" t="str">
        <f t="shared" si="97"/>
        <v/>
      </c>
      <c r="DM783" s="523" t="str">
        <f t="shared" si="98"/>
        <v/>
      </c>
      <c r="DN783" s="523" t="str">
        <f t="shared" si="99"/>
        <v/>
      </c>
      <c r="DO783" s="523" t="str">
        <f t="shared" si="100"/>
        <v/>
      </c>
      <c r="DP783" s="523" t="str">
        <f t="shared" si="101"/>
        <v/>
      </c>
      <c r="DQ783" s="523" t="str">
        <f t="shared" si="102"/>
        <v/>
      </c>
      <c r="DR783" s="523" t="str">
        <f t="shared" si="103"/>
        <v/>
      </c>
      <c r="DS783" s="523" t="str">
        <f t="shared" si="104"/>
        <v/>
      </c>
      <c r="DT783" s="523" t="str">
        <f t="shared" si="105"/>
        <v/>
      </c>
      <c r="DU783" s="523" t="str">
        <f t="shared" si="106"/>
        <v/>
      </c>
      <c r="DV783" s="523" t="str">
        <f t="shared" si="107"/>
        <v/>
      </c>
      <c r="DW783" s="523" t="str">
        <f t="shared" si="108"/>
        <v/>
      </c>
      <c r="DX783" s="523" t="str">
        <f t="shared" si="109"/>
        <v/>
      </c>
      <c r="DY783" s="523" t="str">
        <f t="shared" si="110"/>
        <v/>
      </c>
      <c r="DZ783" s="523" t="str">
        <f t="shared" si="111"/>
        <v/>
      </c>
      <c r="EA783" s="523" t="str">
        <f t="shared" si="112"/>
        <v/>
      </c>
      <c r="EB783" s="523" t="str">
        <f t="shared" si="113"/>
        <v/>
      </c>
      <c r="EC783" s="523" t="str">
        <f t="shared" si="114"/>
        <v/>
      </c>
      <c r="ED783" s="523" t="str">
        <f t="shared" si="115"/>
        <v/>
      </c>
      <c r="EE783" s="523" t="str">
        <f t="shared" si="116"/>
        <v/>
      </c>
      <c r="EF783" s="523" t="str">
        <f t="shared" si="117"/>
        <v/>
      </c>
      <c r="EG783" s="523" t="str">
        <f t="shared" si="118"/>
        <v/>
      </c>
      <c r="EH783" s="523" t="str">
        <f t="shared" si="119"/>
        <v/>
      </c>
      <c r="EI783" s="523" t="str">
        <f t="shared" si="120"/>
        <v/>
      </c>
      <c r="EJ783" s="523" t="str">
        <f t="shared" si="121"/>
        <v/>
      </c>
      <c r="EK783" s="523" t="str">
        <f t="shared" si="122"/>
        <v/>
      </c>
      <c r="EL783" s="523" t="str">
        <f t="shared" si="123"/>
        <v/>
      </c>
      <c r="EM783" s="523" t="str">
        <f t="shared" si="124"/>
        <v/>
      </c>
      <c r="EN783" s="523" t="str">
        <f t="shared" si="125"/>
        <v/>
      </c>
      <c r="EO783" s="523" t="str">
        <f t="shared" si="126"/>
        <v/>
      </c>
      <c r="EP783" s="523" t="str">
        <f t="shared" si="127"/>
        <v/>
      </c>
      <c r="EQ783" s="523" t="str">
        <f t="shared" si="128"/>
        <v/>
      </c>
      <c r="ER783" s="523" t="str">
        <f t="shared" si="129"/>
        <v/>
      </c>
      <c r="ES783" s="523" t="str">
        <f t="shared" si="130"/>
        <v/>
      </c>
      <c r="ET783" s="523" t="str">
        <f t="shared" si="131"/>
        <v/>
      </c>
      <c r="EU783" s="523" t="str">
        <f t="shared" si="132"/>
        <v/>
      </c>
      <c r="EV783" s="523" t="str">
        <f t="shared" si="133"/>
        <v/>
      </c>
      <c r="EW783" s="3336" t="str">
        <f t="shared" si="134"/>
        <v/>
      </c>
      <c r="EX783" s="3336" t="str">
        <f t="shared" si="135"/>
        <v/>
      </c>
      <c r="EY783" s="3336" t="str">
        <f t="shared" si="136"/>
        <v/>
      </c>
      <c r="EZ783" s="3336" t="str">
        <f t="shared" si="137"/>
        <v/>
      </c>
      <c r="FA783" s="3336" t="str">
        <f t="shared" si="138"/>
        <v/>
      </c>
      <c r="FB783" s="3336" t="str">
        <f t="shared" si="139"/>
        <v/>
      </c>
      <c r="FC783" s="3336" t="str">
        <f t="shared" si="140"/>
        <v/>
      </c>
      <c r="FD783" s="3336" t="str">
        <f t="shared" si="141"/>
        <v/>
      </c>
      <c r="FE783" s="3336" t="str">
        <f t="shared" si="142"/>
        <v/>
      </c>
      <c r="FF783" s="3336" t="str">
        <f t="shared" si="143"/>
        <v/>
      </c>
      <c r="FG783" s="3336" t="str">
        <f t="shared" si="144"/>
        <v/>
      </c>
      <c r="FH783" s="3336" t="str">
        <f t="shared" si="145"/>
        <v/>
      </c>
      <c r="FI783" s="3336" t="str">
        <f t="shared" si="146"/>
        <v/>
      </c>
      <c r="FJ783" s="3336" t="str">
        <f t="shared" si="147"/>
        <v/>
      </c>
      <c r="FK783" s="3336" t="str">
        <f t="shared" si="148"/>
        <v/>
      </c>
      <c r="FL783" s="3336" t="str">
        <f t="shared" si="149"/>
        <v/>
      </c>
      <c r="FM783" s="3336" t="str">
        <f t="shared" si="150"/>
        <v/>
      </c>
      <c r="FN783" s="3336" t="str">
        <f t="shared" si="151"/>
        <v/>
      </c>
      <c r="FO783" s="3336" t="str">
        <f t="shared" si="152"/>
        <v/>
      </c>
      <c r="FP783" s="3336" t="str">
        <f t="shared" si="153"/>
        <v/>
      </c>
      <c r="FQ783" s="3336" t="str">
        <f t="shared" si="154"/>
        <v/>
      </c>
      <c r="FR783" s="3336" t="str">
        <f t="shared" si="155"/>
        <v/>
      </c>
      <c r="FS783" s="3336" t="str">
        <f t="shared" si="156"/>
        <v/>
      </c>
      <c r="FT783" s="3336" t="str">
        <f t="shared" si="157"/>
        <v/>
      </c>
      <c r="FU783" s="3336" t="str">
        <f t="shared" si="158"/>
        <v/>
      </c>
      <c r="FV783" s="3336" t="str">
        <f t="shared" si="159"/>
        <v/>
      </c>
      <c r="FW783" s="3336" t="str">
        <f t="shared" si="160"/>
        <v/>
      </c>
      <c r="FX783" s="3336" t="str">
        <f t="shared" si="161"/>
        <v/>
      </c>
      <c r="FY783" s="3336" t="str">
        <f t="shared" si="162"/>
        <v/>
      </c>
      <c r="FZ783" s="3336" t="str">
        <f t="shared" si="163"/>
        <v/>
      </c>
      <c r="GA783" s="3336" t="str">
        <f t="shared" si="164"/>
        <v/>
      </c>
      <c r="GB783" s="3336" t="str">
        <f t="shared" si="165"/>
        <v/>
      </c>
      <c r="GC783" s="3336" t="str">
        <f t="shared" si="166"/>
        <v/>
      </c>
      <c r="GD783" s="3336" t="str">
        <f t="shared" si="167"/>
        <v/>
      </c>
      <c r="GE783" s="3336" t="str">
        <f t="shared" si="168"/>
        <v/>
      </c>
      <c r="GF783" s="3336" t="str">
        <f t="shared" si="169"/>
        <v/>
      </c>
      <c r="GG783" s="3336" t="str">
        <f t="shared" si="170"/>
        <v/>
      </c>
      <c r="GH783" s="3336" t="str">
        <f t="shared" si="171"/>
        <v/>
      </c>
      <c r="GI783" s="3336" t="str">
        <f t="shared" si="172"/>
        <v/>
      </c>
      <c r="GJ783" s="3336" t="str">
        <f t="shared" si="173"/>
        <v/>
      </c>
      <c r="GK783" s="3336" t="str">
        <f t="shared" si="174"/>
        <v/>
      </c>
      <c r="GL783" s="3336" t="str">
        <f t="shared" si="175"/>
        <v/>
      </c>
      <c r="GM783" s="3336" t="str">
        <f t="shared" si="176"/>
        <v/>
      </c>
      <c r="GN783" s="3336" t="str">
        <f t="shared" si="177"/>
        <v/>
      </c>
      <c r="GO783" s="3336" t="str">
        <f t="shared" si="178"/>
        <v/>
      </c>
      <c r="GP783" s="3336" t="str">
        <f t="shared" si="179"/>
        <v/>
      </c>
      <c r="GQ783" s="3336" t="str">
        <f t="shared" si="180"/>
        <v/>
      </c>
      <c r="GR783" s="3336" t="str">
        <f t="shared" si="181"/>
        <v/>
      </c>
      <c r="GS783" s="3336" t="str">
        <f t="shared" si="182"/>
        <v/>
      </c>
      <c r="GT783" s="3336" t="str">
        <f t="shared" si="183"/>
        <v/>
      </c>
      <c r="GU783" s="3336" t="str">
        <f t="shared" si="184"/>
        <v/>
      </c>
      <c r="GV783" s="3336" t="str">
        <f t="shared" si="185"/>
        <v/>
      </c>
      <c r="GW783" s="3336" t="str">
        <f t="shared" si="186"/>
        <v/>
      </c>
      <c r="GX783" s="3336" t="str">
        <f t="shared" si="187"/>
        <v/>
      </c>
      <c r="GY783" s="3336" t="str">
        <f t="shared" si="188"/>
        <v/>
      </c>
      <c r="GZ783" s="3336" t="str">
        <f t="shared" si="189"/>
        <v/>
      </c>
      <c r="HA783" s="3336" t="str">
        <f t="shared" si="190"/>
        <v/>
      </c>
      <c r="HB783" s="3336" t="str">
        <f t="shared" si="191"/>
        <v/>
      </c>
      <c r="HC783" s="3336" t="str">
        <f t="shared" si="192"/>
        <v/>
      </c>
      <c r="HD783" s="3336" t="str">
        <f t="shared" si="193"/>
        <v/>
      </c>
      <c r="HE783" s="3336" t="str">
        <f t="shared" si="194"/>
        <v/>
      </c>
      <c r="HF783" s="3336" t="str">
        <f t="shared" si="195"/>
        <v/>
      </c>
      <c r="HG783" s="3336" t="str">
        <f t="shared" si="196"/>
        <v/>
      </c>
      <c r="HH783" s="3336" t="str">
        <f t="shared" si="197"/>
        <v/>
      </c>
      <c r="HI783" s="3336" t="str">
        <f t="shared" si="198"/>
        <v/>
      </c>
      <c r="HJ783" s="3336" t="str">
        <f t="shared" si="199"/>
        <v/>
      </c>
      <c r="HK783" s="3336" t="str">
        <f t="shared" si="200"/>
        <v/>
      </c>
      <c r="HL783" s="3336" t="str">
        <f t="shared" si="201"/>
        <v/>
      </c>
      <c r="HM783" s="3336" t="str">
        <f t="shared" si="202"/>
        <v/>
      </c>
      <c r="HN783" s="3336" t="str">
        <f t="shared" si="203"/>
        <v/>
      </c>
      <c r="HO783" s="3336" t="str">
        <f t="shared" si="204"/>
        <v/>
      </c>
      <c r="HP783" s="3336" t="str">
        <f t="shared" si="205"/>
        <v/>
      </c>
      <c r="HQ783" s="3336" t="str">
        <f t="shared" si="206"/>
        <v/>
      </c>
      <c r="HR783" s="3336" t="str">
        <f t="shared" si="207"/>
        <v/>
      </c>
      <c r="HS783" s="3336" t="str">
        <f t="shared" si="208"/>
        <v/>
      </c>
      <c r="HT783" s="3336" t="str">
        <f t="shared" si="209"/>
        <v/>
      </c>
      <c r="HU783" s="3336" t="str">
        <f t="shared" si="210"/>
        <v/>
      </c>
      <c r="HV783" s="3336" t="str">
        <f t="shared" si="211"/>
        <v/>
      </c>
      <c r="HW783" s="3336" t="str">
        <f t="shared" si="212"/>
        <v/>
      </c>
      <c r="HX783" s="3336" t="str">
        <f t="shared" si="213"/>
        <v/>
      </c>
      <c r="HY783" s="3336" t="str">
        <f t="shared" si="214"/>
        <v/>
      </c>
      <c r="HZ783" s="3336" t="str">
        <f t="shared" si="215"/>
        <v/>
      </c>
      <c r="IA783" s="3336" t="str">
        <f t="shared" si="216"/>
        <v/>
      </c>
      <c r="IB783" s="3336" t="str">
        <f t="shared" si="217"/>
        <v/>
      </c>
      <c r="IC783" s="3336" t="str">
        <f t="shared" si="218"/>
        <v/>
      </c>
      <c r="ID783" s="3308" t="str">
        <f t="shared" si="219"/>
        <v/>
      </c>
      <c r="IE783" s="3308" t="str">
        <f t="shared" si="220"/>
        <v/>
      </c>
      <c r="IF783" s="3308" t="str">
        <f t="shared" si="221"/>
        <v/>
      </c>
      <c r="IG783" s="3308" t="str">
        <f t="shared" si="222"/>
        <v/>
      </c>
      <c r="IH783" s="3308" t="str">
        <f t="shared" si="223"/>
        <v/>
      </c>
      <c r="II783" s="523" t="str">
        <f t="shared" si="224"/>
        <v/>
      </c>
      <c r="IJ783" s="523" t="str">
        <f t="shared" si="225"/>
        <v/>
      </c>
      <c r="IK783" s="523" t="str">
        <f t="shared" si="226"/>
        <v/>
      </c>
      <c r="IL783" s="523" t="str">
        <f t="shared" si="227"/>
        <v/>
      </c>
      <c r="IM783" s="523" t="str">
        <f t="shared" si="228"/>
        <v/>
      </c>
      <c r="IN783" s="523" t="str">
        <f t="shared" si="229"/>
        <v/>
      </c>
      <c r="IO783" s="523" t="str">
        <f t="shared" si="230"/>
        <v/>
      </c>
      <c r="IP783" s="523" t="str">
        <f t="shared" si="231"/>
        <v/>
      </c>
      <c r="IQ783" s="523" t="str">
        <f t="shared" si="232"/>
        <v/>
      </c>
      <c r="IR783" s="523" t="str">
        <f t="shared" si="233"/>
        <v/>
      </c>
      <c r="IS783" s="523" t="str">
        <f t="shared" si="234"/>
        <v/>
      </c>
      <c r="IT783" s="523" t="str">
        <f t="shared" si="235"/>
        <v/>
      </c>
      <c r="IU783" s="523" t="str">
        <f t="shared" si="236"/>
        <v/>
      </c>
      <c r="IV783" s="523" t="str">
        <f t="shared" si="237"/>
        <v/>
      </c>
      <c r="IW783" s="523" t="str">
        <f t="shared" si="238"/>
        <v/>
      </c>
      <c r="IX783" s="523" t="str">
        <f t="shared" si="239"/>
        <v/>
      </c>
      <c r="IY783" s="523" t="str">
        <f t="shared" si="240"/>
        <v/>
      </c>
      <c r="IZ783" s="523" t="str">
        <f t="shared" si="241"/>
        <v/>
      </c>
      <c r="JA783" s="523" t="str">
        <f t="shared" si="242"/>
        <v/>
      </c>
      <c r="JB783" s="523" t="str">
        <f t="shared" si="243"/>
        <v/>
      </c>
      <c r="JC783" s="3306">
        <f t="shared" si="244"/>
        <v>0</v>
      </c>
      <c r="JD783" s="3306">
        <f t="shared" si="245"/>
        <v>0</v>
      </c>
      <c r="JE783" s="3306">
        <f t="shared" si="246"/>
        <v>0</v>
      </c>
      <c r="JF783" s="3306">
        <f t="shared" si="247"/>
        <v>0</v>
      </c>
      <c r="JG783" s="3306">
        <f t="shared" si="248"/>
        <v>0</v>
      </c>
      <c r="JH783" s="3306">
        <f t="shared" si="249"/>
        <v>0</v>
      </c>
      <c r="JI783" s="3306">
        <f t="shared" si="250"/>
        <v>0</v>
      </c>
      <c r="JJ783" s="3306">
        <f t="shared" si="251"/>
        <v>0</v>
      </c>
      <c r="JK783" s="3306">
        <f t="shared" si="252"/>
        <v>0</v>
      </c>
      <c r="JL783" s="3306">
        <f t="shared" si="253"/>
        <v>0</v>
      </c>
      <c r="JM783" s="3306">
        <f t="shared" si="254"/>
        <v>0</v>
      </c>
      <c r="JN783" s="3306">
        <f t="shared" si="255"/>
        <v>0</v>
      </c>
      <c r="JO783" s="3306">
        <f t="shared" si="256"/>
        <v>0</v>
      </c>
      <c r="JP783" s="3306">
        <f t="shared" si="257"/>
        <v>0</v>
      </c>
      <c r="JQ783" s="3306">
        <f t="shared" si="258"/>
        <v>0</v>
      </c>
    </row>
    <row r="784" spans="1:277" ht="12" customHeight="1">
      <c r="A784" s="3319" t="str">
        <f t="shared" si="1"/>
        <v/>
      </c>
      <c r="B784" s="3328" t="str">
        <f>'Part VI-Revenues &amp; Expenses'!B27</f>
        <v>&lt;&lt;Select&gt;&gt;</v>
      </c>
      <c r="C784" s="3329">
        <f>'Part VI-Revenues &amp; Expenses'!C27</f>
        <v>0</v>
      </c>
      <c r="D784" s="3330">
        <f>'Part VI-Revenues &amp; Expenses'!D27</f>
        <v>0</v>
      </c>
      <c r="E784" s="3331">
        <f>'Part VI-Revenues &amp; Expenses'!E27</f>
        <v>0</v>
      </c>
      <c r="F784" s="3331">
        <f>'Part VI-Revenues &amp; Expenses'!F27</f>
        <v>0</v>
      </c>
      <c r="G784" s="3331">
        <f>'Part VI-Revenues &amp; Expenses'!G27</f>
        <v>0</v>
      </c>
      <c r="H784" s="3331">
        <f>'Part VI-Revenues &amp; Expenses'!H27</f>
        <v>0</v>
      </c>
      <c r="I784" s="3331">
        <f>'Part VI-Revenues &amp; Expenses'!I27</f>
        <v>0</v>
      </c>
      <c r="J784" s="3332">
        <f>'Part VI-Revenues &amp; Expenses'!J27</f>
        <v>0</v>
      </c>
      <c r="K784" s="3333">
        <f t="shared" si="2"/>
        <v>0</v>
      </c>
      <c r="L784" s="3333">
        <f t="shared" si="3"/>
        <v>0</v>
      </c>
      <c r="M784" s="3207">
        <f>'Part VI-Revenues &amp; Expenses'!M27</f>
        <v>0</v>
      </c>
      <c r="N784" s="3207">
        <f>'Part VI-Revenues &amp; Expenses'!N27</f>
        <v>0</v>
      </c>
      <c r="O784" s="3207">
        <f>'Part VI-Revenues &amp; Expenses'!O27</f>
        <v>0</v>
      </c>
      <c r="P784" s="3313">
        <f>'Part VI-Revenues &amp; Expenses'!P27</f>
        <v>0</v>
      </c>
      <c r="Q784" s="3334" t="str">
        <f>'Part VI-Revenues &amp; Expenses'!Q27</f>
        <v/>
      </c>
      <c r="R784" s="3335" t="str">
        <f>'Part VI-Revenues &amp; Expenses'!R27</f>
        <v/>
      </c>
      <c r="S784" s="3334">
        <f>'Part VI-Revenues &amp; Expenses'!S27</f>
        <v>0</v>
      </c>
      <c r="T784" s="3335">
        <f>'Part VI-Revenues &amp; Expenses'!T27</f>
        <v>0</v>
      </c>
      <c r="U784" s="3257"/>
      <c r="V784" s="3257"/>
      <c r="W784" s="523" t="str">
        <f t="shared" si="4"/>
        <v/>
      </c>
      <c r="X784" s="523" t="str">
        <f t="shared" si="5"/>
        <v/>
      </c>
      <c r="Y784" s="523" t="str">
        <f t="shared" si="6"/>
        <v/>
      </c>
      <c r="Z784" s="523" t="str">
        <f t="shared" si="7"/>
        <v/>
      </c>
      <c r="AA784" s="523" t="str">
        <f t="shared" si="8"/>
        <v/>
      </c>
      <c r="AB784" s="523" t="str">
        <f t="shared" si="9"/>
        <v/>
      </c>
      <c r="AC784" s="523" t="str">
        <f t="shared" si="10"/>
        <v/>
      </c>
      <c r="AD784" s="523" t="str">
        <f t="shared" si="11"/>
        <v/>
      </c>
      <c r="AE784" s="523" t="str">
        <f t="shared" si="12"/>
        <v/>
      </c>
      <c r="AF784" s="523" t="str">
        <f t="shared" si="13"/>
        <v/>
      </c>
      <c r="AG784" s="523" t="str">
        <f t="shared" si="14"/>
        <v/>
      </c>
      <c r="AH784" s="523" t="str">
        <f t="shared" si="15"/>
        <v/>
      </c>
      <c r="AI784" s="523" t="str">
        <f t="shared" si="16"/>
        <v/>
      </c>
      <c r="AJ784" s="523" t="str">
        <f t="shared" si="17"/>
        <v/>
      </c>
      <c r="AK784" s="523" t="str">
        <f t="shared" si="18"/>
        <v/>
      </c>
      <c r="AL784" s="523" t="str">
        <f t="shared" si="19"/>
        <v/>
      </c>
      <c r="AM784" s="523" t="str">
        <f t="shared" si="20"/>
        <v/>
      </c>
      <c r="AN784" s="523" t="str">
        <f t="shared" si="21"/>
        <v/>
      </c>
      <c r="AO784" s="523" t="str">
        <f t="shared" si="22"/>
        <v/>
      </c>
      <c r="AP784" s="523" t="str">
        <f t="shared" si="23"/>
        <v/>
      </c>
      <c r="AQ784" s="523" t="str">
        <f t="shared" si="24"/>
        <v/>
      </c>
      <c r="AR784" s="523" t="str">
        <f t="shared" si="25"/>
        <v/>
      </c>
      <c r="AS784" s="523" t="str">
        <f t="shared" si="26"/>
        <v/>
      </c>
      <c r="AT784" s="523" t="str">
        <f t="shared" si="27"/>
        <v/>
      </c>
      <c r="AU784" s="523" t="str">
        <f t="shared" si="28"/>
        <v/>
      </c>
      <c r="AV784" s="523" t="str">
        <f t="shared" si="29"/>
        <v/>
      </c>
      <c r="AW784" s="523" t="str">
        <f t="shared" si="30"/>
        <v/>
      </c>
      <c r="AX784" s="523" t="str">
        <f t="shared" si="31"/>
        <v/>
      </c>
      <c r="AY784" s="523" t="str">
        <f t="shared" si="32"/>
        <v/>
      </c>
      <c r="AZ784" s="523" t="str">
        <f t="shared" si="33"/>
        <v/>
      </c>
      <c r="BA784" s="523" t="str">
        <f t="shared" si="34"/>
        <v/>
      </c>
      <c r="BB784" s="523" t="str">
        <f t="shared" si="35"/>
        <v/>
      </c>
      <c r="BC784" s="523" t="str">
        <f t="shared" si="36"/>
        <v/>
      </c>
      <c r="BD784" s="523" t="str">
        <f t="shared" si="37"/>
        <v/>
      </c>
      <c r="BE784" s="523" t="str">
        <f t="shared" si="38"/>
        <v/>
      </c>
      <c r="BF784" s="523" t="str">
        <f t="shared" si="39"/>
        <v/>
      </c>
      <c r="BG784" s="523" t="str">
        <f t="shared" si="40"/>
        <v/>
      </c>
      <c r="BH784" s="523" t="str">
        <f t="shared" si="41"/>
        <v/>
      </c>
      <c r="BI784" s="523" t="str">
        <f t="shared" si="42"/>
        <v/>
      </c>
      <c r="BJ784" s="523" t="str">
        <f t="shared" si="43"/>
        <v/>
      </c>
      <c r="BK784" s="523" t="str">
        <f t="shared" si="44"/>
        <v/>
      </c>
      <c r="BL784" s="523" t="str">
        <f t="shared" si="45"/>
        <v/>
      </c>
      <c r="BM784" s="523" t="str">
        <f t="shared" si="46"/>
        <v/>
      </c>
      <c r="BN784" s="523" t="str">
        <f t="shared" si="47"/>
        <v/>
      </c>
      <c r="BO784" s="523" t="str">
        <f t="shared" si="48"/>
        <v/>
      </c>
      <c r="BP784" s="523" t="str">
        <f t="shared" si="49"/>
        <v/>
      </c>
      <c r="BQ784" s="523" t="str">
        <f t="shared" si="50"/>
        <v/>
      </c>
      <c r="BR784" s="523" t="str">
        <f t="shared" si="51"/>
        <v/>
      </c>
      <c r="BS784" s="523" t="str">
        <f t="shared" si="52"/>
        <v/>
      </c>
      <c r="BT784" s="523" t="str">
        <f t="shared" si="53"/>
        <v/>
      </c>
      <c r="BU784" s="523" t="str">
        <f t="shared" si="54"/>
        <v/>
      </c>
      <c r="BV784" s="523" t="str">
        <f t="shared" si="55"/>
        <v/>
      </c>
      <c r="BW784" s="523" t="str">
        <f t="shared" si="56"/>
        <v/>
      </c>
      <c r="BX784" s="523" t="str">
        <f t="shared" si="57"/>
        <v/>
      </c>
      <c r="BY784" s="523" t="str">
        <f t="shared" si="58"/>
        <v/>
      </c>
      <c r="BZ784" s="523" t="str">
        <f t="shared" si="59"/>
        <v/>
      </c>
      <c r="CA784" s="523" t="str">
        <f t="shared" si="60"/>
        <v/>
      </c>
      <c r="CB784" s="523" t="str">
        <f t="shared" si="61"/>
        <v/>
      </c>
      <c r="CC784" s="523" t="str">
        <f t="shared" si="62"/>
        <v/>
      </c>
      <c r="CD784" s="523" t="str">
        <f t="shared" si="63"/>
        <v/>
      </c>
      <c r="CE784" s="523" t="str">
        <f t="shared" si="64"/>
        <v/>
      </c>
      <c r="CF784" s="523" t="str">
        <f t="shared" si="65"/>
        <v/>
      </c>
      <c r="CG784" s="523" t="str">
        <f t="shared" si="66"/>
        <v/>
      </c>
      <c r="CH784" s="523" t="str">
        <f t="shared" si="67"/>
        <v/>
      </c>
      <c r="CI784" s="523" t="str">
        <f t="shared" si="68"/>
        <v/>
      </c>
      <c r="CJ784" s="523" t="str">
        <f t="shared" si="69"/>
        <v/>
      </c>
      <c r="CK784" s="523" t="str">
        <f t="shared" si="70"/>
        <v/>
      </c>
      <c r="CL784" s="523" t="str">
        <f t="shared" si="71"/>
        <v/>
      </c>
      <c r="CM784" s="523" t="str">
        <f t="shared" si="72"/>
        <v/>
      </c>
      <c r="CN784" s="523" t="str">
        <f t="shared" si="73"/>
        <v/>
      </c>
      <c r="CO784" s="523" t="str">
        <f t="shared" si="74"/>
        <v/>
      </c>
      <c r="CP784" s="523" t="str">
        <f t="shared" si="75"/>
        <v/>
      </c>
      <c r="CQ784" s="523" t="str">
        <f t="shared" si="76"/>
        <v/>
      </c>
      <c r="CR784" s="523" t="str">
        <f t="shared" si="77"/>
        <v/>
      </c>
      <c r="CS784" s="523" t="str">
        <f t="shared" si="78"/>
        <v/>
      </c>
      <c r="CT784" s="523" t="str">
        <f t="shared" si="79"/>
        <v/>
      </c>
      <c r="CU784" s="523" t="str">
        <f t="shared" si="80"/>
        <v/>
      </c>
      <c r="CV784" s="523" t="str">
        <f t="shared" si="81"/>
        <v/>
      </c>
      <c r="CW784" s="523" t="str">
        <f t="shared" si="82"/>
        <v/>
      </c>
      <c r="CX784" s="523" t="str">
        <f t="shared" si="83"/>
        <v/>
      </c>
      <c r="CY784" s="523" t="str">
        <f t="shared" si="84"/>
        <v/>
      </c>
      <c r="CZ784" s="523" t="str">
        <f t="shared" si="85"/>
        <v/>
      </c>
      <c r="DA784" s="523" t="str">
        <f t="shared" si="86"/>
        <v/>
      </c>
      <c r="DB784" s="523" t="str">
        <f t="shared" si="87"/>
        <v/>
      </c>
      <c r="DC784" s="523" t="str">
        <f t="shared" si="88"/>
        <v/>
      </c>
      <c r="DD784" s="523" t="str">
        <f t="shared" si="89"/>
        <v/>
      </c>
      <c r="DE784" s="523" t="str">
        <f t="shared" si="90"/>
        <v/>
      </c>
      <c r="DF784" s="523" t="str">
        <f t="shared" si="91"/>
        <v/>
      </c>
      <c r="DG784" s="523" t="str">
        <f t="shared" si="92"/>
        <v/>
      </c>
      <c r="DH784" s="523" t="str">
        <f t="shared" si="93"/>
        <v/>
      </c>
      <c r="DI784" s="523" t="str">
        <f t="shared" si="94"/>
        <v/>
      </c>
      <c r="DJ784" s="523" t="str">
        <f t="shared" si="95"/>
        <v/>
      </c>
      <c r="DK784" s="523" t="str">
        <f t="shared" si="96"/>
        <v/>
      </c>
      <c r="DL784" s="523" t="str">
        <f t="shared" si="97"/>
        <v/>
      </c>
      <c r="DM784" s="523" t="str">
        <f t="shared" si="98"/>
        <v/>
      </c>
      <c r="DN784" s="523" t="str">
        <f t="shared" si="99"/>
        <v/>
      </c>
      <c r="DO784" s="523" t="str">
        <f t="shared" si="100"/>
        <v/>
      </c>
      <c r="DP784" s="523" t="str">
        <f t="shared" si="101"/>
        <v/>
      </c>
      <c r="DQ784" s="523" t="str">
        <f t="shared" si="102"/>
        <v/>
      </c>
      <c r="DR784" s="523" t="str">
        <f t="shared" si="103"/>
        <v/>
      </c>
      <c r="DS784" s="523" t="str">
        <f t="shared" si="104"/>
        <v/>
      </c>
      <c r="DT784" s="523" t="str">
        <f t="shared" si="105"/>
        <v/>
      </c>
      <c r="DU784" s="523" t="str">
        <f t="shared" si="106"/>
        <v/>
      </c>
      <c r="DV784" s="523" t="str">
        <f t="shared" si="107"/>
        <v/>
      </c>
      <c r="DW784" s="523" t="str">
        <f t="shared" si="108"/>
        <v/>
      </c>
      <c r="DX784" s="523" t="str">
        <f t="shared" si="109"/>
        <v/>
      </c>
      <c r="DY784" s="523" t="str">
        <f t="shared" si="110"/>
        <v/>
      </c>
      <c r="DZ784" s="523" t="str">
        <f t="shared" si="111"/>
        <v/>
      </c>
      <c r="EA784" s="523" t="str">
        <f t="shared" si="112"/>
        <v/>
      </c>
      <c r="EB784" s="523" t="str">
        <f t="shared" si="113"/>
        <v/>
      </c>
      <c r="EC784" s="523" t="str">
        <f t="shared" si="114"/>
        <v/>
      </c>
      <c r="ED784" s="523" t="str">
        <f t="shared" si="115"/>
        <v/>
      </c>
      <c r="EE784" s="523" t="str">
        <f t="shared" si="116"/>
        <v/>
      </c>
      <c r="EF784" s="523" t="str">
        <f t="shared" si="117"/>
        <v/>
      </c>
      <c r="EG784" s="523" t="str">
        <f t="shared" si="118"/>
        <v/>
      </c>
      <c r="EH784" s="523" t="str">
        <f t="shared" si="119"/>
        <v/>
      </c>
      <c r="EI784" s="523" t="str">
        <f t="shared" si="120"/>
        <v/>
      </c>
      <c r="EJ784" s="523" t="str">
        <f t="shared" si="121"/>
        <v/>
      </c>
      <c r="EK784" s="523" t="str">
        <f t="shared" si="122"/>
        <v/>
      </c>
      <c r="EL784" s="523" t="str">
        <f t="shared" si="123"/>
        <v/>
      </c>
      <c r="EM784" s="523" t="str">
        <f t="shared" si="124"/>
        <v/>
      </c>
      <c r="EN784" s="523" t="str">
        <f t="shared" si="125"/>
        <v/>
      </c>
      <c r="EO784" s="523" t="str">
        <f t="shared" si="126"/>
        <v/>
      </c>
      <c r="EP784" s="523" t="str">
        <f t="shared" si="127"/>
        <v/>
      </c>
      <c r="EQ784" s="523" t="str">
        <f t="shared" si="128"/>
        <v/>
      </c>
      <c r="ER784" s="523" t="str">
        <f t="shared" si="129"/>
        <v/>
      </c>
      <c r="ES784" s="523" t="str">
        <f t="shared" si="130"/>
        <v/>
      </c>
      <c r="ET784" s="523" t="str">
        <f t="shared" si="131"/>
        <v/>
      </c>
      <c r="EU784" s="523" t="str">
        <f t="shared" si="132"/>
        <v/>
      </c>
      <c r="EV784" s="523" t="str">
        <f t="shared" si="133"/>
        <v/>
      </c>
      <c r="EW784" s="3336" t="str">
        <f t="shared" si="134"/>
        <v/>
      </c>
      <c r="EX784" s="3336" t="str">
        <f t="shared" si="135"/>
        <v/>
      </c>
      <c r="EY784" s="3336" t="str">
        <f t="shared" si="136"/>
        <v/>
      </c>
      <c r="EZ784" s="3336" t="str">
        <f t="shared" si="137"/>
        <v/>
      </c>
      <c r="FA784" s="3336" t="str">
        <f t="shared" si="138"/>
        <v/>
      </c>
      <c r="FB784" s="3336" t="str">
        <f t="shared" si="139"/>
        <v/>
      </c>
      <c r="FC784" s="3336" t="str">
        <f t="shared" si="140"/>
        <v/>
      </c>
      <c r="FD784" s="3336" t="str">
        <f t="shared" si="141"/>
        <v/>
      </c>
      <c r="FE784" s="3336" t="str">
        <f t="shared" si="142"/>
        <v/>
      </c>
      <c r="FF784" s="3336" t="str">
        <f t="shared" si="143"/>
        <v/>
      </c>
      <c r="FG784" s="3336" t="str">
        <f t="shared" si="144"/>
        <v/>
      </c>
      <c r="FH784" s="3336" t="str">
        <f t="shared" si="145"/>
        <v/>
      </c>
      <c r="FI784" s="3336" t="str">
        <f t="shared" si="146"/>
        <v/>
      </c>
      <c r="FJ784" s="3336" t="str">
        <f t="shared" si="147"/>
        <v/>
      </c>
      <c r="FK784" s="3336" t="str">
        <f t="shared" si="148"/>
        <v/>
      </c>
      <c r="FL784" s="3336" t="str">
        <f t="shared" si="149"/>
        <v/>
      </c>
      <c r="FM784" s="3336" t="str">
        <f t="shared" si="150"/>
        <v/>
      </c>
      <c r="FN784" s="3336" t="str">
        <f t="shared" si="151"/>
        <v/>
      </c>
      <c r="FO784" s="3336" t="str">
        <f t="shared" si="152"/>
        <v/>
      </c>
      <c r="FP784" s="3336" t="str">
        <f t="shared" si="153"/>
        <v/>
      </c>
      <c r="FQ784" s="3336" t="str">
        <f t="shared" si="154"/>
        <v/>
      </c>
      <c r="FR784" s="3336" t="str">
        <f t="shared" si="155"/>
        <v/>
      </c>
      <c r="FS784" s="3336" t="str">
        <f t="shared" si="156"/>
        <v/>
      </c>
      <c r="FT784" s="3336" t="str">
        <f t="shared" si="157"/>
        <v/>
      </c>
      <c r="FU784" s="3336" t="str">
        <f t="shared" si="158"/>
        <v/>
      </c>
      <c r="FV784" s="3336" t="str">
        <f t="shared" si="159"/>
        <v/>
      </c>
      <c r="FW784" s="3336" t="str">
        <f t="shared" si="160"/>
        <v/>
      </c>
      <c r="FX784" s="3336" t="str">
        <f t="shared" si="161"/>
        <v/>
      </c>
      <c r="FY784" s="3336" t="str">
        <f t="shared" si="162"/>
        <v/>
      </c>
      <c r="FZ784" s="3336" t="str">
        <f t="shared" si="163"/>
        <v/>
      </c>
      <c r="GA784" s="3336" t="str">
        <f t="shared" si="164"/>
        <v/>
      </c>
      <c r="GB784" s="3336" t="str">
        <f t="shared" si="165"/>
        <v/>
      </c>
      <c r="GC784" s="3336" t="str">
        <f t="shared" si="166"/>
        <v/>
      </c>
      <c r="GD784" s="3336" t="str">
        <f t="shared" si="167"/>
        <v/>
      </c>
      <c r="GE784" s="3336" t="str">
        <f t="shared" si="168"/>
        <v/>
      </c>
      <c r="GF784" s="3336" t="str">
        <f t="shared" si="169"/>
        <v/>
      </c>
      <c r="GG784" s="3336" t="str">
        <f t="shared" si="170"/>
        <v/>
      </c>
      <c r="GH784" s="3336" t="str">
        <f t="shared" si="171"/>
        <v/>
      </c>
      <c r="GI784" s="3336" t="str">
        <f t="shared" si="172"/>
        <v/>
      </c>
      <c r="GJ784" s="3336" t="str">
        <f t="shared" si="173"/>
        <v/>
      </c>
      <c r="GK784" s="3336" t="str">
        <f t="shared" si="174"/>
        <v/>
      </c>
      <c r="GL784" s="3336" t="str">
        <f t="shared" si="175"/>
        <v/>
      </c>
      <c r="GM784" s="3336" t="str">
        <f t="shared" si="176"/>
        <v/>
      </c>
      <c r="GN784" s="3336" t="str">
        <f t="shared" si="177"/>
        <v/>
      </c>
      <c r="GO784" s="3336" t="str">
        <f t="shared" si="178"/>
        <v/>
      </c>
      <c r="GP784" s="3336" t="str">
        <f t="shared" si="179"/>
        <v/>
      </c>
      <c r="GQ784" s="3336" t="str">
        <f t="shared" si="180"/>
        <v/>
      </c>
      <c r="GR784" s="3336" t="str">
        <f t="shared" si="181"/>
        <v/>
      </c>
      <c r="GS784" s="3336" t="str">
        <f t="shared" si="182"/>
        <v/>
      </c>
      <c r="GT784" s="3336" t="str">
        <f t="shared" si="183"/>
        <v/>
      </c>
      <c r="GU784" s="3336" t="str">
        <f t="shared" si="184"/>
        <v/>
      </c>
      <c r="GV784" s="3336" t="str">
        <f t="shared" si="185"/>
        <v/>
      </c>
      <c r="GW784" s="3336" t="str">
        <f t="shared" si="186"/>
        <v/>
      </c>
      <c r="GX784" s="3336" t="str">
        <f t="shared" si="187"/>
        <v/>
      </c>
      <c r="GY784" s="3336" t="str">
        <f t="shared" si="188"/>
        <v/>
      </c>
      <c r="GZ784" s="3336" t="str">
        <f t="shared" si="189"/>
        <v/>
      </c>
      <c r="HA784" s="3336" t="str">
        <f t="shared" si="190"/>
        <v/>
      </c>
      <c r="HB784" s="3336" t="str">
        <f t="shared" si="191"/>
        <v/>
      </c>
      <c r="HC784" s="3336" t="str">
        <f t="shared" si="192"/>
        <v/>
      </c>
      <c r="HD784" s="3336" t="str">
        <f t="shared" si="193"/>
        <v/>
      </c>
      <c r="HE784" s="3336" t="str">
        <f t="shared" si="194"/>
        <v/>
      </c>
      <c r="HF784" s="3336" t="str">
        <f t="shared" si="195"/>
        <v/>
      </c>
      <c r="HG784" s="3336" t="str">
        <f t="shared" si="196"/>
        <v/>
      </c>
      <c r="HH784" s="3336" t="str">
        <f t="shared" si="197"/>
        <v/>
      </c>
      <c r="HI784" s="3336" t="str">
        <f t="shared" si="198"/>
        <v/>
      </c>
      <c r="HJ784" s="3336" t="str">
        <f t="shared" si="199"/>
        <v/>
      </c>
      <c r="HK784" s="3336" t="str">
        <f t="shared" si="200"/>
        <v/>
      </c>
      <c r="HL784" s="3336" t="str">
        <f t="shared" si="201"/>
        <v/>
      </c>
      <c r="HM784" s="3336" t="str">
        <f t="shared" si="202"/>
        <v/>
      </c>
      <c r="HN784" s="3336" t="str">
        <f t="shared" si="203"/>
        <v/>
      </c>
      <c r="HO784" s="3336" t="str">
        <f t="shared" si="204"/>
        <v/>
      </c>
      <c r="HP784" s="3336" t="str">
        <f t="shared" si="205"/>
        <v/>
      </c>
      <c r="HQ784" s="3336" t="str">
        <f t="shared" si="206"/>
        <v/>
      </c>
      <c r="HR784" s="3336" t="str">
        <f t="shared" si="207"/>
        <v/>
      </c>
      <c r="HS784" s="3336" t="str">
        <f t="shared" si="208"/>
        <v/>
      </c>
      <c r="HT784" s="3336" t="str">
        <f t="shared" si="209"/>
        <v/>
      </c>
      <c r="HU784" s="3336" t="str">
        <f t="shared" si="210"/>
        <v/>
      </c>
      <c r="HV784" s="3336" t="str">
        <f t="shared" si="211"/>
        <v/>
      </c>
      <c r="HW784" s="3336" t="str">
        <f t="shared" si="212"/>
        <v/>
      </c>
      <c r="HX784" s="3336" t="str">
        <f t="shared" si="213"/>
        <v/>
      </c>
      <c r="HY784" s="3336" t="str">
        <f t="shared" si="214"/>
        <v/>
      </c>
      <c r="HZ784" s="3336" t="str">
        <f t="shared" si="215"/>
        <v/>
      </c>
      <c r="IA784" s="3336" t="str">
        <f t="shared" si="216"/>
        <v/>
      </c>
      <c r="IB784" s="3336" t="str">
        <f t="shared" si="217"/>
        <v/>
      </c>
      <c r="IC784" s="3336" t="str">
        <f t="shared" si="218"/>
        <v/>
      </c>
      <c r="ID784" s="3308" t="str">
        <f t="shared" si="219"/>
        <v/>
      </c>
      <c r="IE784" s="3308" t="str">
        <f t="shared" si="220"/>
        <v/>
      </c>
      <c r="IF784" s="3308" t="str">
        <f t="shared" si="221"/>
        <v/>
      </c>
      <c r="IG784" s="3308" t="str">
        <f t="shared" si="222"/>
        <v/>
      </c>
      <c r="IH784" s="3308" t="str">
        <f t="shared" si="223"/>
        <v/>
      </c>
      <c r="II784" s="523" t="str">
        <f t="shared" si="224"/>
        <v/>
      </c>
      <c r="IJ784" s="523" t="str">
        <f t="shared" si="225"/>
        <v/>
      </c>
      <c r="IK784" s="523" t="str">
        <f t="shared" si="226"/>
        <v/>
      </c>
      <c r="IL784" s="523" t="str">
        <f t="shared" si="227"/>
        <v/>
      </c>
      <c r="IM784" s="523" t="str">
        <f t="shared" si="228"/>
        <v/>
      </c>
      <c r="IN784" s="523" t="str">
        <f t="shared" si="229"/>
        <v/>
      </c>
      <c r="IO784" s="523" t="str">
        <f t="shared" si="230"/>
        <v/>
      </c>
      <c r="IP784" s="523" t="str">
        <f t="shared" si="231"/>
        <v/>
      </c>
      <c r="IQ784" s="523" t="str">
        <f t="shared" si="232"/>
        <v/>
      </c>
      <c r="IR784" s="523" t="str">
        <f t="shared" si="233"/>
        <v/>
      </c>
      <c r="IS784" s="523" t="str">
        <f t="shared" si="234"/>
        <v/>
      </c>
      <c r="IT784" s="523" t="str">
        <f t="shared" si="235"/>
        <v/>
      </c>
      <c r="IU784" s="523" t="str">
        <f t="shared" si="236"/>
        <v/>
      </c>
      <c r="IV784" s="523" t="str">
        <f t="shared" si="237"/>
        <v/>
      </c>
      <c r="IW784" s="523" t="str">
        <f t="shared" si="238"/>
        <v/>
      </c>
      <c r="IX784" s="523" t="str">
        <f t="shared" si="239"/>
        <v/>
      </c>
      <c r="IY784" s="523" t="str">
        <f t="shared" si="240"/>
        <v/>
      </c>
      <c r="IZ784" s="523" t="str">
        <f t="shared" si="241"/>
        <v/>
      </c>
      <c r="JA784" s="523" t="str">
        <f t="shared" si="242"/>
        <v/>
      </c>
      <c r="JB784" s="523" t="str">
        <f t="shared" si="243"/>
        <v/>
      </c>
      <c r="JC784" s="3306">
        <f t="shared" si="244"/>
        <v>0</v>
      </c>
      <c r="JD784" s="3306">
        <f t="shared" si="245"/>
        <v>0</v>
      </c>
      <c r="JE784" s="3306">
        <f t="shared" si="246"/>
        <v>0</v>
      </c>
      <c r="JF784" s="3306">
        <f t="shared" si="247"/>
        <v>0</v>
      </c>
      <c r="JG784" s="3306">
        <f t="shared" si="248"/>
        <v>0</v>
      </c>
      <c r="JH784" s="3306">
        <f t="shared" si="249"/>
        <v>0</v>
      </c>
      <c r="JI784" s="3306">
        <f t="shared" si="250"/>
        <v>0</v>
      </c>
      <c r="JJ784" s="3306">
        <f t="shared" si="251"/>
        <v>0</v>
      </c>
      <c r="JK784" s="3306">
        <f t="shared" si="252"/>
        <v>0</v>
      </c>
      <c r="JL784" s="3306">
        <f t="shared" si="253"/>
        <v>0</v>
      </c>
      <c r="JM784" s="3306">
        <f t="shared" si="254"/>
        <v>0</v>
      </c>
      <c r="JN784" s="3306">
        <f t="shared" si="255"/>
        <v>0</v>
      </c>
      <c r="JO784" s="3306">
        <f t="shared" si="256"/>
        <v>0</v>
      </c>
      <c r="JP784" s="3306">
        <f t="shared" si="257"/>
        <v>0</v>
      </c>
      <c r="JQ784" s="3306">
        <f t="shared" si="258"/>
        <v>0</v>
      </c>
    </row>
    <row r="785" spans="1:277" ht="12" customHeight="1">
      <c r="A785" s="3319" t="str">
        <f t="shared" si="1"/>
        <v/>
      </c>
      <c r="B785" s="3328" t="str">
        <f>'Part VI-Revenues &amp; Expenses'!B28</f>
        <v>&lt;&lt;Select&gt;&gt;</v>
      </c>
      <c r="C785" s="3329">
        <f>'Part VI-Revenues &amp; Expenses'!C28</f>
        <v>0</v>
      </c>
      <c r="D785" s="3330">
        <f>'Part VI-Revenues &amp; Expenses'!D28</f>
        <v>0</v>
      </c>
      <c r="E785" s="3331">
        <f>'Part VI-Revenues &amp; Expenses'!E28</f>
        <v>0</v>
      </c>
      <c r="F785" s="3331">
        <f>'Part VI-Revenues &amp; Expenses'!F28</f>
        <v>0</v>
      </c>
      <c r="G785" s="3331">
        <f>'Part VI-Revenues &amp; Expenses'!G28</f>
        <v>0</v>
      </c>
      <c r="H785" s="3331">
        <f>'Part VI-Revenues &amp; Expenses'!H28</f>
        <v>0</v>
      </c>
      <c r="I785" s="3331">
        <f>'Part VI-Revenues &amp; Expenses'!I28</f>
        <v>0</v>
      </c>
      <c r="J785" s="3332">
        <f>'Part VI-Revenues &amp; Expenses'!J28</f>
        <v>0</v>
      </c>
      <c r="K785" s="3333">
        <f t="shared" si="2"/>
        <v>0</v>
      </c>
      <c r="L785" s="3333">
        <f t="shared" si="3"/>
        <v>0</v>
      </c>
      <c r="M785" s="3207">
        <f>'Part VI-Revenues &amp; Expenses'!M28</f>
        <v>0</v>
      </c>
      <c r="N785" s="3207">
        <f>'Part VI-Revenues &amp; Expenses'!N28</f>
        <v>0</v>
      </c>
      <c r="O785" s="3207">
        <f>'Part VI-Revenues &amp; Expenses'!O28</f>
        <v>0</v>
      </c>
      <c r="P785" s="3313">
        <f>'Part VI-Revenues &amp; Expenses'!P28</f>
        <v>0</v>
      </c>
      <c r="Q785" s="3334" t="str">
        <f>'Part VI-Revenues &amp; Expenses'!Q28</f>
        <v/>
      </c>
      <c r="R785" s="3335" t="str">
        <f>'Part VI-Revenues &amp; Expenses'!R28</f>
        <v/>
      </c>
      <c r="S785" s="3334">
        <f>'Part VI-Revenues &amp; Expenses'!S28</f>
        <v>0</v>
      </c>
      <c r="T785" s="3335">
        <f>'Part VI-Revenues &amp; Expenses'!T28</f>
        <v>0</v>
      </c>
      <c r="U785" s="3257"/>
      <c r="V785" s="3257"/>
      <c r="W785" s="523" t="str">
        <f t="shared" si="4"/>
        <v/>
      </c>
      <c r="X785" s="523" t="str">
        <f t="shared" si="5"/>
        <v/>
      </c>
      <c r="Y785" s="523" t="str">
        <f t="shared" si="6"/>
        <v/>
      </c>
      <c r="Z785" s="523" t="str">
        <f t="shared" si="7"/>
        <v/>
      </c>
      <c r="AA785" s="523" t="str">
        <f t="shared" si="8"/>
        <v/>
      </c>
      <c r="AB785" s="523" t="str">
        <f t="shared" si="9"/>
        <v/>
      </c>
      <c r="AC785" s="523" t="str">
        <f t="shared" si="10"/>
        <v/>
      </c>
      <c r="AD785" s="523" t="str">
        <f t="shared" si="11"/>
        <v/>
      </c>
      <c r="AE785" s="523" t="str">
        <f t="shared" si="12"/>
        <v/>
      </c>
      <c r="AF785" s="523" t="str">
        <f t="shared" si="13"/>
        <v/>
      </c>
      <c r="AG785" s="523" t="str">
        <f t="shared" si="14"/>
        <v/>
      </c>
      <c r="AH785" s="523" t="str">
        <f t="shared" si="15"/>
        <v/>
      </c>
      <c r="AI785" s="523" t="str">
        <f t="shared" si="16"/>
        <v/>
      </c>
      <c r="AJ785" s="523" t="str">
        <f t="shared" si="17"/>
        <v/>
      </c>
      <c r="AK785" s="523" t="str">
        <f t="shared" si="18"/>
        <v/>
      </c>
      <c r="AL785" s="523" t="str">
        <f t="shared" si="19"/>
        <v/>
      </c>
      <c r="AM785" s="523" t="str">
        <f t="shared" si="20"/>
        <v/>
      </c>
      <c r="AN785" s="523" t="str">
        <f t="shared" si="21"/>
        <v/>
      </c>
      <c r="AO785" s="523" t="str">
        <f t="shared" si="22"/>
        <v/>
      </c>
      <c r="AP785" s="523" t="str">
        <f t="shared" si="23"/>
        <v/>
      </c>
      <c r="AQ785" s="523" t="str">
        <f t="shared" si="24"/>
        <v/>
      </c>
      <c r="AR785" s="523" t="str">
        <f t="shared" si="25"/>
        <v/>
      </c>
      <c r="AS785" s="523" t="str">
        <f t="shared" si="26"/>
        <v/>
      </c>
      <c r="AT785" s="523" t="str">
        <f t="shared" si="27"/>
        <v/>
      </c>
      <c r="AU785" s="523" t="str">
        <f t="shared" si="28"/>
        <v/>
      </c>
      <c r="AV785" s="523" t="str">
        <f t="shared" si="29"/>
        <v/>
      </c>
      <c r="AW785" s="523" t="str">
        <f t="shared" si="30"/>
        <v/>
      </c>
      <c r="AX785" s="523" t="str">
        <f t="shared" si="31"/>
        <v/>
      </c>
      <c r="AY785" s="523" t="str">
        <f t="shared" si="32"/>
        <v/>
      </c>
      <c r="AZ785" s="523" t="str">
        <f t="shared" si="33"/>
        <v/>
      </c>
      <c r="BA785" s="523" t="str">
        <f t="shared" si="34"/>
        <v/>
      </c>
      <c r="BB785" s="523" t="str">
        <f t="shared" si="35"/>
        <v/>
      </c>
      <c r="BC785" s="523" t="str">
        <f t="shared" si="36"/>
        <v/>
      </c>
      <c r="BD785" s="523" t="str">
        <f t="shared" si="37"/>
        <v/>
      </c>
      <c r="BE785" s="523" t="str">
        <f t="shared" si="38"/>
        <v/>
      </c>
      <c r="BF785" s="523" t="str">
        <f t="shared" si="39"/>
        <v/>
      </c>
      <c r="BG785" s="523" t="str">
        <f t="shared" si="40"/>
        <v/>
      </c>
      <c r="BH785" s="523" t="str">
        <f t="shared" si="41"/>
        <v/>
      </c>
      <c r="BI785" s="523" t="str">
        <f t="shared" si="42"/>
        <v/>
      </c>
      <c r="BJ785" s="523" t="str">
        <f t="shared" si="43"/>
        <v/>
      </c>
      <c r="BK785" s="523" t="str">
        <f t="shared" si="44"/>
        <v/>
      </c>
      <c r="BL785" s="523" t="str">
        <f t="shared" si="45"/>
        <v/>
      </c>
      <c r="BM785" s="523" t="str">
        <f t="shared" si="46"/>
        <v/>
      </c>
      <c r="BN785" s="523" t="str">
        <f t="shared" si="47"/>
        <v/>
      </c>
      <c r="BO785" s="523" t="str">
        <f t="shared" si="48"/>
        <v/>
      </c>
      <c r="BP785" s="523" t="str">
        <f t="shared" si="49"/>
        <v/>
      </c>
      <c r="BQ785" s="523" t="str">
        <f t="shared" si="50"/>
        <v/>
      </c>
      <c r="BR785" s="523" t="str">
        <f t="shared" si="51"/>
        <v/>
      </c>
      <c r="BS785" s="523" t="str">
        <f t="shared" si="52"/>
        <v/>
      </c>
      <c r="BT785" s="523" t="str">
        <f t="shared" si="53"/>
        <v/>
      </c>
      <c r="BU785" s="523" t="str">
        <f t="shared" si="54"/>
        <v/>
      </c>
      <c r="BV785" s="523" t="str">
        <f t="shared" si="55"/>
        <v/>
      </c>
      <c r="BW785" s="523" t="str">
        <f t="shared" si="56"/>
        <v/>
      </c>
      <c r="BX785" s="523" t="str">
        <f t="shared" si="57"/>
        <v/>
      </c>
      <c r="BY785" s="523" t="str">
        <f t="shared" si="58"/>
        <v/>
      </c>
      <c r="BZ785" s="523" t="str">
        <f t="shared" si="59"/>
        <v/>
      </c>
      <c r="CA785" s="523" t="str">
        <f t="shared" si="60"/>
        <v/>
      </c>
      <c r="CB785" s="523" t="str">
        <f t="shared" si="61"/>
        <v/>
      </c>
      <c r="CC785" s="523" t="str">
        <f t="shared" si="62"/>
        <v/>
      </c>
      <c r="CD785" s="523" t="str">
        <f t="shared" si="63"/>
        <v/>
      </c>
      <c r="CE785" s="523" t="str">
        <f t="shared" si="64"/>
        <v/>
      </c>
      <c r="CF785" s="523" t="str">
        <f t="shared" si="65"/>
        <v/>
      </c>
      <c r="CG785" s="523" t="str">
        <f t="shared" si="66"/>
        <v/>
      </c>
      <c r="CH785" s="523" t="str">
        <f t="shared" si="67"/>
        <v/>
      </c>
      <c r="CI785" s="523" t="str">
        <f t="shared" si="68"/>
        <v/>
      </c>
      <c r="CJ785" s="523" t="str">
        <f t="shared" si="69"/>
        <v/>
      </c>
      <c r="CK785" s="523" t="str">
        <f t="shared" si="70"/>
        <v/>
      </c>
      <c r="CL785" s="523" t="str">
        <f t="shared" si="71"/>
        <v/>
      </c>
      <c r="CM785" s="523" t="str">
        <f t="shared" si="72"/>
        <v/>
      </c>
      <c r="CN785" s="523" t="str">
        <f t="shared" si="73"/>
        <v/>
      </c>
      <c r="CO785" s="523" t="str">
        <f t="shared" si="74"/>
        <v/>
      </c>
      <c r="CP785" s="523" t="str">
        <f t="shared" si="75"/>
        <v/>
      </c>
      <c r="CQ785" s="523" t="str">
        <f t="shared" si="76"/>
        <v/>
      </c>
      <c r="CR785" s="523" t="str">
        <f t="shared" si="77"/>
        <v/>
      </c>
      <c r="CS785" s="523" t="str">
        <f t="shared" si="78"/>
        <v/>
      </c>
      <c r="CT785" s="523" t="str">
        <f t="shared" si="79"/>
        <v/>
      </c>
      <c r="CU785" s="523" t="str">
        <f t="shared" si="80"/>
        <v/>
      </c>
      <c r="CV785" s="523" t="str">
        <f t="shared" si="81"/>
        <v/>
      </c>
      <c r="CW785" s="523" t="str">
        <f t="shared" si="82"/>
        <v/>
      </c>
      <c r="CX785" s="523" t="str">
        <f t="shared" si="83"/>
        <v/>
      </c>
      <c r="CY785" s="523" t="str">
        <f t="shared" si="84"/>
        <v/>
      </c>
      <c r="CZ785" s="523" t="str">
        <f t="shared" si="85"/>
        <v/>
      </c>
      <c r="DA785" s="523" t="str">
        <f t="shared" si="86"/>
        <v/>
      </c>
      <c r="DB785" s="523" t="str">
        <f t="shared" si="87"/>
        <v/>
      </c>
      <c r="DC785" s="523" t="str">
        <f t="shared" si="88"/>
        <v/>
      </c>
      <c r="DD785" s="523" t="str">
        <f t="shared" si="89"/>
        <v/>
      </c>
      <c r="DE785" s="523" t="str">
        <f t="shared" si="90"/>
        <v/>
      </c>
      <c r="DF785" s="523" t="str">
        <f t="shared" si="91"/>
        <v/>
      </c>
      <c r="DG785" s="523" t="str">
        <f t="shared" si="92"/>
        <v/>
      </c>
      <c r="DH785" s="523" t="str">
        <f t="shared" si="93"/>
        <v/>
      </c>
      <c r="DI785" s="523" t="str">
        <f t="shared" si="94"/>
        <v/>
      </c>
      <c r="DJ785" s="523" t="str">
        <f t="shared" si="95"/>
        <v/>
      </c>
      <c r="DK785" s="523" t="str">
        <f t="shared" si="96"/>
        <v/>
      </c>
      <c r="DL785" s="523" t="str">
        <f t="shared" si="97"/>
        <v/>
      </c>
      <c r="DM785" s="523" t="str">
        <f t="shared" si="98"/>
        <v/>
      </c>
      <c r="DN785" s="523" t="str">
        <f t="shared" si="99"/>
        <v/>
      </c>
      <c r="DO785" s="523" t="str">
        <f t="shared" si="100"/>
        <v/>
      </c>
      <c r="DP785" s="523" t="str">
        <f t="shared" si="101"/>
        <v/>
      </c>
      <c r="DQ785" s="523" t="str">
        <f t="shared" si="102"/>
        <v/>
      </c>
      <c r="DR785" s="523" t="str">
        <f t="shared" si="103"/>
        <v/>
      </c>
      <c r="DS785" s="523" t="str">
        <f t="shared" si="104"/>
        <v/>
      </c>
      <c r="DT785" s="523" t="str">
        <f t="shared" si="105"/>
        <v/>
      </c>
      <c r="DU785" s="523" t="str">
        <f t="shared" si="106"/>
        <v/>
      </c>
      <c r="DV785" s="523" t="str">
        <f t="shared" si="107"/>
        <v/>
      </c>
      <c r="DW785" s="523" t="str">
        <f t="shared" si="108"/>
        <v/>
      </c>
      <c r="DX785" s="523" t="str">
        <f t="shared" si="109"/>
        <v/>
      </c>
      <c r="DY785" s="523" t="str">
        <f t="shared" si="110"/>
        <v/>
      </c>
      <c r="DZ785" s="523" t="str">
        <f t="shared" si="111"/>
        <v/>
      </c>
      <c r="EA785" s="523" t="str">
        <f t="shared" si="112"/>
        <v/>
      </c>
      <c r="EB785" s="523" t="str">
        <f t="shared" si="113"/>
        <v/>
      </c>
      <c r="EC785" s="523" t="str">
        <f t="shared" si="114"/>
        <v/>
      </c>
      <c r="ED785" s="523" t="str">
        <f t="shared" si="115"/>
        <v/>
      </c>
      <c r="EE785" s="523" t="str">
        <f t="shared" si="116"/>
        <v/>
      </c>
      <c r="EF785" s="523" t="str">
        <f t="shared" si="117"/>
        <v/>
      </c>
      <c r="EG785" s="523" t="str">
        <f t="shared" si="118"/>
        <v/>
      </c>
      <c r="EH785" s="523" t="str">
        <f t="shared" si="119"/>
        <v/>
      </c>
      <c r="EI785" s="523" t="str">
        <f t="shared" si="120"/>
        <v/>
      </c>
      <c r="EJ785" s="523" t="str">
        <f t="shared" si="121"/>
        <v/>
      </c>
      <c r="EK785" s="523" t="str">
        <f t="shared" si="122"/>
        <v/>
      </c>
      <c r="EL785" s="523" t="str">
        <f t="shared" si="123"/>
        <v/>
      </c>
      <c r="EM785" s="523" t="str">
        <f t="shared" si="124"/>
        <v/>
      </c>
      <c r="EN785" s="523" t="str">
        <f t="shared" si="125"/>
        <v/>
      </c>
      <c r="EO785" s="523" t="str">
        <f t="shared" si="126"/>
        <v/>
      </c>
      <c r="EP785" s="523" t="str">
        <f t="shared" si="127"/>
        <v/>
      </c>
      <c r="EQ785" s="523" t="str">
        <f t="shared" si="128"/>
        <v/>
      </c>
      <c r="ER785" s="523" t="str">
        <f t="shared" si="129"/>
        <v/>
      </c>
      <c r="ES785" s="523" t="str">
        <f t="shared" si="130"/>
        <v/>
      </c>
      <c r="ET785" s="523" t="str">
        <f t="shared" si="131"/>
        <v/>
      </c>
      <c r="EU785" s="523" t="str">
        <f t="shared" si="132"/>
        <v/>
      </c>
      <c r="EV785" s="523" t="str">
        <f t="shared" si="133"/>
        <v/>
      </c>
      <c r="EW785" s="3336" t="str">
        <f t="shared" si="134"/>
        <v/>
      </c>
      <c r="EX785" s="3336" t="str">
        <f t="shared" si="135"/>
        <v/>
      </c>
      <c r="EY785" s="3336" t="str">
        <f t="shared" si="136"/>
        <v/>
      </c>
      <c r="EZ785" s="3336" t="str">
        <f t="shared" si="137"/>
        <v/>
      </c>
      <c r="FA785" s="3336" t="str">
        <f t="shared" si="138"/>
        <v/>
      </c>
      <c r="FB785" s="3336" t="str">
        <f t="shared" si="139"/>
        <v/>
      </c>
      <c r="FC785" s="3336" t="str">
        <f t="shared" si="140"/>
        <v/>
      </c>
      <c r="FD785" s="3336" t="str">
        <f t="shared" si="141"/>
        <v/>
      </c>
      <c r="FE785" s="3336" t="str">
        <f t="shared" si="142"/>
        <v/>
      </c>
      <c r="FF785" s="3336" t="str">
        <f t="shared" si="143"/>
        <v/>
      </c>
      <c r="FG785" s="3336" t="str">
        <f t="shared" si="144"/>
        <v/>
      </c>
      <c r="FH785" s="3336" t="str">
        <f t="shared" si="145"/>
        <v/>
      </c>
      <c r="FI785" s="3336" t="str">
        <f t="shared" si="146"/>
        <v/>
      </c>
      <c r="FJ785" s="3336" t="str">
        <f t="shared" si="147"/>
        <v/>
      </c>
      <c r="FK785" s="3336" t="str">
        <f t="shared" si="148"/>
        <v/>
      </c>
      <c r="FL785" s="3336" t="str">
        <f t="shared" si="149"/>
        <v/>
      </c>
      <c r="FM785" s="3336" t="str">
        <f t="shared" si="150"/>
        <v/>
      </c>
      <c r="FN785" s="3336" t="str">
        <f t="shared" si="151"/>
        <v/>
      </c>
      <c r="FO785" s="3336" t="str">
        <f t="shared" si="152"/>
        <v/>
      </c>
      <c r="FP785" s="3336" t="str">
        <f t="shared" si="153"/>
        <v/>
      </c>
      <c r="FQ785" s="3336" t="str">
        <f t="shared" si="154"/>
        <v/>
      </c>
      <c r="FR785" s="3336" t="str">
        <f t="shared" si="155"/>
        <v/>
      </c>
      <c r="FS785" s="3336" t="str">
        <f t="shared" si="156"/>
        <v/>
      </c>
      <c r="FT785" s="3336" t="str">
        <f t="shared" si="157"/>
        <v/>
      </c>
      <c r="FU785" s="3336" t="str">
        <f t="shared" si="158"/>
        <v/>
      </c>
      <c r="FV785" s="3336" t="str">
        <f t="shared" si="159"/>
        <v/>
      </c>
      <c r="FW785" s="3336" t="str">
        <f t="shared" si="160"/>
        <v/>
      </c>
      <c r="FX785" s="3336" t="str">
        <f t="shared" si="161"/>
        <v/>
      </c>
      <c r="FY785" s="3336" t="str">
        <f t="shared" si="162"/>
        <v/>
      </c>
      <c r="FZ785" s="3336" t="str">
        <f t="shared" si="163"/>
        <v/>
      </c>
      <c r="GA785" s="3336" t="str">
        <f t="shared" si="164"/>
        <v/>
      </c>
      <c r="GB785" s="3336" t="str">
        <f t="shared" si="165"/>
        <v/>
      </c>
      <c r="GC785" s="3336" t="str">
        <f t="shared" si="166"/>
        <v/>
      </c>
      <c r="GD785" s="3336" t="str">
        <f t="shared" si="167"/>
        <v/>
      </c>
      <c r="GE785" s="3336" t="str">
        <f t="shared" si="168"/>
        <v/>
      </c>
      <c r="GF785" s="3336" t="str">
        <f t="shared" si="169"/>
        <v/>
      </c>
      <c r="GG785" s="3336" t="str">
        <f t="shared" si="170"/>
        <v/>
      </c>
      <c r="GH785" s="3336" t="str">
        <f t="shared" si="171"/>
        <v/>
      </c>
      <c r="GI785" s="3336" t="str">
        <f t="shared" si="172"/>
        <v/>
      </c>
      <c r="GJ785" s="3336" t="str">
        <f t="shared" si="173"/>
        <v/>
      </c>
      <c r="GK785" s="3336" t="str">
        <f t="shared" si="174"/>
        <v/>
      </c>
      <c r="GL785" s="3336" t="str">
        <f t="shared" si="175"/>
        <v/>
      </c>
      <c r="GM785" s="3336" t="str">
        <f t="shared" si="176"/>
        <v/>
      </c>
      <c r="GN785" s="3336" t="str">
        <f t="shared" si="177"/>
        <v/>
      </c>
      <c r="GO785" s="3336" t="str">
        <f t="shared" si="178"/>
        <v/>
      </c>
      <c r="GP785" s="3336" t="str">
        <f t="shared" si="179"/>
        <v/>
      </c>
      <c r="GQ785" s="3336" t="str">
        <f t="shared" si="180"/>
        <v/>
      </c>
      <c r="GR785" s="3336" t="str">
        <f t="shared" si="181"/>
        <v/>
      </c>
      <c r="GS785" s="3336" t="str">
        <f t="shared" si="182"/>
        <v/>
      </c>
      <c r="GT785" s="3336" t="str">
        <f t="shared" si="183"/>
        <v/>
      </c>
      <c r="GU785" s="3336" t="str">
        <f t="shared" si="184"/>
        <v/>
      </c>
      <c r="GV785" s="3336" t="str">
        <f t="shared" si="185"/>
        <v/>
      </c>
      <c r="GW785" s="3336" t="str">
        <f t="shared" si="186"/>
        <v/>
      </c>
      <c r="GX785" s="3336" t="str">
        <f t="shared" si="187"/>
        <v/>
      </c>
      <c r="GY785" s="3336" t="str">
        <f t="shared" si="188"/>
        <v/>
      </c>
      <c r="GZ785" s="3336" t="str">
        <f t="shared" si="189"/>
        <v/>
      </c>
      <c r="HA785" s="3336" t="str">
        <f t="shared" si="190"/>
        <v/>
      </c>
      <c r="HB785" s="3336" t="str">
        <f t="shared" si="191"/>
        <v/>
      </c>
      <c r="HC785" s="3336" t="str">
        <f t="shared" si="192"/>
        <v/>
      </c>
      <c r="HD785" s="3336" t="str">
        <f t="shared" si="193"/>
        <v/>
      </c>
      <c r="HE785" s="3336" t="str">
        <f t="shared" si="194"/>
        <v/>
      </c>
      <c r="HF785" s="3336" t="str">
        <f t="shared" si="195"/>
        <v/>
      </c>
      <c r="HG785" s="3336" t="str">
        <f t="shared" si="196"/>
        <v/>
      </c>
      <c r="HH785" s="3336" t="str">
        <f t="shared" si="197"/>
        <v/>
      </c>
      <c r="HI785" s="3336" t="str">
        <f t="shared" si="198"/>
        <v/>
      </c>
      <c r="HJ785" s="3336" t="str">
        <f t="shared" si="199"/>
        <v/>
      </c>
      <c r="HK785" s="3336" t="str">
        <f t="shared" si="200"/>
        <v/>
      </c>
      <c r="HL785" s="3336" t="str">
        <f t="shared" si="201"/>
        <v/>
      </c>
      <c r="HM785" s="3336" t="str">
        <f t="shared" si="202"/>
        <v/>
      </c>
      <c r="HN785" s="3336" t="str">
        <f t="shared" si="203"/>
        <v/>
      </c>
      <c r="HO785" s="3336" t="str">
        <f t="shared" si="204"/>
        <v/>
      </c>
      <c r="HP785" s="3336" t="str">
        <f t="shared" si="205"/>
        <v/>
      </c>
      <c r="HQ785" s="3336" t="str">
        <f t="shared" si="206"/>
        <v/>
      </c>
      <c r="HR785" s="3336" t="str">
        <f t="shared" si="207"/>
        <v/>
      </c>
      <c r="HS785" s="3336" t="str">
        <f t="shared" si="208"/>
        <v/>
      </c>
      <c r="HT785" s="3336" t="str">
        <f t="shared" si="209"/>
        <v/>
      </c>
      <c r="HU785" s="3336" t="str">
        <f t="shared" si="210"/>
        <v/>
      </c>
      <c r="HV785" s="3336" t="str">
        <f t="shared" si="211"/>
        <v/>
      </c>
      <c r="HW785" s="3336" t="str">
        <f t="shared" si="212"/>
        <v/>
      </c>
      <c r="HX785" s="3336" t="str">
        <f t="shared" si="213"/>
        <v/>
      </c>
      <c r="HY785" s="3336" t="str">
        <f t="shared" si="214"/>
        <v/>
      </c>
      <c r="HZ785" s="3336" t="str">
        <f t="shared" si="215"/>
        <v/>
      </c>
      <c r="IA785" s="3336" t="str">
        <f t="shared" si="216"/>
        <v/>
      </c>
      <c r="IB785" s="3336" t="str">
        <f t="shared" si="217"/>
        <v/>
      </c>
      <c r="IC785" s="3336" t="str">
        <f t="shared" si="218"/>
        <v/>
      </c>
      <c r="ID785" s="3308" t="str">
        <f t="shared" si="219"/>
        <v/>
      </c>
      <c r="IE785" s="3308" t="str">
        <f t="shared" si="220"/>
        <v/>
      </c>
      <c r="IF785" s="3308" t="str">
        <f t="shared" si="221"/>
        <v/>
      </c>
      <c r="IG785" s="3308" t="str">
        <f t="shared" si="222"/>
        <v/>
      </c>
      <c r="IH785" s="3308" t="str">
        <f t="shared" si="223"/>
        <v/>
      </c>
      <c r="II785" s="523" t="str">
        <f t="shared" si="224"/>
        <v/>
      </c>
      <c r="IJ785" s="523" t="str">
        <f t="shared" si="225"/>
        <v/>
      </c>
      <c r="IK785" s="523" t="str">
        <f t="shared" si="226"/>
        <v/>
      </c>
      <c r="IL785" s="523" t="str">
        <f t="shared" si="227"/>
        <v/>
      </c>
      <c r="IM785" s="523" t="str">
        <f t="shared" si="228"/>
        <v/>
      </c>
      <c r="IN785" s="523" t="str">
        <f t="shared" si="229"/>
        <v/>
      </c>
      <c r="IO785" s="523" t="str">
        <f t="shared" si="230"/>
        <v/>
      </c>
      <c r="IP785" s="523" t="str">
        <f t="shared" si="231"/>
        <v/>
      </c>
      <c r="IQ785" s="523" t="str">
        <f t="shared" si="232"/>
        <v/>
      </c>
      <c r="IR785" s="523" t="str">
        <f t="shared" si="233"/>
        <v/>
      </c>
      <c r="IS785" s="523" t="str">
        <f t="shared" si="234"/>
        <v/>
      </c>
      <c r="IT785" s="523" t="str">
        <f t="shared" si="235"/>
        <v/>
      </c>
      <c r="IU785" s="523" t="str">
        <f t="shared" si="236"/>
        <v/>
      </c>
      <c r="IV785" s="523" t="str">
        <f t="shared" si="237"/>
        <v/>
      </c>
      <c r="IW785" s="523" t="str">
        <f t="shared" si="238"/>
        <v/>
      </c>
      <c r="IX785" s="523" t="str">
        <f t="shared" si="239"/>
        <v/>
      </c>
      <c r="IY785" s="523" t="str">
        <f t="shared" si="240"/>
        <v/>
      </c>
      <c r="IZ785" s="523" t="str">
        <f t="shared" si="241"/>
        <v/>
      </c>
      <c r="JA785" s="523" t="str">
        <f t="shared" si="242"/>
        <v/>
      </c>
      <c r="JB785" s="523" t="str">
        <f t="shared" si="243"/>
        <v/>
      </c>
      <c r="JC785" s="3306">
        <f t="shared" si="244"/>
        <v>0</v>
      </c>
      <c r="JD785" s="3306">
        <f t="shared" si="245"/>
        <v>0</v>
      </c>
      <c r="JE785" s="3306">
        <f t="shared" si="246"/>
        <v>0</v>
      </c>
      <c r="JF785" s="3306">
        <f t="shared" si="247"/>
        <v>0</v>
      </c>
      <c r="JG785" s="3306">
        <f t="shared" si="248"/>
        <v>0</v>
      </c>
      <c r="JH785" s="3306">
        <f t="shared" si="249"/>
        <v>0</v>
      </c>
      <c r="JI785" s="3306">
        <f t="shared" si="250"/>
        <v>0</v>
      </c>
      <c r="JJ785" s="3306">
        <f t="shared" si="251"/>
        <v>0</v>
      </c>
      <c r="JK785" s="3306">
        <f t="shared" si="252"/>
        <v>0</v>
      </c>
      <c r="JL785" s="3306">
        <f t="shared" si="253"/>
        <v>0</v>
      </c>
      <c r="JM785" s="3306">
        <f t="shared" si="254"/>
        <v>0</v>
      </c>
      <c r="JN785" s="3306">
        <f t="shared" si="255"/>
        <v>0</v>
      </c>
      <c r="JO785" s="3306">
        <f t="shared" si="256"/>
        <v>0</v>
      </c>
      <c r="JP785" s="3306">
        <f t="shared" si="257"/>
        <v>0</v>
      </c>
      <c r="JQ785" s="3306">
        <f t="shared" si="258"/>
        <v>0</v>
      </c>
    </row>
    <row r="786" spans="1:277" ht="12" customHeight="1">
      <c r="A786" s="3319" t="str">
        <f t="shared" si="1"/>
        <v/>
      </c>
      <c r="B786" s="3328" t="str">
        <f>'Part VI-Revenues &amp; Expenses'!B29</f>
        <v>&lt;&lt;Select&gt;&gt;</v>
      </c>
      <c r="C786" s="3329">
        <f>'Part VI-Revenues &amp; Expenses'!C29</f>
        <v>0</v>
      </c>
      <c r="D786" s="3330">
        <f>'Part VI-Revenues &amp; Expenses'!D29</f>
        <v>0</v>
      </c>
      <c r="E786" s="3331">
        <f>'Part VI-Revenues &amp; Expenses'!E29</f>
        <v>0</v>
      </c>
      <c r="F786" s="3331">
        <f>'Part VI-Revenues &amp; Expenses'!F29</f>
        <v>0</v>
      </c>
      <c r="G786" s="3331">
        <f>'Part VI-Revenues &amp; Expenses'!G29</f>
        <v>0</v>
      </c>
      <c r="H786" s="3331">
        <f>'Part VI-Revenues &amp; Expenses'!H29</f>
        <v>0</v>
      </c>
      <c r="I786" s="3331">
        <f>'Part VI-Revenues &amp; Expenses'!I29</f>
        <v>0</v>
      </c>
      <c r="J786" s="3332">
        <f>'Part VI-Revenues &amp; Expenses'!J29</f>
        <v>0</v>
      </c>
      <c r="K786" s="3333">
        <f t="shared" si="2"/>
        <v>0</v>
      </c>
      <c r="L786" s="3333">
        <f t="shared" si="3"/>
        <v>0</v>
      </c>
      <c r="M786" s="3207">
        <f>'Part VI-Revenues &amp; Expenses'!M29</f>
        <v>0</v>
      </c>
      <c r="N786" s="3207">
        <f>'Part VI-Revenues &amp; Expenses'!N29</f>
        <v>0</v>
      </c>
      <c r="O786" s="3207">
        <f>'Part VI-Revenues &amp; Expenses'!O29</f>
        <v>0</v>
      </c>
      <c r="P786" s="3313">
        <f>'Part VI-Revenues &amp; Expenses'!P29</f>
        <v>0</v>
      </c>
      <c r="Q786" s="3334" t="str">
        <f>'Part VI-Revenues &amp; Expenses'!Q29</f>
        <v/>
      </c>
      <c r="R786" s="3335" t="str">
        <f>'Part VI-Revenues &amp; Expenses'!R29</f>
        <v/>
      </c>
      <c r="S786" s="3334">
        <f>'Part VI-Revenues &amp; Expenses'!S29</f>
        <v>0</v>
      </c>
      <c r="T786" s="3335">
        <f>'Part VI-Revenues &amp; Expenses'!T29</f>
        <v>0</v>
      </c>
      <c r="U786" s="3257"/>
      <c r="V786" s="3257"/>
      <c r="W786" s="523" t="str">
        <f t="shared" si="4"/>
        <v/>
      </c>
      <c r="X786" s="523" t="str">
        <f t="shared" si="5"/>
        <v/>
      </c>
      <c r="Y786" s="523" t="str">
        <f t="shared" si="6"/>
        <v/>
      </c>
      <c r="Z786" s="523" t="str">
        <f t="shared" si="7"/>
        <v/>
      </c>
      <c r="AA786" s="523" t="str">
        <f t="shared" si="8"/>
        <v/>
      </c>
      <c r="AB786" s="523" t="str">
        <f t="shared" si="9"/>
        <v/>
      </c>
      <c r="AC786" s="523" t="str">
        <f t="shared" si="10"/>
        <v/>
      </c>
      <c r="AD786" s="523" t="str">
        <f t="shared" si="11"/>
        <v/>
      </c>
      <c r="AE786" s="523" t="str">
        <f t="shared" si="12"/>
        <v/>
      </c>
      <c r="AF786" s="523" t="str">
        <f t="shared" si="13"/>
        <v/>
      </c>
      <c r="AG786" s="523" t="str">
        <f t="shared" si="14"/>
        <v/>
      </c>
      <c r="AH786" s="523" t="str">
        <f t="shared" si="15"/>
        <v/>
      </c>
      <c r="AI786" s="523" t="str">
        <f t="shared" si="16"/>
        <v/>
      </c>
      <c r="AJ786" s="523" t="str">
        <f t="shared" si="17"/>
        <v/>
      </c>
      <c r="AK786" s="523" t="str">
        <f t="shared" si="18"/>
        <v/>
      </c>
      <c r="AL786" s="523" t="str">
        <f t="shared" si="19"/>
        <v/>
      </c>
      <c r="AM786" s="523" t="str">
        <f t="shared" si="20"/>
        <v/>
      </c>
      <c r="AN786" s="523" t="str">
        <f t="shared" si="21"/>
        <v/>
      </c>
      <c r="AO786" s="523" t="str">
        <f t="shared" si="22"/>
        <v/>
      </c>
      <c r="AP786" s="523" t="str">
        <f t="shared" si="23"/>
        <v/>
      </c>
      <c r="AQ786" s="523" t="str">
        <f t="shared" si="24"/>
        <v/>
      </c>
      <c r="AR786" s="523" t="str">
        <f t="shared" si="25"/>
        <v/>
      </c>
      <c r="AS786" s="523" t="str">
        <f t="shared" si="26"/>
        <v/>
      </c>
      <c r="AT786" s="523" t="str">
        <f t="shared" si="27"/>
        <v/>
      </c>
      <c r="AU786" s="523" t="str">
        <f t="shared" si="28"/>
        <v/>
      </c>
      <c r="AV786" s="523" t="str">
        <f t="shared" si="29"/>
        <v/>
      </c>
      <c r="AW786" s="523" t="str">
        <f t="shared" si="30"/>
        <v/>
      </c>
      <c r="AX786" s="523" t="str">
        <f t="shared" si="31"/>
        <v/>
      </c>
      <c r="AY786" s="523" t="str">
        <f t="shared" si="32"/>
        <v/>
      </c>
      <c r="AZ786" s="523" t="str">
        <f t="shared" si="33"/>
        <v/>
      </c>
      <c r="BA786" s="523" t="str">
        <f t="shared" si="34"/>
        <v/>
      </c>
      <c r="BB786" s="523" t="str">
        <f t="shared" si="35"/>
        <v/>
      </c>
      <c r="BC786" s="523" t="str">
        <f t="shared" si="36"/>
        <v/>
      </c>
      <c r="BD786" s="523" t="str">
        <f t="shared" si="37"/>
        <v/>
      </c>
      <c r="BE786" s="523" t="str">
        <f t="shared" si="38"/>
        <v/>
      </c>
      <c r="BF786" s="523" t="str">
        <f t="shared" si="39"/>
        <v/>
      </c>
      <c r="BG786" s="523" t="str">
        <f t="shared" si="40"/>
        <v/>
      </c>
      <c r="BH786" s="523" t="str">
        <f t="shared" si="41"/>
        <v/>
      </c>
      <c r="BI786" s="523" t="str">
        <f t="shared" si="42"/>
        <v/>
      </c>
      <c r="BJ786" s="523" t="str">
        <f t="shared" si="43"/>
        <v/>
      </c>
      <c r="BK786" s="523" t="str">
        <f t="shared" si="44"/>
        <v/>
      </c>
      <c r="BL786" s="523" t="str">
        <f t="shared" si="45"/>
        <v/>
      </c>
      <c r="BM786" s="523" t="str">
        <f t="shared" si="46"/>
        <v/>
      </c>
      <c r="BN786" s="523" t="str">
        <f t="shared" si="47"/>
        <v/>
      </c>
      <c r="BO786" s="523" t="str">
        <f t="shared" si="48"/>
        <v/>
      </c>
      <c r="BP786" s="523" t="str">
        <f t="shared" si="49"/>
        <v/>
      </c>
      <c r="BQ786" s="523" t="str">
        <f t="shared" si="50"/>
        <v/>
      </c>
      <c r="BR786" s="523" t="str">
        <f t="shared" si="51"/>
        <v/>
      </c>
      <c r="BS786" s="523" t="str">
        <f t="shared" si="52"/>
        <v/>
      </c>
      <c r="BT786" s="523" t="str">
        <f t="shared" si="53"/>
        <v/>
      </c>
      <c r="BU786" s="523" t="str">
        <f t="shared" si="54"/>
        <v/>
      </c>
      <c r="BV786" s="523" t="str">
        <f t="shared" si="55"/>
        <v/>
      </c>
      <c r="BW786" s="523" t="str">
        <f t="shared" si="56"/>
        <v/>
      </c>
      <c r="BX786" s="523" t="str">
        <f t="shared" si="57"/>
        <v/>
      </c>
      <c r="BY786" s="523" t="str">
        <f t="shared" si="58"/>
        <v/>
      </c>
      <c r="BZ786" s="523" t="str">
        <f t="shared" si="59"/>
        <v/>
      </c>
      <c r="CA786" s="523" t="str">
        <f t="shared" si="60"/>
        <v/>
      </c>
      <c r="CB786" s="523" t="str">
        <f t="shared" si="61"/>
        <v/>
      </c>
      <c r="CC786" s="523" t="str">
        <f t="shared" si="62"/>
        <v/>
      </c>
      <c r="CD786" s="523" t="str">
        <f t="shared" si="63"/>
        <v/>
      </c>
      <c r="CE786" s="523" t="str">
        <f t="shared" si="64"/>
        <v/>
      </c>
      <c r="CF786" s="523" t="str">
        <f t="shared" si="65"/>
        <v/>
      </c>
      <c r="CG786" s="523" t="str">
        <f t="shared" si="66"/>
        <v/>
      </c>
      <c r="CH786" s="523" t="str">
        <f t="shared" si="67"/>
        <v/>
      </c>
      <c r="CI786" s="523" t="str">
        <f t="shared" si="68"/>
        <v/>
      </c>
      <c r="CJ786" s="523" t="str">
        <f t="shared" si="69"/>
        <v/>
      </c>
      <c r="CK786" s="523" t="str">
        <f t="shared" si="70"/>
        <v/>
      </c>
      <c r="CL786" s="523" t="str">
        <f t="shared" si="71"/>
        <v/>
      </c>
      <c r="CM786" s="523" t="str">
        <f t="shared" si="72"/>
        <v/>
      </c>
      <c r="CN786" s="523" t="str">
        <f t="shared" si="73"/>
        <v/>
      </c>
      <c r="CO786" s="523" t="str">
        <f t="shared" si="74"/>
        <v/>
      </c>
      <c r="CP786" s="523" t="str">
        <f t="shared" si="75"/>
        <v/>
      </c>
      <c r="CQ786" s="523" t="str">
        <f t="shared" si="76"/>
        <v/>
      </c>
      <c r="CR786" s="523" t="str">
        <f t="shared" si="77"/>
        <v/>
      </c>
      <c r="CS786" s="523" t="str">
        <f t="shared" si="78"/>
        <v/>
      </c>
      <c r="CT786" s="523" t="str">
        <f t="shared" si="79"/>
        <v/>
      </c>
      <c r="CU786" s="523" t="str">
        <f t="shared" si="80"/>
        <v/>
      </c>
      <c r="CV786" s="523" t="str">
        <f t="shared" si="81"/>
        <v/>
      </c>
      <c r="CW786" s="523" t="str">
        <f t="shared" si="82"/>
        <v/>
      </c>
      <c r="CX786" s="523" t="str">
        <f t="shared" si="83"/>
        <v/>
      </c>
      <c r="CY786" s="523" t="str">
        <f t="shared" si="84"/>
        <v/>
      </c>
      <c r="CZ786" s="523" t="str">
        <f t="shared" si="85"/>
        <v/>
      </c>
      <c r="DA786" s="523" t="str">
        <f t="shared" si="86"/>
        <v/>
      </c>
      <c r="DB786" s="523" t="str">
        <f t="shared" si="87"/>
        <v/>
      </c>
      <c r="DC786" s="523" t="str">
        <f t="shared" si="88"/>
        <v/>
      </c>
      <c r="DD786" s="523" t="str">
        <f t="shared" si="89"/>
        <v/>
      </c>
      <c r="DE786" s="523" t="str">
        <f t="shared" si="90"/>
        <v/>
      </c>
      <c r="DF786" s="523" t="str">
        <f t="shared" si="91"/>
        <v/>
      </c>
      <c r="DG786" s="523" t="str">
        <f t="shared" si="92"/>
        <v/>
      </c>
      <c r="DH786" s="523" t="str">
        <f t="shared" si="93"/>
        <v/>
      </c>
      <c r="DI786" s="523" t="str">
        <f t="shared" si="94"/>
        <v/>
      </c>
      <c r="DJ786" s="523" t="str">
        <f t="shared" si="95"/>
        <v/>
      </c>
      <c r="DK786" s="523" t="str">
        <f t="shared" si="96"/>
        <v/>
      </c>
      <c r="DL786" s="523" t="str">
        <f t="shared" si="97"/>
        <v/>
      </c>
      <c r="DM786" s="523" t="str">
        <f t="shared" si="98"/>
        <v/>
      </c>
      <c r="DN786" s="523" t="str">
        <f t="shared" si="99"/>
        <v/>
      </c>
      <c r="DO786" s="523" t="str">
        <f t="shared" si="100"/>
        <v/>
      </c>
      <c r="DP786" s="523" t="str">
        <f t="shared" si="101"/>
        <v/>
      </c>
      <c r="DQ786" s="523" t="str">
        <f t="shared" si="102"/>
        <v/>
      </c>
      <c r="DR786" s="523" t="str">
        <f t="shared" si="103"/>
        <v/>
      </c>
      <c r="DS786" s="523" t="str">
        <f t="shared" si="104"/>
        <v/>
      </c>
      <c r="DT786" s="523" t="str">
        <f t="shared" si="105"/>
        <v/>
      </c>
      <c r="DU786" s="523" t="str">
        <f t="shared" si="106"/>
        <v/>
      </c>
      <c r="DV786" s="523" t="str">
        <f t="shared" si="107"/>
        <v/>
      </c>
      <c r="DW786" s="523" t="str">
        <f t="shared" si="108"/>
        <v/>
      </c>
      <c r="DX786" s="523" t="str">
        <f t="shared" si="109"/>
        <v/>
      </c>
      <c r="DY786" s="523" t="str">
        <f t="shared" si="110"/>
        <v/>
      </c>
      <c r="DZ786" s="523" t="str">
        <f t="shared" si="111"/>
        <v/>
      </c>
      <c r="EA786" s="523" t="str">
        <f t="shared" si="112"/>
        <v/>
      </c>
      <c r="EB786" s="523" t="str">
        <f t="shared" si="113"/>
        <v/>
      </c>
      <c r="EC786" s="523" t="str">
        <f t="shared" si="114"/>
        <v/>
      </c>
      <c r="ED786" s="523" t="str">
        <f t="shared" si="115"/>
        <v/>
      </c>
      <c r="EE786" s="523" t="str">
        <f t="shared" si="116"/>
        <v/>
      </c>
      <c r="EF786" s="523" t="str">
        <f t="shared" si="117"/>
        <v/>
      </c>
      <c r="EG786" s="523" t="str">
        <f t="shared" si="118"/>
        <v/>
      </c>
      <c r="EH786" s="523" t="str">
        <f t="shared" si="119"/>
        <v/>
      </c>
      <c r="EI786" s="523" t="str">
        <f t="shared" si="120"/>
        <v/>
      </c>
      <c r="EJ786" s="523" t="str">
        <f t="shared" si="121"/>
        <v/>
      </c>
      <c r="EK786" s="523" t="str">
        <f t="shared" si="122"/>
        <v/>
      </c>
      <c r="EL786" s="523" t="str">
        <f t="shared" si="123"/>
        <v/>
      </c>
      <c r="EM786" s="523" t="str">
        <f t="shared" si="124"/>
        <v/>
      </c>
      <c r="EN786" s="523" t="str">
        <f t="shared" si="125"/>
        <v/>
      </c>
      <c r="EO786" s="523" t="str">
        <f t="shared" si="126"/>
        <v/>
      </c>
      <c r="EP786" s="523" t="str">
        <f t="shared" si="127"/>
        <v/>
      </c>
      <c r="EQ786" s="523" t="str">
        <f t="shared" si="128"/>
        <v/>
      </c>
      <c r="ER786" s="523" t="str">
        <f t="shared" si="129"/>
        <v/>
      </c>
      <c r="ES786" s="523" t="str">
        <f t="shared" si="130"/>
        <v/>
      </c>
      <c r="ET786" s="523" t="str">
        <f t="shared" si="131"/>
        <v/>
      </c>
      <c r="EU786" s="523" t="str">
        <f t="shared" si="132"/>
        <v/>
      </c>
      <c r="EV786" s="523" t="str">
        <f t="shared" si="133"/>
        <v/>
      </c>
      <c r="EW786" s="3336" t="str">
        <f t="shared" si="134"/>
        <v/>
      </c>
      <c r="EX786" s="3336" t="str">
        <f t="shared" si="135"/>
        <v/>
      </c>
      <c r="EY786" s="3336" t="str">
        <f t="shared" si="136"/>
        <v/>
      </c>
      <c r="EZ786" s="3336" t="str">
        <f t="shared" si="137"/>
        <v/>
      </c>
      <c r="FA786" s="3336" t="str">
        <f t="shared" si="138"/>
        <v/>
      </c>
      <c r="FB786" s="3336" t="str">
        <f t="shared" si="139"/>
        <v/>
      </c>
      <c r="FC786" s="3336" t="str">
        <f t="shared" si="140"/>
        <v/>
      </c>
      <c r="FD786" s="3336" t="str">
        <f t="shared" si="141"/>
        <v/>
      </c>
      <c r="FE786" s="3336" t="str">
        <f t="shared" si="142"/>
        <v/>
      </c>
      <c r="FF786" s="3336" t="str">
        <f t="shared" si="143"/>
        <v/>
      </c>
      <c r="FG786" s="3336" t="str">
        <f t="shared" si="144"/>
        <v/>
      </c>
      <c r="FH786" s="3336" t="str">
        <f t="shared" si="145"/>
        <v/>
      </c>
      <c r="FI786" s="3336" t="str">
        <f t="shared" si="146"/>
        <v/>
      </c>
      <c r="FJ786" s="3336" t="str">
        <f t="shared" si="147"/>
        <v/>
      </c>
      <c r="FK786" s="3336" t="str">
        <f t="shared" si="148"/>
        <v/>
      </c>
      <c r="FL786" s="3336" t="str">
        <f t="shared" si="149"/>
        <v/>
      </c>
      <c r="FM786" s="3336" t="str">
        <f t="shared" si="150"/>
        <v/>
      </c>
      <c r="FN786" s="3336" t="str">
        <f t="shared" si="151"/>
        <v/>
      </c>
      <c r="FO786" s="3336" t="str">
        <f t="shared" si="152"/>
        <v/>
      </c>
      <c r="FP786" s="3336" t="str">
        <f t="shared" si="153"/>
        <v/>
      </c>
      <c r="FQ786" s="3336" t="str">
        <f t="shared" si="154"/>
        <v/>
      </c>
      <c r="FR786" s="3336" t="str">
        <f t="shared" si="155"/>
        <v/>
      </c>
      <c r="FS786" s="3336" t="str">
        <f t="shared" si="156"/>
        <v/>
      </c>
      <c r="FT786" s="3336" t="str">
        <f t="shared" si="157"/>
        <v/>
      </c>
      <c r="FU786" s="3336" t="str">
        <f t="shared" si="158"/>
        <v/>
      </c>
      <c r="FV786" s="3336" t="str">
        <f t="shared" si="159"/>
        <v/>
      </c>
      <c r="FW786" s="3336" t="str">
        <f t="shared" si="160"/>
        <v/>
      </c>
      <c r="FX786" s="3336" t="str">
        <f t="shared" si="161"/>
        <v/>
      </c>
      <c r="FY786" s="3336" t="str">
        <f t="shared" si="162"/>
        <v/>
      </c>
      <c r="FZ786" s="3336" t="str">
        <f t="shared" si="163"/>
        <v/>
      </c>
      <c r="GA786" s="3336" t="str">
        <f t="shared" si="164"/>
        <v/>
      </c>
      <c r="GB786" s="3336" t="str">
        <f t="shared" si="165"/>
        <v/>
      </c>
      <c r="GC786" s="3336" t="str">
        <f t="shared" si="166"/>
        <v/>
      </c>
      <c r="GD786" s="3336" t="str">
        <f t="shared" si="167"/>
        <v/>
      </c>
      <c r="GE786" s="3336" t="str">
        <f t="shared" si="168"/>
        <v/>
      </c>
      <c r="GF786" s="3336" t="str">
        <f t="shared" si="169"/>
        <v/>
      </c>
      <c r="GG786" s="3336" t="str">
        <f t="shared" si="170"/>
        <v/>
      </c>
      <c r="GH786" s="3336" t="str">
        <f t="shared" si="171"/>
        <v/>
      </c>
      <c r="GI786" s="3336" t="str">
        <f t="shared" si="172"/>
        <v/>
      </c>
      <c r="GJ786" s="3336" t="str">
        <f t="shared" si="173"/>
        <v/>
      </c>
      <c r="GK786" s="3336" t="str">
        <f t="shared" si="174"/>
        <v/>
      </c>
      <c r="GL786" s="3336" t="str">
        <f t="shared" si="175"/>
        <v/>
      </c>
      <c r="GM786" s="3336" t="str">
        <f t="shared" si="176"/>
        <v/>
      </c>
      <c r="GN786" s="3336" t="str">
        <f t="shared" si="177"/>
        <v/>
      </c>
      <c r="GO786" s="3336" t="str">
        <f t="shared" si="178"/>
        <v/>
      </c>
      <c r="GP786" s="3336" t="str">
        <f t="shared" si="179"/>
        <v/>
      </c>
      <c r="GQ786" s="3336" t="str">
        <f t="shared" si="180"/>
        <v/>
      </c>
      <c r="GR786" s="3336" t="str">
        <f t="shared" si="181"/>
        <v/>
      </c>
      <c r="GS786" s="3336" t="str">
        <f t="shared" si="182"/>
        <v/>
      </c>
      <c r="GT786" s="3336" t="str">
        <f t="shared" si="183"/>
        <v/>
      </c>
      <c r="GU786" s="3336" t="str">
        <f t="shared" si="184"/>
        <v/>
      </c>
      <c r="GV786" s="3336" t="str">
        <f t="shared" si="185"/>
        <v/>
      </c>
      <c r="GW786" s="3336" t="str">
        <f t="shared" si="186"/>
        <v/>
      </c>
      <c r="GX786" s="3336" t="str">
        <f t="shared" si="187"/>
        <v/>
      </c>
      <c r="GY786" s="3336" t="str">
        <f t="shared" si="188"/>
        <v/>
      </c>
      <c r="GZ786" s="3336" t="str">
        <f t="shared" si="189"/>
        <v/>
      </c>
      <c r="HA786" s="3336" t="str">
        <f t="shared" si="190"/>
        <v/>
      </c>
      <c r="HB786" s="3336" t="str">
        <f t="shared" si="191"/>
        <v/>
      </c>
      <c r="HC786" s="3336" t="str">
        <f t="shared" si="192"/>
        <v/>
      </c>
      <c r="HD786" s="3336" t="str">
        <f t="shared" si="193"/>
        <v/>
      </c>
      <c r="HE786" s="3336" t="str">
        <f t="shared" si="194"/>
        <v/>
      </c>
      <c r="HF786" s="3336" t="str">
        <f t="shared" si="195"/>
        <v/>
      </c>
      <c r="HG786" s="3336" t="str">
        <f t="shared" si="196"/>
        <v/>
      </c>
      <c r="HH786" s="3336" t="str">
        <f t="shared" si="197"/>
        <v/>
      </c>
      <c r="HI786" s="3336" t="str">
        <f t="shared" si="198"/>
        <v/>
      </c>
      <c r="HJ786" s="3336" t="str">
        <f t="shared" si="199"/>
        <v/>
      </c>
      <c r="HK786" s="3336" t="str">
        <f t="shared" si="200"/>
        <v/>
      </c>
      <c r="HL786" s="3336" t="str">
        <f t="shared" si="201"/>
        <v/>
      </c>
      <c r="HM786" s="3336" t="str">
        <f t="shared" si="202"/>
        <v/>
      </c>
      <c r="HN786" s="3336" t="str">
        <f t="shared" si="203"/>
        <v/>
      </c>
      <c r="HO786" s="3336" t="str">
        <f t="shared" si="204"/>
        <v/>
      </c>
      <c r="HP786" s="3336" t="str">
        <f t="shared" si="205"/>
        <v/>
      </c>
      <c r="HQ786" s="3336" t="str">
        <f t="shared" si="206"/>
        <v/>
      </c>
      <c r="HR786" s="3336" t="str">
        <f t="shared" si="207"/>
        <v/>
      </c>
      <c r="HS786" s="3336" t="str">
        <f t="shared" si="208"/>
        <v/>
      </c>
      <c r="HT786" s="3336" t="str">
        <f t="shared" si="209"/>
        <v/>
      </c>
      <c r="HU786" s="3336" t="str">
        <f t="shared" si="210"/>
        <v/>
      </c>
      <c r="HV786" s="3336" t="str">
        <f t="shared" si="211"/>
        <v/>
      </c>
      <c r="HW786" s="3336" t="str">
        <f t="shared" si="212"/>
        <v/>
      </c>
      <c r="HX786" s="3336" t="str">
        <f t="shared" si="213"/>
        <v/>
      </c>
      <c r="HY786" s="3336" t="str">
        <f t="shared" si="214"/>
        <v/>
      </c>
      <c r="HZ786" s="3336" t="str">
        <f t="shared" si="215"/>
        <v/>
      </c>
      <c r="IA786" s="3336" t="str">
        <f t="shared" si="216"/>
        <v/>
      </c>
      <c r="IB786" s="3336" t="str">
        <f t="shared" si="217"/>
        <v/>
      </c>
      <c r="IC786" s="3336" t="str">
        <f t="shared" si="218"/>
        <v/>
      </c>
      <c r="ID786" s="3308" t="str">
        <f t="shared" si="219"/>
        <v/>
      </c>
      <c r="IE786" s="3308" t="str">
        <f t="shared" si="220"/>
        <v/>
      </c>
      <c r="IF786" s="3308" t="str">
        <f t="shared" si="221"/>
        <v/>
      </c>
      <c r="IG786" s="3308" t="str">
        <f t="shared" si="222"/>
        <v/>
      </c>
      <c r="IH786" s="3308" t="str">
        <f t="shared" si="223"/>
        <v/>
      </c>
      <c r="II786" s="523" t="str">
        <f t="shared" si="224"/>
        <v/>
      </c>
      <c r="IJ786" s="523" t="str">
        <f t="shared" si="225"/>
        <v/>
      </c>
      <c r="IK786" s="523" t="str">
        <f t="shared" si="226"/>
        <v/>
      </c>
      <c r="IL786" s="523" t="str">
        <f t="shared" si="227"/>
        <v/>
      </c>
      <c r="IM786" s="523" t="str">
        <f t="shared" si="228"/>
        <v/>
      </c>
      <c r="IN786" s="523" t="str">
        <f t="shared" si="229"/>
        <v/>
      </c>
      <c r="IO786" s="523" t="str">
        <f t="shared" si="230"/>
        <v/>
      </c>
      <c r="IP786" s="523" t="str">
        <f t="shared" si="231"/>
        <v/>
      </c>
      <c r="IQ786" s="523" t="str">
        <f t="shared" si="232"/>
        <v/>
      </c>
      <c r="IR786" s="523" t="str">
        <f t="shared" si="233"/>
        <v/>
      </c>
      <c r="IS786" s="523" t="str">
        <f t="shared" si="234"/>
        <v/>
      </c>
      <c r="IT786" s="523" t="str">
        <f t="shared" si="235"/>
        <v/>
      </c>
      <c r="IU786" s="523" t="str">
        <f t="shared" si="236"/>
        <v/>
      </c>
      <c r="IV786" s="523" t="str">
        <f t="shared" si="237"/>
        <v/>
      </c>
      <c r="IW786" s="523" t="str">
        <f t="shared" si="238"/>
        <v/>
      </c>
      <c r="IX786" s="523" t="str">
        <f t="shared" si="239"/>
        <v/>
      </c>
      <c r="IY786" s="523" t="str">
        <f t="shared" si="240"/>
        <v/>
      </c>
      <c r="IZ786" s="523" t="str">
        <f t="shared" si="241"/>
        <v/>
      </c>
      <c r="JA786" s="523" t="str">
        <f t="shared" si="242"/>
        <v/>
      </c>
      <c r="JB786" s="523" t="str">
        <f t="shared" si="243"/>
        <v/>
      </c>
      <c r="JC786" s="3306">
        <f t="shared" si="244"/>
        <v>0</v>
      </c>
      <c r="JD786" s="3306">
        <f t="shared" si="245"/>
        <v>0</v>
      </c>
      <c r="JE786" s="3306">
        <f t="shared" si="246"/>
        <v>0</v>
      </c>
      <c r="JF786" s="3306">
        <f t="shared" si="247"/>
        <v>0</v>
      </c>
      <c r="JG786" s="3306">
        <f t="shared" si="248"/>
        <v>0</v>
      </c>
      <c r="JH786" s="3306">
        <f t="shared" si="249"/>
        <v>0</v>
      </c>
      <c r="JI786" s="3306">
        <f t="shared" si="250"/>
        <v>0</v>
      </c>
      <c r="JJ786" s="3306">
        <f t="shared" si="251"/>
        <v>0</v>
      </c>
      <c r="JK786" s="3306">
        <f t="shared" si="252"/>
        <v>0</v>
      </c>
      <c r="JL786" s="3306">
        <f t="shared" si="253"/>
        <v>0</v>
      </c>
      <c r="JM786" s="3306">
        <f t="shared" si="254"/>
        <v>0</v>
      </c>
      <c r="JN786" s="3306">
        <f t="shared" si="255"/>
        <v>0</v>
      </c>
      <c r="JO786" s="3306">
        <f t="shared" si="256"/>
        <v>0</v>
      </c>
      <c r="JP786" s="3306">
        <f t="shared" si="257"/>
        <v>0</v>
      </c>
      <c r="JQ786" s="3306">
        <f t="shared" si="258"/>
        <v>0</v>
      </c>
    </row>
    <row r="787" spans="1:277" ht="12" customHeight="1">
      <c r="A787" s="3319" t="str">
        <f t="shared" si="1"/>
        <v/>
      </c>
      <c r="B787" s="3328" t="str">
        <f>'Part VI-Revenues &amp; Expenses'!B30</f>
        <v>&lt;&lt;Select&gt;&gt;</v>
      </c>
      <c r="C787" s="3329">
        <f>'Part VI-Revenues &amp; Expenses'!C30</f>
        <v>0</v>
      </c>
      <c r="D787" s="3330">
        <f>'Part VI-Revenues &amp; Expenses'!D30</f>
        <v>0</v>
      </c>
      <c r="E787" s="3331">
        <f>'Part VI-Revenues &amp; Expenses'!E30</f>
        <v>0</v>
      </c>
      <c r="F787" s="3331">
        <f>'Part VI-Revenues &amp; Expenses'!F30</f>
        <v>0</v>
      </c>
      <c r="G787" s="3331">
        <f>'Part VI-Revenues &amp; Expenses'!G30</f>
        <v>0</v>
      </c>
      <c r="H787" s="3331">
        <f>'Part VI-Revenues &amp; Expenses'!H30</f>
        <v>0</v>
      </c>
      <c r="I787" s="3331">
        <f>'Part VI-Revenues &amp; Expenses'!I30</f>
        <v>0</v>
      </c>
      <c r="J787" s="3332">
        <f>'Part VI-Revenues &amp; Expenses'!J30</f>
        <v>0</v>
      </c>
      <c r="K787" s="3333">
        <f t="shared" si="2"/>
        <v>0</v>
      </c>
      <c r="L787" s="3333">
        <f t="shared" si="3"/>
        <v>0</v>
      </c>
      <c r="M787" s="3207">
        <f>'Part VI-Revenues &amp; Expenses'!M30</f>
        <v>0</v>
      </c>
      <c r="N787" s="3207">
        <f>'Part VI-Revenues &amp; Expenses'!N30</f>
        <v>0</v>
      </c>
      <c r="O787" s="3207">
        <f>'Part VI-Revenues &amp; Expenses'!O30</f>
        <v>0</v>
      </c>
      <c r="P787" s="3313">
        <f>'Part VI-Revenues &amp; Expenses'!P30</f>
        <v>0</v>
      </c>
      <c r="Q787" s="3334" t="str">
        <f>'Part VI-Revenues &amp; Expenses'!Q30</f>
        <v/>
      </c>
      <c r="R787" s="3335" t="str">
        <f>'Part VI-Revenues &amp; Expenses'!R30</f>
        <v/>
      </c>
      <c r="S787" s="3334">
        <f>'Part VI-Revenues &amp; Expenses'!S30</f>
        <v>0</v>
      </c>
      <c r="T787" s="3335">
        <f>'Part VI-Revenues &amp; Expenses'!T30</f>
        <v>0</v>
      </c>
      <c r="U787" s="3257"/>
      <c r="V787" s="3257"/>
      <c r="W787" s="523" t="str">
        <f t="shared" si="4"/>
        <v/>
      </c>
      <c r="X787" s="523" t="str">
        <f t="shared" si="5"/>
        <v/>
      </c>
      <c r="Y787" s="523" t="str">
        <f t="shared" si="6"/>
        <v/>
      </c>
      <c r="Z787" s="523" t="str">
        <f t="shared" si="7"/>
        <v/>
      </c>
      <c r="AA787" s="523" t="str">
        <f t="shared" si="8"/>
        <v/>
      </c>
      <c r="AB787" s="523" t="str">
        <f t="shared" si="9"/>
        <v/>
      </c>
      <c r="AC787" s="523" t="str">
        <f t="shared" si="10"/>
        <v/>
      </c>
      <c r="AD787" s="523" t="str">
        <f t="shared" si="11"/>
        <v/>
      </c>
      <c r="AE787" s="523" t="str">
        <f t="shared" si="12"/>
        <v/>
      </c>
      <c r="AF787" s="523" t="str">
        <f t="shared" si="13"/>
        <v/>
      </c>
      <c r="AG787" s="523" t="str">
        <f t="shared" si="14"/>
        <v/>
      </c>
      <c r="AH787" s="523" t="str">
        <f t="shared" si="15"/>
        <v/>
      </c>
      <c r="AI787" s="523" t="str">
        <f t="shared" si="16"/>
        <v/>
      </c>
      <c r="AJ787" s="523" t="str">
        <f t="shared" si="17"/>
        <v/>
      </c>
      <c r="AK787" s="523" t="str">
        <f t="shared" si="18"/>
        <v/>
      </c>
      <c r="AL787" s="523" t="str">
        <f t="shared" si="19"/>
        <v/>
      </c>
      <c r="AM787" s="523" t="str">
        <f t="shared" si="20"/>
        <v/>
      </c>
      <c r="AN787" s="523" t="str">
        <f t="shared" si="21"/>
        <v/>
      </c>
      <c r="AO787" s="523" t="str">
        <f t="shared" si="22"/>
        <v/>
      </c>
      <c r="AP787" s="523" t="str">
        <f t="shared" si="23"/>
        <v/>
      </c>
      <c r="AQ787" s="523" t="str">
        <f t="shared" si="24"/>
        <v/>
      </c>
      <c r="AR787" s="523" t="str">
        <f t="shared" si="25"/>
        <v/>
      </c>
      <c r="AS787" s="523" t="str">
        <f t="shared" si="26"/>
        <v/>
      </c>
      <c r="AT787" s="523" t="str">
        <f t="shared" si="27"/>
        <v/>
      </c>
      <c r="AU787" s="523" t="str">
        <f t="shared" si="28"/>
        <v/>
      </c>
      <c r="AV787" s="523" t="str">
        <f t="shared" si="29"/>
        <v/>
      </c>
      <c r="AW787" s="523" t="str">
        <f t="shared" si="30"/>
        <v/>
      </c>
      <c r="AX787" s="523" t="str">
        <f t="shared" si="31"/>
        <v/>
      </c>
      <c r="AY787" s="523" t="str">
        <f t="shared" si="32"/>
        <v/>
      </c>
      <c r="AZ787" s="523" t="str">
        <f t="shared" si="33"/>
        <v/>
      </c>
      <c r="BA787" s="523" t="str">
        <f t="shared" si="34"/>
        <v/>
      </c>
      <c r="BB787" s="523" t="str">
        <f t="shared" si="35"/>
        <v/>
      </c>
      <c r="BC787" s="523" t="str">
        <f t="shared" si="36"/>
        <v/>
      </c>
      <c r="BD787" s="523" t="str">
        <f t="shared" si="37"/>
        <v/>
      </c>
      <c r="BE787" s="523" t="str">
        <f t="shared" si="38"/>
        <v/>
      </c>
      <c r="BF787" s="523" t="str">
        <f t="shared" si="39"/>
        <v/>
      </c>
      <c r="BG787" s="523" t="str">
        <f t="shared" si="40"/>
        <v/>
      </c>
      <c r="BH787" s="523" t="str">
        <f t="shared" si="41"/>
        <v/>
      </c>
      <c r="BI787" s="523" t="str">
        <f t="shared" si="42"/>
        <v/>
      </c>
      <c r="BJ787" s="523" t="str">
        <f t="shared" si="43"/>
        <v/>
      </c>
      <c r="BK787" s="523" t="str">
        <f t="shared" si="44"/>
        <v/>
      </c>
      <c r="BL787" s="523" t="str">
        <f t="shared" si="45"/>
        <v/>
      </c>
      <c r="BM787" s="523" t="str">
        <f t="shared" si="46"/>
        <v/>
      </c>
      <c r="BN787" s="523" t="str">
        <f t="shared" si="47"/>
        <v/>
      </c>
      <c r="BO787" s="523" t="str">
        <f t="shared" si="48"/>
        <v/>
      </c>
      <c r="BP787" s="523" t="str">
        <f t="shared" si="49"/>
        <v/>
      </c>
      <c r="BQ787" s="523" t="str">
        <f t="shared" si="50"/>
        <v/>
      </c>
      <c r="BR787" s="523" t="str">
        <f t="shared" si="51"/>
        <v/>
      </c>
      <c r="BS787" s="523" t="str">
        <f t="shared" si="52"/>
        <v/>
      </c>
      <c r="BT787" s="523" t="str">
        <f t="shared" si="53"/>
        <v/>
      </c>
      <c r="BU787" s="523" t="str">
        <f t="shared" si="54"/>
        <v/>
      </c>
      <c r="BV787" s="523" t="str">
        <f t="shared" si="55"/>
        <v/>
      </c>
      <c r="BW787" s="523" t="str">
        <f t="shared" si="56"/>
        <v/>
      </c>
      <c r="BX787" s="523" t="str">
        <f t="shared" si="57"/>
        <v/>
      </c>
      <c r="BY787" s="523" t="str">
        <f t="shared" si="58"/>
        <v/>
      </c>
      <c r="BZ787" s="523" t="str">
        <f t="shared" si="59"/>
        <v/>
      </c>
      <c r="CA787" s="523" t="str">
        <f t="shared" si="60"/>
        <v/>
      </c>
      <c r="CB787" s="523" t="str">
        <f t="shared" si="61"/>
        <v/>
      </c>
      <c r="CC787" s="523" t="str">
        <f t="shared" si="62"/>
        <v/>
      </c>
      <c r="CD787" s="523" t="str">
        <f t="shared" si="63"/>
        <v/>
      </c>
      <c r="CE787" s="523" t="str">
        <f t="shared" si="64"/>
        <v/>
      </c>
      <c r="CF787" s="523" t="str">
        <f t="shared" si="65"/>
        <v/>
      </c>
      <c r="CG787" s="523" t="str">
        <f t="shared" si="66"/>
        <v/>
      </c>
      <c r="CH787" s="523" t="str">
        <f t="shared" si="67"/>
        <v/>
      </c>
      <c r="CI787" s="523" t="str">
        <f t="shared" si="68"/>
        <v/>
      </c>
      <c r="CJ787" s="523" t="str">
        <f t="shared" si="69"/>
        <v/>
      </c>
      <c r="CK787" s="523" t="str">
        <f t="shared" si="70"/>
        <v/>
      </c>
      <c r="CL787" s="523" t="str">
        <f t="shared" si="71"/>
        <v/>
      </c>
      <c r="CM787" s="523" t="str">
        <f t="shared" si="72"/>
        <v/>
      </c>
      <c r="CN787" s="523" t="str">
        <f t="shared" si="73"/>
        <v/>
      </c>
      <c r="CO787" s="523" t="str">
        <f t="shared" si="74"/>
        <v/>
      </c>
      <c r="CP787" s="523" t="str">
        <f t="shared" si="75"/>
        <v/>
      </c>
      <c r="CQ787" s="523" t="str">
        <f t="shared" si="76"/>
        <v/>
      </c>
      <c r="CR787" s="523" t="str">
        <f t="shared" si="77"/>
        <v/>
      </c>
      <c r="CS787" s="523" t="str">
        <f t="shared" si="78"/>
        <v/>
      </c>
      <c r="CT787" s="523" t="str">
        <f t="shared" si="79"/>
        <v/>
      </c>
      <c r="CU787" s="523" t="str">
        <f t="shared" si="80"/>
        <v/>
      </c>
      <c r="CV787" s="523" t="str">
        <f t="shared" si="81"/>
        <v/>
      </c>
      <c r="CW787" s="523" t="str">
        <f t="shared" si="82"/>
        <v/>
      </c>
      <c r="CX787" s="523" t="str">
        <f t="shared" si="83"/>
        <v/>
      </c>
      <c r="CY787" s="523" t="str">
        <f t="shared" si="84"/>
        <v/>
      </c>
      <c r="CZ787" s="523" t="str">
        <f t="shared" si="85"/>
        <v/>
      </c>
      <c r="DA787" s="523" t="str">
        <f t="shared" si="86"/>
        <v/>
      </c>
      <c r="DB787" s="523" t="str">
        <f t="shared" si="87"/>
        <v/>
      </c>
      <c r="DC787" s="523" t="str">
        <f t="shared" si="88"/>
        <v/>
      </c>
      <c r="DD787" s="523" t="str">
        <f t="shared" si="89"/>
        <v/>
      </c>
      <c r="DE787" s="523" t="str">
        <f t="shared" si="90"/>
        <v/>
      </c>
      <c r="DF787" s="523" t="str">
        <f t="shared" si="91"/>
        <v/>
      </c>
      <c r="DG787" s="523" t="str">
        <f t="shared" si="92"/>
        <v/>
      </c>
      <c r="DH787" s="523" t="str">
        <f t="shared" si="93"/>
        <v/>
      </c>
      <c r="DI787" s="523" t="str">
        <f t="shared" si="94"/>
        <v/>
      </c>
      <c r="DJ787" s="523" t="str">
        <f t="shared" si="95"/>
        <v/>
      </c>
      <c r="DK787" s="523" t="str">
        <f t="shared" si="96"/>
        <v/>
      </c>
      <c r="DL787" s="523" t="str">
        <f t="shared" si="97"/>
        <v/>
      </c>
      <c r="DM787" s="523" t="str">
        <f t="shared" si="98"/>
        <v/>
      </c>
      <c r="DN787" s="523" t="str">
        <f t="shared" si="99"/>
        <v/>
      </c>
      <c r="DO787" s="523" t="str">
        <f t="shared" si="100"/>
        <v/>
      </c>
      <c r="DP787" s="523" t="str">
        <f t="shared" si="101"/>
        <v/>
      </c>
      <c r="DQ787" s="523" t="str">
        <f t="shared" si="102"/>
        <v/>
      </c>
      <c r="DR787" s="523" t="str">
        <f t="shared" si="103"/>
        <v/>
      </c>
      <c r="DS787" s="523" t="str">
        <f t="shared" si="104"/>
        <v/>
      </c>
      <c r="DT787" s="523" t="str">
        <f t="shared" si="105"/>
        <v/>
      </c>
      <c r="DU787" s="523" t="str">
        <f t="shared" si="106"/>
        <v/>
      </c>
      <c r="DV787" s="523" t="str">
        <f t="shared" si="107"/>
        <v/>
      </c>
      <c r="DW787" s="523" t="str">
        <f t="shared" si="108"/>
        <v/>
      </c>
      <c r="DX787" s="523" t="str">
        <f t="shared" si="109"/>
        <v/>
      </c>
      <c r="DY787" s="523" t="str">
        <f t="shared" si="110"/>
        <v/>
      </c>
      <c r="DZ787" s="523" t="str">
        <f t="shared" si="111"/>
        <v/>
      </c>
      <c r="EA787" s="523" t="str">
        <f t="shared" si="112"/>
        <v/>
      </c>
      <c r="EB787" s="523" t="str">
        <f t="shared" si="113"/>
        <v/>
      </c>
      <c r="EC787" s="523" t="str">
        <f t="shared" si="114"/>
        <v/>
      </c>
      <c r="ED787" s="523" t="str">
        <f t="shared" si="115"/>
        <v/>
      </c>
      <c r="EE787" s="523" t="str">
        <f t="shared" si="116"/>
        <v/>
      </c>
      <c r="EF787" s="523" t="str">
        <f t="shared" si="117"/>
        <v/>
      </c>
      <c r="EG787" s="523" t="str">
        <f t="shared" si="118"/>
        <v/>
      </c>
      <c r="EH787" s="523" t="str">
        <f t="shared" si="119"/>
        <v/>
      </c>
      <c r="EI787" s="523" t="str">
        <f t="shared" si="120"/>
        <v/>
      </c>
      <c r="EJ787" s="523" t="str">
        <f t="shared" si="121"/>
        <v/>
      </c>
      <c r="EK787" s="523" t="str">
        <f t="shared" si="122"/>
        <v/>
      </c>
      <c r="EL787" s="523" t="str">
        <f t="shared" si="123"/>
        <v/>
      </c>
      <c r="EM787" s="523" t="str">
        <f t="shared" si="124"/>
        <v/>
      </c>
      <c r="EN787" s="523" t="str">
        <f t="shared" si="125"/>
        <v/>
      </c>
      <c r="EO787" s="523" t="str">
        <f t="shared" si="126"/>
        <v/>
      </c>
      <c r="EP787" s="523" t="str">
        <f t="shared" si="127"/>
        <v/>
      </c>
      <c r="EQ787" s="523" t="str">
        <f t="shared" si="128"/>
        <v/>
      </c>
      <c r="ER787" s="523" t="str">
        <f t="shared" si="129"/>
        <v/>
      </c>
      <c r="ES787" s="523" t="str">
        <f t="shared" si="130"/>
        <v/>
      </c>
      <c r="ET787" s="523" t="str">
        <f t="shared" si="131"/>
        <v/>
      </c>
      <c r="EU787" s="523" t="str">
        <f t="shared" si="132"/>
        <v/>
      </c>
      <c r="EV787" s="523" t="str">
        <f t="shared" si="133"/>
        <v/>
      </c>
      <c r="EW787" s="3336" t="str">
        <f t="shared" si="134"/>
        <v/>
      </c>
      <c r="EX787" s="3336" t="str">
        <f t="shared" si="135"/>
        <v/>
      </c>
      <c r="EY787" s="3336" t="str">
        <f t="shared" si="136"/>
        <v/>
      </c>
      <c r="EZ787" s="3336" t="str">
        <f t="shared" si="137"/>
        <v/>
      </c>
      <c r="FA787" s="3336" t="str">
        <f t="shared" si="138"/>
        <v/>
      </c>
      <c r="FB787" s="3336" t="str">
        <f t="shared" si="139"/>
        <v/>
      </c>
      <c r="FC787" s="3336" t="str">
        <f t="shared" si="140"/>
        <v/>
      </c>
      <c r="FD787" s="3336" t="str">
        <f t="shared" si="141"/>
        <v/>
      </c>
      <c r="FE787" s="3336" t="str">
        <f t="shared" si="142"/>
        <v/>
      </c>
      <c r="FF787" s="3336" t="str">
        <f t="shared" si="143"/>
        <v/>
      </c>
      <c r="FG787" s="3336" t="str">
        <f t="shared" si="144"/>
        <v/>
      </c>
      <c r="FH787" s="3336" t="str">
        <f t="shared" si="145"/>
        <v/>
      </c>
      <c r="FI787" s="3336" t="str">
        <f t="shared" si="146"/>
        <v/>
      </c>
      <c r="FJ787" s="3336" t="str">
        <f t="shared" si="147"/>
        <v/>
      </c>
      <c r="FK787" s="3336" t="str">
        <f t="shared" si="148"/>
        <v/>
      </c>
      <c r="FL787" s="3336" t="str">
        <f t="shared" si="149"/>
        <v/>
      </c>
      <c r="FM787" s="3336" t="str">
        <f t="shared" si="150"/>
        <v/>
      </c>
      <c r="FN787" s="3336" t="str">
        <f t="shared" si="151"/>
        <v/>
      </c>
      <c r="FO787" s="3336" t="str">
        <f t="shared" si="152"/>
        <v/>
      </c>
      <c r="FP787" s="3336" t="str">
        <f t="shared" si="153"/>
        <v/>
      </c>
      <c r="FQ787" s="3336" t="str">
        <f t="shared" si="154"/>
        <v/>
      </c>
      <c r="FR787" s="3336" t="str">
        <f t="shared" si="155"/>
        <v/>
      </c>
      <c r="FS787" s="3336" t="str">
        <f t="shared" si="156"/>
        <v/>
      </c>
      <c r="FT787" s="3336" t="str">
        <f t="shared" si="157"/>
        <v/>
      </c>
      <c r="FU787" s="3336" t="str">
        <f t="shared" si="158"/>
        <v/>
      </c>
      <c r="FV787" s="3336" t="str">
        <f t="shared" si="159"/>
        <v/>
      </c>
      <c r="FW787" s="3336" t="str">
        <f t="shared" si="160"/>
        <v/>
      </c>
      <c r="FX787" s="3336" t="str">
        <f t="shared" si="161"/>
        <v/>
      </c>
      <c r="FY787" s="3336" t="str">
        <f t="shared" si="162"/>
        <v/>
      </c>
      <c r="FZ787" s="3336" t="str">
        <f t="shared" si="163"/>
        <v/>
      </c>
      <c r="GA787" s="3336" t="str">
        <f t="shared" si="164"/>
        <v/>
      </c>
      <c r="GB787" s="3336" t="str">
        <f t="shared" si="165"/>
        <v/>
      </c>
      <c r="GC787" s="3336" t="str">
        <f t="shared" si="166"/>
        <v/>
      </c>
      <c r="GD787" s="3336" t="str">
        <f t="shared" si="167"/>
        <v/>
      </c>
      <c r="GE787" s="3336" t="str">
        <f t="shared" si="168"/>
        <v/>
      </c>
      <c r="GF787" s="3336" t="str">
        <f t="shared" si="169"/>
        <v/>
      </c>
      <c r="GG787" s="3336" t="str">
        <f t="shared" si="170"/>
        <v/>
      </c>
      <c r="GH787" s="3336" t="str">
        <f t="shared" si="171"/>
        <v/>
      </c>
      <c r="GI787" s="3336" t="str">
        <f t="shared" si="172"/>
        <v/>
      </c>
      <c r="GJ787" s="3336" t="str">
        <f t="shared" si="173"/>
        <v/>
      </c>
      <c r="GK787" s="3336" t="str">
        <f t="shared" si="174"/>
        <v/>
      </c>
      <c r="GL787" s="3336" t="str">
        <f t="shared" si="175"/>
        <v/>
      </c>
      <c r="GM787" s="3336" t="str">
        <f t="shared" si="176"/>
        <v/>
      </c>
      <c r="GN787" s="3336" t="str">
        <f t="shared" si="177"/>
        <v/>
      </c>
      <c r="GO787" s="3336" t="str">
        <f t="shared" si="178"/>
        <v/>
      </c>
      <c r="GP787" s="3336" t="str">
        <f t="shared" si="179"/>
        <v/>
      </c>
      <c r="GQ787" s="3336" t="str">
        <f t="shared" si="180"/>
        <v/>
      </c>
      <c r="GR787" s="3336" t="str">
        <f t="shared" si="181"/>
        <v/>
      </c>
      <c r="GS787" s="3336" t="str">
        <f t="shared" si="182"/>
        <v/>
      </c>
      <c r="GT787" s="3336" t="str">
        <f t="shared" si="183"/>
        <v/>
      </c>
      <c r="GU787" s="3336" t="str">
        <f t="shared" si="184"/>
        <v/>
      </c>
      <c r="GV787" s="3336" t="str">
        <f t="shared" si="185"/>
        <v/>
      </c>
      <c r="GW787" s="3336" t="str">
        <f t="shared" si="186"/>
        <v/>
      </c>
      <c r="GX787" s="3336" t="str">
        <f t="shared" si="187"/>
        <v/>
      </c>
      <c r="GY787" s="3336" t="str">
        <f t="shared" si="188"/>
        <v/>
      </c>
      <c r="GZ787" s="3336" t="str">
        <f t="shared" si="189"/>
        <v/>
      </c>
      <c r="HA787" s="3336" t="str">
        <f t="shared" si="190"/>
        <v/>
      </c>
      <c r="HB787" s="3336" t="str">
        <f t="shared" si="191"/>
        <v/>
      </c>
      <c r="HC787" s="3336" t="str">
        <f t="shared" si="192"/>
        <v/>
      </c>
      <c r="HD787" s="3336" t="str">
        <f t="shared" si="193"/>
        <v/>
      </c>
      <c r="HE787" s="3336" t="str">
        <f t="shared" si="194"/>
        <v/>
      </c>
      <c r="HF787" s="3336" t="str">
        <f t="shared" si="195"/>
        <v/>
      </c>
      <c r="HG787" s="3336" t="str">
        <f t="shared" si="196"/>
        <v/>
      </c>
      <c r="HH787" s="3336" t="str">
        <f t="shared" si="197"/>
        <v/>
      </c>
      <c r="HI787" s="3336" t="str">
        <f t="shared" si="198"/>
        <v/>
      </c>
      <c r="HJ787" s="3336" t="str">
        <f t="shared" si="199"/>
        <v/>
      </c>
      <c r="HK787" s="3336" t="str">
        <f t="shared" si="200"/>
        <v/>
      </c>
      <c r="HL787" s="3336" t="str">
        <f t="shared" si="201"/>
        <v/>
      </c>
      <c r="HM787" s="3336" t="str">
        <f t="shared" si="202"/>
        <v/>
      </c>
      <c r="HN787" s="3336" t="str">
        <f t="shared" si="203"/>
        <v/>
      </c>
      <c r="HO787" s="3336" t="str">
        <f t="shared" si="204"/>
        <v/>
      </c>
      <c r="HP787" s="3336" t="str">
        <f t="shared" si="205"/>
        <v/>
      </c>
      <c r="HQ787" s="3336" t="str">
        <f t="shared" si="206"/>
        <v/>
      </c>
      <c r="HR787" s="3336" t="str">
        <f t="shared" si="207"/>
        <v/>
      </c>
      <c r="HS787" s="3336" t="str">
        <f t="shared" si="208"/>
        <v/>
      </c>
      <c r="HT787" s="3336" t="str">
        <f t="shared" si="209"/>
        <v/>
      </c>
      <c r="HU787" s="3336" t="str">
        <f t="shared" si="210"/>
        <v/>
      </c>
      <c r="HV787" s="3336" t="str">
        <f t="shared" si="211"/>
        <v/>
      </c>
      <c r="HW787" s="3336" t="str">
        <f t="shared" si="212"/>
        <v/>
      </c>
      <c r="HX787" s="3336" t="str">
        <f t="shared" si="213"/>
        <v/>
      </c>
      <c r="HY787" s="3336" t="str">
        <f t="shared" si="214"/>
        <v/>
      </c>
      <c r="HZ787" s="3336" t="str">
        <f t="shared" si="215"/>
        <v/>
      </c>
      <c r="IA787" s="3336" t="str">
        <f t="shared" si="216"/>
        <v/>
      </c>
      <c r="IB787" s="3336" t="str">
        <f t="shared" si="217"/>
        <v/>
      </c>
      <c r="IC787" s="3336" t="str">
        <f t="shared" si="218"/>
        <v/>
      </c>
      <c r="ID787" s="3308" t="str">
        <f t="shared" si="219"/>
        <v/>
      </c>
      <c r="IE787" s="3308" t="str">
        <f t="shared" si="220"/>
        <v/>
      </c>
      <c r="IF787" s="3308" t="str">
        <f t="shared" si="221"/>
        <v/>
      </c>
      <c r="IG787" s="3308" t="str">
        <f t="shared" si="222"/>
        <v/>
      </c>
      <c r="IH787" s="3308" t="str">
        <f t="shared" si="223"/>
        <v/>
      </c>
      <c r="II787" s="523" t="str">
        <f t="shared" si="224"/>
        <v/>
      </c>
      <c r="IJ787" s="523" t="str">
        <f t="shared" si="225"/>
        <v/>
      </c>
      <c r="IK787" s="523" t="str">
        <f t="shared" si="226"/>
        <v/>
      </c>
      <c r="IL787" s="523" t="str">
        <f t="shared" si="227"/>
        <v/>
      </c>
      <c r="IM787" s="523" t="str">
        <f t="shared" si="228"/>
        <v/>
      </c>
      <c r="IN787" s="523" t="str">
        <f t="shared" si="229"/>
        <v/>
      </c>
      <c r="IO787" s="523" t="str">
        <f t="shared" si="230"/>
        <v/>
      </c>
      <c r="IP787" s="523" t="str">
        <f t="shared" si="231"/>
        <v/>
      </c>
      <c r="IQ787" s="523" t="str">
        <f t="shared" si="232"/>
        <v/>
      </c>
      <c r="IR787" s="523" t="str">
        <f t="shared" si="233"/>
        <v/>
      </c>
      <c r="IS787" s="523" t="str">
        <f t="shared" si="234"/>
        <v/>
      </c>
      <c r="IT787" s="523" t="str">
        <f t="shared" si="235"/>
        <v/>
      </c>
      <c r="IU787" s="523" t="str">
        <f t="shared" si="236"/>
        <v/>
      </c>
      <c r="IV787" s="523" t="str">
        <f t="shared" si="237"/>
        <v/>
      </c>
      <c r="IW787" s="523" t="str">
        <f t="shared" si="238"/>
        <v/>
      </c>
      <c r="IX787" s="523" t="str">
        <f t="shared" si="239"/>
        <v/>
      </c>
      <c r="IY787" s="523" t="str">
        <f t="shared" si="240"/>
        <v/>
      </c>
      <c r="IZ787" s="523" t="str">
        <f t="shared" si="241"/>
        <v/>
      </c>
      <c r="JA787" s="523" t="str">
        <f t="shared" si="242"/>
        <v/>
      </c>
      <c r="JB787" s="523" t="str">
        <f t="shared" si="243"/>
        <v/>
      </c>
      <c r="JC787" s="3306">
        <f t="shared" si="244"/>
        <v>0</v>
      </c>
      <c r="JD787" s="3306">
        <f t="shared" si="245"/>
        <v>0</v>
      </c>
      <c r="JE787" s="3306">
        <f t="shared" si="246"/>
        <v>0</v>
      </c>
      <c r="JF787" s="3306">
        <f t="shared" si="247"/>
        <v>0</v>
      </c>
      <c r="JG787" s="3306">
        <f t="shared" si="248"/>
        <v>0</v>
      </c>
      <c r="JH787" s="3306">
        <f t="shared" si="249"/>
        <v>0</v>
      </c>
      <c r="JI787" s="3306">
        <f t="shared" si="250"/>
        <v>0</v>
      </c>
      <c r="JJ787" s="3306">
        <f t="shared" si="251"/>
        <v>0</v>
      </c>
      <c r="JK787" s="3306">
        <f t="shared" si="252"/>
        <v>0</v>
      </c>
      <c r="JL787" s="3306">
        <f t="shared" si="253"/>
        <v>0</v>
      </c>
      <c r="JM787" s="3306">
        <f t="shared" si="254"/>
        <v>0</v>
      </c>
      <c r="JN787" s="3306">
        <f t="shared" si="255"/>
        <v>0</v>
      </c>
      <c r="JO787" s="3306">
        <f t="shared" si="256"/>
        <v>0</v>
      </c>
      <c r="JP787" s="3306">
        <f t="shared" si="257"/>
        <v>0</v>
      </c>
      <c r="JQ787" s="3306">
        <f t="shared" si="258"/>
        <v>0</v>
      </c>
    </row>
    <row r="788" spans="1:277" ht="12" customHeight="1">
      <c r="A788" s="3319" t="str">
        <f t="shared" si="1"/>
        <v/>
      </c>
      <c r="B788" s="3328" t="str">
        <f>'Part VI-Revenues &amp; Expenses'!B31</f>
        <v>&lt;&lt;Select&gt;&gt;</v>
      </c>
      <c r="C788" s="3329">
        <f>'Part VI-Revenues &amp; Expenses'!C31</f>
        <v>0</v>
      </c>
      <c r="D788" s="3330">
        <f>'Part VI-Revenues &amp; Expenses'!D31</f>
        <v>0</v>
      </c>
      <c r="E788" s="3331">
        <f>'Part VI-Revenues &amp; Expenses'!E31</f>
        <v>0</v>
      </c>
      <c r="F788" s="3331">
        <f>'Part VI-Revenues &amp; Expenses'!F31</f>
        <v>0</v>
      </c>
      <c r="G788" s="3331">
        <f>'Part VI-Revenues &amp; Expenses'!G31</f>
        <v>0</v>
      </c>
      <c r="H788" s="3331">
        <f>'Part VI-Revenues &amp; Expenses'!H31</f>
        <v>0</v>
      </c>
      <c r="I788" s="3331">
        <f>'Part VI-Revenues &amp; Expenses'!I31</f>
        <v>0</v>
      </c>
      <c r="J788" s="3332">
        <f>'Part VI-Revenues &amp; Expenses'!J31</f>
        <v>0</v>
      </c>
      <c r="K788" s="3333">
        <f t="shared" si="2"/>
        <v>0</v>
      </c>
      <c r="L788" s="3333">
        <f t="shared" si="3"/>
        <v>0</v>
      </c>
      <c r="M788" s="3207">
        <f>'Part VI-Revenues &amp; Expenses'!M31</f>
        <v>0</v>
      </c>
      <c r="N788" s="3207">
        <f>'Part VI-Revenues &amp; Expenses'!N31</f>
        <v>0</v>
      </c>
      <c r="O788" s="3207">
        <f>'Part VI-Revenues &amp; Expenses'!O31</f>
        <v>0</v>
      </c>
      <c r="P788" s="3313">
        <f>'Part VI-Revenues &amp; Expenses'!P31</f>
        <v>0</v>
      </c>
      <c r="Q788" s="3334" t="str">
        <f>'Part VI-Revenues &amp; Expenses'!Q31</f>
        <v/>
      </c>
      <c r="R788" s="3335" t="str">
        <f>'Part VI-Revenues &amp; Expenses'!R31</f>
        <v/>
      </c>
      <c r="S788" s="3334">
        <f>'Part VI-Revenues &amp; Expenses'!S31</f>
        <v>0</v>
      </c>
      <c r="T788" s="3335">
        <f>'Part VI-Revenues &amp; Expenses'!T31</f>
        <v>0</v>
      </c>
      <c r="U788" s="3257"/>
      <c r="V788" s="3257"/>
      <c r="W788" s="523" t="str">
        <f t="shared" si="4"/>
        <v/>
      </c>
      <c r="X788" s="523" t="str">
        <f t="shared" si="5"/>
        <v/>
      </c>
      <c r="Y788" s="523" t="str">
        <f t="shared" si="6"/>
        <v/>
      </c>
      <c r="Z788" s="523" t="str">
        <f t="shared" si="7"/>
        <v/>
      </c>
      <c r="AA788" s="523" t="str">
        <f t="shared" si="8"/>
        <v/>
      </c>
      <c r="AB788" s="523" t="str">
        <f t="shared" si="9"/>
        <v/>
      </c>
      <c r="AC788" s="523" t="str">
        <f t="shared" si="10"/>
        <v/>
      </c>
      <c r="AD788" s="523" t="str">
        <f t="shared" si="11"/>
        <v/>
      </c>
      <c r="AE788" s="523" t="str">
        <f t="shared" si="12"/>
        <v/>
      </c>
      <c r="AF788" s="523" t="str">
        <f t="shared" si="13"/>
        <v/>
      </c>
      <c r="AG788" s="523" t="str">
        <f t="shared" si="14"/>
        <v/>
      </c>
      <c r="AH788" s="523" t="str">
        <f t="shared" si="15"/>
        <v/>
      </c>
      <c r="AI788" s="523" t="str">
        <f t="shared" si="16"/>
        <v/>
      </c>
      <c r="AJ788" s="523" t="str">
        <f t="shared" si="17"/>
        <v/>
      </c>
      <c r="AK788" s="523" t="str">
        <f t="shared" si="18"/>
        <v/>
      </c>
      <c r="AL788" s="523" t="str">
        <f t="shared" si="19"/>
        <v/>
      </c>
      <c r="AM788" s="523" t="str">
        <f t="shared" si="20"/>
        <v/>
      </c>
      <c r="AN788" s="523" t="str">
        <f t="shared" si="21"/>
        <v/>
      </c>
      <c r="AO788" s="523" t="str">
        <f t="shared" si="22"/>
        <v/>
      </c>
      <c r="AP788" s="523" t="str">
        <f t="shared" si="23"/>
        <v/>
      </c>
      <c r="AQ788" s="523" t="str">
        <f t="shared" si="24"/>
        <v/>
      </c>
      <c r="AR788" s="523" t="str">
        <f t="shared" si="25"/>
        <v/>
      </c>
      <c r="AS788" s="523" t="str">
        <f t="shared" si="26"/>
        <v/>
      </c>
      <c r="AT788" s="523" t="str">
        <f t="shared" si="27"/>
        <v/>
      </c>
      <c r="AU788" s="523" t="str">
        <f t="shared" si="28"/>
        <v/>
      </c>
      <c r="AV788" s="523" t="str">
        <f t="shared" si="29"/>
        <v/>
      </c>
      <c r="AW788" s="523" t="str">
        <f t="shared" si="30"/>
        <v/>
      </c>
      <c r="AX788" s="523" t="str">
        <f t="shared" si="31"/>
        <v/>
      </c>
      <c r="AY788" s="523" t="str">
        <f t="shared" si="32"/>
        <v/>
      </c>
      <c r="AZ788" s="523" t="str">
        <f t="shared" si="33"/>
        <v/>
      </c>
      <c r="BA788" s="523" t="str">
        <f t="shared" si="34"/>
        <v/>
      </c>
      <c r="BB788" s="523" t="str">
        <f t="shared" si="35"/>
        <v/>
      </c>
      <c r="BC788" s="523" t="str">
        <f t="shared" si="36"/>
        <v/>
      </c>
      <c r="BD788" s="523" t="str">
        <f t="shared" si="37"/>
        <v/>
      </c>
      <c r="BE788" s="523" t="str">
        <f t="shared" si="38"/>
        <v/>
      </c>
      <c r="BF788" s="523" t="str">
        <f t="shared" si="39"/>
        <v/>
      </c>
      <c r="BG788" s="523" t="str">
        <f t="shared" si="40"/>
        <v/>
      </c>
      <c r="BH788" s="523" t="str">
        <f t="shared" si="41"/>
        <v/>
      </c>
      <c r="BI788" s="523" t="str">
        <f t="shared" si="42"/>
        <v/>
      </c>
      <c r="BJ788" s="523" t="str">
        <f t="shared" si="43"/>
        <v/>
      </c>
      <c r="BK788" s="523" t="str">
        <f t="shared" si="44"/>
        <v/>
      </c>
      <c r="BL788" s="523" t="str">
        <f t="shared" si="45"/>
        <v/>
      </c>
      <c r="BM788" s="523" t="str">
        <f t="shared" si="46"/>
        <v/>
      </c>
      <c r="BN788" s="523" t="str">
        <f t="shared" si="47"/>
        <v/>
      </c>
      <c r="BO788" s="523" t="str">
        <f t="shared" si="48"/>
        <v/>
      </c>
      <c r="BP788" s="523" t="str">
        <f t="shared" si="49"/>
        <v/>
      </c>
      <c r="BQ788" s="523" t="str">
        <f t="shared" si="50"/>
        <v/>
      </c>
      <c r="BR788" s="523" t="str">
        <f t="shared" si="51"/>
        <v/>
      </c>
      <c r="BS788" s="523" t="str">
        <f t="shared" si="52"/>
        <v/>
      </c>
      <c r="BT788" s="523" t="str">
        <f t="shared" si="53"/>
        <v/>
      </c>
      <c r="BU788" s="523" t="str">
        <f t="shared" si="54"/>
        <v/>
      </c>
      <c r="BV788" s="523" t="str">
        <f t="shared" si="55"/>
        <v/>
      </c>
      <c r="BW788" s="523" t="str">
        <f t="shared" si="56"/>
        <v/>
      </c>
      <c r="BX788" s="523" t="str">
        <f t="shared" si="57"/>
        <v/>
      </c>
      <c r="BY788" s="523" t="str">
        <f t="shared" si="58"/>
        <v/>
      </c>
      <c r="BZ788" s="523" t="str">
        <f t="shared" si="59"/>
        <v/>
      </c>
      <c r="CA788" s="523" t="str">
        <f t="shared" si="60"/>
        <v/>
      </c>
      <c r="CB788" s="523" t="str">
        <f t="shared" si="61"/>
        <v/>
      </c>
      <c r="CC788" s="523" t="str">
        <f t="shared" si="62"/>
        <v/>
      </c>
      <c r="CD788" s="523" t="str">
        <f t="shared" si="63"/>
        <v/>
      </c>
      <c r="CE788" s="523" t="str">
        <f t="shared" si="64"/>
        <v/>
      </c>
      <c r="CF788" s="523" t="str">
        <f t="shared" si="65"/>
        <v/>
      </c>
      <c r="CG788" s="523" t="str">
        <f t="shared" si="66"/>
        <v/>
      </c>
      <c r="CH788" s="523" t="str">
        <f t="shared" si="67"/>
        <v/>
      </c>
      <c r="CI788" s="523" t="str">
        <f t="shared" si="68"/>
        <v/>
      </c>
      <c r="CJ788" s="523" t="str">
        <f t="shared" si="69"/>
        <v/>
      </c>
      <c r="CK788" s="523" t="str">
        <f t="shared" si="70"/>
        <v/>
      </c>
      <c r="CL788" s="523" t="str">
        <f t="shared" si="71"/>
        <v/>
      </c>
      <c r="CM788" s="523" t="str">
        <f t="shared" si="72"/>
        <v/>
      </c>
      <c r="CN788" s="523" t="str">
        <f t="shared" si="73"/>
        <v/>
      </c>
      <c r="CO788" s="523" t="str">
        <f t="shared" si="74"/>
        <v/>
      </c>
      <c r="CP788" s="523" t="str">
        <f t="shared" si="75"/>
        <v/>
      </c>
      <c r="CQ788" s="523" t="str">
        <f t="shared" si="76"/>
        <v/>
      </c>
      <c r="CR788" s="523" t="str">
        <f t="shared" si="77"/>
        <v/>
      </c>
      <c r="CS788" s="523" t="str">
        <f t="shared" si="78"/>
        <v/>
      </c>
      <c r="CT788" s="523" t="str">
        <f t="shared" si="79"/>
        <v/>
      </c>
      <c r="CU788" s="523" t="str">
        <f t="shared" si="80"/>
        <v/>
      </c>
      <c r="CV788" s="523" t="str">
        <f t="shared" si="81"/>
        <v/>
      </c>
      <c r="CW788" s="523" t="str">
        <f t="shared" si="82"/>
        <v/>
      </c>
      <c r="CX788" s="523" t="str">
        <f t="shared" si="83"/>
        <v/>
      </c>
      <c r="CY788" s="523" t="str">
        <f t="shared" si="84"/>
        <v/>
      </c>
      <c r="CZ788" s="523" t="str">
        <f t="shared" si="85"/>
        <v/>
      </c>
      <c r="DA788" s="523" t="str">
        <f t="shared" si="86"/>
        <v/>
      </c>
      <c r="DB788" s="523" t="str">
        <f t="shared" si="87"/>
        <v/>
      </c>
      <c r="DC788" s="523" t="str">
        <f t="shared" si="88"/>
        <v/>
      </c>
      <c r="DD788" s="523" t="str">
        <f t="shared" si="89"/>
        <v/>
      </c>
      <c r="DE788" s="523" t="str">
        <f t="shared" si="90"/>
        <v/>
      </c>
      <c r="DF788" s="523" t="str">
        <f t="shared" si="91"/>
        <v/>
      </c>
      <c r="DG788" s="523" t="str">
        <f t="shared" si="92"/>
        <v/>
      </c>
      <c r="DH788" s="523" t="str">
        <f t="shared" si="93"/>
        <v/>
      </c>
      <c r="DI788" s="523" t="str">
        <f t="shared" si="94"/>
        <v/>
      </c>
      <c r="DJ788" s="523" t="str">
        <f t="shared" si="95"/>
        <v/>
      </c>
      <c r="DK788" s="523" t="str">
        <f t="shared" si="96"/>
        <v/>
      </c>
      <c r="DL788" s="523" t="str">
        <f t="shared" si="97"/>
        <v/>
      </c>
      <c r="DM788" s="523" t="str">
        <f t="shared" si="98"/>
        <v/>
      </c>
      <c r="DN788" s="523" t="str">
        <f t="shared" si="99"/>
        <v/>
      </c>
      <c r="DO788" s="523" t="str">
        <f t="shared" si="100"/>
        <v/>
      </c>
      <c r="DP788" s="523" t="str">
        <f t="shared" si="101"/>
        <v/>
      </c>
      <c r="DQ788" s="523" t="str">
        <f t="shared" si="102"/>
        <v/>
      </c>
      <c r="DR788" s="523" t="str">
        <f t="shared" si="103"/>
        <v/>
      </c>
      <c r="DS788" s="523" t="str">
        <f t="shared" si="104"/>
        <v/>
      </c>
      <c r="DT788" s="523" t="str">
        <f t="shared" si="105"/>
        <v/>
      </c>
      <c r="DU788" s="523" t="str">
        <f t="shared" si="106"/>
        <v/>
      </c>
      <c r="DV788" s="523" t="str">
        <f t="shared" si="107"/>
        <v/>
      </c>
      <c r="DW788" s="523" t="str">
        <f t="shared" si="108"/>
        <v/>
      </c>
      <c r="DX788" s="523" t="str">
        <f t="shared" si="109"/>
        <v/>
      </c>
      <c r="DY788" s="523" t="str">
        <f t="shared" si="110"/>
        <v/>
      </c>
      <c r="DZ788" s="523" t="str">
        <f t="shared" si="111"/>
        <v/>
      </c>
      <c r="EA788" s="523" t="str">
        <f t="shared" si="112"/>
        <v/>
      </c>
      <c r="EB788" s="523" t="str">
        <f t="shared" si="113"/>
        <v/>
      </c>
      <c r="EC788" s="523" t="str">
        <f t="shared" si="114"/>
        <v/>
      </c>
      <c r="ED788" s="523" t="str">
        <f t="shared" si="115"/>
        <v/>
      </c>
      <c r="EE788" s="523" t="str">
        <f t="shared" si="116"/>
        <v/>
      </c>
      <c r="EF788" s="523" t="str">
        <f t="shared" si="117"/>
        <v/>
      </c>
      <c r="EG788" s="523" t="str">
        <f t="shared" si="118"/>
        <v/>
      </c>
      <c r="EH788" s="523" t="str">
        <f t="shared" si="119"/>
        <v/>
      </c>
      <c r="EI788" s="523" t="str">
        <f t="shared" si="120"/>
        <v/>
      </c>
      <c r="EJ788" s="523" t="str">
        <f t="shared" si="121"/>
        <v/>
      </c>
      <c r="EK788" s="523" t="str">
        <f t="shared" si="122"/>
        <v/>
      </c>
      <c r="EL788" s="523" t="str">
        <f t="shared" si="123"/>
        <v/>
      </c>
      <c r="EM788" s="523" t="str">
        <f t="shared" si="124"/>
        <v/>
      </c>
      <c r="EN788" s="523" t="str">
        <f t="shared" si="125"/>
        <v/>
      </c>
      <c r="EO788" s="523" t="str">
        <f t="shared" si="126"/>
        <v/>
      </c>
      <c r="EP788" s="523" t="str">
        <f t="shared" si="127"/>
        <v/>
      </c>
      <c r="EQ788" s="523" t="str">
        <f t="shared" si="128"/>
        <v/>
      </c>
      <c r="ER788" s="523" t="str">
        <f t="shared" si="129"/>
        <v/>
      </c>
      <c r="ES788" s="523" t="str">
        <f t="shared" si="130"/>
        <v/>
      </c>
      <c r="ET788" s="523" t="str">
        <f t="shared" si="131"/>
        <v/>
      </c>
      <c r="EU788" s="523" t="str">
        <f t="shared" si="132"/>
        <v/>
      </c>
      <c r="EV788" s="523" t="str">
        <f t="shared" si="133"/>
        <v/>
      </c>
      <c r="EW788" s="3336" t="str">
        <f t="shared" si="134"/>
        <v/>
      </c>
      <c r="EX788" s="3336" t="str">
        <f t="shared" si="135"/>
        <v/>
      </c>
      <c r="EY788" s="3336" t="str">
        <f t="shared" si="136"/>
        <v/>
      </c>
      <c r="EZ788" s="3336" t="str">
        <f t="shared" si="137"/>
        <v/>
      </c>
      <c r="FA788" s="3336" t="str">
        <f t="shared" si="138"/>
        <v/>
      </c>
      <c r="FB788" s="3336" t="str">
        <f t="shared" si="139"/>
        <v/>
      </c>
      <c r="FC788" s="3336" t="str">
        <f t="shared" si="140"/>
        <v/>
      </c>
      <c r="FD788" s="3336" t="str">
        <f t="shared" si="141"/>
        <v/>
      </c>
      <c r="FE788" s="3336" t="str">
        <f t="shared" si="142"/>
        <v/>
      </c>
      <c r="FF788" s="3336" t="str">
        <f t="shared" si="143"/>
        <v/>
      </c>
      <c r="FG788" s="3336" t="str">
        <f t="shared" si="144"/>
        <v/>
      </c>
      <c r="FH788" s="3336" t="str">
        <f t="shared" si="145"/>
        <v/>
      </c>
      <c r="FI788" s="3336" t="str">
        <f t="shared" si="146"/>
        <v/>
      </c>
      <c r="FJ788" s="3336" t="str">
        <f t="shared" si="147"/>
        <v/>
      </c>
      <c r="FK788" s="3336" t="str">
        <f t="shared" si="148"/>
        <v/>
      </c>
      <c r="FL788" s="3336" t="str">
        <f t="shared" si="149"/>
        <v/>
      </c>
      <c r="FM788" s="3336" t="str">
        <f t="shared" si="150"/>
        <v/>
      </c>
      <c r="FN788" s="3336" t="str">
        <f t="shared" si="151"/>
        <v/>
      </c>
      <c r="FO788" s="3336" t="str">
        <f t="shared" si="152"/>
        <v/>
      </c>
      <c r="FP788" s="3336" t="str">
        <f t="shared" si="153"/>
        <v/>
      </c>
      <c r="FQ788" s="3336" t="str">
        <f t="shared" si="154"/>
        <v/>
      </c>
      <c r="FR788" s="3336" t="str">
        <f t="shared" si="155"/>
        <v/>
      </c>
      <c r="FS788" s="3336" t="str">
        <f t="shared" si="156"/>
        <v/>
      </c>
      <c r="FT788" s="3336" t="str">
        <f t="shared" si="157"/>
        <v/>
      </c>
      <c r="FU788" s="3336" t="str">
        <f t="shared" si="158"/>
        <v/>
      </c>
      <c r="FV788" s="3336" t="str">
        <f t="shared" si="159"/>
        <v/>
      </c>
      <c r="FW788" s="3336" t="str">
        <f t="shared" si="160"/>
        <v/>
      </c>
      <c r="FX788" s="3336" t="str">
        <f t="shared" si="161"/>
        <v/>
      </c>
      <c r="FY788" s="3336" t="str">
        <f t="shared" si="162"/>
        <v/>
      </c>
      <c r="FZ788" s="3336" t="str">
        <f t="shared" si="163"/>
        <v/>
      </c>
      <c r="GA788" s="3336" t="str">
        <f t="shared" si="164"/>
        <v/>
      </c>
      <c r="GB788" s="3336" t="str">
        <f t="shared" si="165"/>
        <v/>
      </c>
      <c r="GC788" s="3336" t="str">
        <f t="shared" si="166"/>
        <v/>
      </c>
      <c r="GD788" s="3336" t="str">
        <f t="shared" si="167"/>
        <v/>
      </c>
      <c r="GE788" s="3336" t="str">
        <f t="shared" si="168"/>
        <v/>
      </c>
      <c r="GF788" s="3336" t="str">
        <f t="shared" si="169"/>
        <v/>
      </c>
      <c r="GG788" s="3336" t="str">
        <f t="shared" si="170"/>
        <v/>
      </c>
      <c r="GH788" s="3336" t="str">
        <f t="shared" si="171"/>
        <v/>
      </c>
      <c r="GI788" s="3336" t="str">
        <f t="shared" si="172"/>
        <v/>
      </c>
      <c r="GJ788" s="3336" t="str">
        <f t="shared" si="173"/>
        <v/>
      </c>
      <c r="GK788" s="3336" t="str">
        <f t="shared" si="174"/>
        <v/>
      </c>
      <c r="GL788" s="3336" t="str">
        <f t="shared" si="175"/>
        <v/>
      </c>
      <c r="GM788" s="3336" t="str">
        <f t="shared" si="176"/>
        <v/>
      </c>
      <c r="GN788" s="3336" t="str">
        <f t="shared" si="177"/>
        <v/>
      </c>
      <c r="GO788" s="3336" t="str">
        <f t="shared" si="178"/>
        <v/>
      </c>
      <c r="GP788" s="3336" t="str">
        <f t="shared" si="179"/>
        <v/>
      </c>
      <c r="GQ788" s="3336" t="str">
        <f t="shared" si="180"/>
        <v/>
      </c>
      <c r="GR788" s="3336" t="str">
        <f t="shared" si="181"/>
        <v/>
      </c>
      <c r="GS788" s="3336" t="str">
        <f t="shared" si="182"/>
        <v/>
      </c>
      <c r="GT788" s="3336" t="str">
        <f t="shared" si="183"/>
        <v/>
      </c>
      <c r="GU788" s="3336" t="str">
        <f t="shared" si="184"/>
        <v/>
      </c>
      <c r="GV788" s="3336" t="str">
        <f t="shared" si="185"/>
        <v/>
      </c>
      <c r="GW788" s="3336" t="str">
        <f t="shared" si="186"/>
        <v/>
      </c>
      <c r="GX788" s="3336" t="str">
        <f t="shared" si="187"/>
        <v/>
      </c>
      <c r="GY788" s="3336" t="str">
        <f t="shared" si="188"/>
        <v/>
      </c>
      <c r="GZ788" s="3336" t="str">
        <f t="shared" si="189"/>
        <v/>
      </c>
      <c r="HA788" s="3336" t="str">
        <f t="shared" si="190"/>
        <v/>
      </c>
      <c r="HB788" s="3336" t="str">
        <f t="shared" si="191"/>
        <v/>
      </c>
      <c r="HC788" s="3336" t="str">
        <f t="shared" si="192"/>
        <v/>
      </c>
      <c r="HD788" s="3336" t="str">
        <f t="shared" si="193"/>
        <v/>
      </c>
      <c r="HE788" s="3336" t="str">
        <f t="shared" si="194"/>
        <v/>
      </c>
      <c r="HF788" s="3336" t="str">
        <f t="shared" si="195"/>
        <v/>
      </c>
      <c r="HG788" s="3336" t="str">
        <f t="shared" si="196"/>
        <v/>
      </c>
      <c r="HH788" s="3336" t="str">
        <f t="shared" si="197"/>
        <v/>
      </c>
      <c r="HI788" s="3336" t="str">
        <f t="shared" si="198"/>
        <v/>
      </c>
      <c r="HJ788" s="3336" t="str">
        <f t="shared" si="199"/>
        <v/>
      </c>
      <c r="HK788" s="3336" t="str">
        <f t="shared" si="200"/>
        <v/>
      </c>
      <c r="HL788" s="3336" t="str">
        <f t="shared" si="201"/>
        <v/>
      </c>
      <c r="HM788" s="3336" t="str">
        <f t="shared" si="202"/>
        <v/>
      </c>
      <c r="HN788" s="3336" t="str">
        <f t="shared" si="203"/>
        <v/>
      </c>
      <c r="HO788" s="3336" t="str">
        <f t="shared" si="204"/>
        <v/>
      </c>
      <c r="HP788" s="3336" t="str">
        <f t="shared" si="205"/>
        <v/>
      </c>
      <c r="HQ788" s="3336" t="str">
        <f t="shared" si="206"/>
        <v/>
      </c>
      <c r="HR788" s="3336" t="str">
        <f t="shared" si="207"/>
        <v/>
      </c>
      <c r="HS788" s="3336" t="str">
        <f t="shared" si="208"/>
        <v/>
      </c>
      <c r="HT788" s="3336" t="str">
        <f t="shared" si="209"/>
        <v/>
      </c>
      <c r="HU788" s="3336" t="str">
        <f t="shared" si="210"/>
        <v/>
      </c>
      <c r="HV788" s="3336" t="str">
        <f t="shared" si="211"/>
        <v/>
      </c>
      <c r="HW788" s="3336" t="str">
        <f t="shared" si="212"/>
        <v/>
      </c>
      <c r="HX788" s="3336" t="str">
        <f t="shared" si="213"/>
        <v/>
      </c>
      <c r="HY788" s="3336" t="str">
        <f t="shared" si="214"/>
        <v/>
      </c>
      <c r="HZ788" s="3336" t="str">
        <f t="shared" si="215"/>
        <v/>
      </c>
      <c r="IA788" s="3336" t="str">
        <f t="shared" si="216"/>
        <v/>
      </c>
      <c r="IB788" s="3336" t="str">
        <f t="shared" si="217"/>
        <v/>
      </c>
      <c r="IC788" s="3336" t="str">
        <f t="shared" si="218"/>
        <v/>
      </c>
      <c r="ID788" s="3308" t="str">
        <f t="shared" si="219"/>
        <v/>
      </c>
      <c r="IE788" s="3308" t="str">
        <f t="shared" si="220"/>
        <v/>
      </c>
      <c r="IF788" s="3308" t="str">
        <f t="shared" si="221"/>
        <v/>
      </c>
      <c r="IG788" s="3308" t="str">
        <f t="shared" si="222"/>
        <v/>
      </c>
      <c r="IH788" s="3308" t="str">
        <f t="shared" si="223"/>
        <v/>
      </c>
      <c r="II788" s="523" t="str">
        <f t="shared" si="224"/>
        <v/>
      </c>
      <c r="IJ788" s="523" t="str">
        <f t="shared" si="225"/>
        <v/>
      </c>
      <c r="IK788" s="523" t="str">
        <f t="shared" si="226"/>
        <v/>
      </c>
      <c r="IL788" s="523" t="str">
        <f t="shared" si="227"/>
        <v/>
      </c>
      <c r="IM788" s="523" t="str">
        <f t="shared" si="228"/>
        <v/>
      </c>
      <c r="IN788" s="523" t="str">
        <f t="shared" si="229"/>
        <v/>
      </c>
      <c r="IO788" s="523" t="str">
        <f t="shared" si="230"/>
        <v/>
      </c>
      <c r="IP788" s="523" t="str">
        <f t="shared" si="231"/>
        <v/>
      </c>
      <c r="IQ788" s="523" t="str">
        <f t="shared" si="232"/>
        <v/>
      </c>
      <c r="IR788" s="523" t="str">
        <f t="shared" si="233"/>
        <v/>
      </c>
      <c r="IS788" s="523" t="str">
        <f t="shared" si="234"/>
        <v/>
      </c>
      <c r="IT788" s="523" t="str">
        <f t="shared" si="235"/>
        <v/>
      </c>
      <c r="IU788" s="523" t="str">
        <f t="shared" si="236"/>
        <v/>
      </c>
      <c r="IV788" s="523" t="str">
        <f t="shared" si="237"/>
        <v/>
      </c>
      <c r="IW788" s="523" t="str">
        <f t="shared" si="238"/>
        <v/>
      </c>
      <c r="IX788" s="523" t="str">
        <f t="shared" si="239"/>
        <v/>
      </c>
      <c r="IY788" s="523" t="str">
        <f t="shared" si="240"/>
        <v/>
      </c>
      <c r="IZ788" s="523" t="str">
        <f t="shared" si="241"/>
        <v/>
      </c>
      <c r="JA788" s="523" t="str">
        <f t="shared" si="242"/>
        <v/>
      </c>
      <c r="JB788" s="523" t="str">
        <f t="shared" si="243"/>
        <v/>
      </c>
      <c r="JC788" s="3306">
        <f t="shared" si="244"/>
        <v>0</v>
      </c>
      <c r="JD788" s="3306">
        <f t="shared" si="245"/>
        <v>0</v>
      </c>
      <c r="JE788" s="3306">
        <f t="shared" si="246"/>
        <v>0</v>
      </c>
      <c r="JF788" s="3306">
        <f t="shared" si="247"/>
        <v>0</v>
      </c>
      <c r="JG788" s="3306">
        <f t="shared" si="248"/>
        <v>0</v>
      </c>
      <c r="JH788" s="3306">
        <f t="shared" si="249"/>
        <v>0</v>
      </c>
      <c r="JI788" s="3306">
        <f t="shared" si="250"/>
        <v>0</v>
      </c>
      <c r="JJ788" s="3306">
        <f t="shared" si="251"/>
        <v>0</v>
      </c>
      <c r="JK788" s="3306">
        <f t="shared" si="252"/>
        <v>0</v>
      </c>
      <c r="JL788" s="3306">
        <f t="shared" si="253"/>
        <v>0</v>
      </c>
      <c r="JM788" s="3306">
        <f t="shared" si="254"/>
        <v>0</v>
      </c>
      <c r="JN788" s="3306">
        <f t="shared" si="255"/>
        <v>0</v>
      </c>
      <c r="JO788" s="3306">
        <f t="shared" si="256"/>
        <v>0</v>
      </c>
      <c r="JP788" s="3306">
        <f t="shared" si="257"/>
        <v>0</v>
      </c>
      <c r="JQ788" s="3306">
        <f t="shared" si="258"/>
        <v>0</v>
      </c>
    </row>
    <row r="789" spans="1:277" ht="12" customHeight="1">
      <c r="A789" s="3319" t="str">
        <f t="shared" si="1"/>
        <v/>
      </c>
      <c r="B789" s="3328" t="str">
        <f>'Part VI-Revenues &amp; Expenses'!B32</f>
        <v>&lt;&lt;Select&gt;&gt;</v>
      </c>
      <c r="C789" s="3329">
        <f>'Part VI-Revenues &amp; Expenses'!C32</f>
        <v>0</v>
      </c>
      <c r="D789" s="3330">
        <f>'Part VI-Revenues &amp; Expenses'!D32</f>
        <v>0</v>
      </c>
      <c r="E789" s="3331">
        <f>'Part VI-Revenues &amp; Expenses'!E32</f>
        <v>0</v>
      </c>
      <c r="F789" s="3331">
        <f>'Part VI-Revenues &amp; Expenses'!F32</f>
        <v>0</v>
      </c>
      <c r="G789" s="3331">
        <f>'Part VI-Revenues &amp; Expenses'!G32</f>
        <v>0</v>
      </c>
      <c r="H789" s="3331">
        <f>'Part VI-Revenues &amp; Expenses'!H32</f>
        <v>0</v>
      </c>
      <c r="I789" s="3331">
        <f>'Part VI-Revenues &amp; Expenses'!I32</f>
        <v>0</v>
      </c>
      <c r="J789" s="3332">
        <f>'Part VI-Revenues &amp; Expenses'!J32</f>
        <v>0</v>
      </c>
      <c r="K789" s="3333">
        <f t="shared" si="2"/>
        <v>0</v>
      </c>
      <c r="L789" s="3333">
        <f t="shared" si="3"/>
        <v>0</v>
      </c>
      <c r="M789" s="3207">
        <f>'Part VI-Revenues &amp; Expenses'!M32</f>
        <v>0</v>
      </c>
      <c r="N789" s="3207">
        <f>'Part VI-Revenues &amp; Expenses'!N32</f>
        <v>0</v>
      </c>
      <c r="O789" s="3207">
        <f>'Part VI-Revenues &amp; Expenses'!O32</f>
        <v>0</v>
      </c>
      <c r="P789" s="3313">
        <f>'Part VI-Revenues &amp; Expenses'!P32</f>
        <v>0</v>
      </c>
      <c r="Q789" s="3334" t="str">
        <f>'Part VI-Revenues &amp; Expenses'!Q32</f>
        <v/>
      </c>
      <c r="R789" s="3335" t="str">
        <f>'Part VI-Revenues &amp; Expenses'!R32</f>
        <v/>
      </c>
      <c r="S789" s="3334">
        <f>'Part VI-Revenues &amp; Expenses'!S32</f>
        <v>0</v>
      </c>
      <c r="T789" s="3335">
        <f>'Part VI-Revenues &amp; Expenses'!T32</f>
        <v>0</v>
      </c>
      <c r="U789" s="3257"/>
      <c r="V789" s="3257"/>
      <c r="W789" s="523" t="str">
        <f t="shared" si="4"/>
        <v/>
      </c>
      <c r="X789" s="523" t="str">
        <f t="shared" si="5"/>
        <v/>
      </c>
      <c r="Y789" s="523" t="str">
        <f t="shared" si="6"/>
        <v/>
      </c>
      <c r="Z789" s="523" t="str">
        <f t="shared" si="7"/>
        <v/>
      </c>
      <c r="AA789" s="523" t="str">
        <f t="shared" si="8"/>
        <v/>
      </c>
      <c r="AB789" s="523" t="str">
        <f t="shared" si="9"/>
        <v/>
      </c>
      <c r="AC789" s="523" t="str">
        <f t="shared" si="10"/>
        <v/>
      </c>
      <c r="AD789" s="523" t="str">
        <f t="shared" si="11"/>
        <v/>
      </c>
      <c r="AE789" s="523" t="str">
        <f t="shared" si="12"/>
        <v/>
      </c>
      <c r="AF789" s="523" t="str">
        <f t="shared" si="13"/>
        <v/>
      </c>
      <c r="AG789" s="523" t="str">
        <f t="shared" si="14"/>
        <v/>
      </c>
      <c r="AH789" s="523" t="str">
        <f t="shared" si="15"/>
        <v/>
      </c>
      <c r="AI789" s="523" t="str">
        <f t="shared" si="16"/>
        <v/>
      </c>
      <c r="AJ789" s="523" t="str">
        <f t="shared" si="17"/>
        <v/>
      </c>
      <c r="AK789" s="523" t="str">
        <f t="shared" si="18"/>
        <v/>
      </c>
      <c r="AL789" s="523" t="str">
        <f t="shared" si="19"/>
        <v/>
      </c>
      <c r="AM789" s="523" t="str">
        <f t="shared" si="20"/>
        <v/>
      </c>
      <c r="AN789" s="523" t="str">
        <f t="shared" si="21"/>
        <v/>
      </c>
      <c r="AO789" s="523" t="str">
        <f t="shared" si="22"/>
        <v/>
      </c>
      <c r="AP789" s="523" t="str">
        <f t="shared" si="23"/>
        <v/>
      </c>
      <c r="AQ789" s="523" t="str">
        <f t="shared" si="24"/>
        <v/>
      </c>
      <c r="AR789" s="523" t="str">
        <f t="shared" si="25"/>
        <v/>
      </c>
      <c r="AS789" s="523" t="str">
        <f t="shared" si="26"/>
        <v/>
      </c>
      <c r="AT789" s="523" t="str">
        <f t="shared" si="27"/>
        <v/>
      </c>
      <c r="AU789" s="523" t="str">
        <f t="shared" si="28"/>
        <v/>
      </c>
      <c r="AV789" s="523" t="str">
        <f t="shared" si="29"/>
        <v/>
      </c>
      <c r="AW789" s="523" t="str">
        <f t="shared" si="30"/>
        <v/>
      </c>
      <c r="AX789" s="523" t="str">
        <f t="shared" si="31"/>
        <v/>
      </c>
      <c r="AY789" s="523" t="str">
        <f t="shared" si="32"/>
        <v/>
      </c>
      <c r="AZ789" s="523" t="str">
        <f t="shared" si="33"/>
        <v/>
      </c>
      <c r="BA789" s="523" t="str">
        <f t="shared" si="34"/>
        <v/>
      </c>
      <c r="BB789" s="523" t="str">
        <f t="shared" si="35"/>
        <v/>
      </c>
      <c r="BC789" s="523" t="str">
        <f t="shared" si="36"/>
        <v/>
      </c>
      <c r="BD789" s="523" t="str">
        <f t="shared" si="37"/>
        <v/>
      </c>
      <c r="BE789" s="523" t="str">
        <f t="shared" si="38"/>
        <v/>
      </c>
      <c r="BF789" s="523" t="str">
        <f t="shared" si="39"/>
        <v/>
      </c>
      <c r="BG789" s="523" t="str">
        <f t="shared" si="40"/>
        <v/>
      </c>
      <c r="BH789" s="523" t="str">
        <f t="shared" si="41"/>
        <v/>
      </c>
      <c r="BI789" s="523" t="str">
        <f t="shared" si="42"/>
        <v/>
      </c>
      <c r="BJ789" s="523" t="str">
        <f t="shared" si="43"/>
        <v/>
      </c>
      <c r="BK789" s="523" t="str">
        <f t="shared" si="44"/>
        <v/>
      </c>
      <c r="BL789" s="523" t="str">
        <f t="shared" si="45"/>
        <v/>
      </c>
      <c r="BM789" s="523" t="str">
        <f t="shared" si="46"/>
        <v/>
      </c>
      <c r="BN789" s="523" t="str">
        <f t="shared" si="47"/>
        <v/>
      </c>
      <c r="BO789" s="523" t="str">
        <f t="shared" si="48"/>
        <v/>
      </c>
      <c r="BP789" s="523" t="str">
        <f t="shared" si="49"/>
        <v/>
      </c>
      <c r="BQ789" s="523" t="str">
        <f t="shared" si="50"/>
        <v/>
      </c>
      <c r="BR789" s="523" t="str">
        <f t="shared" si="51"/>
        <v/>
      </c>
      <c r="BS789" s="523" t="str">
        <f t="shared" si="52"/>
        <v/>
      </c>
      <c r="BT789" s="523" t="str">
        <f t="shared" si="53"/>
        <v/>
      </c>
      <c r="BU789" s="523" t="str">
        <f t="shared" si="54"/>
        <v/>
      </c>
      <c r="BV789" s="523" t="str">
        <f t="shared" si="55"/>
        <v/>
      </c>
      <c r="BW789" s="523" t="str">
        <f t="shared" si="56"/>
        <v/>
      </c>
      <c r="BX789" s="523" t="str">
        <f t="shared" si="57"/>
        <v/>
      </c>
      <c r="BY789" s="523" t="str">
        <f t="shared" si="58"/>
        <v/>
      </c>
      <c r="BZ789" s="523" t="str">
        <f t="shared" si="59"/>
        <v/>
      </c>
      <c r="CA789" s="523" t="str">
        <f t="shared" si="60"/>
        <v/>
      </c>
      <c r="CB789" s="523" t="str">
        <f t="shared" si="61"/>
        <v/>
      </c>
      <c r="CC789" s="523" t="str">
        <f t="shared" si="62"/>
        <v/>
      </c>
      <c r="CD789" s="523" t="str">
        <f t="shared" si="63"/>
        <v/>
      </c>
      <c r="CE789" s="523" t="str">
        <f t="shared" si="64"/>
        <v/>
      </c>
      <c r="CF789" s="523" t="str">
        <f t="shared" si="65"/>
        <v/>
      </c>
      <c r="CG789" s="523" t="str">
        <f t="shared" si="66"/>
        <v/>
      </c>
      <c r="CH789" s="523" t="str">
        <f t="shared" si="67"/>
        <v/>
      </c>
      <c r="CI789" s="523" t="str">
        <f t="shared" si="68"/>
        <v/>
      </c>
      <c r="CJ789" s="523" t="str">
        <f t="shared" si="69"/>
        <v/>
      </c>
      <c r="CK789" s="523" t="str">
        <f t="shared" si="70"/>
        <v/>
      </c>
      <c r="CL789" s="523" t="str">
        <f t="shared" si="71"/>
        <v/>
      </c>
      <c r="CM789" s="523" t="str">
        <f t="shared" si="72"/>
        <v/>
      </c>
      <c r="CN789" s="523" t="str">
        <f t="shared" si="73"/>
        <v/>
      </c>
      <c r="CO789" s="523" t="str">
        <f t="shared" si="74"/>
        <v/>
      </c>
      <c r="CP789" s="523" t="str">
        <f t="shared" si="75"/>
        <v/>
      </c>
      <c r="CQ789" s="523" t="str">
        <f t="shared" si="76"/>
        <v/>
      </c>
      <c r="CR789" s="523" t="str">
        <f t="shared" si="77"/>
        <v/>
      </c>
      <c r="CS789" s="523" t="str">
        <f t="shared" si="78"/>
        <v/>
      </c>
      <c r="CT789" s="523" t="str">
        <f t="shared" si="79"/>
        <v/>
      </c>
      <c r="CU789" s="523" t="str">
        <f t="shared" si="80"/>
        <v/>
      </c>
      <c r="CV789" s="523" t="str">
        <f t="shared" si="81"/>
        <v/>
      </c>
      <c r="CW789" s="523" t="str">
        <f t="shared" si="82"/>
        <v/>
      </c>
      <c r="CX789" s="523" t="str">
        <f t="shared" si="83"/>
        <v/>
      </c>
      <c r="CY789" s="523" t="str">
        <f t="shared" si="84"/>
        <v/>
      </c>
      <c r="CZ789" s="523" t="str">
        <f t="shared" si="85"/>
        <v/>
      </c>
      <c r="DA789" s="523" t="str">
        <f t="shared" si="86"/>
        <v/>
      </c>
      <c r="DB789" s="523" t="str">
        <f t="shared" si="87"/>
        <v/>
      </c>
      <c r="DC789" s="523" t="str">
        <f t="shared" si="88"/>
        <v/>
      </c>
      <c r="DD789" s="523" t="str">
        <f t="shared" si="89"/>
        <v/>
      </c>
      <c r="DE789" s="523" t="str">
        <f t="shared" si="90"/>
        <v/>
      </c>
      <c r="DF789" s="523" t="str">
        <f t="shared" si="91"/>
        <v/>
      </c>
      <c r="DG789" s="523" t="str">
        <f t="shared" si="92"/>
        <v/>
      </c>
      <c r="DH789" s="523" t="str">
        <f t="shared" si="93"/>
        <v/>
      </c>
      <c r="DI789" s="523" t="str">
        <f t="shared" si="94"/>
        <v/>
      </c>
      <c r="DJ789" s="523" t="str">
        <f t="shared" si="95"/>
        <v/>
      </c>
      <c r="DK789" s="523" t="str">
        <f t="shared" si="96"/>
        <v/>
      </c>
      <c r="DL789" s="523" t="str">
        <f t="shared" si="97"/>
        <v/>
      </c>
      <c r="DM789" s="523" t="str">
        <f t="shared" si="98"/>
        <v/>
      </c>
      <c r="DN789" s="523" t="str">
        <f t="shared" si="99"/>
        <v/>
      </c>
      <c r="DO789" s="523" t="str">
        <f t="shared" si="100"/>
        <v/>
      </c>
      <c r="DP789" s="523" t="str">
        <f t="shared" si="101"/>
        <v/>
      </c>
      <c r="DQ789" s="523" t="str">
        <f t="shared" si="102"/>
        <v/>
      </c>
      <c r="DR789" s="523" t="str">
        <f t="shared" si="103"/>
        <v/>
      </c>
      <c r="DS789" s="523" t="str">
        <f t="shared" si="104"/>
        <v/>
      </c>
      <c r="DT789" s="523" t="str">
        <f t="shared" si="105"/>
        <v/>
      </c>
      <c r="DU789" s="523" t="str">
        <f t="shared" si="106"/>
        <v/>
      </c>
      <c r="DV789" s="523" t="str">
        <f t="shared" si="107"/>
        <v/>
      </c>
      <c r="DW789" s="523" t="str">
        <f t="shared" si="108"/>
        <v/>
      </c>
      <c r="DX789" s="523" t="str">
        <f t="shared" si="109"/>
        <v/>
      </c>
      <c r="DY789" s="523" t="str">
        <f t="shared" si="110"/>
        <v/>
      </c>
      <c r="DZ789" s="523" t="str">
        <f t="shared" si="111"/>
        <v/>
      </c>
      <c r="EA789" s="523" t="str">
        <f t="shared" si="112"/>
        <v/>
      </c>
      <c r="EB789" s="523" t="str">
        <f t="shared" si="113"/>
        <v/>
      </c>
      <c r="EC789" s="523" t="str">
        <f t="shared" si="114"/>
        <v/>
      </c>
      <c r="ED789" s="523" t="str">
        <f t="shared" si="115"/>
        <v/>
      </c>
      <c r="EE789" s="523" t="str">
        <f t="shared" si="116"/>
        <v/>
      </c>
      <c r="EF789" s="523" t="str">
        <f t="shared" si="117"/>
        <v/>
      </c>
      <c r="EG789" s="523" t="str">
        <f t="shared" si="118"/>
        <v/>
      </c>
      <c r="EH789" s="523" t="str">
        <f t="shared" si="119"/>
        <v/>
      </c>
      <c r="EI789" s="523" t="str">
        <f t="shared" si="120"/>
        <v/>
      </c>
      <c r="EJ789" s="523" t="str">
        <f t="shared" si="121"/>
        <v/>
      </c>
      <c r="EK789" s="523" t="str">
        <f t="shared" si="122"/>
        <v/>
      </c>
      <c r="EL789" s="523" t="str">
        <f t="shared" si="123"/>
        <v/>
      </c>
      <c r="EM789" s="523" t="str">
        <f t="shared" si="124"/>
        <v/>
      </c>
      <c r="EN789" s="523" t="str">
        <f t="shared" si="125"/>
        <v/>
      </c>
      <c r="EO789" s="523" t="str">
        <f t="shared" si="126"/>
        <v/>
      </c>
      <c r="EP789" s="523" t="str">
        <f t="shared" si="127"/>
        <v/>
      </c>
      <c r="EQ789" s="523" t="str">
        <f t="shared" si="128"/>
        <v/>
      </c>
      <c r="ER789" s="523" t="str">
        <f t="shared" si="129"/>
        <v/>
      </c>
      <c r="ES789" s="523" t="str">
        <f t="shared" si="130"/>
        <v/>
      </c>
      <c r="ET789" s="523" t="str">
        <f t="shared" si="131"/>
        <v/>
      </c>
      <c r="EU789" s="523" t="str">
        <f t="shared" si="132"/>
        <v/>
      </c>
      <c r="EV789" s="523" t="str">
        <f t="shared" si="133"/>
        <v/>
      </c>
      <c r="EW789" s="3336" t="str">
        <f t="shared" si="134"/>
        <v/>
      </c>
      <c r="EX789" s="3336" t="str">
        <f t="shared" si="135"/>
        <v/>
      </c>
      <c r="EY789" s="3336" t="str">
        <f t="shared" si="136"/>
        <v/>
      </c>
      <c r="EZ789" s="3336" t="str">
        <f t="shared" si="137"/>
        <v/>
      </c>
      <c r="FA789" s="3336" t="str">
        <f t="shared" si="138"/>
        <v/>
      </c>
      <c r="FB789" s="3336" t="str">
        <f t="shared" si="139"/>
        <v/>
      </c>
      <c r="FC789" s="3336" t="str">
        <f t="shared" si="140"/>
        <v/>
      </c>
      <c r="FD789" s="3336" t="str">
        <f t="shared" si="141"/>
        <v/>
      </c>
      <c r="FE789" s="3336" t="str">
        <f t="shared" si="142"/>
        <v/>
      </c>
      <c r="FF789" s="3336" t="str">
        <f t="shared" si="143"/>
        <v/>
      </c>
      <c r="FG789" s="3336" t="str">
        <f t="shared" si="144"/>
        <v/>
      </c>
      <c r="FH789" s="3336" t="str">
        <f t="shared" si="145"/>
        <v/>
      </c>
      <c r="FI789" s="3336" t="str">
        <f t="shared" si="146"/>
        <v/>
      </c>
      <c r="FJ789" s="3336" t="str">
        <f t="shared" si="147"/>
        <v/>
      </c>
      <c r="FK789" s="3336" t="str">
        <f t="shared" si="148"/>
        <v/>
      </c>
      <c r="FL789" s="3336" t="str">
        <f t="shared" si="149"/>
        <v/>
      </c>
      <c r="FM789" s="3336" t="str">
        <f t="shared" si="150"/>
        <v/>
      </c>
      <c r="FN789" s="3336" t="str">
        <f t="shared" si="151"/>
        <v/>
      </c>
      <c r="FO789" s="3336" t="str">
        <f t="shared" si="152"/>
        <v/>
      </c>
      <c r="FP789" s="3336" t="str">
        <f t="shared" si="153"/>
        <v/>
      </c>
      <c r="FQ789" s="3336" t="str">
        <f t="shared" si="154"/>
        <v/>
      </c>
      <c r="FR789" s="3336" t="str">
        <f t="shared" si="155"/>
        <v/>
      </c>
      <c r="FS789" s="3336" t="str">
        <f t="shared" si="156"/>
        <v/>
      </c>
      <c r="FT789" s="3336" t="str">
        <f t="shared" si="157"/>
        <v/>
      </c>
      <c r="FU789" s="3336" t="str">
        <f t="shared" si="158"/>
        <v/>
      </c>
      <c r="FV789" s="3336" t="str">
        <f t="shared" si="159"/>
        <v/>
      </c>
      <c r="FW789" s="3336" t="str">
        <f t="shared" si="160"/>
        <v/>
      </c>
      <c r="FX789" s="3336" t="str">
        <f t="shared" si="161"/>
        <v/>
      </c>
      <c r="FY789" s="3336" t="str">
        <f t="shared" si="162"/>
        <v/>
      </c>
      <c r="FZ789" s="3336" t="str">
        <f t="shared" si="163"/>
        <v/>
      </c>
      <c r="GA789" s="3336" t="str">
        <f t="shared" si="164"/>
        <v/>
      </c>
      <c r="GB789" s="3336" t="str">
        <f t="shared" si="165"/>
        <v/>
      </c>
      <c r="GC789" s="3336" t="str">
        <f t="shared" si="166"/>
        <v/>
      </c>
      <c r="GD789" s="3336" t="str">
        <f t="shared" si="167"/>
        <v/>
      </c>
      <c r="GE789" s="3336" t="str">
        <f t="shared" si="168"/>
        <v/>
      </c>
      <c r="GF789" s="3336" t="str">
        <f t="shared" si="169"/>
        <v/>
      </c>
      <c r="GG789" s="3336" t="str">
        <f t="shared" si="170"/>
        <v/>
      </c>
      <c r="GH789" s="3336" t="str">
        <f t="shared" si="171"/>
        <v/>
      </c>
      <c r="GI789" s="3336" t="str">
        <f t="shared" si="172"/>
        <v/>
      </c>
      <c r="GJ789" s="3336" t="str">
        <f t="shared" si="173"/>
        <v/>
      </c>
      <c r="GK789" s="3336" t="str">
        <f t="shared" si="174"/>
        <v/>
      </c>
      <c r="GL789" s="3336" t="str">
        <f t="shared" si="175"/>
        <v/>
      </c>
      <c r="GM789" s="3336" t="str">
        <f t="shared" si="176"/>
        <v/>
      </c>
      <c r="GN789" s="3336" t="str">
        <f t="shared" si="177"/>
        <v/>
      </c>
      <c r="GO789" s="3336" t="str">
        <f t="shared" si="178"/>
        <v/>
      </c>
      <c r="GP789" s="3336" t="str">
        <f t="shared" si="179"/>
        <v/>
      </c>
      <c r="GQ789" s="3336" t="str">
        <f t="shared" si="180"/>
        <v/>
      </c>
      <c r="GR789" s="3336" t="str">
        <f t="shared" si="181"/>
        <v/>
      </c>
      <c r="GS789" s="3336" t="str">
        <f t="shared" si="182"/>
        <v/>
      </c>
      <c r="GT789" s="3336" t="str">
        <f t="shared" si="183"/>
        <v/>
      </c>
      <c r="GU789" s="3336" t="str">
        <f t="shared" si="184"/>
        <v/>
      </c>
      <c r="GV789" s="3336" t="str">
        <f t="shared" si="185"/>
        <v/>
      </c>
      <c r="GW789" s="3336" t="str">
        <f t="shared" si="186"/>
        <v/>
      </c>
      <c r="GX789" s="3336" t="str">
        <f t="shared" si="187"/>
        <v/>
      </c>
      <c r="GY789" s="3336" t="str">
        <f t="shared" si="188"/>
        <v/>
      </c>
      <c r="GZ789" s="3336" t="str">
        <f t="shared" si="189"/>
        <v/>
      </c>
      <c r="HA789" s="3336" t="str">
        <f t="shared" si="190"/>
        <v/>
      </c>
      <c r="HB789" s="3336" t="str">
        <f t="shared" si="191"/>
        <v/>
      </c>
      <c r="HC789" s="3336" t="str">
        <f t="shared" si="192"/>
        <v/>
      </c>
      <c r="HD789" s="3336" t="str">
        <f t="shared" si="193"/>
        <v/>
      </c>
      <c r="HE789" s="3336" t="str">
        <f t="shared" si="194"/>
        <v/>
      </c>
      <c r="HF789" s="3336" t="str">
        <f t="shared" si="195"/>
        <v/>
      </c>
      <c r="HG789" s="3336" t="str">
        <f t="shared" si="196"/>
        <v/>
      </c>
      <c r="HH789" s="3336" t="str">
        <f t="shared" si="197"/>
        <v/>
      </c>
      <c r="HI789" s="3336" t="str">
        <f t="shared" si="198"/>
        <v/>
      </c>
      <c r="HJ789" s="3336" t="str">
        <f t="shared" si="199"/>
        <v/>
      </c>
      <c r="HK789" s="3336" t="str">
        <f t="shared" si="200"/>
        <v/>
      </c>
      <c r="HL789" s="3336" t="str">
        <f t="shared" si="201"/>
        <v/>
      </c>
      <c r="HM789" s="3336" t="str">
        <f t="shared" si="202"/>
        <v/>
      </c>
      <c r="HN789" s="3336" t="str">
        <f t="shared" si="203"/>
        <v/>
      </c>
      <c r="HO789" s="3336" t="str">
        <f t="shared" si="204"/>
        <v/>
      </c>
      <c r="HP789" s="3336" t="str">
        <f t="shared" si="205"/>
        <v/>
      </c>
      <c r="HQ789" s="3336" t="str">
        <f t="shared" si="206"/>
        <v/>
      </c>
      <c r="HR789" s="3336" t="str">
        <f t="shared" si="207"/>
        <v/>
      </c>
      <c r="HS789" s="3336" t="str">
        <f t="shared" si="208"/>
        <v/>
      </c>
      <c r="HT789" s="3336" t="str">
        <f t="shared" si="209"/>
        <v/>
      </c>
      <c r="HU789" s="3336" t="str">
        <f t="shared" si="210"/>
        <v/>
      </c>
      <c r="HV789" s="3336" t="str">
        <f t="shared" si="211"/>
        <v/>
      </c>
      <c r="HW789" s="3336" t="str">
        <f t="shared" si="212"/>
        <v/>
      </c>
      <c r="HX789" s="3336" t="str">
        <f t="shared" si="213"/>
        <v/>
      </c>
      <c r="HY789" s="3336" t="str">
        <f t="shared" si="214"/>
        <v/>
      </c>
      <c r="HZ789" s="3336" t="str">
        <f t="shared" si="215"/>
        <v/>
      </c>
      <c r="IA789" s="3336" t="str">
        <f t="shared" si="216"/>
        <v/>
      </c>
      <c r="IB789" s="3336" t="str">
        <f t="shared" si="217"/>
        <v/>
      </c>
      <c r="IC789" s="3336" t="str">
        <f t="shared" si="218"/>
        <v/>
      </c>
      <c r="ID789" s="3308" t="str">
        <f t="shared" si="219"/>
        <v/>
      </c>
      <c r="IE789" s="3308" t="str">
        <f t="shared" si="220"/>
        <v/>
      </c>
      <c r="IF789" s="3308" t="str">
        <f t="shared" si="221"/>
        <v/>
      </c>
      <c r="IG789" s="3308" t="str">
        <f t="shared" si="222"/>
        <v/>
      </c>
      <c r="IH789" s="3308" t="str">
        <f t="shared" si="223"/>
        <v/>
      </c>
      <c r="II789" s="523" t="str">
        <f t="shared" si="224"/>
        <v/>
      </c>
      <c r="IJ789" s="523" t="str">
        <f t="shared" si="225"/>
        <v/>
      </c>
      <c r="IK789" s="523" t="str">
        <f t="shared" si="226"/>
        <v/>
      </c>
      <c r="IL789" s="523" t="str">
        <f t="shared" si="227"/>
        <v/>
      </c>
      <c r="IM789" s="523" t="str">
        <f t="shared" si="228"/>
        <v/>
      </c>
      <c r="IN789" s="523" t="str">
        <f t="shared" si="229"/>
        <v/>
      </c>
      <c r="IO789" s="523" t="str">
        <f t="shared" si="230"/>
        <v/>
      </c>
      <c r="IP789" s="523" t="str">
        <f t="shared" si="231"/>
        <v/>
      </c>
      <c r="IQ789" s="523" t="str">
        <f t="shared" si="232"/>
        <v/>
      </c>
      <c r="IR789" s="523" t="str">
        <f t="shared" si="233"/>
        <v/>
      </c>
      <c r="IS789" s="523" t="str">
        <f t="shared" si="234"/>
        <v/>
      </c>
      <c r="IT789" s="523" t="str">
        <f t="shared" si="235"/>
        <v/>
      </c>
      <c r="IU789" s="523" t="str">
        <f t="shared" si="236"/>
        <v/>
      </c>
      <c r="IV789" s="523" t="str">
        <f t="shared" si="237"/>
        <v/>
      </c>
      <c r="IW789" s="523" t="str">
        <f t="shared" si="238"/>
        <v/>
      </c>
      <c r="IX789" s="523" t="str">
        <f t="shared" si="239"/>
        <v/>
      </c>
      <c r="IY789" s="523" t="str">
        <f t="shared" si="240"/>
        <v/>
      </c>
      <c r="IZ789" s="523" t="str">
        <f t="shared" si="241"/>
        <v/>
      </c>
      <c r="JA789" s="523" t="str">
        <f t="shared" si="242"/>
        <v/>
      </c>
      <c r="JB789" s="523" t="str">
        <f t="shared" si="243"/>
        <v/>
      </c>
      <c r="JC789" s="3306">
        <f t="shared" si="244"/>
        <v>0</v>
      </c>
      <c r="JD789" s="3306">
        <f t="shared" si="245"/>
        <v>0</v>
      </c>
      <c r="JE789" s="3306">
        <f t="shared" si="246"/>
        <v>0</v>
      </c>
      <c r="JF789" s="3306">
        <f t="shared" si="247"/>
        <v>0</v>
      </c>
      <c r="JG789" s="3306">
        <f t="shared" si="248"/>
        <v>0</v>
      </c>
      <c r="JH789" s="3306">
        <f t="shared" si="249"/>
        <v>0</v>
      </c>
      <c r="JI789" s="3306">
        <f t="shared" si="250"/>
        <v>0</v>
      </c>
      <c r="JJ789" s="3306">
        <f t="shared" si="251"/>
        <v>0</v>
      </c>
      <c r="JK789" s="3306">
        <f t="shared" si="252"/>
        <v>0</v>
      </c>
      <c r="JL789" s="3306">
        <f t="shared" si="253"/>
        <v>0</v>
      </c>
      <c r="JM789" s="3306">
        <f t="shared" si="254"/>
        <v>0</v>
      </c>
      <c r="JN789" s="3306">
        <f t="shared" si="255"/>
        <v>0</v>
      </c>
      <c r="JO789" s="3306">
        <f t="shared" si="256"/>
        <v>0</v>
      </c>
      <c r="JP789" s="3306">
        <f t="shared" si="257"/>
        <v>0</v>
      </c>
      <c r="JQ789" s="3306">
        <f t="shared" si="258"/>
        <v>0</v>
      </c>
    </row>
    <row r="790" spans="1:277" ht="12" customHeight="1">
      <c r="A790" s="3319" t="str">
        <f t="shared" si="1"/>
        <v/>
      </c>
      <c r="B790" s="3328" t="str">
        <f>'Part VI-Revenues &amp; Expenses'!B33</f>
        <v>&lt;&lt;Select&gt;&gt;</v>
      </c>
      <c r="C790" s="3329">
        <f>'Part VI-Revenues &amp; Expenses'!C33</f>
        <v>0</v>
      </c>
      <c r="D790" s="3330">
        <f>'Part VI-Revenues &amp; Expenses'!D33</f>
        <v>0</v>
      </c>
      <c r="E790" s="3331">
        <f>'Part VI-Revenues &amp; Expenses'!E33</f>
        <v>0</v>
      </c>
      <c r="F790" s="3331">
        <f>'Part VI-Revenues &amp; Expenses'!F33</f>
        <v>0</v>
      </c>
      <c r="G790" s="3331">
        <f>'Part VI-Revenues &amp; Expenses'!G33</f>
        <v>0</v>
      </c>
      <c r="H790" s="3331">
        <f>'Part VI-Revenues &amp; Expenses'!H33</f>
        <v>0</v>
      </c>
      <c r="I790" s="3331">
        <f>'Part VI-Revenues &amp; Expenses'!I33</f>
        <v>0</v>
      </c>
      <c r="J790" s="3332">
        <f>'Part VI-Revenues &amp; Expenses'!J33</f>
        <v>0</v>
      </c>
      <c r="K790" s="3333">
        <f t="shared" si="2"/>
        <v>0</v>
      </c>
      <c r="L790" s="3333">
        <f t="shared" si="3"/>
        <v>0</v>
      </c>
      <c r="M790" s="3207">
        <f>'Part VI-Revenues &amp; Expenses'!M33</f>
        <v>0</v>
      </c>
      <c r="N790" s="3207">
        <f>'Part VI-Revenues &amp; Expenses'!N33</f>
        <v>0</v>
      </c>
      <c r="O790" s="3207">
        <f>'Part VI-Revenues &amp; Expenses'!O33</f>
        <v>0</v>
      </c>
      <c r="P790" s="3313">
        <f>'Part VI-Revenues &amp; Expenses'!P33</f>
        <v>0</v>
      </c>
      <c r="Q790" s="3334" t="str">
        <f>'Part VI-Revenues &amp; Expenses'!Q33</f>
        <v/>
      </c>
      <c r="R790" s="3335" t="str">
        <f>'Part VI-Revenues &amp; Expenses'!R33</f>
        <v/>
      </c>
      <c r="S790" s="3334">
        <f>'Part VI-Revenues &amp; Expenses'!S33</f>
        <v>0</v>
      </c>
      <c r="T790" s="3335">
        <f>'Part VI-Revenues &amp; Expenses'!T33</f>
        <v>0</v>
      </c>
      <c r="U790" s="3257"/>
      <c r="V790" s="3257"/>
      <c r="W790" s="523" t="str">
        <f t="shared" si="4"/>
        <v/>
      </c>
      <c r="X790" s="523" t="str">
        <f t="shared" si="5"/>
        <v/>
      </c>
      <c r="Y790" s="523" t="str">
        <f t="shared" si="6"/>
        <v/>
      </c>
      <c r="Z790" s="523" t="str">
        <f t="shared" si="7"/>
        <v/>
      </c>
      <c r="AA790" s="523" t="str">
        <f t="shared" si="8"/>
        <v/>
      </c>
      <c r="AB790" s="523" t="str">
        <f t="shared" si="9"/>
        <v/>
      </c>
      <c r="AC790" s="523" t="str">
        <f t="shared" si="10"/>
        <v/>
      </c>
      <c r="AD790" s="523" t="str">
        <f t="shared" si="11"/>
        <v/>
      </c>
      <c r="AE790" s="523" t="str">
        <f t="shared" si="12"/>
        <v/>
      </c>
      <c r="AF790" s="523" t="str">
        <f t="shared" si="13"/>
        <v/>
      </c>
      <c r="AG790" s="523" t="str">
        <f t="shared" si="14"/>
        <v/>
      </c>
      <c r="AH790" s="523" t="str">
        <f t="shared" si="15"/>
        <v/>
      </c>
      <c r="AI790" s="523" t="str">
        <f t="shared" si="16"/>
        <v/>
      </c>
      <c r="AJ790" s="523" t="str">
        <f t="shared" si="17"/>
        <v/>
      </c>
      <c r="AK790" s="523" t="str">
        <f t="shared" si="18"/>
        <v/>
      </c>
      <c r="AL790" s="523" t="str">
        <f t="shared" si="19"/>
        <v/>
      </c>
      <c r="AM790" s="523" t="str">
        <f t="shared" si="20"/>
        <v/>
      </c>
      <c r="AN790" s="523" t="str">
        <f t="shared" si="21"/>
        <v/>
      </c>
      <c r="AO790" s="523" t="str">
        <f t="shared" si="22"/>
        <v/>
      </c>
      <c r="AP790" s="523" t="str">
        <f t="shared" si="23"/>
        <v/>
      </c>
      <c r="AQ790" s="523" t="str">
        <f t="shared" si="24"/>
        <v/>
      </c>
      <c r="AR790" s="523" t="str">
        <f t="shared" si="25"/>
        <v/>
      </c>
      <c r="AS790" s="523" t="str">
        <f t="shared" si="26"/>
        <v/>
      </c>
      <c r="AT790" s="523" t="str">
        <f t="shared" si="27"/>
        <v/>
      </c>
      <c r="AU790" s="523" t="str">
        <f t="shared" si="28"/>
        <v/>
      </c>
      <c r="AV790" s="523" t="str">
        <f t="shared" si="29"/>
        <v/>
      </c>
      <c r="AW790" s="523" t="str">
        <f t="shared" si="30"/>
        <v/>
      </c>
      <c r="AX790" s="523" t="str">
        <f t="shared" si="31"/>
        <v/>
      </c>
      <c r="AY790" s="523" t="str">
        <f t="shared" si="32"/>
        <v/>
      </c>
      <c r="AZ790" s="523" t="str">
        <f t="shared" si="33"/>
        <v/>
      </c>
      <c r="BA790" s="523" t="str">
        <f t="shared" si="34"/>
        <v/>
      </c>
      <c r="BB790" s="523" t="str">
        <f t="shared" si="35"/>
        <v/>
      </c>
      <c r="BC790" s="523" t="str">
        <f t="shared" si="36"/>
        <v/>
      </c>
      <c r="BD790" s="523" t="str">
        <f t="shared" si="37"/>
        <v/>
      </c>
      <c r="BE790" s="523" t="str">
        <f t="shared" si="38"/>
        <v/>
      </c>
      <c r="BF790" s="523" t="str">
        <f t="shared" si="39"/>
        <v/>
      </c>
      <c r="BG790" s="523" t="str">
        <f t="shared" si="40"/>
        <v/>
      </c>
      <c r="BH790" s="523" t="str">
        <f t="shared" si="41"/>
        <v/>
      </c>
      <c r="BI790" s="523" t="str">
        <f t="shared" si="42"/>
        <v/>
      </c>
      <c r="BJ790" s="523" t="str">
        <f t="shared" si="43"/>
        <v/>
      </c>
      <c r="BK790" s="523" t="str">
        <f t="shared" si="44"/>
        <v/>
      </c>
      <c r="BL790" s="523" t="str">
        <f t="shared" si="45"/>
        <v/>
      </c>
      <c r="BM790" s="523" t="str">
        <f t="shared" si="46"/>
        <v/>
      </c>
      <c r="BN790" s="523" t="str">
        <f t="shared" si="47"/>
        <v/>
      </c>
      <c r="BO790" s="523" t="str">
        <f t="shared" si="48"/>
        <v/>
      </c>
      <c r="BP790" s="523" t="str">
        <f t="shared" si="49"/>
        <v/>
      </c>
      <c r="BQ790" s="523" t="str">
        <f t="shared" si="50"/>
        <v/>
      </c>
      <c r="BR790" s="523" t="str">
        <f t="shared" si="51"/>
        <v/>
      </c>
      <c r="BS790" s="523" t="str">
        <f t="shared" si="52"/>
        <v/>
      </c>
      <c r="BT790" s="523" t="str">
        <f t="shared" si="53"/>
        <v/>
      </c>
      <c r="BU790" s="523" t="str">
        <f t="shared" si="54"/>
        <v/>
      </c>
      <c r="BV790" s="523" t="str">
        <f t="shared" si="55"/>
        <v/>
      </c>
      <c r="BW790" s="523" t="str">
        <f t="shared" si="56"/>
        <v/>
      </c>
      <c r="BX790" s="523" t="str">
        <f t="shared" si="57"/>
        <v/>
      </c>
      <c r="BY790" s="523" t="str">
        <f t="shared" si="58"/>
        <v/>
      </c>
      <c r="BZ790" s="523" t="str">
        <f t="shared" si="59"/>
        <v/>
      </c>
      <c r="CA790" s="523" t="str">
        <f t="shared" si="60"/>
        <v/>
      </c>
      <c r="CB790" s="523" t="str">
        <f t="shared" si="61"/>
        <v/>
      </c>
      <c r="CC790" s="523" t="str">
        <f t="shared" si="62"/>
        <v/>
      </c>
      <c r="CD790" s="523" t="str">
        <f t="shared" si="63"/>
        <v/>
      </c>
      <c r="CE790" s="523" t="str">
        <f t="shared" si="64"/>
        <v/>
      </c>
      <c r="CF790" s="523" t="str">
        <f t="shared" si="65"/>
        <v/>
      </c>
      <c r="CG790" s="523" t="str">
        <f t="shared" si="66"/>
        <v/>
      </c>
      <c r="CH790" s="523" t="str">
        <f t="shared" si="67"/>
        <v/>
      </c>
      <c r="CI790" s="523" t="str">
        <f t="shared" si="68"/>
        <v/>
      </c>
      <c r="CJ790" s="523" t="str">
        <f t="shared" si="69"/>
        <v/>
      </c>
      <c r="CK790" s="523" t="str">
        <f t="shared" si="70"/>
        <v/>
      </c>
      <c r="CL790" s="523" t="str">
        <f t="shared" si="71"/>
        <v/>
      </c>
      <c r="CM790" s="523" t="str">
        <f t="shared" si="72"/>
        <v/>
      </c>
      <c r="CN790" s="523" t="str">
        <f t="shared" si="73"/>
        <v/>
      </c>
      <c r="CO790" s="523" t="str">
        <f t="shared" si="74"/>
        <v/>
      </c>
      <c r="CP790" s="523" t="str">
        <f t="shared" si="75"/>
        <v/>
      </c>
      <c r="CQ790" s="523" t="str">
        <f t="shared" si="76"/>
        <v/>
      </c>
      <c r="CR790" s="523" t="str">
        <f t="shared" si="77"/>
        <v/>
      </c>
      <c r="CS790" s="523" t="str">
        <f t="shared" si="78"/>
        <v/>
      </c>
      <c r="CT790" s="523" t="str">
        <f t="shared" si="79"/>
        <v/>
      </c>
      <c r="CU790" s="523" t="str">
        <f t="shared" si="80"/>
        <v/>
      </c>
      <c r="CV790" s="523" t="str">
        <f t="shared" si="81"/>
        <v/>
      </c>
      <c r="CW790" s="523" t="str">
        <f t="shared" si="82"/>
        <v/>
      </c>
      <c r="CX790" s="523" t="str">
        <f t="shared" si="83"/>
        <v/>
      </c>
      <c r="CY790" s="523" t="str">
        <f t="shared" si="84"/>
        <v/>
      </c>
      <c r="CZ790" s="523" t="str">
        <f t="shared" si="85"/>
        <v/>
      </c>
      <c r="DA790" s="523" t="str">
        <f t="shared" si="86"/>
        <v/>
      </c>
      <c r="DB790" s="523" t="str">
        <f t="shared" si="87"/>
        <v/>
      </c>
      <c r="DC790" s="523" t="str">
        <f t="shared" si="88"/>
        <v/>
      </c>
      <c r="DD790" s="523" t="str">
        <f t="shared" si="89"/>
        <v/>
      </c>
      <c r="DE790" s="523" t="str">
        <f t="shared" si="90"/>
        <v/>
      </c>
      <c r="DF790" s="523" t="str">
        <f t="shared" si="91"/>
        <v/>
      </c>
      <c r="DG790" s="523" t="str">
        <f t="shared" si="92"/>
        <v/>
      </c>
      <c r="DH790" s="523" t="str">
        <f t="shared" si="93"/>
        <v/>
      </c>
      <c r="DI790" s="523" t="str">
        <f t="shared" si="94"/>
        <v/>
      </c>
      <c r="DJ790" s="523" t="str">
        <f t="shared" si="95"/>
        <v/>
      </c>
      <c r="DK790" s="523" t="str">
        <f t="shared" si="96"/>
        <v/>
      </c>
      <c r="DL790" s="523" t="str">
        <f t="shared" si="97"/>
        <v/>
      </c>
      <c r="DM790" s="523" t="str">
        <f t="shared" si="98"/>
        <v/>
      </c>
      <c r="DN790" s="523" t="str">
        <f t="shared" si="99"/>
        <v/>
      </c>
      <c r="DO790" s="523" t="str">
        <f t="shared" si="100"/>
        <v/>
      </c>
      <c r="DP790" s="523" t="str">
        <f t="shared" si="101"/>
        <v/>
      </c>
      <c r="DQ790" s="523" t="str">
        <f t="shared" si="102"/>
        <v/>
      </c>
      <c r="DR790" s="523" t="str">
        <f t="shared" si="103"/>
        <v/>
      </c>
      <c r="DS790" s="523" t="str">
        <f t="shared" si="104"/>
        <v/>
      </c>
      <c r="DT790" s="523" t="str">
        <f t="shared" si="105"/>
        <v/>
      </c>
      <c r="DU790" s="523" t="str">
        <f t="shared" si="106"/>
        <v/>
      </c>
      <c r="DV790" s="523" t="str">
        <f t="shared" si="107"/>
        <v/>
      </c>
      <c r="DW790" s="523" t="str">
        <f t="shared" si="108"/>
        <v/>
      </c>
      <c r="DX790" s="523" t="str">
        <f t="shared" si="109"/>
        <v/>
      </c>
      <c r="DY790" s="523" t="str">
        <f t="shared" si="110"/>
        <v/>
      </c>
      <c r="DZ790" s="523" t="str">
        <f t="shared" si="111"/>
        <v/>
      </c>
      <c r="EA790" s="523" t="str">
        <f t="shared" si="112"/>
        <v/>
      </c>
      <c r="EB790" s="523" t="str">
        <f t="shared" si="113"/>
        <v/>
      </c>
      <c r="EC790" s="523" t="str">
        <f t="shared" si="114"/>
        <v/>
      </c>
      <c r="ED790" s="523" t="str">
        <f t="shared" si="115"/>
        <v/>
      </c>
      <c r="EE790" s="523" t="str">
        <f t="shared" si="116"/>
        <v/>
      </c>
      <c r="EF790" s="523" t="str">
        <f t="shared" si="117"/>
        <v/>
      </c>
      <c r="EG790" s="523" t="str">
        <f t="shared" si="118"/>
        <v/>
      </c>
      <c r="EH790" s="523" t="str">
        <f t="shared" si="119"/>
        <v/>
      </c>
      <c r="EI790" s="523" t="str">
        <f t="shared" si="120"/>
        <v/>
      </c>
      <c r="EJ790" s="523" t="str">
        <f t="shared" si="121"/>
        <v/>
      </c>
      <c r="EK790" s="523" t="str">
        <f t="shared" si="122"/>
        <v/>
      </c>
      <c r="EL790" s="523" t="str">
        <f t="shared" si="123"/>
        <v/>
      </c>
      <c r="EM790" s="523" t="str">
        <f t="shared" si="124"/>
        <v/>
      </c>
      <c r="EN790" s="523" t="str">
        <f t="shared" si="125"/>
        <v/>
      </c>
      <c r="EO790" s="523" t="str">
        <f t="shared" si="126"/>
        <v/>
      </c>
      <c r="EP790" s="523" t="str">
        <f t="shared" si="127"/>
        <v/>
      </c>
      <c r="EQ790" s="523" t="str">
        <f t="shared" si="128"/>
        <v/>
      </c>
      <c r="ER790" s="523" t="str">
        <f t="shared" si="129"/>
        <v/>
      </c>
      <c r="ES790" s="523" t="str">
        <f t="shared" si="130"/>
        <v/>
      </c>
      <c r="ET790" s="523" t="str">
        <f t="shared" si="131"/>
        <v/>
      </c>
      <c r="EU790" s="523" t="str">
        <f t="shared" si="132"/>
        <v/>
      </c>
      <c r="EV790" s="523" t="str">
        <f t="shared" si="133"/>
        <v/>
      </c>
      <c r="EW790" s="3336" t="str">
        <f t="shared" si="134"/>
        <v/>
      </c>
      <c r="EX790" s="3336" t="str">
        <f t="shared" si="135"/>
        <v/>
      </c>
      <c r="EY790" s="3336" t="str">
        <f t="shared" si="136"/>
        <v/>
      </c>
      <c r="EZ790" s="3336" t="str">
        <f t="shared" si="137"/>
        <v/>
      </c>
      <c r="FA790" s="3336" t="str">
        <f t="shared" si="138"/>
        <v/>
      </c>
      <c r="FB790" s="3336" t="str">
        <f t="shared" si="139"/>
        <v/>
      </c>
      <c r="FC790" s="3336" t="str">
        <f t="shared" si="140"/>
        <v/>
      </c>
      <c r="FD790" s="3336" t="str">
        <f t="shared" si="141"/>
        <v/>
      </c>
      <c r="FE790" s="3336" t="str">
        <f t="shared" si="142"/>
        <v/>
      </c>
      <c r="FF790" s="3336" t="str">
        <f t="shared" si="143"/>
        <v/>
      </c>
      <c r="FG790" s="3336" t="str">
        <f t="shared" si="144"/>
        <v/>
      </c>
      <c r="FH790" s="3336" t="str">
        <f t="shared" si="145"/>
        <v/>
      </c>
      <c r="FI790" s="3336" t="str">
        <f t="shared" si="146"/>
        <v/>
      </c>
      <c r="FJ790" s="3336" t="str">
        <f t="shared" si="147"/>
        <v/>
      </c>
      <c r="FK790" s="3336" t="str">
        <f t="shared" si="148"/>
        <v/>
      </c>
      <c r="FL790" s="3336" t="str">
        <f t="shared" si="149"/>
        <v/>
      </c>
      <c r="FM790" s="3336" t="str">
        <f t="shared" si="150"/>
        <v/>
      </c>
      <c r="FN790" s="3336" t="str">
        <f t="shared" si="151"/>
        <v/>
      </c>
      <c r="FO790" s="3336" t="str">
        <f t="shared" si="152"/>
        <v/>
      </c>
      <c r="FP790" s="3336" t="str">
        <f t="shared" si="153"/>
        <v/>
      </c>
      <c r="FQ790" s="3336" t="str">
        <f t="shared" si="154"/>
        <v/>
      </c>
      <c r="FR790" s="3336" t="str">
        <f t="shared" si="155"/>
        <v/>
      </c>
      <c r="FS790" s="3336" t="str">
        <f t="shared" si="156"/>
        <v/>
      </c>
      <c r="FT790" s="3336" t="str">
        <f t="shared" si="157"/>
        <v/>
      </c>
      <c r="FU790" s="3336" t="str">
        <f t="shared" si="158"/>
        <v/>
      </c>
      <c r="FV790" s="3336" t="str">
        <f t="shared" si="159"/>
        <v/>
      </c>
      <c r="FW790" s="3336" t="str">
        <f t="shared" si="160"/>
        <v/>
      </c>
      <c r="FX790" s="3336" t="str">
        <f t="shared" si="161"/>
        <v/>
      </c>
      <c r="FY790" s="3336" t="str">
        <f t="shared" si="162"/>
        <v/>
      </c>
      <c r="FZ790" s="3336" t="str">
        <f t="shared" si="163"/>
        <v/>
      </c>
      <c r="GA790" s="3336" t="str">
        <f t="shared" si="164"/>
        <v/>
      </c>
      <c r="GB790" s="3336" t="str">
        <f t="shared" si="165"/>
        <v/>
      </c>
      <c r="GC790" s="3336" t="str">
        <f t="shared" si="166"/>
        <v/>
      </c>
      <c r="GD790" s="3336" t="str">
        <f t="shared" si="167"/>
        <v/>
      </c>
      <c r="GE790" s="3336" t="str">
        <f t="shared" si="168"/>
        <v/>
      </c>
      <c r="GF790" s="3336" t="str">
        <f t="shared" si="169"/>
        <v/>
      </c>
      <c r="GG790" s="3336" t="str">
        <f t="shared" si="170"/>
        <v/>
      </c>
      <c r="GH790" s="3336" t="str">
        <f t="shared" si="171"/>
        <v/>
      </c>
      <c r="GI790" s="3336" t="str">
        <f t="shared" si="172"/>
        <v/>
      </c>
      <c r="GJ790" s="3336" t="str">
        <f t="shared" si="173"/>
        <v/>
      </c>
      <c r="GK790" s="3336" t="str">
        <f t="shared" si="174"/>
        <v/>
      </c>
      <c r="GL790" s="3336" t="str">
        <f t="shared" si="175"/>
        <v/>
      </c>
      <c r="GM790" s="3336" t="str">
        <f t="shared" si="176"/>
        <v/>
      </c>
      <c r="GN790" s="3336" t="str">
        <f t="shared" si="177"/>
        <v/>
      </c>
      <c r="GO790" s="3336" t="str">
        <f t="shared" si="178"/>
        <v/>
      </c>
      <c r="GP790" s="3336" t="str">
        <f t="shared" si="179"/>
        <v/>
      </c>
      <c r="GQ790" s="3336" t="str">
        <f t="shared" si="180"/>
        <v/>
      </c>
      <c r="GR790" s="3336" t="str">
        <f t="shared" si="181"/>
        <v/>
      </c>
      <c r="GS790" s="3336" t="str">
        <f t="shared" si="182"/>
        <v/>
      </c>
      <c r="GT790" s="3336" t="str">
        <f t="shared" si="183"/>
        <v/>
      </c>
      <c r="GU790" s="3336" t="str">
        <f t="shared" si="184"/>
        <v/>
      </c>
      <c r="GV790" s="3336" t="str">
        <f t="shared" si="185"/>
        <v/>
      </c>
      <c r="GW790" s="3336" t="str">
        <f t="shared" si="186"/>
        <v/>
      </c>
      <c r="GX790" s="3336" t="str">
        <f t="shared" si="187"/>
        <v/>
      </c>
      <c r="GY790" s="3336" t="str">
        <f t="shared" si="188"/>
        <v/>
      </c>
      <c r="GZ790" s="3336" t="str">
        <f t="shared" si="189"/>
        <v/>
      </c>
      <c r="HA790" s="3336" t="str">
        <f t="shared" si="190"/>
        <v/>
      </c>
      <c r="HB790" s="3336" t="str">
        <f t="shared" si="191"/>
        <v/>
      </c>
      <c r="HC790" s="3336" t="str">
        <f t="shared" si="192"/>
        <v/>
      </c>
      <c r="HD790" s="3336" t="str">
        <f t="shared" si="193"/>
        <v/>
      </c>
      <c r="HE790" s="3336" t="str">
        <f t="shared" si="194"/>
        <v/>
      </c>
      <c r="HF790" s="3336" t="str">
        <f t="shared" si="195"/>
        <v/>
      </c>
      <c r="HG790" s="3336" t="str">
        <f t="shared" si="196"/>
        <v/>
      </c>
      <c r="HH790" s="3336" t="str">
        <f t="shared" si="197"/>
        <v/>
      </c>
      <c r="HI790" s="3336" t="str">
        <f t="shared" si="198"/>
        <v/>
      </c>
      <c r="HJ790" s="3336" t="str">
        <f t="shared" si="199"/>
        <v/>
      </c>
      <c r="HK790" s="3336" t="str">
        <f t="shared" si="200"/>
        <v/>
      </c>
      <c r="HL790" s="3336" t="str">
        <f t="shared" si="201"/>
        <v/>
      </c>
      <c r="HM790" s="3336" t="str">
        <f t="shared" si="202"/>
        <v/>
      </c>
      <c r="HN790" s="3336" t="str">
        <f t="shared" si="203"/>
        <v/>
      </c>
      <c r="HO790" s="3336" t="str">
        <f t="shared" si="204"/>
        <v/>
      </c>
      <c r="HP790" s="3336" t="str">
        <f t="shared" si="205"/>
        <v/>
      </c>
      <c r="HQ790" s="3336" t="str">
        <f t="shared" si="206"/>
        <v/>
      </c>
      <c r="HR790" s="3336" t="str">
        <f t="shared" si="207"/>
        <v/>
      </c>
      <c r="HS790" s="3336" t="str">
        <f t="shared" si="208"/>
        <v/>
      </c>
      <c r="HT790" s="3336" t="str">
        <f t="shared" si="209"/>
        <v/>
      </c>
      <c r="HU790" s="3336" t="str">
        <f t="shared" si="210"/>
        <v/>
      </c>
      <c r="HV790" s="3336" t="str">
        <f t="shared" si="211"/>
        <v/>
      </c>
      <c r="HW790" s="3336" t="str">
        <f t="shared" si="212"/>
        <v/>
      </c>
      <c r="HX790" s="3336" t="str">
        <f t="shared" si="213"/>
        <v/>
      </c>
      <c r="HY790" s="3336" t="str">
        <f t="shared" si="214"/>
        <v/>
      </c>
      <c r="HZ790" s="3336" t="str">
        <f t="shared" si="215"/>
        <v/>
      </c>
      <c r="IA790" s="3336" t="str">
        <f t="shared" si="216"/>
        <v/>
      </c>
      <c r="IB790" s="3336" t="str">
        <f t="shared" si="217"/>
        <v/>
      </c>
      <c r="IC790" s="3336" t="str">
        <f t="shared" si="218"/>
        <v/>
      </c>
      <c r="ID790" s="3308" t="str">
        <f t="shared" si="219"/>
        <v/>
      </c>
      <c r="IE790" s="3308" t="str">
        <f t="shared" si="220"/>
        <v/>
      </c>
      <c r="IF790" s="3308" t="str">
        <f t="shared" si="221"/>
        <v/>
      </c>
      <c r="IG790" s="3308" t="str">
        <f t="shared" si="222"/>
        <v/>
      </c>
      <c r="IH790" s="3308" t="str">
        <f t="shared" si="223"/>
        <v/>
      </c>
      <c r="II790" s="523" t="str">
        <f t="shared" si="224"/>
        <v/>
      </c>
      <c r="IJ790" s="523" t="str">
        <f t="shared" si="225"/>
        <v/>
      </c>
      <c r="IK790" s="523" t="str">
        <f t="shared" si="226"/>
        <v/>
      </c>
      <c r="IL790" s="523" t="str">
        <f t="shared" si="227"/>
        <v/>
      </c>
      <c r="IM790" s="523" t="str">
        <f t="shared" si="228"/>
        <v/>
      </c>
      <c r="IN790" s="523" t="str">
        <f t="shared" si="229"/>
        <v/>
      </c>
      <c r="IO790" s="523" t="str">
        <f t="shared" si="230"/>
        <v/>
      </c>
      <c r="IP790" s="523" t="str">
        <f t="shared" si="231"/>
        <v/>
      </c>
      <c r="IQ790" s="523" t="str">
        <f t="shared" si="232"/>
        <v/>
      </c>
      <c r="IR790" s="523" t="str">
        <f t="shared" si="233"/>
        <v/>
      </c>
      <c r="IS790" s="523" t="str">
        <f t="shared" si="234"/>
        <v/>
      </c>
      <c r="IT790" s="523" t="str">
        <f t="shared" si="235"/>
        <v/>
      </c>
      <c r="IU790" s="523" t="str">
        <f t="shared" si="236"/>
        <v/>
      </c>
      <c r="IV790" s="523" t="str">
        <f t="shared" si="237"/>
        <v/>
      </c>
      <c r="IW790" s="523" t="str">
        <f t="shared" si="238"/>
        <v/>
      </c>
      <c r="IX790" s="523" t="str">
        <f t="shared" si="239"/>
        <v/>
      </c>
      <c r="IY790" s="523" t="str">
        <f t="shared" si="240"/>
        <v/>
      </c>
      <c r="IZ790" s="523" t="str">
        <f t="shared" si="241"/>
        <v/>
      </c>
      <c r="JA790" s="523" t="str">
        <f t="shared" si="242"/>
        <v/>
      </c>
      <c r="JB790" s="523" t="str">
        <f t="shared" si="243"/>
        <v/>
      </c>
      <c r="JC790" s="3306">
        <f t="shared" si="244"/>
        <v>0</v>
      </c>
      <c r="JD790" s="3306">
        <f t="shared" si="245"/>
        <v>0</v>
      </c>
      <c r="JE790" s="3306">
        <f t="shared" si="246"/>
        <v>0</v>
      </c>
      <c r="JF790" s="3306">
        <f t="shared" si="247"/>
        <v>0</v>
      </c>
      <c r="JG790" s="3306">
        <f t="shared" si="248"/>
        <v>0</v>
      </c>
      <c r="JH790" s="3306">
        <f t="shared" si="249"/>
        <v>0</v>
      </c>
      <c r="JI790" s="3306">
        <f t="shared" si="250"/>
        <v>0</v>
      </c>
      <c r="JJ790" s="3306">
        <f t="shared" si="251"/>
        <v>0</v>
      </c>
      <c r="JK790" s="3306">
        <f t="shared" si="252"/>
        <v>0</v>
      </c>
      <c r="JL790" s="3306">
        <f t="shared" si="253"/>
        <v>0</v>
      </c>
      <c r="JM790" s="3306">
        <f t="shared" si="254"/>
        <v>0</v>
      </c>
      <c r="JN790" s="3306">
        <f t="shared" si="255"/>
        <v>0</v>
      </c>
      <c r="JO790" s="3306">
        <f t="shared" si="256"/>
        <v>0</v>
      </c>
      <c r="JP790" s="3306">
        <f t="shared" si="257"/>
        <v>0</v>
      </c>
      <c r="JQ790" s="3306">
        <f t="shared" si="258"/>
        <v>0</v>
      </c>
    </row>
    <row r="791" spans="1:277" ht="12" customHeight="1">
      <c r="A791" s="3319" t="str">
        <f t="shared" si="1"/>
        <v/>
      </c>
      <c r="B791" s="3328" t="str">
        <f>'Part VI-Revenues &amp; Expenses'!B34</f>
        <v>&lt;&lt;Select&gt;&gt;</v>
      </c>
      <c r="C791" s="3329">
        <f>'Part VI-Revenues &amp; Expenses'!C34</f>
        <v>0</v>
      </c>
      <c r="D791" s="3330">
        <f>'Part VI-Revenues &amp; Expenses'!D34</f>
        <v>0</v>
      </c>
      <c r="E791" s="3331">
        <f>'Part VI-Revenues &amp; Expenses'!E34</f>
        <v>0</v>
      </c>
      <c r="F791" s="3331">
        <f>'Part VI-Revenues &amp; Expenses'!F34</f>
        <v>0</v>
      </c>
      <c r="G791" s="3331">
        <f>'Part VI-Revenues &amp; Expenses'!G34</f>
        <v>0</v>
      </c>
      <c r="H791" s="3331">
        <f>'Part VI-Revenues &amp; Expenses'!H34</f>
        <v>0</v>
      </c>
      <c r="I791" s="3331">
        <f>'Part VI-Revenues &amp; Expenses'!I34</f>
        <v>0</v>
      </c>
      <c r="J791" s="3332">
        <f>'Part VI-Revenues &amp; Expenses'!J34</f>
        <v>0</v>
      </c>
      <c r="K791" s="3333">
        <f t="shared" si="2"/>
        <v>0</v>
      </c>
      <c r="L791" s="3333">
        <f t="shared" si="3"/>
        <v>0</v>
      </c>
      <c r="M791" s="3207">
        <f>'Part VI-Revenues &amp; Expenses'!M34</f>
        <v>0</v>
      </c>
      <c r="N791" s="3207">
        <f>'Part VI-Revenues &amp; Expenses'!N34</f>
        <v>0</v>
      </c>
      <c r="O791" s="3207">
        <f>'Part VI-Revenues &amp; Expenses'!O34</f>
        <v>0</v>
      </c>
      <c r="P791" s="3313">
        <f>'Part VI-Revenues &amp; Expenses'!P34</f>
        <v>0</v>
      </c>
      <c r="Q791" s="3334" t="str">
        <f>'Part VI-Revenues &amp; Expenses'!Q34</f>
        <v/>
      </c>
      <c r="R791" s="3335" t="str">
        <f>'Part VI-Revenues &amp; Expenses'!R34</f>
        <v/>
      </c>
      <c r="S791" s="3334">
        <f>'Part VI-Revenues &amp; Expenses'!S34</f>
        <v>0</v>
      </c>
      <c r="T791" s="3335">
        <f>'Part VI-Revenues &amp; Expenses'!T34</f>
        <v>0</v>
      </c>
      <c r="U791" s="3257"/>
      <c r="V791" s="3257"/>
      <c r="W791" s="523" t="str">
        <f t="shared" si="4"/>
        <v/>
      </c>
      <c r="X791" s="523" t="str">
        <f t="shared" si="5"/>
        <v/>
      </c>
      <c r="Y791" s="523" t="str">
        <f t="shared" si="6"/>
        <v/>
      </c>
      <c r="Z791" s="523" t="str">
        <f t="shared" si="7"/>
        <v/>
      </c>
      <c r="AA791" s="523" t="str">
        <f t="shared" si="8"/>
        <v/>
      </c>
      <c r="AB791" s="523" t="str">
        <f t="shared" si="9"/>
        <v/>
      </c>
      <c r="AC791" s="523" t="str">
        <f t="shared" si="10"/>
        <v/>
      </c>
      <c r="AD791" s="523" t="str">
        <f t="shared" si="11"/>
        <v/>
      </c>
      <c r="AE791" s="523" t="str">
        <f t="shared" si="12"/>
        <v/>
      </c>
      <c r="AF791" s="523" t="str">
        <f t="shared" si="13"/>
        <v/>
      </c>
      <c r="AG791" s="523" t="str">
        <f t="shared" si="14"/>
        <v/>
      </c>
      <c r="AH791" s="523" t="str">
        <f t="shared" si="15"/>
        <v/>
      </c>
      <c r="AI791" s="523" t="str">
        <f t="shared" si="16"/>
        <v/>
      </c>
      <c r="AJ791" s="523" t="str">
        <f t="shared" si="17"/>
        <v/>
      </c>
      <c r="AK791" s="523" t="str">
        <f t="shared" si="18"/>
        <v/>
      </c>
      <c r="AL791" s="523" t="str">
        <f t="shared" si="19"/>
        <v/>
      </c>
      <c r="AM791" s="523" t="str">
        <f t="shared" si="20"/>
        <v/>
      </c>
      <c r="AN791" s="523" t="str">
        <f t="shared" si="21"/>
        <v/>
      </c>
      <c r="AO791" s="523" t="str">
        <f t="shared" si="22"/>
        <v/>
      </c>
      <c r="AP791" s="523" t="str">
        <f t="shared" si="23"/>
        <v/>
      </c>
      <c r="AQ791" s="523" t="str">
        <f t="shared" si="24"/>
        <v/>
      </c>
      <c r="AR791" s="523" t="str">
        <f t="shared" si="25"/>
        <v/>
      </c>
      <c r="AS791" s="523" t="str">
        <f t="shared" si="26"/>
        <v/>
      </c>
      <c r="AT791" s="523" t="str">
        <f t="shared" si="27"/>
        <v/>
      </c>
      <c r="AU791" s="523" t="str">
        <f t="shared" si="28"/>
        <v/>
      </c>
      <c r="AV791" s="523" t="str">
        <f t="shared" si="29"/>
        <v/>
      </c>
      <c r="AW791" s="523" t="str">
        <f t="shared" si="30"/>
        <v/>
      </c>
      <c r="AX791" s="523" t="str">
        <f t="shared" si="31"/>
        <v/>
      </c>
      <c r="AY791" s="523" t="str">
        <f t="shared" si="32"/>
        <v/>
      </c>
      <c r="AZ791" s="523" t="str">
        <f t="shared" si="33"/>
        <v/>
      </c>
      <c r="BA791" s="523" t="str">
        <f t="shared" si="34"/>
        <v/>
      </c>
      <c r="BB791" s="523" t="str">
        <f t="shared" si="35"/>
        <v/>
      </c>
      <c r="BC791" s="523" t="str">
        <f t="shared" si="36"/>
        <v/>
      </c>
      <c r="BD791" s="523" t="str">
        <f t="shared" si="37"/>
        <v/>
      </c>
      <c r="BE791" s="523" t="str">
        <f t="shared" si="38"/>
        <v/>
      </c>
      <c r="BF791" s="523" t="str">
        <f t="shared" si="39"/>
        <v/>
      </c>
      <c r="BG791" s="523" t="str">
        <f t="shared" si="40"/>
        <v/>
      </c>
      <c r="BH791" s="523" t="str">
        <f t="shared" si="41"/>
        <v/>
      </c>
      <c r="BI791" s="523" t="str">
        <f t="shared" si="42"/>
        <v/>
      </c>
      <c r="BJ791" s="523" t="str">
        <f t="shared" si="43"/>
        <v/>
      </c>
      <c r="BK791" s="523" t="str">
        <f t="shared" si="44"/>
        <v/>
      </c>
      <c r="BL791" s="523" t="str">
        <f t="shared" si="45"/>
        <v/>
      </c>
      <c r="BM791" s="523" t="str">
        <f t="shared" si="46"/>
        <v/>
      </c>
      <c r="BN791" s="523" t="str">
        <f t="shared" si="47"/>
        <v/>
      </c>
      <c r="BO791" s="523" t="str">
        <f t="shared" si="48"/>
        <v/>
      </c>
      <c r="BP791" s="523" t="str">
        <f t="shared" si="49"/>
        <v/>
      </c>
      <c r="BQ791" s="523" t="str">
        <f t="shared" si="50"/>
        <v/>
      </c>
      <c r="BR791" s="523" t="str">
        <f t="shared" si="51"/>
        <v/>
      </c>
      <c r="BS791" s="523" t="str">
        <f t="shared" si="52"/>
        <v/>
      </c>
      <c r="BT791" s="523" t="str">
        <f t="shared" si="53"/>
        <v/>
      </c>
      <c r="BU791" s="523" t="str">
        <f t="shared" si="54"/>
        <v/>
      </c>
      <c r="BV791" s="523" t="str">
        <f t="shared" si="55"/>
        <v/>
      </c>
      <c r="BW791" s="523" t="str">
        <f t="shared" si="56"/>
        <v/>
      </c>
      <c r="BX791" s="523" t="str">
        <f t="shared" si="57"/>
        <v/>
      </c>
      <c r="BY791" s="523" t="str">
        <f t="shared" si="58"/>
        <v/>
      </c>
      <c r="BZ791" s="523" t="str">
        <f t="shared" si="59"/>
        <v/>
      </c>
      <c r="CA791" s="523" t="str">
        <f t="shared" si="60"/>
        <v/>
      </c>
      <c r="CB791" s="523" t="str">
        <f t="shared" si="61"/>
        <v/>
      </c>
      <c r="CC791" s="523" t="str">
        <f t="shared" si="62"/>
        <v/>
      </c>
      <c r="CD791" s="523" t="str">
        <f t="shared" si="63"/>
        <v/>
      </c>
      <c r="CE791" s="523" t="str">
        <f t="shared" si="64"/>
        <v/>
      </c>
      <c r="CF791" s="523" t="str">
        <f t="shared" si="65"/>
        <v/>
      </c>
      <c r="CG791" s="523" t="str">
        <f t="shared" si="66"/>
        <v/>
      </c>
      <c r="CH791" s="523" t="str">
        <f t="shared" si="67"/>
        <v/>
      </c>
      <c r="CI791" s="523" t="str">
        <f t="shared" si="68"/>
        <v/>
      </c>
      <c r="CJ791" s="523" t="str">
        <f t="shared" si="69"/>
        <v/>
      </c>
      <c r="CK791" s="523" t="str">
        <f t="shared" si="70"/>
        <v/>
      </c>
      <c r="CL791" s="523" t="str">
        <f t="shared" si="71"/>
        <v/>
      </c>
      <c r="CM791" s="523" t="str">
        <f t="shared" si="72"/>
        <v/>
      </c>
      <c r="CN791" s="523" t="str">
        <f t="shared" si="73"/>
        <v/>
      </c>
      <c r="CO791" s="523" t="str">
        <f t="shared" si="74"/>
        <v/>
      </c>
      <c r="CP791" s="523" t="str">
        <f t="shared" si="75"/>
        <v/>
      </c>
      <c r="CQ791" s="523" t="str">
        <f t="shared" si="76"/>
        <v/>
      </c>
      <c r="CR791" s="523" t="str">
        <f t="shared" si="77"/>
        <v/>
      </c>
      <c r="CS791" s="523" t="str">
        <f t="shared" si="78"/>
        <v/>
      </c>
      <c r="CT791" s="523" t="str">
        <f t="shared" si="79"/>
        <v/>
      </c>
      <c r="CU791" s="523" t="str">
        <f t="shared" si="80"/>
        <v/>
      </c>
      <c r="CV791" s="523" t="str">
        <f t="shared" si="81"/>
        <v/>
      </c>
      <c r="CW791" s="523" t="str">
        <f t="shared" si="82"/>
        <v/>
      </c>
      <c r="CX791" s="523" t="str">
        <f t="shared" si="83"/>
        <v/>
      </c>
      <c r="CY791" s="523" t="str">
        <f t="shared" si="84"/>
        <v/>
      </c>
      <c r="CZ791" s="523" t="str">
        <f t="shared" si="85"/>
        <v/>
      </c>
      <c r="DA791" s="523" t="str">
        <f t="shared" si="86"/>
        <v/>
      </c>
      <c r="DB791" s="523" t="str">
        <f t="shared" si="87"/>
        <v/>
      </c>
      <c r="DC791" s="523" t="str">
        <f t="shared" si="88"/>
        <v/>
      </c>
      <c r="DD791" s="523" t="str">
        <f t="shared" si="89"/>
        <v/>
      </c>
      <c r="DE791" s="523" t="str">
        <f t="shared" si="90"/>
        <v/>
      </c>
      <c r="DF791" s="523" t="str">
        <f t="shared" si="91"/>
        <v/>
      </c>
      <c r="DG791" s="523" t="str">
        <f t="shared" si="92"/>
        <v/>
      </c>
      <c r="DH791" s="523" t="str">
        <f t="shared" si="93"/>
        <v/>
      </c>
      <c r="DI791" s="523" t="str">
        <f t="shared" si="94"/>
        <v/>
      </c>
      <c r="DJ791" s="523" t="str">
        <f t="shared" si="95"/>
        <v/>
      </c>
      <c r="DK791" s="523" t="str">
        <f t="shared" si="96"/>
        <v/>
      </c>
      <c r="DL791" s="523" t="str">
        <f t="shared" si="97"/>
        <v/>
      </c>
      <c r="DM791" s="523" t="str">
        <f t="shared" si="98"/>
        <v/>
      </c>
      <c r="DN791" s="523" t="str">
        <f t="shared" si="99"/>
        <v/>
      </c>
      <c r="DO791" s="523" t="str">
        <f t="shared" si="100"/>
        <v/>
      </c>
      <c r="DP791" s="523" t="str">
        <f t="shared" si="101"/>
        <v/>
      </c>
      <c r="DQ791" s="523" t="str">
        <f t="shared" si="102"/>
        <v/>
      </c>
      <c r="DR791" s="523" t="str">
        <f t="shared" si="103"/>
        <v/>
      </c>
      <c r="DS791" s="523" t="str">
        <f t="shared" si="104"/>
        <v/>
      </c>
      <c r="DT791" s="523" t="str">
        <f t="shared" si="105"/>
        <v/>
      </c>
      <c r="DU791" s="523" t="str">
        <f t="shared" si="106"/>
        <v/>
      </c>
      <c r="DV791" s="523" t="str">
        <f t="shared" si="107"/>
        <v/>
      </c>
      <c r="DW791" s="523" t="str">
        <f t="shared" si="108"/>
        <v/>
      </c>
      <c r="DX791" s="523" t="str">
        <f t="shared" si="109"/>
        <v/>
      </c>
      <c r="DY791" s="523" t="str">
        <f t="shared" si="110"/>
        <v/>
      </c>
      <c r="DZ791" s="523" t="str">
        <f t="shared" si="111"/>
        <v/>
      </c>
      <c r="EA791" s="523" t="str">
        <f t="shared" si="112"/>
        <v/>
      </c>
      <c r="EB791" s="523" t="str">
        <f t="shared" si="113"/>
        <v/>
      </c>
      <c r="EC791" s="523" t="str">
        <f t="shared" si="114"/>
        <v/>
      </c>
      <c r="ED791" s="523" t="str">
        <f t="shared" si="115"/>
        <v/>
      </c>
      <c r="EE791" s="523" t="str">
        <f t="shared" si="116"/>
        <v/>
      </c>
      <c r="EF791" s="523" t="str">
        <f t="shared" si="117"/>
        <v/>
      </c>
      <c r="EG791" s="523" t="str">
        <f t="shared" si="118"/>
        <v/>
      </c>
      <c r="EH791" s="523" t="str">
        <f t="shared" si="119"/>
        <v/>
      </c>
      <c r="EI791" s="523" t="str">
        <f t="shared" si="120"/>
        <v/>
      </c>
      <c r="EJ791" s="523" t="str">
        <f t="shared" si="121"/>
        <v/>
      </c>
      <c r="EK791" s="523" t="str">
        <f t="shared" si="122"/>
        <v/>
      </c>
      <c r="EL791" s="523" t="str">
        <f t="shared" si="123"/>
        <v/>
      </c>
      <c r="EM791" s="523" t="str">
        <f t="shared" si="124"/>
        <v/>
      </c>
      <c r="EN791" s="523" t="str">
        <f t="shared" si="125"/>
        <v/>
      </c>
      <c r="EO791" s="523" t="str">
        <f t="shared" si="126"/>
        <v/>
      </c>
      <c r="EP791" s="523" t="str">
        <f t="shared" si="127"/>
        <v/>
      </c>
      <c r="EQ791" s="523" t="str">
        <f t="shared" si="128"/>
        <v/>
      </c>
      <c r="ER791" s="523" t="str">
        <f t="shared" si="129"/>
        <v/>
      </c>
      <c r="ES791" s="523" t="str">
        <f t="shared" si="130"/>
        <v/>
      </c>
      <c r="ET791" s="523" t="str">
        <f t="shared" si="131"/>
        <v/>
      </c>
      <c r="EU791" s="523" t="str">
        <f t="shared" si="132"/>
        <v/>
      </c>
      <c r="EV791" s="523" t="str">
        <f t="shared" si="133"/>
        <v/>
      </c>
      <c r="EW791" s="3336" t="str">
        <f t="shared" si="134"/>
        <v/>
      </c>
      <c r="EX791" s="3336" t="str">
        <f t="shared" si="135"/>
        <v/>
      </c>
      <c r="EY791" s="3336" t="str">
        <f t="shared" si="136"/>
        <v/>
      </c>
      <c r="EZ791" s="3336" t="str">
        <f t="shared" si="137"/>
        <v/>
      </c>
      <c r="FA791" s="3336" t="str">
        <f t="shared" si="138"/>
        <v/>
      </c>
      <c r="FB791" s="3336" t="str">
        <f t="shared" si="139"/>
        <v/>
      </c>
      <c r="FC791" s="3336" t="str">
        <f t="shared" si="140"/>
        <v/>
      </c>
      <c r="FD791" s="3336" t="str">
        <f t="shared" si="141"/>
        <v/>
      </c>
      <c r="FE791" s="3336" t="str">
        <f t="shared" si="142"/>
        <v/>
      </c>
      <c r="FF791" s="3336" t="str">
        <f t="shared" si="143"/>
        <v/>
      </c>
      <c r="FG791" s="3336" t="str">
        <f t="shared" si="144"/>
        <v/>
      </c>
      <c r="FH791" s="3336" t="str">
        <f t="shared" si="145"/>
        <v/>
      </c>
      <c r="FI791" s="3336" t="str">
        <f t="shared" si="146"/>
        <v/>
      </c>
      <c r="FJ791" s="3336" t="str">
        <f t="shared" si="147"/>
        <v/>
      </c>
      <c r="FK791" s="3336" t="str">
        <f t="shared" si="148"/>
        <v/>
      </c>
      <c r="FL791" s="3336" t="str">
        <f t="shared" si="149"/>
        <v/>
      </c>
      <c r="FM791" s="3336" t="str">
        <f t="shared" si="150"/>
        <v/>
      </c>
      <c r="FN791" s="3336" t="str">
        <f t="shared" si="151"/>
        <v/>
      </c>
      <c r="FO791" s="3336" t="str">
        <f t="shared" si="152"/>
        <v/>
      </c>
      <c r="FP791" s="3336" t="str">
        <f t="shared" si="153"/>
        <v/>
      </c>
      <c r="FQ791" s="3336" t="str">
        <f t="shared" si="154"/>
        <v/>
      </c>
      <c r="FR791" s="3336" t="str">
        <f t="shared" si="155"/>
        <v/>
      </c>
      <c r="FS791" s="3336" t="str">
        <f t="shared" si="156"/>
        <v/>
      </c>
      <c r="FT791" s="3336" t="str">
        <f t="shared" si="157"/>
        <v/>
      </c>
      <c r="FU791" s="3336" t="str">
        <f t="shared" si="158"/>
        <v/>
      </c>
      <c r="FV791" s="3336" t="str">
        <f t="shared" si="159"/>
        <v/>
      </c>
      <c r="FW791" s="3336" t="str">
        <f t="shared" si="160"/>
        <v/>
      </c>
      <c r="FX791" s="3336" t="str">
        <f t="shared" si="161"/>
        <v/>
      </c>
      <c r="FY791" s="3336" t="str">
        <f t="shared" si="162"/>
        <v/>
      </c>
      <c r="FZ791" s="3336" t="str">
        <f t="shared" si="163"/>
        <v/>
      </c>
      <c r="GA791" s="3336" t="str">
        <f t="shared" si="164"/>
        <v/>
      </c>
      <c r="GB791" s="3336" t="str">
        <f t="shared" si="165"/>
        <v/>
      </c>
      <c r="GC791" s="3336" t="str">
        <f t="shared" si="166"/>
        <v/>
      </c>
      <c r="GD791" s="3336" t="str">
        <f t="shared" si="167"/>
        <v/>
      </c>
      <c r="GE791" s="3336" t="str">
        <f t="shared" si="168"/>
        <v/>
      </c>
      <c r="GF791" s="3336" t="str">
        <f t="shared" si="169"/>
        <v/>
      </c>
      <c r="GG791" s="3336" t="str">
        <f t="shared" si="170"/>
        <v/>
      </c>
      <c r="GH791" s="3336" t="str">
        <f t="shared" si="171"/>
        <v/>
      </c>
      <c r="GI791" s="3336" t="str">
        <f t="shared" si="172"/>
        <v/>
      </c>
      <c r="GJ791" s="3336" t="str">
        <f t="shared" si="173"/>
        <v/>
      </c>
      <c r="GK791" s="3336" t="str">
        <f t="shared" si="174"/>
        <v/>
      </c>
      <c r="GL791" s="3336" t="str">
        <f t="shared" si="175"/>
        <v/>
      </c>
      <c r="GM791" s="3336" t="str">
        <f t="shared" si="176"/>
        <v/>
      </c>
      <c r="GN791" s="3336" t="str">
        <f t="shared" si="177"/>
        <v/>
      </c>
      <c r="GO791" s="3336" t="str">
        <f t="shared" si="178"/>
        <v/>
      </c>
      <c r="GP791" s="3336" t="str">
        <f t="shared" si="179"/>
        <v/>
      </c>
      <c r="GQ791" s="3336" t="str">
        <f t="shared" si="180"/>
        <v/>
      </c>
      <c r="GR791" s="3336" t="str">
        <f t="shared" si="181"/>
        <v/>
      </c>
      <c r="GS791" s="3336" t="str">
        <f t="shared" si="182"/>
        <v/>
      </c>
      <c r="GT791" s="3336" t="str">
        <f t="shared" si="183"/>
        <v/>
      </c>
      <c r="GU791" s="3336" t="str">
        <f t="shared" si="184"/>
        <v/>
      </c>
      <c r="GV791" s="3336" t="str">
        <f t="shared" si="185"/>
        <v/>
      </c>
      <c r="GW791" s="3336" t="str">
        <f t="shared" si="186"/>
        <v/>
      </c>
      <c r="GX791" s="3336" t="str">
        <f t="shared" si="187"/>
        <v/>
      </c>
      <c r="GY791" s="3336" t="str">
        <f t="shared" si="188"/>
        <v/>
      </c>
      <c r="GZ791" s="3336" t="str">
        <f t="shared" si="189"/>
        <v/>
      </c>
      <c r="HA791" s="3336" t="str">
        <f t="shared" si="190"/>
        <v/>
      </c>
      <c r="HB791" s="3336" t="str">
        <f t="shared" si="191"/>
        <v/>
      </c>
      <c r="HC791" s="3336" t="str">
        <f t="shared" si="192"/>
        <v/>
      </c>
      <c r="HD791" s="3336" t="str">
        <f t="shared" si="193"/>
        <v/>
      </c>
      <c r="HE791" s="3336" t="str">
        <f t="shared" si="194"/>
        <v/>
      </c>
      <c r="HF791" s="3336" t="str">
        <f t="shared" si="195"/>
        <v/>
      </c>
      <c r="HG791" s="3336" t="str">
        <f t="shared" si="196"/>
        <v/>
      </c>
      <c r="HH791" s="3336" t="str">
        <f t="shared" si="197"/>
        <v/>
      </c>
      <c r="HI791" s="3336" t="str">
        <f t="shared" si="198"/>
        <v/>
      </c>
      <c r="HJ791" s="3336" t="str">
        <f t="shared" si="199"/>
        <v/>
      </c>
      <c r="HK791" s="3336" t="str">
        <f t="shared" si="200"/>
        <v/>
      </c>
      <c r="HL791" s="3336" t="str">
        <f t="shared" si="201"/>
        <v/>
      </c>
      <c r="HM791" s="3336" t="str">
        <f t="shared" si="202"/>
        <v/>
      </c>
      <c r="HN791" s="3336" t="str">
        <f t="shared" si="203"/>
        <v/>
      </c>
      <c r="HO791" s="3336" t="str">
        <f t="shared" si="204"/>
        <v/>
      </c>
      <c r="HP791" s="3336" t="str">
        <f t="shared" si="205"/>
        <v/>
      </c>
      <c r="HQ791" s="3336" t="str">
        <f t="shared" si="206"/>
        <v/>
      </c>
      <c r="HR791" s="3336" t="str">
        <f t="shared" si="207"/>
        <v/>
      </c>
      <c r="HS791" s="3336" t="str">
        <f t="shared" si="208"/>
        <v/>
      </c>
      <c r="HT791" s="3336" t="str">
        <f t="shared" si="209"/>
        <v/>
      </c>
      <c r="HU791" s="3336" t="str">
        <f t="shared" si="210"/>
        <v/>
      </c>
      <c r="HV791" s="3336" t="str">
        <f t="shared" si="211"/>
        <v/>
      </c>
      <c r="HW791" s="3336" t="str">
        <f t="shared" si="212"/>
        <v/>
      </c>
      <c r="HX791" s="3336" t="str">
        <f t="shared" si="213"/>
        <v/>
      </c>
      <c r="HY791" s="3336" t="str">
        <f t="shared" si="214"/>
        <v/>
      </c>
      <c r="HZ791" s="3336" t="str">
        <f t="shared" si="215"/>
        <v/>
      </c>
      <c r="IA791" s="3336" t="str">
        <f t="shared" si="216"/>
        <v/>
      </c>
      <c r="IB791" s="3336" t="str">
        <f t="shared" si="217"/>
        <v/>
      </c>
      <c r="IC791" s="3336" t="str">
        <f t="shared" si="218"/>
        <v/>
      </c>
      <c r="ID791" s="3308" t="str">
        <f t="shared" si="219"/>
        <v/>
      </c>
      <c r="IE791" s="3308" t="str">
        <f t="shared" si="220"/>
        <v/>
      </c>
      <c r="IF791" s="3308" t="str">
        <f t="shared" si="221"/>
        <v/>
      </c>
      <c r="IG791" s="3308" t="str">
        <f t="shared" si="222"/>
        <v/>
      </c>
      <c r="IH791" s="3308" t="str">
        <f t="shared" si="223"/>
        <v/>
      </c>
      <c r="II791" s="523" t="str">
        <f t="shared" si="224"/>
        <v/>
      </c>
      <c r="IJ791" s="523" t="str">
        <f t="shared" si="225"/>
        <v/>
      </c>
      <c r="IK791" s="523" t="str">
        <f t="shared" si="226"/>
        <v/>
      </c>
      <c r="IL791" s="523" t="str">
        <f t="shared" si="227"/>
        <v/>
      </c>
      <c r="IM791" s="523" t="str">
        <f t="shared" si="228"/>
        <v/>
      </c>
      <c r="IN791" s="523" t="str">
        <f t="shared" si="229"/>
        <v/>
      </c>
      <c r="IO791" s="523" t="str">
        <f t="shared" si="230"/>
        <v/>
      </c>
      <c r="IP791" s="523" t="str">
        <f t="shared" si="231"/>
        <v/>
      </c>
      <c r="IQ791" s="523" t="str">
        <f t="shared" si="232"/>
        <v/>
      </c>
      <c r="IR791" s="523" t="str">
        <f t="shared" si="233"/>
        <v/>
      </c>
      <c r="IS791" s="523" t="str">
        <f t="shared" si="234"/>
        <v/>
      </c>
      <c r="IT791" s="523" t="str">
        <f t="shared" si="235"/>
        <v/>
      </c>
      <c r="IU791" s="523" t="str">
        <f t="shared" si="236"/>
        <v/>
      </c>
      <c r="IV791" s="523" t="str">
        <f t="shared" si="237"/>
        <v/>
      </c>
      <c r="IW791" s="523" t="str">
        <f t="shared" si="238"/>
        <v/>
      </c>
      <c r="IX791" s="523" t="str">
        <f t="shared" si="239"/>
        <v/>
      </c>
      <c r="IY791" s="523" t="str">
        <f t="shared" si="240"/>
        <v/>
      </c>
      <c r="IZ791" s="523" t="str">
        <f t="shared" si="241"/>
        <v/>
      </c>
      <c r="JA791" s="523" t="str">
        <f t="shared" si="242"/>
        <v/>
      </c>
      <c r="JB791" s="523" t="str">
        <f t="shared" si="243"/>
        <v/>
      </c>
      <c r="JC791" s="3306">
        <f t="shared" si="244"/>
        <v>0</v>
      </c>
      <c r="JD791" s="3306">
        <f t="shared" si="245"/>
        <v>0</v>
      </c>
      <c r="JE791" s="3306">
        <f t="shared" si="246"/>
        <v>0</v>
      </c>
      <c r="JF791" s="3306">
        <f t="shared" si="247"/>
        <v>0</v>
      </c>
      <c r="JG791" s="3306">
        <f t="shared" si="248"/>
        <v>0</v>
      </c>
      <c r="JH791" s="3306">
        <f t="shared" si="249"/>
        <v>0</v>
      </c>
      <c r="JI791" s="3306">
        <f t="shared" si="250"/>
        <v>0</v>
      </c>
      <c r="JJ791" s="3306">
        <f t="shared" si="251"/>
        <v>0</v>
      </c>
      <c r="JK791" s="3306">
        <f t="shared" si="252"/>
        <v>0</v>
      </c>
      <c r="JL791" s="3306">
        <f t="shared" si="253"/>
        <v>0</v>
      </c>
      <c r="JM791" s="3306">
        <f t="shared" si="254"/>
        <v>0</v>
      </c>
      <c r="JN791" s="3306">
        <f t="shared" si="255"/>
        <v>0</v>
      </c>
      <c r="JO791" s="3306">
        <f t="shared" si="256"/>
        <v>0</v>
      </c>
      <c r="JP791" s="3306">
        <f t="shared" si="257"/>
        <v>0</v>
      </c>
      <c r="JQ791" s="3306">
        <f t="shared" si="258"/>
        <v>0</v>
      </c>
    </row>
    <row r="792" spans="1:277" ht="12" customHeight="1">
      <c r="A792" s="3319" t="str">
        <f t="shared" si="1"/>
        <v/>
      </c>
      <c r="B792" s="3328" t="str">
        <f>'Part VI-Revenues &amp; Expenses'!B35</f>
        <v>&lt;&lt;Select&gt;&gt;</v>
      </c>
      <c r="C792" s="3329">
        <f>'Part VI-Revenues &amp; Expenses'!C35</f>
        <v>0</v>
      </c>
      <c r="D792" s="3330">
        <f>'Part VI-Revenues &amp; Expenses'!D35</f>
        <v>0</v>
      </c>
      <c r="E792" s="3331">
        <f>'Part VI-Revenues &amp; Expenses'!E35</f>
        <v>0</v>
      </c>
      <c r="F792" s="3331">
        <f>'Part VI-Revenues &amp; Expenses'!F35</f>
        <v>0</v>
      </c>
      <c r="G792" s="3331">
        <f>'Part VI-Revenues &amp; Expenses'!G35</f>
        <v>0</v>
      </c>
      <c r="H792" s="3331">
        <f>'Part VI-Revenues &amp; Expenses'!H35</f>
        <v>0</v>
      </c>
      <c r="I792" s="3331">
        <f>'Part VI-Revenues &amp; Expenses'!I35</f>
        <v>0</v>
      </c>
      <c r="J792" s="3332">
        <f>'Part VI-Revenues &amp; Expenses'!J35</f>
        <v>0</v>
      </c>
      <c r="K792" s="3333">
        <f t="shared" si="2"/>
        <v>0</v>
      </c>
      <c r="L792" s="3333">
        <f t="shared" si="3"/>
        <v>0</v>
      </c>
      <c r="M792" s="3207">
        <f>'Part VI-Revenues &amp; Expenses'!M35</f>
        <v>0</v>
      </c>
      <c r="N792" s="3207">
        <f>'Part VI-Revenues &amp; Expenses'!N35</f>
        <v>0</v>
      </c>
      <c r="O792" s="3207">
        <f>'Part VI-Revenues &amp; Expenses'!O35</f>
        <v>0</v>
      </c>
      <c r="P792" s="3313">
        <f>'Part VI-Revenues &amp; Expenses'!P35</f>
        <v>0</v>
      </c>
      <c r="Q792" s="3334" t="str">
        <f>'Part VI-Revenues &amp; Expenses'!Q35</f>
        <v/>
      </c>
      <c r="R792" s="3335" t="str">
        <f>'Part VI-Revenues &amp; Expenses'!R35</f>
        <v/>
      </c>
      <c r="S792" s="3334">
        <f>'Part VI-Revenues &amp; Expenses'!S35</f>
        <v>0</v>
      </c>
      <c r="T792" s="3335">
        <f>'Part VI-Revenues &amp; Expenses'!T35</f>
        <v>0</v>
      </c>
      <c r="U792" s="3257"/>
      <c r="V792" s="3257"/>
      <c r="W792" s="523" t="str">
        <f t="shared" si="4"/>
        <v/>
      </c>
      <c r="X792" s="523" t="str">
        <f t="shared" si="5"/>
        <v/>
      </c>
      <c r="Y792" s="523" t="str">
        <f t="shared" si="6"/>
        <v/>
      </c>
      <c r="Z792" s="523" t="str">
        <f t="shared" si="7"/>
        <v/>
      </c>
      <c r="AA792" s="523" t="str">
        <f t="shared" si="8"/>
        <v/>
      </c>
      <c r="AB792" s="523" t="str">
        <f t="shared" si="9"/>
        <v/>
      </c>
      <c r="AC792" s="523" t="str">
        <f t="shared" si="10"/>
        <v/>
      </c>
      <c r="AD792" s="523" t="str">
        <f t="shared" si="11"/>
        <v/>
      </c>
      <c r="AE792" s="523" t="str">
        <f t="shared" si="12"/>
        <v/>
      </c>
      <c r="AF792" s="523" t="str">
        <f t="shared" si="13"/>
        <v/>
      </c>
      <c r="AG792" s="523" t="str">
        <f t="shared" si="14"/>
        <v/>
      </c>
      <c r="AH792" s="523" t="str">
        <f t="shared" si="15"/>
        <v/>
      </c>
      <c r="AI792" s="523" t="str">
        <f t="shared" si="16"/>
        <v/>
      </c>
      <c r="AJ792" s="523" t="str">
        <f t="shared" si="17"/>
        <v/>
      </c>
      <c r="AK792" s="523" t="str">
        <f t="shared" si="18"/>
        <v/>
      </c>
      <c r="AL792" s="523" t="str">
        <f t="shared" si="19"/>
        <v/>
      </c>
      <c r="AM792" s="523" t="str">
        <f t="shared" si="20"/>
        <v/>
      </c>
      <c r="AN792" s="523" t="str">
        <f t="shared" si="21"/>
        <v/>
      </c>
      <c r="AO792" s="523" t="str">
        <f t="shared" si="22"/>
        <v/>
      </c>
      <c r="AP792" s="523" t="str">
        <f t="shared" si="23"/>
        <v/>
      </c>
      <c r="AQ792" s="523" t="str">
        <f t="shared" si="24"/>
        <v/>
      </c>
      <c r="AR792" s="523" t="str">
        <f t="shared" si="25"/>
        <v/>
      </c>
      <c r="AS792" s="523" t="str">
        <f t="shared" si="26"/>
        <v/>
      </c>
      <c r="AT792" s="523" t="str">
        <f t="shared" si="27"/>
        <v/>
      </c>
      <c r="AU792" s="523" t="str">
        <f t="shared" si="28"/>
        <v/>
      </c>
      <c r="AV792" s="523" t="str">
        <f t="shared" si="29"/>
        <v/>
      </c>
      <c r="AW792" s="523" t="str">
        <f t="shared" si="30"/>
        <v/>
      </c>
      <c r="AX792" s="523" t="str">
        <f t="shared" si="31"/>
        <v/>
      </c>
      <c r="AY792" s="523" t="str">
        <f t="shared" si="32"/>
        <v/>
      </c>
      <c r="AZ792" s="523" t="str">
        <f t="shared" si="33"/>
        <v/>
      </c>
      <c r="BA792" s="523" t="str">
        <f t="shared" si="34"/>
        <v/>
      </c>
      <c r="BB792" s="523" t="str">
        <f t="shared" si="35"/>
        <v/>
      </c>
      <c r="BC792" s="523" t="str">
        <f t="shared" si="36"/>
        <v/>
      </c>
      <c r="BD792" s="523" t="str">
        <f t="shared" si="37"/>
        <v/>
      </c>
      <c r="BE792" s="523" t="str">
        <f t="shared" si="38"/>
        <v/>
      </c>
      <c r="BF792" s="523" t="str">
        <f t="shared" si="39"/>
        <v/>
      </c>
      <c r="BG792" s="523" t="str">
        <f t="shared" si="40"/>
        <v/>
      </c>
      <c r="BH792" s="523" t="str">
        <f t="shared" si="41"/>
        <v/>
      </c>
      <c r="BI792" s="523" t="str">
        <f t="shared" si="42"/>
        <v/>
      </c>
      <c r="BJ792" s="523" t="str">
        <f t="shared" si="43"/>
        <v/>
      </c>
      <c r="BK792" s="523" t="str">
        <f t="shared" si="44"/>
        <v/>
      </c>
      <c r="BL792" s="523" t="str">
        <f t="shared" si="45"/>
        <v/>
      </c>
      <c r="BM792" s="523" t="str">
        <f t="shared" si="46"/>
        <v/>
      </c>
      <c r="BN792" s="523" t="str">
        <f t="shared" si="47"/>
        <v/>
      </c>
      <c r="BO792" s="523" t="str">
        <f t="shared" si="48"/>
        <v/>
      </c>
      <c r="BP792" s="523" t="str">
        <f t="shared" si="49"/>
        <v/>
      </c>
      <c r="BQ792" s="523" t="str">
        <f t="shared" si="50"/>
        <v/>
      </c>
      <c r="BR792" s="523" t="str">
        <f t="shared" si="51"/>
        <v/>
      </c>
      <c r="BS792" s="523" t="str">
        <f t="shared" si="52"/>
        <v/>
      </c>
      <c r="BT792" s="523" t="str">
        <f t="shared" si="53"/>
        <v/>
      </c>
      <c r="BU792" s="523" t="str">
        <f t="shared" si="54"/>
        <v/>
      </c>
      <c r="BV792" s="523" t="str">
        <f t="shared" si="55"/>
        <v/>
      </c>
      <c r="BW792" s="523" t="str">
        <f t="shared" si="56"/>
        <v/>
      </c>
      <c r="BX792" s="523" t="str">
        <f t="shared" si="57"/>
        <v/>
      </c>
      <c r="BY792" s="523" t="str">
        <f t="shared" si="58"/>
        <v/>
      </c>
      <c r="BZ792" s="523" t="str">
        <f t="shared" si="59"/>
        <v/>
      </c>
      <c r="CA792" s="523" t="str">
        <f t="shared" si="60"/>
        <v/>
      </c>
      <c r="CB792" s="523" t="str">
        <f t="shared" si="61"/>
        <v/>
      </c>
      <c r="CC792" s="523" t="str">
        <f t="shared" si="62"/>
        <v/>
      </c>
      <c r="CD792" s="523" t="str">
        <f t="shared" si="63"/>
        <v/>
      </c>
      <c r="CE792" s="523" t="str">
        <f t="shared" si="64"/>
        <v/>
      </c>
      <c r="CF792" s="523" t="str">
        <f t="shared" si="65"/>
        <v/>
      </c>
      <c r="CG792" s="523" t="str">
        <f t="shared" si="66"/>
        <v/>
      </c>
      <c r="CH792" s="523" t="str">
        <f t="shared" si="67"/>
        <v/>
      </c>
      <c r="CI792" s="523" t="str">
        <f t="shared" si="68"/>
        <v/>
      </c>
      <c r="CJ792" s="523" t="str">
        <f t="shared" si="69"/>
        <v/>
      </c>
      <c r="CK792" s="523" t="str">
        <f t="shared" si="70"/>
        <v/>
      </c>
      <c r="CL792" s="523" t="str">
        <f t="shared" si="71"/>
        <v/>
      </c>
      <c r="CM792" s="523" t="str">
        <f t="shared" si="72"/>
        <v/>
      </c>
      <c r="CN792" s="523" t="str">
        <f t="shared" si="73"/>
        <v/>
      </c>
      <c r="CO792" s="523" t="str">
        <f t="shared" si="74"/>
        <v/>
      </c>
      <c r="CP792" s="523" t="str">
        <f t="shared" si="75"/>
        <v/>
      </c>
      <c r="CQ792" s="523" t="str">
        <f t="shared" si="76"/>
        <v/>
      </c>
      <c r="CR792" s="523" t="str">
        <f t="shared" si="77"/>
        <v/>
      </c>
      <c r="CS792" s="523" t="str">
        <f t="shared" si="78"/>
        <v/>
      </c>
      <c r="CT792" s="523" t="str">
        <f t="shared" si="79"/>
        <v/>
      </c>
      <c r="CU792" s="523" t="str">
        <f t="shared" si="80"/>
        <v/>
      </c>
      <c r="CV792" s="523" t="str">
        <f t="shared" si="81"/>
        <v/>
      </c>
      <c r="CW792" s="523" t="str">
        <f t="shared" si="82"/>
        <v/>
      </c>
      <c r="CX792" s="523" t="str">
        <f t="shared" si="83"/>
        <v/>
      </c>
      <c r="CY792" s="523" t="str">
        <f t="shared" si="84"/>
        <v/>
      </c>
      <c r="CZ792" s="523" t="str">
        <f t="shared" si="85"/>
        <v/>
      </c>
      <c r="DA792" s="523" t="str">
        <f t="shared" si="86"/>
        <v/>
      </c>
      <c r="DB792" s="523" t="str">
        <f t="shared" si="87"/>
        <v/>
      </c>
      <c r="DC792" s="523" t="str">
        <f t="shared" si="88"/>
        <v/>
      </c>
      <c r="DD792" s="523" t="str">
        <f t="shared" si="89"/>
        <v/>
      </c>
      <c r="DE792" s="523" t="str">
        <f t="shared" si="90"/>
        <v/>
      </c>
      <c r="DF792" s="523" t="str">
        <f t="shared" si="91"/>
        <v/>
      </c>
      <c r="DG792" s="523" t="str">
        <f t="shared" si="92"/>
        <v/>
      </c>
      <c r="DH792" s="523" t="str">
        <f t="shared" si="93"/>
        <v/>
      </c>
      <c r="DI792" s="523" t="str">
        <f t="shared" si="94"/>
        <v/>
      </c>
      <c r="DJ792" s="523" t="str">
        <f t="shared" si="95"/>
        <v/>
      </c>
      <c r="DK792" s="523" t="str">
        <f t="shared" si="96"/>
        <v/>
      </c>
      <c r="DL792" s="523" t="str">
        <f t="shared" si="97"/>
        <v/>
      </c>
      <c r="DM792" s="523" t="str">
        <f t="shared" si="98"/>
        <v/>
      </c>
      <c r="DN792" s="523" t="str">
        <f t="shared" si="99"/>
        <v/>
      </c>
      <c r="DO792" s="523" t="str">
        <f t="shared" si="100"/>
        <v/>
      </c>
      <c r="DP792" s="523" t="str">
        <f t="shared" si="101"/>
        <v/>
      </c>
      <c r="DQ792" s="523" t="str">
        <f t="shared" si="102"/>
        <v/>
      </c>
      <c r="DR792" s="523" t="str">
        <f t="shared" si="103"/>
        <v/>
      </c>
      <c r="DS792" s="523" t="str">
        <f t="shared" si="104"/>
        <v/>
      </c>
      <c r="DT792" s="523" t="str">
        <f t="shared" si="105"/>
        <v/>
      </c>
      <c r="DU792" s="523" t="str">
        <f t="shared" si="106"/>
        <v/>
      </c>
      <c r="DV792" s="523" t="str">
        <f t="shared" si="107"/>
        <v/>
      </c>
      <c r="DW792" s="523" t="str">
        <f t="shared" si="108"/>
        <v/>
      </c>
      <c r="DX792" s="523" t="str">
        <f t="shared" si="109"/>
        <v/>
      </c>
      <c r="DY792" s="523" t="str">
        <f t="shared" si="110"/>
        <v/>
      </c>
      <c r="DZ792" s="523" t="str">
        <f t="shared" si="111"/>
        <v/>
      </c>
      <c r="EA792" s="523" t="str">
        <f t="shared" si="112"/>
        <v/>
      </c>
      <c r="EB792" s="523" t="str">
        <f t="shared" si="113"/>
        <v/>
      </c>
      <c r="EC792" s="523" t="str">
        <f t="shared" si="114"/>
        <v/>
      </c>
      <c r="ED792" s="523" t="str">
        <f t="shared" si="115"/>
        <v/>
      </c>
      <c r="EE792" s="523" t="str">
        <f t="shared" si="116"/>
        <v/>
      </c>
      <c r="EF792" s="523" t="str">
        <f t="shared" si="117"/>
        <v/>
      </c>
      <c r="EG792" s="523" t="str">
        <f t="shared" si="118"/>
        <v/>
      </c>
      <c r="EH792" s="523" t="str">
        <f t="shared" si="119"/>
        <v/>
      </c>
      <c r="EI792" s="523" t="str">
        <f t="shared" si="120"/>
        <v/>
      </c>
      <c r="EJ792" s="523" t="str">
        <f t="shared" si="121"/>
        <v/>
      </c>
      <c r="EK792" s="523" t="str">
        <f t="shared" si="122"/>
        <v/>
      </c>
      <c r="EL792" s="523" t="str">
        <f t="shared" si="123"/>
        <v/>
      </c>
      <c r="EM792" s="523" t="str">
        <f t="shared" si="124"/>
        <v/>
      </c>
      <c r="EN792" s="523" t="str">
        <f t="shared" si="125"/>
        <v/>
      </c>
      <c r="EO792" s="523" t="str">
        <f t="shared" si="126"/>
        <v/>
      </c>
      <c r="EP792" s="523" t="str">
        <f t="shared" si="127"/>
        <v/>
      </c>
      <c r="EQ792" s="523" t="str">
        <f t="shared" si="128"/>
        <v/>
      </c>
      <c r="ER792" s="523" t="str">
        <f t="shared" si="129"/>
        <v/>
      </c>
      <c r="ES792" s="523" t="str">
        <f t="shared" si="130"/>
        <v/>
      </c>
      <c r="ET792" s="523" t="str">
        <f t="shared" si="131"/>
        <v/>
      </c>
      <c r="EU792" s="523" t="str">
        <f t="shared" si="132"/>
        <v/>
      </c>
      <c r="EV792" s="523" t="str">
        <f t="shared" si="133"/>
        <v/>
      </c>
      <c r="EW792" s="3336" t="str">
        <f t="shared" si="134"/>
        <v/>
      </c>
      <c r="EX792" s="3336" t="str">
        <f t="shared" si="135"/>
        <v/>
      </c>
      <c r="EY792" s="3336" t="str">
        <f t="shared" si="136"/>
        <v/>
      </c>
      <c r="EZ792" s="3336" t="str">
        <f t="shared" si="137"/>
        <v/>
      </c>
      <c r="FA792" s="3336" t="str">
        <f t="shared" si="138"/>
        <v/>
      </c>
      <c r="FB792" s="3336" t="str">
        <f t="shared" si="139"/>
        <v/>
      </c>
      <c r="FC792" s="3336" t="str">
        <f t="shared" si="140"/>
        <v/>
      </c>
      <c r="FD792" s="3336" t="str">
        <f t="shared" si="141"/>
        <v/>
      </c>
      <c r="FE792" s="3336" t="str">
        <f t="shared" si="142"/>
        <v/>
      </c>
      <c r="FF792" s="3336" t="str">
        <f t="shared" si="143"/>
        <v/>
      </c>
      <c r="FG792" s="3336" t="str">
        <f t="shared" si="144"/>
        <v/>
      </c>
      <c r="FH792" s="3336" t="str">
        <f t="shared" si="145"/>
        <v/>
      </c>
      <c r="FI792" s="3336" t="str">
        <f t="shared" si="146"/>
        <v/>
      </c>
      <c r="FJ792" s="3336" t="str">
        <f t="shared" si="147"/>
        <v/>
      </c>
      <c r="FK792" s="3336" t="str">
        <f t="shared" si="148"/>
        <v/>
      </c>
      <c r="FL792" s="3336" t="str">
        <f t="shared" si="149"/>
        <v/>
      </c>
      <c r="FM792" s="3336" t="str">
        <f t="shared" si="150"/>
        <v/>
      </c>
      <c r="FN792" s="3336" t="str">
        <f t="shared" si="151"/>
        <v/>
      </c>
      <c r="FO792" s="3336" t="str">
        <f t="shared" si="152"/>
        <v/>
      </c>
      <c r="FP792" s="3336" t="str">
        <f t="shared" si="153"/>
        <v/>
      </c>
      <c r="FQ792" s="3336" t="str">
        <f t="shared" si="154"/>
        <v/>
      </c>
      <c r="FR792" s="3336" t="str">
        <f t="shared" si="155"/>
        <v/>
      </c>
      <c r="FS792" s="3336" t="str">
        <f t="shared" si="156"/>
        <v/>
      </c>
      <c r="FT792" s="3336" t="str">
        <f t="shared" si="157"/>
        <v/>
      </c>
      <c r="FU792" s="3336" t="str">
        <f t="shared" si="158"/>
        <v/>
      </c>
      <c r="FV792" s="3336" t="str">
        <f t="shared" si="159"/>
        <v/>
      </c>
      <c r="FW792" s="3336" t="str">
        <f t="shared" si="160"/>
        <v/>
      </c>
      <c r="FX792" s="3336" t="str">
        <f t="shared" si="161"/>
        <v/>
      </c>
      <c r="FY792" s="3336" t="str">
        <f t="shared" si="162"/>
        <v/>
      </c>
      <c r="FZ792" s="3336" t="str">
        <f t="shared" si="163"/>
        <v/>
      </c>
      <c r="GA792" s="3336" t="str">
        <f t="shared" si="164"/>
        <v/>
      </c>
      <c r="GB792" s="3336" t="str">
        <f t="shared" si="165"/>
        <v/>
      </c>
      <c r="GC792" s="3336" t="str">
        <f t="shared" si="166"/>
        <v/>
      </c>
      <c r="GD792" s="3336" t="str">
        <f t="shared" si="167"/>
        <v/>
      </c>
      <c r="GE792" s="3336" t="str">
        <f t="shared" si="168"/>
        <v/>
      </c>
      <c r="GF792" s="3336" t="str">
        <f t="shared" si="169"/>
        <v/>
      </c>
      <c r="GG792" s="3336" t="str">
        <f t="shared" si="170"/>
        <v/>
      </c>
      <c r="GH792" s="3336" t="str">
        <f t="shared" si="171"/>
        <v/>
      </c>
      <c r="GI792" s="3336" t="str">
        <f t="shared" si="172"/>
        <v/>
      </c>
      <c r="GJ792" s="3336" t="str">
        <f t="shared" si="173"/>
        <v/>
      </c>
      <c r="GK792" s="3336" t="str">
        <f t="shared" si="174"/>
        <v/>
      </c>
      <c r="GL792" s="3336" t="str">
        <f t="shared" si="175"/>
        <v/>
      </c>
      <c r="GM792" s="3336" t="str">
        <f t="shared" si="176"/>
        <v/>
      </c>
      <c r="GN792" s="3336" t="str">
        <f t="shared" si="177"/>
        <v/>
      </c>
      <c r="GO792" s="3336" t="str">
        <f t="shared" si="178"/>
        <v/>
      </c>
      <c r="GP792" s="3336" t="str">
        <f t="shared" si="179"/>
        <v/>
      </c>
      <c r="GQ792" s="3336" t="str">
        <f t="shared" si="180"/>
        <v/>
      </c>
      <c r="GR792" s="3336" t="str">
        <f t="shared" si="181"/>
        <v/>
      </c>
      <c r="GS792" s="3336" t="str">
        <f t="shared" si="182"/>
        <v/>
      </c>
      <c r="GT792" s="3336" t="str">
        <f t="shared" si="183"/>
        <v/>
      </c>
      <c r="GU792" s="3336" t="str">
        <f t="shared" si="184"/>
        <v/>
      </c>
      <c r="GV792" s="3336" t="str">
        <f t="shared" si="185"/>
        <v/>
      </c>
      <c r="GW792" s="3336" t="str">
        <f t="shared" si="186"/>
        <v/>
      </c>
      <c r="GX792" s="3336" t="str">
        <f t="shared" si="187"/>
        <v/>
      </c>
      <c r="GY792" s="3336" t="str">
        <f t="shared" si="188"/>
        <v/>
      </c>
      <c r="GZ792" s="3336" t="str">
        <f t="shared" si="189"/>
        <v/>
      </c>
      <c r="HA792" s="3336" t="str">
        <f t="shared" si="190"/>
        <v/>
      </c>
      <c r="HB792" s="3336" t="str">
        <f t="shared" si="191"/>
        <v/>
      </c>
      <c r="HC792" s="3336" t="str">
        <f t="shared" si="192"/>
        <v/>
      </c>
      <c r="HD792" s="3336" t="str">
        <f t="shared" si="193"/>
        <v/>
      </c>
      <c r="HE792" s="3336" t="str">
        <f t="shared" si="194"/>
        <v/>
      </c>
      <c r="HF792" s="3336" t="str">
        <f t="shared" si="195"/>
        <v/>
      </c>
      <c r="HG792" s="3336" t="str">
        <f t="shared" si="196"/>
        <v/>
      </c>
      <c r="HH792" s="3336" t="str">
        <f t="shared" si="197"/>
        <v/>
      </c>
      <c r="HI792" s="3336" t="str">
        <f t="shared" si="198"/>
        <v/>
      </c>
      <c r="HJ792" s="3336" t="str">
        <f t="shared" si="199"/>
        <v/>
      </c>
      <c r="HK792" s="3336" t="str">
        <f t="shared" si="200"/>
        <v/>
      </c>
      <c r="HL792" s="3336" t="str">
        <f t="shared" si="201"/>
        <v/>
      </c>
      <c r="HM792" s="3336" t="str">
        <f t="shared" si="202"/>
        <v/>
      </c>
      <c r="HN792" s="3336" t="str">
        <f t="shared" si="203"/>
        <v/>
      </c>
      <c r="HO792" s="3336" t="str">
        <f t="shared" si="204"/>
        <v/>
      </c>
      <c r="HP792" s="3336" t="str">
        <f t="shared" si="205"/>
        <v/>
      </c>
      <c r="HQ792" s="3336" t="str">
        <f t="shared" si="206"/>
        <v/>
      </c>
      <c r="HR792" s="3336" t="str">
        <f t="shared" si="207"/>
        <v/>
      </c>
      <c r="HS792" s="3336" t="str">
        <f t="shared" si="208"/>
        <v/>
      </c>
      <c r="HT792" s="3336" t="str">
        <f t="shared" si="209"/>
        <v/>
      </c>
      <c r="HU792" s="3336" t="str">
        <f t="shared" si="210"/>
        <v/>
      </c>
      <c r="HV792" s="3336" t="str">
        <f t="shared" si="211"/>
        <v/>
      </c>
      <c r="HW792" s="3336" t="str">
        <f t="shared" si="212"/>
        <v/>
      </c>
      <c r="HX792" s="3336" t="str">
        <f t="shared" si="213"/>
        <v/>
      </c>
      <c r="HY792" s="3336" t="str">
        <f t="shared" si="214"/>
        <v/>
      </c>
      <c r="HZ792" s="3336" t="str">
        <f t="shared" si="215"/>
        <v/>
      </c>
      <c r="IA792" s="3336" t="str">
        <f t="shared" si="216"/>
        <v/>
      </c>
      <c r="IB792" s="3336" t="str">
        <f t="shared" si="217"/>
        <v/>
      </c>
      <c r="IC792" s="3336" t="str">
        <f t="shared" si="218"/>
        <v/>
      </c>
      <c r="ID792" s="3308" t="str">
        <f t="shared" si="219"/>
        <v/>
      </c>
      <c r="IE792" s="3308" t="str">
        <f t="shared" si="220"/>
        <v/>
      </c>
      <c r="IF792" s="3308" t="str">
        <f t="shared" si="221"/>
        <v/>
      </c>
      <c r="IG792" s="3308" t="str">
        <f t="shared" si="222"/>
        <v/>
      </c>
      <c r="IH792" s="3308" t="str">
        <f t="shared" si="223"/>
        <v/>
      </c>
      <c r="II792" s="523" t="str">
        <f t="shared" si="224"/>
        <v/>
      </c>
      <c r="IJ792" s="523" t="str">
        <f t="shared" si="225"/>
        <v/>
      </c>
      <c r="IK792" s="523" t="str">
        <f t="shared" si="226"/>
        <v/>
      </c>
      <c r="IL792" s="523" t="str">
        <f t="shared" si="227"/>
        <v/>
      </c>
      <c r="IM792" s="523" t="str">
        <f t="shared" si="228"/>
        <v/>
      </c>
      <c r="IN792" s="523" t="str">
        <f t="shared" si="229"/>
        <v/>
      </c>
      <c r="IO792" s="523" t="str">
        <f t="shared" si="230"/>
        <v/>
      </c>
      <c r="IP792" s="523" t="str">
        <f t="shared" si="231"/>
        <v/>
      </c>
      <c r="IQ792" s="523" t="str">
        <f t="shared" si="232"/>
        <v/>
      </c>
      <c r="IR792" s="523" t="str">
        <f t="shared" si="233"/>
        <v/>
      </c>
      <c r="IS792" s="523" t="str">
        <f t="shared" si="234"/>
        <v/>
      </c>
      <c r="IT792" s="523" t="str">
        <f t="shared" si="235"/>
        <v/>
      </c>
      <c r="IU792" s="523" t="str">
        <f t="shared" si="236"/>
        <v/>
      </c>
      <c r="IV792" s="523" t="str">
        <f t="shared" si="237"/>
        <v/>
      </c>
      <c r="IW792" s="523" t="str">
        <f t="shared" si="238"/>
        <v/>
      </c>
      <c r="IX792" s="523" t="str">
        <f t="shared" si="239"/>
        <v/>
      </c>
      <c r="IY792" s="523" t="str">
        <f t="shared" si="240"/>
        <v/>
      </c>
      <c r="IZ792" s="523" t="str">
        <f t="shared" si="241"/>
        <v/>
      </c>
      <c r="JA792" s="523" t="str">
        <f t="shared" si="242"/>
        <v/>
      </c>
      <c r="JB792" s="523" t="str">
        <f t="shared" si="243"/>
        <v/>
      </c>
      <c r="JC792" s="3306">
        <f t="shared" si="244"/>
        <v>0</v>
      </c>
      <c r="JD792" s="3306">
        <f t="shared" si="245"/>
        <v>0</v>
      </c>
      <c r="JE792" s="3306">
        <f t="shared" si="246"/>
        <v>0</v>
      </c>
      <c r="JF792" s="3306">
        <f t="shared" si="247"/>
        <v>0</v>
      </c>
      <c r="JG792" s="3306">
        <f t="shared" si="248"/>
        <v>0</v>
      </c>
      <c r="JH792" s="3306">
        <f t="shared" si="249"/>
        <v>0</v>
      </c>
      <c r="JI792" s="3306">
        <f t="shared" si="250"/>
        <v>0</v>
      </c>
      <c r="JJ792" s="3306">
        <f t="shared" si="251"/>
        <v>0</v>
      </c>
      <c r="JK792" s="3306">
        <f t="shared" si="252"/>
        <v>0</v>
      </c>
      <c r="JL792" s="3306">
        <f t="shared" si="253"/>
        <v>0</v>
      </c>
      <c r="JM792" s="3306">
        <f t="shared" si="254"/>
        <v>0</v>
      </c>
      <c r="JN792" s="3306">
        <f t="shared" si="255"/>
        <v>0</v>
      </c>
      <c r="JO792" s="3306">
        <f t="shared" si="256"/>
        <v>0</v>
      </c>
      <c r="JP792" s="3306">
        <f t="shared" si="257"/>
        <v>0</v>
      </c>
      <c r="JQ792" s="3306">
        <f t="shared" si="258"/>
        <v>0</v>
      </c>
    </row>
    <row r="793" spans="1:277" ht="12" customHeight="1">
      <c r="A793" s="3319" t="str">
        <f t="shared" si="1"/>
        <v/>
      </c>
      <c r="B793" s="3328" t="str">
        <f>'Part VI-Revenues &amp; Expenses'!B36</f>
        <v>&lt;&lt;Select&gt;&gt;</v>
      </c>
      <c r="C793" s="3329">
        <f>'Part VI-Revenues &amp; Expenses'!C36</f>
        <v>0</v>
      </c>
      <c r="D793" s="3330">
        <f>'Part VI-Revenues &amp; Expenses'!D36</f>
        <v>0</v>
      </c>
      <c r="E793" s="3331">
        <f>'Part VI-Revenues &amp; Expenses'!E36</f>
        <v>0</v>
      </c>
      <c r="F793" s="3331">
        <f>'Part VI-Revenues &amp; Expenses'!F36</f>
        <v>0</v>
      </c>
      <c r="G793" s="3331">
        <f>'Part VI-Revenues &amp; Expenses'!G36</f>
        <v>0</v>
      </c>
      <c r="H793" s="3331">
        <f>'Part VI-Revenues &amp; Expenses'!H36</f>
        <v>0</v>
      </c>
      <c r="I793" s="3331">
        <f>'Part VI-Revenues &amp; Expenses'!I36</f>
        <v>0</v>
      </c>
      <c r="J793" s="3332">
        <f>'Part VI-Revenues &amp; Expenses'!J36</f>
        <v>0</v>
      </c>
      <c r="K793" s="3333">
        <f t="shared" si="2"/>
        <v>0</v>
      </c>
      <c r="L793" s="3333">
        <f t="shared" si="3"/>
        <v>0</v>
      </c>
      <c r="M793" s="3207">
        <f>'Part VI-Revenues &amp; Expenses'!M36</f>
        <v>0</v>
      </c>
      <c r="N793" s="3207">
        <f>'Part VI-Revenues &amp; Expenses'!N36</f>
        <v>0</v>
      </c>
      <c r="O793" s="3207">
        <f>'Part VI-Revenues &amp; Expenses'!O36</f>
        <v>0</v>
      </c>
      <c r="P793" s="3313">
        <f>'Part VI-Revenues &amp; Expenses'!P36</f>
        <v>0</v>
      </c>
      <c r="Q793" s="3334" t="str">
        <f>'Part VI-Revenues &amp; Expenses'!Q36</f>
        <v/>
      </c>
      <c r="R793" s="3335" t="str">
        <f>'Part VI-Revenues &amp; Expenses'!R36</f>
        <v/>
      </c>
      <c r="S793" s="3334">
        <f>'Part VI-Revenues &amp; Expenses'!S36</f>
        <v>0</v>
      </c>
      <c r="T793" s="3335">
        <f>'Part VI-Revenues &amp; Expenses'!T36</f>
        <v>0</v>
      </c>
      <c r="U793" s="3257"/>
      <c r="V793" s="3257"/>
      <c r="W793" s="523" t="str">
        <f t="shared" si="4"/>
        <v/>
      </c>
      <c r="X793" s="523" t="str">
        <f t="shared" si="5"/>
        <v/>
      </c>
      <c r="Y793" s="523" t="str">
        <f t="shared" si="6"/>
        <v/>
      </c>
      <c r="Z793" s="523" t="str">
        <f t="shared" si="7"/>
        <v/>
      </c>
      <c r="AA793" s="523" t="str">
        <f t="shared" si="8"/>
        <v/>
      </c>
      <c r="AB793" s="523" t="str">
        <f t="shared" si="9"/>
        <v/>
      </c>
      <c r="AC793" s="523" t="str">
        <f t="shared" si="10"/>
        <v/>
      </c>
      <c r="AD793" s="523" t="str">
        <f t="shared" si="11"/>
        <v/>
      </c>
      <c r="AE793" s="523" t="str">
        <f t="shared" si="12"/>
        <v/>
      </c>
      <c r="AF793" s="523" t="str">
        <f t="shared" si="13"/>
        <v/>
      </c>
      <c r="AG793" s="523" t="str">
        <f t="shared" si="14"/>
        <v/>
      </c>
      <c r="AH793" s="523" t="str">
        <f t="shared" si="15"/>
        <v/>
      </c>
      <c r="AI793" s="523" t="str">
        <f t="shared" si="16"/>
        <v/>
      </c>
      <c r="AJ793" s="523" t="str">
        <f t="shared" si="17"/>
        <v/>
      </c>
      <c r="AK793" s="523" t="str">
        <f t="shared" si="18"/>
        <v/>
      </c>
      <c r="AL793" s="523" t="str">
        <f t="shared" si="19"/>
        <v/>
      </c>
      <c r="AM793" s="523" t="str">
        <f t="shared" si="20"/>
        <v/>
      </c>
      <c r="AN793" s="523" t="str">
        <f t="shared" si="21"/>
        <v/>
      </c>
      <c r="AO793" s="523" t="str">
        <f t="shared" si="22"/>
        <v/>
      </c>
      <c r="AP793" s="523" t="str">
        <f t="shared" si="23"/>
        <v/>
      </c>
      <c r="AQ793" s="523" t="str">
        <f t="shared" si="24"/>
        <v/>
      </c>
      <c r="AR793" s="523" t="str">
        <f t="shared" si="25"/>
        <v/>
      </c>
      <c r="AS793" s="523" t="str">
        <f t="shared" si="26"/>
        <v/>
      </c>
      <c r="AT793" s="523" t="str">
        <f t="shared" si="27"/>
        <v/>
      </c>
      <c r="AU793" s="523" t="str">
        <f t="shared" si="28"/>
        <v/>
      </c>
      <c r="AV793" s="523" t="str">
        <f t="shared" si="29"/>
        <v/>
      </c>
      <c r="AW793" s="523" t="str">
        <f t="shared" si="30"/>
        <v/>
      </c>
      <c r="AX793" s="523" t="str">
        <f t="shared" si="31"/>
        <v/>
      </c>
      <c r="AY793" s="523" t="str">
        <f t="shared" si="32"/>
        <v/>
      </c>
      <c r="AZ793" s="523" t="str">
        <f t="shared" si="33"/>
        <v/>
      </c>
      <c r="BA793" s="523" t="str">
        <f t="shared" si="34"/>
        <v/>
      </c>
      <c r="BB793" s="523" t="str">
        <f t="shared" si="35"/>
        <v/>
      </c>
      <c r="BC793" s="523" t="str">
        <f t="shared" si="36"/>
        <v/>
      </c>
      <c r="BD793" s="523" t="str">
        <f t="shared" si="37"/>
        <v/>
      </c>
      <c r="BE793" s="523" t="str">
        <f t="shared" si="38"/>
        <v/>
      </c>
      <c r="BF793" s="523" t="str">
        <f t="shared" si="39"/>
        <v/>
      </c>
      <c r="BG793" s="523" t="str">
        <f t="shared" si="40"/>
        <v/>
      </c>
      <c r="BH793" s="523" t="str">
        <f t="shared" si="41"/>
        <v/>
      </c>
      <c r="BI793" s="523" t="str">
        <f t="shared" si="42"/>
        <v/>
      </c>
      <c r="BJ793" s="523" t="str">
        <f t="shared" si="43"/>
        <v/>
      </c>
      <c r="BK793" s="523" t="str">
        <f t="shared" si="44"/>
        <v/>
      </c>
      <c r="BL793" s="523" t="str">
        <f t="shared" si="45"/>
        <v/>
      </c>
      <c r="BM793" s="523" t="str">
        <f t="shared" si="46"/>
        <v/>
      </c>
      <c r="BN793" s="523" t="str">
        <f t="shared" si="47"/>
        <v/>
      </c>
      <c r="BO793" s="523" t="str">
        <f t="shared" si="48"/>
        <v/>
      </c>
      <c r="BP793" s="523" t="str">
        <f t="shared" si="49"/>
        <v/>
      </c>
      <c r="BQ793" s="523" t="str">
        <f t="shared" si="50"/>
        <v/>
      </c>
      <c r="BR793" s="523" t="str">
        <f t="shared" si="51"/>
        <v/>
      </c>
      <c r="BS793" s="523" t="str">
        <f t="shared" si="52"/>
        <v/>
      </c>
      <c r="BT793" s="523" t="str">
        <f t="shared" si="53"/>
        <v/>
      </c>
      <c r="BU793" s="523" t="str">
        <f t="shared" si="54"/>
        <v/>
      </c>
      <c r="BV793" s="523" t="str">
        <f t="shared" si="55"/>
        <v/>
      </c>
      <c r="BW793" s="523" t="str">
        <f t="shared" si="56"/>
        <v/>
      </c>
      <c r="BX793" s="523" t="str">
        <f t="shared" si="57"/>
        <v/>
      </c>
      <c r="BY793" s="523" t="str">
        <f t="shared" si="58"/>
        <v/>
      </c>
      <c r="BZ793" s="523" t="str">
        <f t="shared" si="59"/>
        <v/>
      </c>
      <c r="CA793" s="523" t="str">
        <f t="shared" si="60"/>
        <v/>
      </c>
      <c r="CB793" s="523" t="str">
        <f t="shared" si="61"/>
        <v/>
      </c>
      <c r="CC793" s="523" t="str">
        <f t="shared" si="62"/>
        <v/>
      </c>
      <c r="CD793" s="523" t="str">
        <f t="shared" si="63"/>
        <v/>
      </c>
      <c r="CE793" s="523" t="str">
        <f t="shared" si="64"/>
        <v/>
      </c>
      <c r="CF793" s="523" t="str">
        <f t="shared" si="65"/>
        <v/>
      </c>
      <c r="CG793" s="523" t="str">
        <f t="shared" si="66"/>
        <v/>
      </c>
      <c r="CH793" s="523" t="str">
        <f t="shared" si="67"/>
        <v/>
      </c>
      <c r="CI793" s="523" t="str">
        <f t="shared" si="68"/>
        <v/>
      </c>
      <c r="CJ793" s="523" t="str">
        <f t="shared" si="69"/>
        <v/>
      </c>
      <c r="CK793" s="523" t="str">
        <f t="shared" si="70"/>
        <v/>
      </c>
      <c r="CL793" s="523" t="str">
        <f t="shared" si="71"/>
        <v/>
      </c>
      <c r="CM793" s="523" t="str">
        <f t="shared" si="72"/>
        <v/>
      </c>
      <c r="CN793" s="523" t="str">
        <f t="shared" si="73"/>
        <v/>
      </c>
      <c r="CO793" s="523" t="str">
        <f t="shared" si="74"/>
        <v/>
      </c>
      <c r="CP793" s="523" t="str">
        <f t="shared" si="75"/>
        <v/>
      </c>
      <c r="CQ793" s="523" t="str">
        <f t="shared" si="76"/>
        <v/>
      </c>
      <c r="CR793" s="523" t="str">
        <f t="shared" si="77"/>
        <v/>
      </c>
      <c r="CS793" s="523" t="str">
        <f t="shared" si="78"/>
        <v/>
      </c>
      <c r="CT793" s="523" t="str">
        <f t="shared" si="79"/>
        <v/>
      </c>
      <c r="CU793" s="523" t="str">
        <f t="shared" si="80"/>
        <v/>
      </c>
      <c r="CV793" s="523" t="str">
        <f t="shared" si="81"/>
        <v/>
      </c>
      <c r="CW793" s="523" t="str">
        <f t="shared" si="82"/>
        <v/>
      </c>
      <c r="CX793" s="523" t="str">
        <f t="shared" si="83"/>
        <v/>
      </c>
      <c r="CY793" s="523" t="str">
        <f t="shared" si="84"/>
        <v/>
      </c>
      <c r="CZ793" s="523" t="str">
        <f t="shared" si="85"/>
        <v/>
      </c>
      <c r="DA793" s="523" t="str">
        <f t="shared" si="86"/>
        <v/>
      </c>
      <c r="DB793" s="523" t="str">
        <f t="shared" si="87"/>
        <v/>
      </c>
      <c r="DC793" s="523" t="str">
        <f t="shared" si="88"/>
        <v/>
      </c>
      <c r="DD793" s="523" t="str">
        <f t="shared" si="89"/>
        <v/>
      </c>
      <c r="DE793" s="523" t="str">
        <f t="shared" si="90"/>
        <v/>
      </c>
      <c r="DF793" s="523" t="str">
        <f t="shared" si="91"/>
        <v/>
      </c>
      <c r="DG793" s="523" t="str">
        <f t="shared" si="92"/>
        <v/>
      </c>
      <c r="DH793" s="523" t="str">
        <f t="shared" si="93"/>
        <v/>
      </c>
      <c r="DI793" s="523" t="str">
        <f t="shared" si="94"/>
        <v/>
      </c>
      <c r="DJ793" s="523" t="str">
        <f t="shared" si="95"/>
        <v/>
      </c>
      <c r="DK793" s="523" t="str">
        <f t="shared" si="96"/>
        <v/>
      </c>
      <c r="DL793" s="523" t="str">
        <f t="shared" si="97"/>
        <v/>
      </c>
      <c r="DM793" s="523" t="str">
        <f t="shared" si="98"/>
        <v/>
      </c>
      <c r="DN793" s="523" t="str">
        <f t="shared" si="99"/>
        <v/>
      </c>
      <c r="DO793" s="523" t="str">
        <f t="shared" si="100"/>
        <v/>
      </c>
      <c r="DP793" s="523" t="str">
        <f t="shared" si="101"/>
        <v/>
      </c>
      <c r="DQ793" s="523" t="str">
        <f t="shared" si="102"/>
        <v/>
      </c>
      <c r="DR793" s="523" t="str">
        <f t="shared" si="103"/>
        <v/>
      </c>
      <c r="DS793" s="523" t="str">
        <f t="shared" si="104"/>
        <v/>
      </c>
      <c r="DT793" s="523" t="str">
        <f t="shared" si="105"/>
        <v/>
      </c>
      <c r="DU793" s="523" t="str">
        <f t="shared" si="106"/>
        <v/>
      </c>
      <c r="DV793" s="523" t="str">
        <f t="shared" si="107"/>
        <v/>
      </c>
      <c r="DW793" s="523" t="str">
        <f t="shared" si="108"/>
        <v/>
      </c>
      <c r="DX793" s="523" t="str">
        <f t="shared" si="109"/>
        <v/>
      </c>
      <c r="DY793" s="523" t="str">
        <f t="shared" si="110"/>
        <v/>
      </c>
      <c r="DZ793" s="523" t="str">
        <f t="shared" si="111"/>
        <v/>
      </c>
      <c r="EA793" s="523" t="str">
        <f t="shared" si="112"/>
        <v/>
      </c>
      <c r="EB793" s="523" t="str">
        <f t="shared" si="113"/>
        <v/>
      </c>
      <c r="EC793" s="523" t="str">
        <f t="shared" si="114"/>
        <v/>
      </c>
      <c r="ED793" s="523" t="str">
        <f t="shared" si="115"/>
        <v/>
      </c>
      <c r="EE793" s="523" t="str">
        <f t="shared" si="116"/>
        <v/>
      </c>
      <c r="EF793" s="523" t="str">
        <f t="shared" si="117"/>
        <v/>
      </c>
      <c r="EG793" s="523" t="str">
        <f t="shared" si="118"/>
        <v/>
      </c>
      <c r="EH793" s="523" t="str">
        <f t="shared" si="119"/>
        <v/>
      </c>
      <c r="EI793" s="523" t="str">
        <f t="shared" si="120"/>
        <v/>
      </c>
      <c r="EJ793" s="523" t="str">
        <f t="shared" si="121"/>
        <v/>
      </c>
      <c r="EK793" s="523" t="str">
        <f t="shared" si="122"/>
        <v/>
      </c>
      <c r="EL793" s="523" t="str">
        <f t="shared" si="123"/>
        <v/>
      </c>
      <c r="EM793" s="523" t="str">
        <f t="shared" si="124"/>
        <v/>
      </c>
      <c r="EN793" s="523" t="str">
        <f t="shared" si="125"/>
        <v/>
      </c>
      <c r="EO793" s="523" t="str">
        <f t="shared" si="126"/>
        <v/>
      </c>
      <c r="EP793" s="523" t="str">
        <f t="shared" si="127"/>
        <v/>
      </c>
      <c r="EQ793" s="523" t="str">
        <f t="shared" si="128"/>
        <v/>
      </c>
      <c r="ER793" s="523" t="str">
        <f t="shared" si="129"/>
        <v/>
      </c>
      <c r="ES793" s="523" t="str">
        <f t="shared" si="130"/>
        <v/>
      </c>
      <c r="ET793" s="523" t="str">
        <f t="shared" si="131"/>
        <v/>
      </c>
      <c r="EU793" s="523" t="str">
        <f t="shared" si="132"/>
        <v/>
      </c>
      <c r="EV793" s="523" t="str">
        <f t="shared" si="133"/>
        <v/>
      </c>
      <c r="EW793" s="3336" t="str">
        <f t="shared" si="134"/>
        <v/>
      </c>
      <c r="EX793" s="3336" t="str">
        <f t="shared" si="135"/>
        <v/>
      </c>
      <c r="EY793" s="3336" t="str">
        <f t="shared" si="136"/>
        <v/>
      </c>
      <c r="EZ793" s="3336" t="str">
        <f t="shared" si="137"/>
        <v/>
      </c>
      <c r="FA793" s="3336" t="str">
        <f t="shared" si="138"/>
        <v/>
      </c>
      <c r="FB793" s="3336" t="str">
        <f t="shared" si="139"/>
        <v/>
      </c>
      <c r="FC793" s="3336" t="str">
        <f t="shared" si="140"/>
        <v/>
      </c>
      <c r="FD793" s="3336" t="str">
        <f t="shared" si="141"/>
        <v/>
      </c>
      <c r="FE793" s="3336" t="str">
        <f t="shared" si="142"/>
        <v/>
      </c>
      <c r="FF793" s="3336" t="str">
        <f t="shared" si="143"/>
        <v/>
      </c>
      <c r="FG793" s="3336" t="str">
        <f t="shared" si="144"/>
        <v/>
      </c>
      <c r="FH793" s="3336" t="str">
        <f t="shared" si="145"/>
        <v/>
      </c>
      <c r="FI793" s="3336" t="str">
        <f t="shared" si="146"/>
        <v/>
      </c>
      <c r="FJ793" s="3336" t="str">
        <f t="shared" si="147"/>
        <v/>
      </c>
      <c r="FK793" s="3336" t="str">
        <f t="shared" si="148"/>
        <v/>
      </c>
      <c r="FL793" s="3336" t="str">
        <f t="shared" si="149"/>
        <v/>
      </c>
      <c r="FM793" s="3336" t="str">
        <f t="shared" si="150"/>
        <v/>
      </c>
      <c r="FN793" s="3336" t="str">
        <f t="shared" si="151"/>
        <v/>
      </c>
      <c r="FO793" s="3336" t="str">
        <f t="shared" si="152"/>
        <v/>
      </c>
      <c r="FP793" s="3336" t="str">
        <f t="shared" si="153"/>
        <v/>
      </c>
      <c r="FQ793" s="3336" t="str">
        <f t="shared" si="154"/>
        <v/>
      </c>
      <c r="FR793" s="3336" t="str">
        <f t="shared" si="155"/>
        <v/>
      </c>
      <c r="FS793" s="3336" t="str">
        <f t="shared" si="156"/>
        <v/>
      </c>
      <c r="FT793" s="3336" t="str">
        <f t="shared" si="157"/>
        <v/>
      </c>
      <c r="FU793" s="3336" t="str">
        <f t="shared" si="158"/>
        <v/>
      </c>
      <c r="FV793" s="3336" t="str">
        <f t="shared" si="159"/>
        <v/>
      </c>
      <c r="FW793" s="3336" t="str">
        <f t="shared" si="160"/>
        <v/>
      </c>
      <c r="FX793" s="3336" t="str">
        <f t="shared" si="161"/>
        <v/>
      </c>
      <c r="FY793" s="3336" t="str">
        <f t="shared" si="162"/>
        <v/>
      </c>
      <c r="FZ793" s="3336" t="str">
        <f t="shared" si="163"/>
        <v/>
      </c>
      <c r="GA793" s="3336" t="str">
        <f t="shared" si="164"/>
        <v/>
      </c>
      <c r="GB793" s="3336" t="str">
        <f t="shared" si="165"/>
        <v/>
      </c>
      <c r="GC793" s="3336" t="str">
        <f t="shared" si="166"/>
        <v/>
      </c>
      <c r="GD793" s="3336" t="str">
        <f t="shared" si="167"/>
        <v/>
      </c>
      <c r="GE793" s="3336" t="str">
        <f t="shared" si="168"/>
        <v/>
      </c>
      <c r="GF793" s="3336" t="str">
        <f t="shared" si="169"/>
        <v/>
      </c>
      <c r="GG793" s="3336" t="str">
        <f t="shared" si="170"/>
        <v/>
      </c>
      <c r="GH793" s="3336" t="str">
        <f t="shared" si="171"/>
        <v/>
      </c>
      <c r="GI793" s="3336" t="str">
        <f t="shared" si="172"/>
        <v/>
      </c>
      <c r="GJ793" s="3336" t="str">
        <f t="shared" si="173"/>
        <v/>
      </c>
      <c r="GK793" s="3336" t="str">
        <f t="shared" si="174"/>
        <v/>
      </c>
      <c r="GL793" s="3336" t="str">
        <f t="shared" si="175"/>
        <v/>
      </c>
      <c r="GM793" s="3336" t="str">
        <f t="shared" si="176"/>
        <v/>
      </c>
      <c r="GN793" s="3336" t="str">
        <f t="shared" si="177"/>
        <v/>
      </c>
      <c r="GO793" s="3336" t="str">
        <f t="shared" si="178"/>
        <v/>
      </c>
      <c r="GP793" s="3336" t="str">
        <f t="shared" si="179"/>
        <v/>
      </c>
      <c r="GQ793" s="3336" t="str">
        <f t="shared" si="180"/>
        <v/>
      </c>
      <c r="GR793" s="3336" t="str">
        <f t="shared" si="181"/>
        <v/>
      </c>
      <c r="GS793" s="3336" t="str">
        <f t="shared" si="182"/>
        <v/>
      </c>
      <c r="GT793" s="3336" t="str">
        <f t="shared" si="183"/>
        <v/>
      </c>
      <c r="GU793" s="3336" t="str">
        <f t="shared" si="184"/>
        <v/>
      </c>
      <c r="GV793" s="3336" t="str">
        <f t="shared" si="185"/>
        <v/>
      </c>
      <c r="GW793" s="3336" t="str">
        <f t="shared" si="186"/>
        <v/>
      </c>
      <c r="GX793" s="3336" t="str">
        <f t="shared" si="187"/>
        <v/>
      </c>
      <c r="GY793" s="3336" t="str">
        <f t="shared" si="188"/>
        <v/>
      </c>
      <c r="GZ793" s="3336" t="str">
        <f t="shared" si="189"/>
        <v/>
      </c>
      <c r="HA793" s="3336" t="str">
        <f t="shared" si="190"/>
        <v/>
      </c>
      <c r="HB793" s="3336" t="str">
        <f t="shared" si="191"/>
        <v/>
      </c>
      <c r="HC793" s="3336" t="str">
        <f t="shared" si="192"/>
        <v/>
      </c>
      <c r="HD793" s="3336" t="str">
        <f t="shared" si="193"/>
        <v/>
      </c>
      <c r="HE793" s="3336" t="str">
        <f t="shared" si="194"/>
        <v/>
      </c>
      <c r="HF793" s="3336" t="str">
        <f t="shared" si="195"/>
        <v/>
      </c>
      <c r="HG793" s="3336" t="str">
        <f t="shared" si="196"/>
        <v/>
      </c>
      <c r="HH793" s="3336" t="str">
        <f t="shared" si="197"/>
        <v/>
      </c>
      <c r="HI793" s="3336" t="str">
        <f t="shared" si="198"/>
        <v/>
      </c>
      <c r="HJ793" s="3336" t="str">
        <f t="shared" si="199"/>
        <v/>
      </c>
      <c r="HK793" s="3336" t="str">
        <f t="shared" si="200"/>
        <v/>
      </c>
      <c r="HL793" s="3336" t="str">
        <f t="shared" si="201"/>
        <v/>
      </c>
      <c r="HM793" s="3336" t="str">
        <f t="shared" si="202"/>
        <v/>
      </c>
      <c r="HN793" s="3336" t="str">
        <f t="shared" si="203"/>
        <v/>
      </c>
      <c r="HO793" s="3336" t="str">
        <f t="shared" si="204"/>
        <v/>
      </c>
      <c r="HP793" s="3336" t="str">
        <f t="shared" si="205"/>
        <v/>
      </c>
      <c r="HQ793" s="3336" t="str">
        <f t="shared" si="206"/>
        <v/>
      </c>
      <c r="HR793" s="3336" t="str">
        <f t="shared" si="207"/>
        <v/>
      </c>
      <c r="HS793" s="3336" t="str">
        <f t="shared" si="208"/>
        <v/>
      </c>
      <c r="HT793" s="3336" t="str">
        <f t="shared" si="209"/>
        <v/>
      </c>
      <c r="HU793" s="3336" t="str">
        <f t="shared" si="210"/>
        <v/>
      </c>
      <c r="HV793" s="3336" t="str">
        <f t="shared" si="211"/>
        <v/>
      </c>
      <c r="HW793" s="3336" t="str">
        <f t="shared" si="212"/>
        <v/>
      </c>
      <c r="HX793" s="3336" t="str">
        <f t="shared" si="213"/>
        <v/>
      </c>
      <c r="HY793" s="3336" t="str">
        <f t="shared" si="214"/>
        <v/>
      </c>
      <c r="HZ793" s="3336" t="str">
        <f t="shared" si="215"/>
        <v/>
      </c>
      <c r="IA793" s="3336" t="str">
        <f t="shared" si="216"/>
        <v/>
      </c>
      <c r="IB793" s="3336" t="str">
        <f t="shared" si="217"/>
        <v/>
      </c>
      <c r="IC793" s="3336" t="str">
        <f t="shared" si="218"/>
        <v/>
      </c>
      <c r="ID793" s="3308" t="str">
        <f t="shared" si="219"/>
        <v/>
      </c>
      <c r="IE793" s="3308" t="str">
        <f t="shared" si="220"/>
        <v/>
      </c>
      <c r="IF793" s="3308" t="str">
        <f t="shared" si="221"/>
        <v/>
      </c>
      <c r="IG793" s="3308" t="str">
        <f t="shared" si="222"/>
        <v/>
      </c>
      <c r="IH793" s="3308" t="str">
        <f t="shared" si="223"/>
        <v/>
      </c>
      <c r="II793" s="523" t="str">
        <f t="shared" si="224"/>
        <v/>
      </c>
      <c r="IJ793" s="523" t="str">
        <f t="shared" si="225"/>
        <v/>
      </c>
      <c r="IK793" s="523" t="str">
        <f t="shared" si="226"/>
        <v/>
      </c>
      <c r="IL793" s="523" t="str">
        <f t="shared" si="227"/>
        <v/>
      </c>
      <c r="IM793" s="523" t="str">
        <f t="shared" si="228"/>
        <v/>
      </c>
      <c r="IN793" s="523" t="str">
        <f t="shared" si="229"/>
        <v/>
      </c>
      <c r="IO793" s="523" t="str">
        <f t="shared" si="230"/>
        <v/>
      </c>
      <c r="IP793" s="523" t="str">
        <f t="shared" si="231"/>
        <v/>
      </c>
      <c r="IQ793" s="523" t="str">
        <f t="shared" si="232"/>
        <v/>
      </c>
      <c r="IR793" s="523" t="str">
        <f t="shared" si="233"/>
        <v/>
      </c>
      <c r="IS793" s="523" t="str">
        <f t="shared" si="234"/>
        <v/>
      </c>
      <c r="IT793" s="523" t="str">
        <f t="shared" si="235"/>
        <v/>
      </c>
      <c r="IU793" s="523" t="str">
        <f t="shared" si="236"/>
        <v/>
      </c>
      <c r="IV793" s="523" t="str">
        <f t="shared" si="237"/>
        <v/>
      </c>
      <c r="IW793" s="523" t="str">
        <f t="shared" si="238"/>
        <v/>
      </c>
      <c r="IX793" s="523" t="str">
        <f t="shared" si="239"/>
        <v/>
      </c>
      <c r="IY793" s="523" t="str">
        <f t="shared" si="240"/>
        <v/>
      </c>
      <c r="IZ793" s="523" t="str">
        <f t="shared" si="241"/>
        <v/>
      </c>
      <c r="JA793" s="523" t="str">
        <f t="shared" si="242"/>
        <v/>
      </c>
      <c r="JB793" s="523" t="str">
        <f t="shared" si="243"/>
        <v/>
      </c>
      <c r="JC793" s="3306">
        <f t="shared" si="244"/>
        <v>0</v>
      </c>
      <c r="JD793" s="3306">
        <f t="shared" si="245"/>
        <v>0</v>
      </c>
      <c r="JE793" s="3306">
        <f t="shared" si="246"/>
        <v>0</v>
      </c>
      <c r="JF793" s="3306">
        <f t="shared" si="247"/>
        <v>0</v>
      </c>
      <c r="JG793" s="3306">
        <f t="shared" si="248"/>
        <v>0</v>
      </c>
      <c r="JH793" s="3306">
        <f t="shared" si="249"/>
        <v>0</v>
      </c>
      <c r="JI793" s="3306">
        <f t="shared" si="250"/>
        <v>0</v>
      </c>
      <c r="JJ793" s="3306">
        <f t="shared" si="251"/>
        <v>0</v>
      </c>
      <c r="JK793" s="3306">
        <f t="shared" si="252"/>
        <v>0</v>
      </c>
      <c r="JL793" s="3306">
        <f t="shared" si="253"/>
        <v>0</v>
      </c>
      <c r="JM793" s="3306">
        <f t="shared" si="254"/>
        <v>0</v>
      </c>
      <c r="JN793" s="3306">
        <f t="shared" si="255"/>
        <v>0</v>
      </c>
      <c r="JO793" s="3306">
        <f t="shared" si="256"/>
        <v>0</v>
      </c>
      <c r="JP793" s="3306">
        <f t="shared" si="257"/>
        <v>0</v>
      </c>
      <c r="JQ793" s="3306">
        <f t="shared" si="258"/>
        <v>0</v>
      </c>
    </row>
    <row r="794" spans="1:277" ht="12" customHeight="1">
      <c r="A794" s="3319" t="str">
        <f t="shared" si="1"/>
        <v/>
      </c>
      <c r="B794" s="3328" t="str">
        <f>'Part VI-Revenues &amp; Expenses'!B37</f>
        <v>&lt;&lt;Select&gt;&gt;</v>
      </c>
      <c r="C794" s="3329">
        <f>'Part VI-Revenues &amp; Expenses'!C37</f>
        <v>0</v>
      </c>
      <c r="D794" s="3330">
        <f>'Part VI-Revenues &amp; Expenses'!D37</f>
        <v>0</v>
      </c>
      <c r="E794" s="3331">
        <f>'Part VI-Revenues &amp; Expenses'!E37</f>
        <v>0</v>
      </c>
      <c r="F794" s="3331">
        <f>'Part VI-Revenues &amp; Expenses'!F37</f>
        <v>0</v>
      </c>
      <c r="G794" s="3331">
        <f>'Part VI-Revenues &amp; Expenses'!G37</f>
        <v>0</v>
      </c>
      <c r="H794" s="3331">
        <f>'Part VI-Revenues &amp; Expenses'!H37</f>
        <v>0</v>
      </c>
      <c r="I794" s="3331">
        <f>'Part VI-Revenues &amp; Expenses'!I37</f>
        <v>0</v>
      </c>
      <c r="J794" s="3332">
        <f>'Part VI-Revenues &amp; Expenses'!J37</f>
        <v>0</v>
      </c>
      <c r="K794" s="3333">
        <f t="shared" si="2"/>
        <v>0</v>
      </c>
      <c r="L794" s="3333">
        <f t="shared" si="3"/>
        <v>0</v>
      </c>
      <c r="M794" s="3207">
        <f>'Part VI-Revenues &amp; Expenses'!M37</f>
        <v>0</v>
      </c>
      <c r="N794" s="3207">
        <f>'Part VI-Revenues &amp; Expenses'!N37</f>
        <v>0</v>
      </c>
      <c r="O794" s="3207">
        <f>'Part VI-Revenues &amp; Expenses'!O37</f>
        <v>0</v>
      </c>
      <c r="P794" s="3313">
        <f>'Part VI-Revenues &amp; Expenses'!P37</f>
        <v>0</v>
      </c>
      <c r="Q794" s="3334" t="str">
        <f>'Part VI-Revenues &amp; Expenses'!Q37</f>
        <v/>
      </c>
      <c r="R794" s="3335" t="str">
        <f>'Part VI-Revenues &amp; Expenses'!R37</f>
        <v/>
      </c>
      <c r="S794" s="3334">
        <f>'Part VI-Revenues &amp; Expenses'!S37</f>
        <v>0</v>
      </c>
      <c r="T794" s="3335">
        <f>'Part VI-Revenues &amp; Expenses'!T37</f>
        <v>0</v>
      </c>
      <c r="U794" s="3257"/>
      <c r="V794" s="3257"/>
      <c r="W794" s="523" t="str">
        <f t="shared" si="4"/>
        <v/>
      </c>
      <c r="X794" s="523" t="str">
        <f t="shared" si="5"/>
        <v/>
      </c>
      <c r="Y794" s="523" t="str">
        <f t="shared" si="6"/>
        <v/>
      </c>
      <c r="Z794" s="523" t="str">
        <f t="shared" si="7"/>
        <v/>
      </c>
      <c r="AA794" s="523" t="str">
        <f t="shared" si="8"/>
        <v/>
      </c>
      <c r="AB794" s="523" t="str">
        <f t="shared" si="9"/>
        <v/>
      </c>
      <c r="AC794" s="523" t="str">
        <f t="shared" si="10"/>
        <v/>
      </c>
      <c r="AD794" s="523" t="str">
        <f t="shared" si="11"/>
        <v/>
      </c>
      <c r="AE794" s="523" t="str">
        <f t="shared" si="12"/>
        <v/>
      </c>
      <c r="AF794" s="523" t="str">
        <f t="shared" si="13"/>
        <v/>
      </c>
      <c r="AG794" s="523" t="str">
        <f t="shared" si="14"/>
        <v/>
      </c>
      <c r="AH794" s="523" t="str">
        <f t="shared" si="15"/>
        <v/>
      </c>
      <c r="AI794" s="523" t="str">
        <f t="shared" si="16"/>
        <v/>
      </c>
      <c r="AJ794" s="523" t="str">
        <f t="shared" si="17"/>
        <v/>
      </c>
      <c r="AK794" s="523" t="str">
        <f t="shared" si="18"/>
        <v/>
      </c>
      <c r="AL794" s="523" t="str">
        <f t="shared" si="19"/>
        <v/>
      </c>
      <c r="AM794" s="523" t="str">
        <f t="shared" si="20"/>
        <v/>
      </c>
      <c r="AN794" s="523" t="str">
        <f t="shared" si="21"/>
        <v/>
      </c>
      <c r="AO794" s="523" t="str">
        <f t="shared" si="22"/>
        <v/>
      </c>
      <c r="AP794" s="523" t="str">
        <f t="shared" si="23"/>
        <v/>
      </c>
      <c r="AQ794" s="523" t="str">
        <f t="shared" si="24"/>
        <v/>
      </c>
      <c r="AR794" s="523" t="str">
        <f t="shared" si="25"/>
        <v/>
      </c>
      <c r="AS794" s="523" t="str">
        <f t="shared" si="26"/>
        <v/>
      </c>
      <c r="AT794" s="523" t="str">
        <f t="shared" si="27"/>
        <v/>
      </c>
      <c r="AU794" s="523" t="str">
        <f t="shared" si="28"/>
        <v/>
      </c>
      <c r="AV794" s="523" t="str">
        <f t="shared" si="29"/>
        <v/>
      </c>
      <c r="AW794" s="523" t="str">
        <f t="shared" si="30"/>
        <v/>
      </c>
      <c r="AX794" s="523" t="str">
        <f t="shared" si="31"/>
        <v/>
      </c>
      <c r="AY794" s="523" t="str">
        <f t="shared" si="32"/>
        <v/>
      </c>
      <c r="AZ794" s="523" t="str">
        <f t="shared" si="33"/>
        <v/>
      </c>
      <c r="BA794" s="523" t="str">
        <f t="shared" si="34"/>
        <v/>
      </c>
      <c r="BB794" s="523" t="str">
        <f t="shared" si="35"/>
        <v/>
      </c>
      <c r="BC794" s="523" t="str">
        <f t="shared" si="36"/>
        <v/>
      </c>
      <c r="BD794" s="523" t="str">
        <f t="shared" si="37"/>
        <v/>
      </c>
      <c r="BE794" s="523" t="str">
        <f t="shared" si="38"/>
        <v/>
      </c>
      <c r="BF794" s="523" t="str">
        <f t="shared" si="39"/>
        <v/>
      </c>
      <c r="BG794" s="523" t="str">
        <f t="shared" si="40"/>
        <v/>
      </c>
      <c r="BH794" s="523" t="str">
        <f t="shared" si="41"/>
        <v/>
      </c>
      <c r="BI794" s="523" t="str">
        <f t="shared" si="42"/>
        <v/>
      </c>
      <c r="BJ794" s="523" t="str">
        <f t="shared" si="43"/>
        <v/>
      </c>
      <c r="BK794" s="523" t="str">
        <f t="shared" si="44"/>
        <v/>
      </c>
      <c r="BL794" s="523" t="str">
        <f t="shared" si="45"/>
        <v/>
      </c>
      <c r="BM794" s="523" t="str">
        <f t="shared" si="46"/>
        <v/>
      </c>
      <c r="BN794" s="523" t="str">
        <f t="shared" si="47"/>
        <v/>
      </c>
      <c r="BO794" s="523" t="str">
        <f t="shared" si="48"/>
        <v/>
      </c>
      <c r="BP794" s="523" t="str">
        <f t="shared" si="49"/>
        <v/>
      </c>
      <c r="BQ794" s="523" t="str">
        <f t="shared" si="50"/>
        <v/>
      </c>
      <c r="BR794" s="523" t="str">
        <f t="shared" si="51"/>
        <v/>
      </c>
      <c r="BS794" s="523" t="str">
        <f t="shared" si="52"/>
        <v/>
      </c>
      <c r="BT794" s="523" t="str">
        <f t="shared" si="53"/>
        <v/>
      </c>
      <c r="BU794" s="523" t="str">
        <f t="shared" si="54"/>
        <v/>
      </c>
      <c r="BV794" s="523" t="str">
        <f t="shared" si="55"/>
        <v/>
      </c>
      <c r="BW794" s="523" t="str">
        <f t="shared" si="56"/>
        <v/>
      </c>
      <c r="BX794" s="523" t="str">
        <f t="shared" si="57"/>
        <v/>
      </c>
      <c r="BY794" s="523" t="str">
        <f t="shared" si="58"/>
        <v/>
      </c>
      <c r="BZ794" s="523" t="str">
        <f t="shared" si="59"/>
        <v/>
      </c>
      <c r="CA794" s="523" t="str">
        <f t="shared" si="60"/>
        <v/>
      </c>
      <c r="CB794" s="523" t="str">
        <f t="shared" si="61"/>
        <v/>
      </c>
      <c r="CC794" s="523" t="str">
        <f t="shared" si="62"/>
        <v/>
      </c>
      <c r="CD794" s="523" t="str">
        <f t="shared" si="63"/>
        <v/>
      </c>
      <c r="CE794" s="523" t="str">
        <f t="shared" si="64"/>
        <v/>
      </c>
      <c r="CF794" s="523" t="str">
        <f t="shared" si="65"/>
        <v/>
      </c>
      <c r="CG794" s="523" t="str">
        <f t="shared" si="66"/>
        <v/>
      </c>
      <c r="CH794" s="523" t="str">
        <f t="shared" si="67"/>
        <v/>
      </c>
      <c r="CI794" s="523" t="str">
        <f t="shared" si="68"/>
        <v/>
      </c>
      <c r="CJ794" s="523" t="str">
        <f t="shared" si="69"/>
        <v/>
      </c>
      <c r="CK794" s="523" t="str">
        <f t="shared" si="70"/>
        <v/>
      </c>
      <c r="CL794" s="523" t="str">
        <f t="shared" si="71"/>
        <v/>
      </c>
      <c r="CM794" s="523" t="str">
        <f t="shared" si="72"/>
        <v/>
      </c>
      <c r="CN794" s="523" t="str">
        <f t="shared" si="73"/>
        <v/>
      </c>
      <c r="CO794" s="523" t="str">
        <f t="shared" si="74"/>
        <v/>
      </c>
      <c r="CP794" s="523" t="str">
        <f t="shared" si="75"/>
        <v/>
      </c>
      <c r="CQ794" s="523" t="str">
        <f t="shared" si="76"/>
        <v/>
      </c>
      <c r="CR794" s="523" t="str">
        <f t="shared" si="77"/>
        <v/>
      </c>
      <c r="CS794" s="523" t="str">
        <f t="shared" si="78"/>
        <v/>
      </c>
      <c r="CT794" s="523" t="str">
        <f t="shared" si="79"/>
        <v/>
      </c>
      <c r="CU794" s="523" t="str">
        <f t="shared" si="80"/>
        <v/>
      </c>
      <c r="CV794" s="523" t="str">
        <f t="shared" si="81"/>
        <v/>
      </c>
      <c r="CW794" s="523" t="str">
        <f t="shared" si="82"/>
        <v/>
      </c>
      <c r="CX794" s="523" t="str">
        <f t="shared" si="83"/>
        <v/>
      </c>
      <c r="CY794" s="523" t="str">
        <f t="shared" si="84"/>
        <v/>
      </c>
      <c r="CZ794" s="523" t="str">
        <f t="shared" si="85"/>
        <v/>
      </c>
      <c r="DA794" s="523" t="str">
        <f t="shared" si="86"/>
        <v/>
      </c>
      <c r="DB794" s="523" t="str">
        <f t="shared" si="87"/>
        <v/>
      </c>
      <c r="DC794" s="523" t="str">
        <f t="shared" si="88"/>
        <v/>
      </c>
      <c r="DD794" s="523" t="str">
        <f t="shared" si="89"/>
        <v/>
      </c>
      <c r="DE794" s="523" t="str">
        <f t="shared" si="90"/>
        <v/>
      </c>
      <c r="DF794" s="523" t="str">
        <f t="shared" si="91"/>
        <v/>
      </c>
      <c r="DG794" s="523" t="str">
        <f t="shared" si="92"/>
        <v/>
      </c>
      <c r="DH794" s="523" t="str">
        <f t="shared" si="93"/>
        <v/>
      </c>
      <c r="DI794" s="523" t="str">
        <f t="shared" si="94"/>
        <v/>
      </c>
      <c r="DJ794" s="523" t="str">
        <f t="shared" si="95"/>
        <v/>
      </c>
      <c r="DK794" s="523" t="str">
        <f t="shared" si="96"/>
        <v/>
      </c>
      <c r="DL794" s="523" t="str">
        <f t="shared" si="97"/>
        <v/>
      </c>
      <c r="DM794" s="523" t="str">
        <f t="shared" si="98"/>
        <v/>
      </c>
      <c r="DN794" s="523" t="str">
        <f t="shared" si="99"/>
        <v/>
      </c>
      <c r="DO794" s="523" t="str">
        <f t="shared" si="100"/>
        <v/>
      </c>
      <c r="DP794" s="523" t="str">
        <f t="shared" si="101"/>
        <v/>
      </c>
      <c r="DQ794" s="523" t="str">
        <f t="shared" si="102"/>
        <v/>
      </c>
      <c r="DR794" s="523" t="str">
        <f t="shared" si="103"/>
        <v/>
      </c>
      <c r="DS794" s="523" t="str">
        <f t="shared" si="104"/>
        <v/>
      </c>
      <c r="DT794" s="523" t="str">
        <f t="shared" si="105"/>
        <v/>
      </c>
      <c r="DU794" s="523" t="str">
        <f t="shared" si="106"/>
        <v/>
      </c>
      <c r="DV794" s="523" t="str">
        <f t="shared" si="107"/>
        <v/>
      </c>
      <c r="DW794" s="523" t="str">
        <f t="shared" si="108"/>
        <v/>
      </c>
      <c r="DX794" s="523" t="str">
        <f t="shared" si="109"/>
        <v/>
      </c>
      <c r="DY794" s="523" t="str">
        <f t="shared" si="110"/>
        <v/>
      </c>
      <c r="DZ794" s="523" t="str">
        <f t="shared" si="111"/>
        <v/>
      </c>
      <c r="EA794" s="523" t="str">
        <f t="shared" si="112"/>
        <v/>
      </c>
      <c r="EB794" s="523" t="str">
        <f t="shared" si="113"/>
        <v/>
      </c>
      <c r="EC794" s="523" t="str">
        <f t="shared" si="114"/>
        <v/>
      </c>
      <c r="ED794" s="523" t="str">
        <f t="shared" si="115"/>
        <v/>
      </c>
      <c r="EE794" s="523" t="str">
        <f t="shared" si="116"/>
        <v/>
      </c>
      <c r="EF794" s="523" t="str">
        <f t="shared" si="117"/>
        <v/>
      </c>
      <c r="EG794" s="523" t="str">
        <f t="shared" si="118"/>
        <v/>
      </c>
      <c r="EH794" s="523" t="str">
        <f t="shared" si="119"/>
        <v/>
      </c>
      <c r="EI794" s="523" t="str">
        <f t="shared" si="120"/>
        <v/>
      </c>
      <c r="EJ794" s="523" t="str">
        <f t="shared" si="121"/>
        <v/>
      </c>
      <c r="EK794" s="523" t="str">
        <f t="shared" si="122"/>
        <v/>
      </c>
      <c r="EL794" s="523" t="str">
        <f t="shared" si="123"/>
        <v/>
      </c>
      <c r="EM794" s="523" t="str">
        <f t="shared" si="124"/>
        <v/>
      </c>
      <c r="EN794" s="523" t="str">
        <f t="shared" si="125"/>
        <v/>
      </c>
      <c r="EO794" s="523" t="str">
        <f t="shared" si="126"/>
        <v/>
      </c>
      <c r="EP794" s="523" t="str">
        <f t="shared" si="127"/>
        <v/>
      </c>
      <c r="EQ794" s="523" t="str">
        <f t="shared" si="128"/>
        <v/>
      </c>
      <c r="ER794" s="523" t="str">
        <f t="shared" si="129"/>
        <v/>
      </c>
      <c r="ES794" s="523" t="str">
        <f t="shared" si="130"/>
        <v/>
      </c>
      <c r="ET794" s="523" t="str">
        <f t="shared" si="131"/>
        <v/>
      </c>
      <c r="EU794" s="523" t="str">
        <f t="shared" si="132"/>
        <v/>
      </c>
      <c r="EV794" s="523" t="str">
        <f t="shared" si="133"/>
        <v/>
      </c>
      <c r="EW794" s="3336" t="str">
        <f t="shared" si="134"/>
        <v/>
      </c>
      <c r="EX794" s="3336" t="str">
        <f t="shared" si="135"/>
        <v/>
      </c>
      <c r="EY794" s="3336" t="str">
        <f t="shared" si="136"/>
        <v/>
      </c>
      <c r="EZ794" s="3336" t="str">
        <f t="shared" si="137"/>
        <v/>
      </c>
      <c r="FA794" s="3336" t="str">
        <f t="shared" si="138"/>
        <v/>
      </c>
      <c r="FB794" s="3336" t="str">
        <f t="shared" si="139"/>
        <v/>
      </c>
      <c r="FC794" s="3336" t="str">
        <f t="shared" si="140"/>
        <v/>
      </c>
      <c r="FD794" s="3336" t="str">
        <f t="shared" si="141"/>
        <v/>
      </c>
      <c r="FE794" s="3336" t="str">
        <f t="shared" si="142"/>
        <v/>
      </c>
      <c r="FF794" s="3336" t="str">
        <f t="shared" si="143"/>
        <v/>
      </c>
      <c r="FG794" s="3336" t="str">
        <f t="shared" si="144"/>
        <v/>
      </c>
      <c r="FH794" s="3336" t="str">
        <f t="shared" si="145"/>
        <v/>
      </c>
      <c r="FI794" s="3336" t="str">
        <f t="shared" si="146"/>
        <v/>
      </c>
      <c r="FJ794" s="3336" t="str">
        <f t="shared" si="147"/>
        <v/>
      </c>
      <c r="FK794" s="3336" t="str">
        <f t="shared" si="148"/>
        <v/>
      </c>
      <c r="FL794" s="3336" t="str">
        <f t="shared" si="149"/>
        <v/>
      </c>
      <c r="FM794" s="3336" t="str">
        <f t="shared" si="150"/>
        <v/>
      </c>
      <c r="FN794" s="3336" t="str">
        <f t="shared" si="151"/>
        <v/>
      </c>
      <c r="FO794" s="3336" t="str">
        <f t="shared" si="152"/>
        <v/>
      </c>
      <c r="FP794" s="3336" t="str">
        <f t="shared" si="153"/>
        <v/>
      </c>
      <c r="FQ794" s="3336" t="str">
        <f t="shared" si="154"/>
        <v/>
      </c>
      <c r="FR794" s="3336" t="str">
        <f t="shared" si="155"/>
        <v/>
      </c>
      <c r="FS794" s="3336" t="str">
        <f t="shared" si="156"/>
        <v/>
      </c>
      <c r="FT794" s="3336" t="str">
        <f t="shared" si="157"/>
        <v/>
      </c>
      <c r="FU794" s="3336" t="str">
        <f t="shared" si="158"/>
        <v/>
      </c>
      <c r="FV794" s="3336" t="str">
        <f t="shared" si="159"/>
        <v/>
      </c>
      <c r="FW794" s="3336" t="str">
        <f t="shared" si="160"/>
        <v/>
      </c>
      <c r="FX794" s="3336" t="str">
        <f t="shared" si="161"/>
        <v/>
      </c>
      <c r="FY794" s="3336" t="str">
        <f t="shared" si="162"/>
        <v/>
      </c>
      <c r="FZ794" s="3336" t="str">
        <f t="shared" si="163"/>
        <v/>
      </c>
      <c r="GA794" s="3336" t="str">
        <f t="shared" si="164"/>
        <v/>
      </c>
      <c r="GB794" s="3336" t="str">
        <f t="shared" si="165"/>
        <v/>
      </c>
      <c r="GC794" s="3336" t="str">
        <f t="shared" si="166"/>
        <v/>
      </c>
      <c r="GD794" s="3336" t="str">
        <f t="shared" si="167"/>
        <v/>
      </c>
      <c r="GE794" s="3336" t="str">
        <f t="shared" si="168"/>
        <v/>
      </c>
      <c r="GF794" s="3336" t="str">
        <f t="shared" si="169"/>
        <v/>
      </c>
      <c r="GG794" s="3336" t="str">
        <f t="shared" si="170"/>
        <v/>
      </c>
      <c r="GH794" s="3336" t="str">
        <f t="shared" si="171"/>
        <v/>
      </c>
      <c r="GI794" s="3336" t="str">
        <f t="shared" si="172"/>
        <v/>
      </c>
      <c r="GJ794" s="3336" t="str">
        <f t="shared" si="173"/>
        <v/>
      </c>
      <c r="GK794" s="3336" t="str">
        <f t="shared" si="174"/>
        <v/>
      </c>
      <c r="GL794" s="3336" t="str">
        <f t="shared" si="175"/>
        <v/>
      </c>
      <c r="GM794" s="3336" t="str">
        <f t="shared" si="176"/>
        <v/>
      </c>
      <c r="GN794" s="3336" t="str">
        <f t="shared" si="177"/>
        <v/>
      </c>
      <c r="GO794" s="3336" t="str">
        <f t="shared" si="178"/>
        <v/>
      </c>
      <c r="GP794" s="3336" t="str">
        <f t="shared" si="179"/>
        <v/>
      </c>
      <c r="GQ794" s="3336" t="str">
        <f t="shared" si="180"/>
        <v/>
      </c>
      <c r="GR794" s="3336" t="str">
        <f t="shared" si="181"/>
        <v/>
      </c>
      <c r="GS794" s="3336" t="str">
        <f t="shared" si="182"/>
        <v/>
      </c>
      <c r="GT794" s="3336" t="str">
        <f t="shared" si="183"/>
        <v/>
      </c>
      <c r="GU794" s="3336" t="str">
        <f t="shared" si="184"/>
        <v/>
      </c>
      <c r="GV794" s="3336" t="str">
        <f t="shared" si="185"/>
        <v/>
      </c>
      <c r="GW794" s="3336" t="str">
        <f t="shared" si="186"/>
        <v/>
      </c>
      <c r="GX794" s="3336" t="str">
        <f t="shared" si="187"/>
        <v/>
      </c>
      <c r="GY794" s="3336" t="str">
        <f t="shared" si="188"/>
        <v/>
      </c>
      <c r="GZ794" s="3336" t="str">
        <f t="shared" si="189"/>
        <v/>
      </c>
      <c r="HA794" s="3336" t="str">
        <f t="shared" si="190"/>
        <v/>
      </c>
      <c r="HB794" s="3336" t="str">
        <f t="shared" si="191"/>
        <v/>
      </c>
      <c r="HC794" s="3336" t="str">
        <f t="shared" si="192"/>
        <v/>
      </c>
      <c r="HD794" s="3336" t="str">
        <f t="shared" si="193"/>
        <v/>
      </c>
      <c r="HE794" s="3336" t="str">
        <f t="shared" si="194"/>
        <v/>
      </c>
      <c r="HF794" s="3336" t="str">
        <f t="shared" si="195"/>
        <v/>
      </c>
      <c r="HG794" s="3336" t="str">
        <f t="shared" si="196"/>
        <v/>
      </c>
      <c r="HH794" s="3336" t="str">
        <f t="shared" si="197"/>
        <v/>
      </c>
      <c r="HI794" s="3336" t="str">
        <f t="shared" si="198"/>
        <v/>
      </c>
      <c r="HJ794" s="3336" t="str">
        <f t="shared" si="199"/>
        <v/>
      </c>
      <c r="HK794" s="3336" t="str">
        <f t="shared" si="200"/>
        <v/>
      </c>
      <c r="HL794" s="3336" t="str">
        <f t="shared" si="201"/>
        <v/>
      </c>
      <c r="HM794" s="3336" t="str">
        <f t="shared" si="202"/>
        <v/>
      </c>
      <c r="HN794" s="3336" t="str">
        <f t="shared" si="203"/>
        <v/>
      </c>
      <c r="HO794" s="3336" t="str">
        <f t="shared" si="204"/>
        <v/>
      </c>
      <c r="HP794" s="3336" t="str">
        <f t="shared" si="205"/>
        <v/>
      </c>
      <c r="HQ794" s="3336" t="str">
        <f t="shared" si="206"/>
        <v/>
      </c>
      <c r="HR794" s="3336" t="str">
        <f t="shared" si="207"/>
        <v/>
      </c>
      <c r="HS794" s="3336" t="str">
        <f t="shared" si="208"/>
        <v/>
      </c>
      <c r="HT794" s="3336" t="str">
        <f t="shared" si="209"/>
        <v/>
      </c>
      <c r="HU794" s="3336" t="str">
        <f t="shared" si="210"/>
        <v/>
      </c>
      <c r="HV794" s="3336" t="str">
        <f t="shared" si="211"/>
        <v/>
      </c>
      <c r="HW794" s="3336" t="str">
        <f t="shared" si="212"/>
        <v/>
      </c>
      <c r="HX794" s="3336" t="str">
        <f t="shared" si="213"/>
        <v/>
      </c>
      <c r="HY794" s="3336" t="str">
        <f t="shared" si="214"/>
        <v/>
      </c>
      <c r="HZ794" s="3336" t="str">
        <f t="shared" si="215"/>
        <v/>
      </c>
      <c r="IA794" s="3336" t="str">
        <f t="shared" si="216"/>
        <v/>
      </c>
      <c r="IB794" s="3336" t="str">
        <f t="shared" si="217"/>
        <v/>
      </c>
      <c r="IC794" s="3336" t="str">
        <f t="shared" si="218"/>
        <v/>
      </c>
      <c r="ID794" s="3308" t="str">
        <f t="shared" si="219"/>
        <v/>
      </c>
      <c r="IE794" s="3308" t="str">
        <f t="shared" si="220"/>
        <v/>
      </c>
      <c r="IF794" s="3308" t="str">
        <f t="shared" si="221"/>
        <v/>
      </c>
      <c r="IG794" s="3308" t="str">
        <f t="shared" si="222"/>
        <v/>
      </c>
      <c r="IH794" s="3308" t="str">
        <f t="shared" si="223"/>
        <v/>
      </c>
      <c r="II794" s="523" t="str">
        <f t="shared" si="224"/>
        <v/>
      </c>
      <c r="IJ794" s="523" t="str">
        <f t="shared" si="225"/>
        <v/>
      </c>
      <c r="IK794" s="523" t="str">
        <f t="shared" si="226"/>
        <v/>
      </c>
      <c r="IL794" s="523" t="str">
        <f t="shared" si="227"/>
        <v/>
      </c>
      <c r="IM794" s="523" t="str">
        <f t="shared" si="228"/>
        <v/>
      </c>
      <c r="IN794" s="523" t="str">
        <f t="shared" si="229"/>
        <v/>
      </c>
      <c r="IO794" s="523" t="str">
        <f t="shared" si="230"/>
        <v/>
      </c>
      <c r="IP794" s="523" t="str">
        <f t="shared" si="231"/>
        <v/>
      </c>
      <c r="IQ794" s="523" t="str">
        <f t="shared" si="232"/>
        <v/>
      </c>
      <c r="IR794" s="523" t="str">
        <f t="shared" si="233"/>
        <v/>
      </c>
      <c r="IS794" s="523" t="str">
        <f t="shared" si="234"/>
        <v/>
      </c>
      <c r="IT794" s="523" t="str">
        <f t="shared" si="235"/>
        <v/>
      </c>
      <c r="IU794" s="523" t="str">
        <f t="shared" si="236"/>
        <v/>
      </c>
      <c r="IV794" s="523" t="str">
        <f t="shared" si="237"/>
        <v/>
      </c>
      <c r="IW794" s="523" t="str">
        <f t="shared" si="238"/>
        <v/>
      </c>
      <c r="IX794" s="523" t="str">
        <f t="shared" si="239"/>
        <v/>
      </c>
      <c r="IY794" s="523" t="str">
        <f t="shared" si="240"/>
        <v/>
      </c>
      <c r="IZ794" s="523" t="str">
        <f t="shared" si="241"/>
        <v/>
      </c>
      <c r="JA794" s="523" t="str">
        <f t="shared" si="242"/>
        <v/>
      </c>
      <c r="JB794" s="523" t="str">
        <f t="shared" si="243"/>
        <v/>
      </c>
      <c r="JC794" s="3306">
        <f t="shared" si="244"/>
        <v>0</v>
      </c>
      <c r="JD794" s="3306">
        <f t="shared" si="245"/>
        <v>0</v>
      </c>
      <c r="JE794" s="3306">
        <f t="shared" si="246"/>
        <v>0</v>
      </c>
      <c r="JF794" s="3306">
        <f t="shared" si="247"/>
        <v>0</v>
      </c>
      <c r="JG794" s="3306">
        <f t="shared" si="248"/>
        <v>0</v>
      </c>
      <c r="JH794" s="3306">
        <f t="shared" si="249"/>
        <v>0</v>
      </c>
      <c r="JI794" s="3306">
        <f t="shared" si="250"/>
        <v>0</v>
      </c>
      <c r="JJ794" s="3306">
        <f t="shared" si="251"/>
        <v>0</v>
      </c>
      <c r="JK794" s="3306">
        <f t="shared" si="252"/>
        <v>0</v>
      </c>
      <c r="JL794" s="3306">
        <f t="shared" si="253"/>
        <v>0</v>
      </c>
      <c r="JM794" s="3306">
        <f t="shared" si="254"/>
        <v>0</v>
      </c>
      <c r="JN794" s="3306">
        <f t="shared" si="255"/>
        <v>0</v>
      </c>
      <c r="JO794" s="3306">
        <f t="shared" si="256"/>
        <v>0</v>
      </c>
      <c r="JP794" s="3306">
        <f t="shared" si="257"/>
        <v>0</v>
      </c>
      <c r="JQ794" s="3306">
        <f t="shared" si="258"/>
        <v>0</v>
      </c>
    </row>
    <row r="795" spans="1:277" ht="12" customHeight="1">
      <c r="A795" s="3319" t="str">
        <f t="shared" si="1"/>
        <v/>
      </c>
      <c r="B795" s="3328" t="str">
        <f>'Part VI-Revenues &amp; Expenses'!B38</f>
        <v>&lt;&lt;Select&gt;&gt;</v>
      </c>
      <c r="C795" s="3329">
        <f>'Part VI-Revenues &amp; Expenses'!C38</f>
        <v>0</v>
      </c>
      <c r="D795" s="3330">
        <f>'Part VI-Revenues &amp; Expenses'!D38</f>
        <v>0</v>
      </c>
      <c r="E795" s="3331">
        <f>'Part VI-Revenues &amp; Expenses'!E38</f>
        <v>0</v>
      </c>
      <c r="F795" s="3331">
        <f>'Part VI-Revenues &amp; Expenses'!F38</f>
        <v>0</v>
      </c>
      <c r="G795" s="3331">
        <f>'Part VI-Revenues &amp; Expenses'!G38</f>
        <v>0</v>
      </c>
      <c r="H795" s="3331">
        <f>'Part VI-Revenues &amp; Expenses'!H38</f>
        <v>0</v>
      </c>
      <c r="I795" s="3331">
        <f>'Part VI-Revenues &amp; Expenses'!I38</f>
        <v>0</v>
      </c>
      <c r="J795" s="3332">
        <f>'Part VI-Revenues &amp; Expenses'!J38</f>
        <v>0</v>
      </c>
      <c r="K795" s="3333">
        <f t="shared" si="2"/>
        <v>0</v>
      </c>
      <c r="L795" s="3333">
        <f t="shared" si="3"/>
        <v>0</v>
      </c>
      <c r="M795" s="3207">
        <f>'Part VI-Revenues &amp; Expenses'!M38</f>
        <v>0</v>
      </c>
      <c r="N795" s="3207">
        <f>'Part VI-Revenues &amp; Expenses'!N38</f>
        <v>0</v>
      </c>
      <c r="O795" s="3207">
        <f>'Part VI-Revenues &amp; Expenses'!O38</f>
        <v>0</v>
      </c>
      <c r="P795" s="3313">
        <f>'Part VI-Revenues &amp; Expenses'!P38</f>
        <v>0</v>
      </c>
      <c r="Q795" s="3334" t="str">
        <f>'Part VI-Revenues &amp; Expenses'!Q38</f>
        <v/>
      </c>
      <c r="R795" s="3335" t="str">
        <f>'Part VI-Revenues &amp; Expenses'!R38</f>
        <v/>
      </c>
      <c r="S795" s="3334">
        <f>'Part VI-Revenues &amp; Expenses'!S38</f>
        <v>0</v>
      </c>
      <c r="T795" s="3335">
        <f>'Part VI-Revenues &amp; Expenses'!T38</f>
        <v>0</v>
      </c>
      <c r="U795" s="3257"/>
      <c r="V795" s="3257"/>
      <c r="W795" s="523" t="str">
        <f t="shared" si="4"/>
        <v/>
      </c>
      <c r="X795" s="523" t="str">
        <f t="shared" si="5"/>
        <v/>
      </c>
      <c r="Y795" s="523" t="str">
        <f t="shared" si="6"/>
        <v/>
      </c>
      <c r="Z795" s="523" t="str">
        <f t="shared" si="7"/>
        <v/>
      </c>
      <c r="AA795" s="523" t="str">
        <f t="shared" si="8"/>
        <v/>
      </c>
      <c r="AB795" s="523" t="str">
        <f t="shared" si="9"/>
        <v/>
      </c>
      <c r="AC795" s="523" t="str">
        <f t="shared" si="10"/>
        <v/>
      </c>
      <c r="AD795" s="523" t="str">
        <f t="shared" si="11"/>
        <v/>
      </c>
      <c r="AE795" s="523" t="str">
        <f t="shared" si="12"/>
        <v/>
      </c>
      <c r="AF795" s="523" t="str">
        <f t="shared" si="13"/>
        <v/>
      </c>
      <c r="AG795" s="523" t="str">
        <f t="shared" si="14"/>
        <v/>
      </c>
      <c r="AH795" s="523" t="str">
        <f t="shared" si="15"/>
        <v/>
      </c>
      <c r="AI795" s="523" t="str">
        <f t="shared" si="16"/>
        <v/>
      </c>
      <c r="AJ795" s="523" t="str">
        <f t="shared" si="17"/>
        <v/>
      </c>
      <c r="AK795" s="523" t="str">
        <f t="shared" si="18"/>
        <v/>
      </c>
      <c r="AL795" s="523" t="str">
        <f t="shared" si="19"/>
        <v/>
      </c>
      <c r="AM795" s="523" t="str">
        <f t="shared" si="20"/>
        <v/>
      </c>
      <c r="AN795" s="523" t="str">
        <f t="shared" si="21"/>
        <v/>
      </c>
      <c r="AO795" s="523" t="str">
        <f t="shared" si="22"/>
        <v/>
      </c>
      <c r="AP795" s="523" t="str">
        <f t="shared" si="23"/>
        <v/>
      </c>
      <c r="AQ795" s="523" t="str">
        <f t="shared" si="24"/>
        <v/>
      </c>
      <c r="AR795" s="523" t="str">
        <f t="shared" si="25"/>
        <v/>
      </c>
      <c r="AS795" s="523" t="str">
        <f t="shared" si="26"/>
        <v/>
      </c>
      <c r="AT795" s="523" t="str">
        <f t="shared" si="27"/>
        <v/>
      </c>
      <c r="AU795" s="523" t="str">
        <f t="shared" si="28"/>
        <v/>
      </c>
      <c r="AV795" s="523" t="str">
        <f t="shared" si="29"/>
        <v/>
      </c>
      <c r="AW795" s="523" t="str">
        <f t="shared" si="30"/>
        <v/>
      </c>
      <c r="AX795" s="523" t="str">
        <f t="shared" si="31"/>
        <v/>
      </c>
      <c r="AY795" s="523" t="str">
        <f t="shared" si="32"/>
        <v/>
      </c>
      <c r="AZ795" s="523" t="str">
        <f t="shared" si="33"/>
        <v/>
      </c>
      <c r="BA795" s="523" t="str">
        <f t="shared" si="34"/>
        <v/>
      </c>
      <c r="BB795" s="523" t="str">
        <f t="shared" si="35"/>
        <v/>
      </c>
      <c r="BC795" s="523" t="str">
        <f t="shared" si="36"/>
        <v/>
      </c>
      <c r="BD795" s="523" t="str">
        <f t="shared" si="37"/>
        <v/>
      </c>
      <c r="BE795" s="523" t="str">
        <f t="shared" si="38"/>
        <v/>
      </c>
      <c r="BF795" s="523" t="str">
        <f t="shared" si="39"/>
        <v/>
      </c>
      <c r="BG795" s="523" t="str">
        <f t="shared" si="40"/>
        <v/>
      </c>
      <c r="BH795" s="523" t="str">
        <f t="shared" si="41"/>
        <v/>
      </c>
      <c r="BI795" s="523" t="str">
        <f t="shared" si="42"/>
        <v/>
      </c>
      <c r="BJ795" s="523" t="str">
        <f t="shared" si="43"/>
        <v/>
      </c>
      <c r="BK795" s="523" t="str">
        <f t="shared" si="44"/>
        <v/>
      </c>
      <c r="BL795" s="523" t="str">
        <f t="shared" si="45"/>
        <v/>
      </c>
      <c r="BM795" s="523" t="str">
        <f t="shared" si="46"/>
        <v/>
      </c>
      <c r="BN795" s="523" t="str">
        <f t="shared" si="47"/>
        <v/>
      </c>
      <c r="BO795" s="523" t="str">
        <f t="shared" si="48"/>
        <v/>
      </c>
      <c r="BP795" s="523" t="str">
        <f t="shared" si="49"/>
        <v/>
      </c>
      <c r="BQ795" s="523" t="str">
        <f t="shared" si="50"/>
        <v/>
      </c>
      <c r="BR795" s="523" t="str">
        <f t="shared" si="51"/>
        <v/>
      </c>
      <c r="BS795" s="523" t="str">
        <f t="shared" si="52"/>
        <v/>
      </c>
      <c r="BT795" s="523" t="str">
        <f t="shared" si="53"/>
        <v/>
      </c>
      <c r="BU795" s="523" t="str">
        <f t="shared" si="54"/>
        <v/>
      </c>
      <c r="BV795" s="523" t="str">
        <f t="shared" si="55"/>
        <v/>
      </c>
      <c r="BW795" s="523" t="str">
        <f t="shared" si="56"/>
        <v/>
      </c>
      <c r="BX795" s="523" t="str">
        <f t="shared" si="57"/>
        <v/>
      </c>
      <c r="BY795" s="523" t="str">
        <f t="shared" si="58"/>
        <v/>
      </c>
      <c r="BZ795" s="523" t="str">
        <f t="shared" si="59"/>
        <v/>
      </c>
      <c r="CA795" s="523" t="str">
        <f t="shared" si="60"/>
        <v/>
      </c>
      <c r="CB795" s="523" t="str">
        <f t="shared" si="61"/>
        <v/>
      </c>
      <c r="CC795" s="523" t="str">
        <f t="shared" si="62"/>
        <v/>
      </c>
      <c r="CD795" s="523" t="str">
        <f t="shared" si="63"/>
        <v/>
      </c>
      <c r="CE795" s="523" t="str">
        <f t="shared" si="64"/>
        <v/>
      </c>
      <c r="CF795" s="523" t="str">
        <f t="shared" si="65"/>
        <v/>
      </c>
      <c r="CG795" s="523" t="str">
        <f t="shared" si="66"/>
        <v/>
      </c>
      <c r="CH795" s="523" t="str">
        <f t="shared" si="67"/>
        <v/>
      </c>
      <c r="CI795" s="523" t="str">
        <f t="shared" si="68"/>
        <v/>
      </c>
      <c r="CJ795" s="523" t="str">
        <f t="shared" si="69"/>
        <v/>
      </c>
      <c r="CK795" s="523" t="str">
        <f t="shared" si="70"/>
        <v/>
      </c>
      <c r="CL795" s="523" t="str">
        <f t="shared" si="71"/>
        <v/>
      </c>
      <c r="CM795" s="523" t="str">
        <f t="shared" si="72"/>
        <v/>
      </c>
      <c r="CN795" s="523" t="str">
        <f t="shared" si="73"/>
        <v/>
      </c>
      <c r="CO795" s="523" t="str">
        <f t="shared" si="74"/>
        <v/>
      </c>
      <c r="CP795" s="523" t="str">
        <f t="shared" si="75"/>
        <v/>
      </c>
      <c r="CQ795" s="523" t="str">
        <f t="shared" si="76"/>
        <v/>
      </c>
      <c r="CR795" s="523" t="str">
        <f t="shared" si="77"/>
        <v/>
      </c>
      <c r="CS795" s="523" t="str">
        <f t="shared" si="78"/>
        <v/>
      </c>
      <c r="CT795" s="523" t="str">
        <f t="shared" si="79"/>
        <v/>
      </c>
      <c r="CU795" s="523" t="str">
        <f t="shared" si="80"/>
        <v/>
      </c>
      <c r="CV795" s="523" t="str">
        <f t="shared" si="81"/>
        <v/>
      </c>
      <c r="CW795" s="523" t="str">
        <f t="shared" si="82"/>
        <v/>
      </c>
      <c r="CX795" s="523" t="str">
        <f t="shared" si="83"/>
        <v/>
      </c>
      <c r="CY795" s="523" t="str">
        <f t="shared" si="84"/>
        <v/>
      </c>
      <c r="CZ795" s="523" t="str">
        <f t="shared" si="85"/>
        <v/>
      </c>
      <c r="DA795" s="523" t="str">
        <f t="shared" si="86"/>
        <v/>
      </c>
      <c r="DB795" s="523" t="str">
        <f t="shared" si="87"/>
        <v/>
      </c>
      <c r="DC795" s="523" t="str">
        <f t="shared" si="88"/>
        <v/>
      </c>
      <c r="DD795" s="523" t="str">
        <f t="shared" si="89"/>
        <v/>
      </c>
      <c r="DE795" s="523" t="str">
        <f t="shared" si="90"/>
        <v/>
      </c>
      <c r="DF795" s="523" t="str">
        <f t="shared" si="91"/>
        <v/>
      </c>
      <c r="DG795" s="523" t="str">
        <f t="shared" si="92"/>
        <v/>
      </c>
      <c r="DH795" s="523" t="str">
        <f t="shared" si="93"/>
        <v/>
      </c>
      <c r="DI795" s="523" t="str">
        <f t="shared" si="94"/>
        <v/>
      </c>
      <c r="DJ795" s="523" t="str">
        <f t="shared" si="95"/>
        <v/>
      </c>
      <c r="DK795" s="523" t="str">
        <f t="shared" si="96"/>
        <v/>
      </c>
      <c r="DL795" s="523" t="str">
        <f t="shared" si="97"/>
        <v/>
      </c>
      <c r="DM795" s="523" t="str">
        <f t="shared" si="98"/>
        <v/>
      </c>
      <c r="DN795" s="523" t="str">
        <f t="shared" si="99"/>
        <v/>
      </c>
      <c r="DO795" s="523" t="str">
        <f t="shared" si="100"/>
        <v/>
      </c>
      <c r="DP795" s="523" t="str">
        <f t="shared" si="101"/>
        <v/>
      </c>
      <c r="DQ795" s="523" t="str">
        <f t="shared" si="102"/>
        <v/>
      </c>
      <c r="DR795" s="523" t="str">
        <f t="shared" si="103"/>
        <v/>
      </c>
      <c r="DS795" s="523" t="str">
        <f t="shared" si="104"/>
        <v/>
      </c>
      <c r="DT795" s="523" t="str">
        <f t="shared" si="105"/>
        <v/>
      </c>
      <c r="DU795" s="523" t="str">
        <f t="shared" si="106"/>
        <v/>
      </c>
      <c r="DV795" s="523" t="str">
        <f t="shared" si="107"/>
        <v/>
      </c>
      <c r="DW795" s="523" t="str">
        <f t="shared" si="108"/>
        <v/>
      </c>
      <c r="DX795" s="523" t="str">
        <f t="shared" si="109"/>
        <v/>
      </c>
      <c r="DY795" s="523" t="str">
        <f t="shared" si="110"/>
        <v/>
      </c>
      <c r="DZ795" s="523" t="str">
        <f t="shared" si="111"/>
        <v/>
      </c>
      <c r="EA795" s="523" t="str">
        <f t="shared" si="112"/>
        <v/>
      </c>
      <c r="EB795" s="523" t="str">
        <f t="shared" si="113"/>
        <v/>
      </c>
      <c r="EC795" s="523" t="str">
        <f t="shared" si="114"/>
        <v/>
      </c>
      <c r="ED795" s="523" t="str">
        <f t="shared" si="115"/>
        <v/>
      </c>
      <c r="EE795" s="523" t="str">
        <f t="shared" si="116"/>
        <v/>
      </c>
      <c r="EF795" s="523" t="str">
        <f t="shared" si="117"/>
        <v/>
      </c>
      <c r="EG795" s="523" t="str">
        <f t="shared" si="118"/>
        <v/>
      </c>
      <c r="EH795" s="523" t="str">
        <f t="shared" si="119"/>
        <v/>
      </c>
      <c r="EI795" s="523" t="str">
        <f t="shared" si="120"/>
        <v/>
      </c>
      <c r="EJ795" s="523" t="str">
        <f t="shared" si="121"/>
        <v/>
      </c>
      <c r="EK795" s="523" t="str">
        <f t="shared" si="122"/>
        <v/>
      </c>
      <c r="EL795" s="523" t="str">
        <f t="shared" si="123"/>
        <v/>
      </c>
      <c r="EM795" s="523" t="str">
        <f t="shared" si="124"/>
        <v/>
      </c>
      <c r="EN795" s="523" t="str">
        <f t="shared" si="125"/>
        <v/>
      </c>
      <c r="EO795" s="523" t="str">
        <f t="shared" si="126"/>
        <v/>
      </c>
      <c r="EP795" s="523" t="str">
        <f t="shared" si="127"/>
        <v/>
      </c>
      <c r="EQ795" s="523" t="str">
        <f t="shared" si="128"/>
        <v/>
      </c>
      <c r="ER795" s="523" t="str">
        <f t="shared" si="129"/>
        <v/>
      </c>
      <c r="ES795" s="523" t="str">
        <f t="shared" si="130"/>
        <v/>
      </c>
      <c r="ET795" s="523" t="str">
        <f t="shared" si="131"/>
        <v/>
      </c>
      <c r="EU795" s="523" t="str">
        <f t="shared" si="132"/>
        <v/>
      </c>
      <c r="EV795" s="523" t="str">
        <f t="shared" si="133"/>
        <v/>
      </c>
      <c r="EW795" s="3336" t="str">
        <f t="shared" si="134"/>
        <v/>
      </c>
      <c r="EX795" s="3336" t="str">
        <f t="shared" si="135"/>
        <v/>
      </c>
      <c r="EY795" s="3336" t="str">
        <f t="shared" si="136"/>
        <v/>
      </c>
      <c r="EZ795" s="3336" t="str">
        <f t="shared" si="137"/>
        <v/>
      </c>
      <c r="FA795" s="3336" t="str">
        <f t="shared" si="138"/>
        <v/>
      </c>
      <c r="FB795" s="3336" t="str">
        <f t="shared" si="139"/>
        <v/>
      </c>
      <c r="FC795" s="3336" t="str">
        <f t="shared" si="140"/>
        <v/>
      </c>
      <c r="FD795" s="3336" t="str">
        <f t="shared" si="141"/>
        <v/>
      </c>
      <c r="FE795" s="3336" t="str">
        <f t="shared" si="142"/>
        <v/>
      </c>
      <c r="FF795" s="3336" t="str">
        <f t="shared" si="143"/>
        <v/>
      </c>
      <c r="FG795" s="3336" t="str">
        <f t="shared" si="144"/>
        <v/>
      </c>
      <c r="FH795" s="3336" t="str">
        <f t="shared" si="145"/>
        <v/>
      </c>
      <c r="FI795" s="3336" t="str">
        <f t="shared" si="146"/>
        <v/>
      </c>
      <c r="FJ795" s="3336" t="str">
        <f t="shared" si="147"/>
        <v/>
      </c>
      <c r="FK795" s="3336" t="str">
        <f t="shared" si="148"/>
        <v/>
      </c>
      <c r="FL795" s="3336" t="str">
        <f t="shared" si="149"/>
        <v/>
      </c>
      <c r="FM795" s="3336" t="str">
        <f t="shared" si="150"/>
        <v/>
      </c>
      <c r="FN795" s="3336" t="str">
        <f t="shared" si="151"/>
        <v/>
      </c>
      <c r="FO795" s="3336" t="str">
        <f t="shared" si="152"/>
        <v/>
      </c>
      <c r="FP795" s="3336" t="str">
        <f t="shared" si="153"/>
        <v/>
      </c>
      <c r="FQ795" s="3336" t="str">
        <f t="shared" si="154"/>
        <v/>
      </c>
      <c r="FR795" s="3336" t="str">
        <f t="shared" si="155"/>
        <v/>
      </c>
      <c r="FS795" s="3336" t="str">
        <f t="shared" si="156"/>
        <v/>
      </c>
      <c r="FT795" s="3336" t="str">
        <f t="shared" si="157"/>
        <v/>
      </c>
      <c r="FU795" s="3336" t="str">
        <f t="shared" si="158"/>
        <v/>
      </c>
      <c r="FV795" s="3336" t="str">
        <f t="shared" si="159"/>
        <v/>
      </c>
      <c r="FW795" s="3336" t="str">
        <f t="shared" si="160"/>
        <v/>
      </c>
      <c r="FX795" s="3336" t="str">
        <f t="shared" si="161"/>
        <v/>
      </c>
      <c r="FY795" s="3336" t="str">
        <f t="shared" si="162"/>
        <v/>
      </c>
      <c r="FZ795" s="3336" t="str">
        <f t="shared" si="163"/>
        <v/>
      </c>
      <c r="GA795" s="3336" t="str">
        <f t="shared" si="164"/>
        <v/>
      </c>
      <c r="GB795" s="3336" t="str">
        <f t="shared" si="165"/>
        <v/>
      </c>
      <c r="GC795" s="3336" t="str">
        <f t="shared" si="166"/>
        <v/>
      </c>
      <c r="GD795" s="3336" t="str">
        <f t="shared" si="167"/>
        <v/>
      </c>
      <c r="GE795" s="3336" t="str">
        <f t="shared" si="168"/>
        <v/>
      </c>
      <c r="GF795" s="3336" t="str">
        <f t="shared" si="169"/>
        <v/>
      </c>
      <c r="GG795" s="3336" t="str">
        <f t="shared" si="170"/>
        <v/>
      </c>
      <c r="GH795" s="3336" t="str">
        <f t="shared" si="171"/>
        <v/>
      </c>
      <c r="GI795" s="3336" t="str">
        <f t="shared" si="172"/>
        <v/>
      </c>
      <c r="GJ795" s="3336" t="str">
        <f t="shared" si="173"/>
        <v/>
      </c>
      <c r="GK795" s="3336" t="str">
        <f t="shared" si="174"/>
        <v/>
      </c>
      <c r="GL795" s="3336" t="str">
        <f t="shared" si="175"/>
        <v/>
      </c>
      <c r="GM795" s="3336" t="str">
        <f t="shared" si="176"/>
        <v/>
      </c>
      <c r="GN795" s="3336" t="str">
        <f t="shared" si="177"/>
        <v/>
      </c>
      <c r="GO795" s="3336" t="str">
        <f t="shared" si="178"/>
        <v/>
      </c>
      <c r="GP795" s="3336" t="str">
        <f t="shared" si="179"/>
        <v/>
      </c>
      <c r="GQ795" s="3336" t="str">
        <f t="shared" si="180"/>
        <v/>
      </c>
      <c r="GR795" s="3336" t="str">
        <f t="shared" si="181"/>
        <v/>
      </c>
      <c r="GS795" s="3336" t="str">
        <f t="shared" si="182"/>
        <v/>
      </c>
      <c r="GT795" s="3336" t="str">
        <f t="shared" si="183"/>
        <v/>
      </c>
      <c r="GU795" s="3336" t="str">
        <f t="shared" si="184"/>
        <v/>
      </c>
      <c r="GV795" s="3336" t="str">
        <f t="shared" si="185"/>
        <v/>
      </c>
      <c r="GW795" s="3336" t="str">
        <f t="shared" si="186"/>
        <v/>
      </c>
      <c r="GX795" s="3336" t="str">
        <f t="shared" si="187"/>
        <v/>
      </c>
      <c r="GY795" s="3336" t="str">
        <f t="shared" si="188"/>
        <v/>
      </c>
      <c r="GZ795" s="3336" t="str">
        <f t="shared" si="189"/>
        <v/>
      </c>
      <c r="HA795" s="3336" t="str">
        <f t="shared" si="190"/>
        <v/>
      </c>
      <c r="HB795" s="3336" t="str">
        <f t="shared" si="191"/>
        <v/>
      </c>
      <c r="HC795" s="3336" t="str">
        <f t="shared" si="192"/>
        <v/>
      </c>
      <c r="HD795" s="3336" t="str">
        <f t="shared" si="193"/>
        <v/>
      </c>
      <c r="HE795" s="3336" t="str">
        <f t="shared" si="194"/>
        <v/>
      </c>
      <c r="HF795" s="3336" t="str">
        <f t="shared" si="195"/>
        <v/>
      </c>
      <c r="HG795" s="3336" t="str">
        <f t="shared" si="196"/>
        <v/>
      </c>
      <c r="HH795" s="3336" t="str">
        <f t="shared" si="197"/>
        <v/>
      </c>
      <c r="HI795" s="3336" t="str">
        <f t="shared" si="198"/>
        <v/>
      </c>
      <c r="HJ795" s="3336" t="str">
        <f t="shared" si="199"/>
        <v/>
      </c>
      <c r="HK795" s="3336" t="str">
        <f t="shared" si="200"/>
        <v/>
      </c>
      <c r="HL795" s="3336" t="str">
        <f t="shared" si="201"/>
        <v/>
      </c>
      <c r="HM795" s="3336" t="str">
        <f t="shared" si="202"/>
        <v/>
      </c>
      <c r="HN795" s="3336" t="str">
        <f t="shared" si="203"/>
        <v/>
      </c>
      <c r="HO795" s="3336" t="str">
        <f t="shared" si="204"/>
        <v/>
      </c>
      <c r="HP795" s="3336" t="str">
        <f t="shared" si="205"/>
        <v/>
      </c>
      <c r="HQ795" s="3336" t="str">
        <f t="shared" si="206"/>
        <v/>
      </c>
      <c r="HR795" s="3336" t="str">
        <f t="shared" si="207"/>
        <v/>
      </c>
      <c r="HS795" s="3336" t="str">
        <f t="shared" si="208"/>
        <v/>
      </c>
      <c r="HT795" s="3336" t="str">
        <f t="shared" si="209"/>
        <v/>
      </c>
      <c r="HU795" s="3336" t="str">
        <f t="shared" si="210"/>
        <v/>
      </c>
      <c r="HV795" s="3336" t="str">
        <f t="shared" si="211"/>
        <v/>
      </c>
      <c r="HW795" s="3336" t="str">
        <f t="shared" si="212"/>
        <v/>
      </c>
      <c r="HX795" s="3336" t="str">
        <f t="shared" si="213"/>
        <v/>
      </c>
      <c r="HY795" s="3336" t="str">
        <f t="shared" si="214"/>
        <v/>
      </c>
      <c r="HZ795" s="3336" t="str">
        <f t="shared" si="215"/>
        <v/>
      </c>
      <c r="IA795" s="3336" t="str">
        <f t="shared" si="216"/>
        <v/>
      </c>
      <c r="IB795" s="3336" t="str">
        <f t="shared" si="217"/>
        <v/>
      </c>
      <c r="IC795" s="3336" t="str">
        <f t="shared" si="218"/>
        <v/>
      </c>
      <c r="ID795" s="3308" t="str">
        <f t="shared" si="219"/>
        <v/>
      </c>
      <c r="IE795" s="3308" t="str">
        <f t="shared" si="220"/>
        <v/>
      </c>
      <c r="IF795" s="3308" t="str">
        <f t="shared" si="221"/>
        <v/>
      </c>
      <c r="IG795" s="3308" t="str">
        <f t="shared" si="222"/>
        <v/>
      </c>
      <c r="IH795" s="3308" t="str">
        <f t="shared" si="223"/>
        <v/>
      </c>
      <c r="II795" s="523" t="str">
        <f t="shared" si="224"/>
        <v/>
      </c>
      <c r="IJ795" s="523" t="str">
        <f t="shared" si="225"/>
        <v/>
      </c>
      <c r="IK795" s="523" t="str">
        <f t="shared" si="226"/>
        <v/>
      </c>
      <c r="IL795" s="523" t="str">
        <f t="shared" si="227"/>
        <v/>
      </c>
      <c r="IM795" s="523" t="str">
        <f t="shared" si="228"/>
        <v/>
      </c>
      <c r="IN795" s="523" t="str">
        <f t="shared" si="229"/>
        <v/>
      </c>
      <c r="IO795" s="523" t="str">
        <f t="shared" si="230"/>
        <v/>
      </c>
      <c r="IP795" s="523" t="str">
        <f t="shared" si="231"/>
        <v/>
      </c>
      <c r="IQ795" s="523" t="str">
        <f t="shared" si="232"/>
        <v/>
      </c>
      <c r="IR795" s="523" t="str">
        <f t="shared" si="233"/>
        <v/>
      </c>
      <c r="IS795" s="523" t="str">
        <f t="shared" si="234"/>
        <v/>
      </c>
      <c r="IT795" s="523" t="str">
        <f t="shared" si="235"/>
        <v/>
      </c>
      <c r="IU795" s="523" t="str">
        <f t="shared" si="236"/>
        <v/>
      </c>
      <c r="IV795" s="523" t="str">
        <f t="shared" si="237"/>
        <v/>
      </c>
      <c r="IW795" s="523" t="str">
        <f t="shared" si="238"/>
        <v/>
      </c>
      <c r="IX795" s="523" t="str">
        <f t="shared" si="239"/>
        <v/>
      </c>
      <c r="IY795" s="523" t="str">
        <f t="shared" si="240"/>
        <v/>
      </c>
      <c r="IZ795" s="523" t="str">
        <f t="shared" si="241"/>
        <v/>
      </c>
      <c r="JA795" s="523" t="str">
        <f t="shared" si="242"/>
        <v/>
      </c>
      <c r="JB795" s="523" t="str">
        <f t="shared" si="243"/>
        <v/>
      </c>
      <c r="JC795" s="3306">
        <f t="shared" si="244"/>
        <v>0</v>
      </c>
      <c r="JD795" s="3306">
        <f t="shared" si="245"/>
        <v>0</v>
      </c>
      <c r="JE795" s="3306">
        <f t="shared" si="246"/>
        <v>0</v>
      </c>
      <c r="JF795" s="3306">
        <f t="shared" si="247"/>
        <v>0</v>
      </c>
      <c r="JG795" s="3306">
        <f t="shared" si="248"/>
        <v>0</v>
      </c>
      <c r="JH795" s="3306">
        <f t="shared" si="249"/>
        <v>0</v>
      </c>
      <c r="JI795" s="3306">
        <f t="shared" si="250"/>
        <v>0</v>
      </c>
      <c r="JJ795" s="3306">
        <f t="shared" si="251"/>
        <v>0</v>
      </c>
      <c r="JK795" s="3306">
        <f t="shared" si="252"/>
        <v>0</v>
      </c>
      <c r="JL795" s="3306">
        <f t="shared" si="253"/>
        <v>0</v>
      </c>
      <c r="JM795" s="3306">
        <f t="shared" si="254"/>
        <v>0</v>
      </c>
      <c r="JN795" s="3306">
        <f t="shared" si="255"/>
        <v>0</v>
      </c>
      <c r="JO795" s="3306">
        <f t="shared" si="256"/>
        <v>0</v>
      </c>
      <c r="JP795" s="3306">
        <f t="shared" si="257"/>
        <v>0</v>
      </c>
      <c r="JQ795" s="3306">
        <f t="shared" si="258"/>
        <v>0</v>
      </c>
    </row>
    <row r="796" spans="1:277" ht="12" customHeight="1">
      <c r="A796" s="3319" t="str">
        <f t="shared" si="1"/>
        <v/>
      </c>
      <c r="B796" s="3328" t="str">
        <f>'Part VI-Revenues &amp; Expenses'!B39</f>
        <v>&lt;&lt;Select&gt;&gt;</v>
      </c>
      <c r="C796" s="3329">
        <f>'Part VI-Revenues &amp; Expenses'!C39</f>
        <v>0</v>
      </c>
      <c r="D796" s="3330">
        <f>'Part VI-Revenues &amp; Expenses'!D39</f>
        <v>0</v>
      </c>
      <c r="E796" s="3331">
        <f>'Part VI-Revenues &amp; Expenses'!E39</f>
        <v>0</v>
      </c>
      <c r="F796" s="3331">
        <f>'Part VI-Revenues &amp; Expenses'!F39</f>
        <v>0</v>
      </c>
      <c r="G796" s="3331">
        <f>'Part VI-Revenues &amp; Expenses'!G39</f>
        <v>0</v>
      </c>
      <c r="H796" s="3331">
        <f>'Part VI-Revenues &amp; Expenses'!H39</f>
        <v>0</v>
      </c>
      <c r="I796" s="3331">
        <f>'Part VI-Revenues &amp; Expenses'!I39</f>
        <v>0</v>
      </c>
      <c r="J796" s="3332">
        <f>'Part VI-Revenues &amp; Expenses'!J39</f>
        <v>0</v>
      </c>
      <c r="K796" s="3333">
        <f t="shared" si="2"/>
        <v>0</v>
      </c>
      <c r="L796" s="3333">
        <f t="shared" si="3"/>
        <v>0</v>
      </c>
      <c r="M796" s="3207">
        <f>'Part VI-Revenues &amp; Expenses'!M39</f>
        <v>0</v>
      </c>
      <c r="N796" s="3207">
        <f>'Part VI-Revenues &amp; Expenses'!N39</f>
        <v>0</v>
      </c>
      <c r="O796" s="3207">
        <f>'Part VI-Revenues &amp; Expenses'!O39</f>
        <v>0</v>
      </c>
      <c r="P796" s="3313">
        <f>'Part VI-Revenues &amp; Expenses'!P39</f>
        <v>0</v>
      </c>
      <c r="Q796" s="3334" t="str">
        <f>'Part VI-Revenues &amp; Expenses'!Q39</f>
        <v/>
      </c>
      <c r="R796" s="3335" t="str">
        <f>'Part VI-Revenues &amp; Expenses'!R39</f>
        <v/>
      </c>
      <c r="S796" s="3334">
        <f>'Part VI-Revenues &amp; Expenses'!S39</f>
        <v>0</v>
      </c>
      <c r="T796" s="3335">
        <f>'Part VI-Revenues &amp; Expenses'!T39</f>
        <v>0</v>
      </c>
      <c r="U796" s="3257"/>
      <c r="V796" s="3257"/>
      <c r="W796" s="523" t="str">
        <f t="shared" si="4"/>
        <v/>
      </c>
      <c r="X796" s="523" t="str">
        <f t="shared" si="5"/>
        <v/>
      </c>
      <c r="Y796" s="523" t="str">
        <f t="shared" si="6"/>
        <v/>
      </c>
      <c r="Z796" s="523" t="str">
        <f t="shared" si="7"/>
        <v/>
      </c>
      <c r="AA796" s="523" t="str">
        <f t="shared" si="8"/>
        <v/>
      </c>
      <c r="AB796" s="523" t="str">
        <f t="shared" si="9"/>
        <v/>
      </c>
      <c r="AC796" s="523" t="str">
        <f t="shared" si="10"/>
        <v/>
      </c>
      <c r="AD796" s="523" t="str">
        <f t="shared" si="11"/>
        <v/>
      </c>
      <c r="AE796" s="523" t="str">
        <f t="shared" si="12"/>
        <v/>
      </c>
      <c r="AF796" s="523" t="str">
        <f t="shared" si="13"/>
        <v/>
      </c>
      <c r="AG796" s="523" t="str">
        <f t="shared" si="14"/>
        <v/>
      </c>
      <c r="AH796" s="523" t="str">
        <f t="shared" si="15"/>
        <v/>
      </c>
      <c r="AI796" s="523" t="str">
        <f t="shared" si="16"/>
        <v/>
      </c>
      <c r="AJ796" s="523" t="str">
        <f t="shared" si="17"/>
        <v/>
      </c>
      <c r="AK796" s="523" t="str">
        <f t="shared" si="18"/>
        <v/>
      </c>
      <c r="AL796" s="523" t="str">
        <f t="shared" si="19"/>
        <v/>
      </c>
      <c r="AM796" s="523" t="str">
        <f t="shared" si="20"/>
        <v/>
      </c>
      <c r="AN796" s="523" t="str">
        <f t="shared" si="21"/>
        <v/>
      </c>
      <c r="AO796" s="523" t="str">
        <f t="shared" si="22"/>
        <v/>
      </c>
      <c r="AP796" s="523" t="str">
        <f t="shared" si="23"/>
        <v/>
      </c>
      <c r="AQ796" s="523" t="str">
        <f t="shared" si="24"/>
        <v/>
      </c>
      <c r="AR796" s="523" t="str">
        <f t="shared" si="25"/>
        <v/>
      </c>
      <c r="AS796" s="523" t="str">
        <f t="shared" si="26"/>
        <v/>
      </c>
      <c r="AT796" s="523" t="str">
        <f t="shared" si="27"/>
        <v/>
      </c>
      <c r="AU796" s="523" t="str">
        <f t="shared" si="28"/>
        <v/>
      </c>
      <c r="AV796" s="523" t="str">
        <f t="shared" si="29"/>
        <v/>
      </c>
      <c r="AW796" s="523" t="str">
        <f t="shared" si="30"/>
        <v/>
      </c>
      <c r="AX796" s="523" t="str">
        <f t="shared" si="31"/>
        <v/>
      </c>
      <c r="AY796" s="523" t="str">
        <f t="shared" si="32"/>
        <v/>
      </c>
      <c r="AZ796" s="523" t="str">
        <f t="shared" si="33"/>
        <v/>
      </c>
      <c r="BA796" s="523" t="str">
        <f t="shared" si="34"/>
        <v/>
      </c>
      <c r="BB796" s="523" t="str">
        <f t="shared" si="35"/>
        <v/>
      </c>
      <c r="BC796" s="523" t="str">
        <f t="shared" si="36"/>
        <v/>
      </c>
      <c r="BD796" s="523" t="str">
        <f t="shared" si="37"/>
        <v/>
      </c>
      <c r="BE796" s="523" t="str">
        <f t="shared" si="38"/>
        <v/>
      </c>
      <c r="BF796" s="523" t="str">
        <f t="shared" si="39"/>
        <v/>
      </c>
      <c r="BG796" s="523" t="str">
        <f t="shared" si="40"/>
        <v/>
      </c>
      <c r="BH796" s="523" t="str">
        <f t="shared" si="41"/>
        <v/>
      </c>
      <c r="BI796" s="523" t="str">
        <f t="shared" si="42"/>
        <v/>
      </c>
      <c r="BJ796" s="523" t="str">
        <f t="shared" si="43"/>
        <v/>
      </c>
      <c r="BK796" s="523" t="str">
        <f t="shared" si="44"/>
        <v/>
      </c>
      <c r="BL796" s="523" t="str">
        <f t="shared" si="45"/>
        <v/>
      </c>
      <c r="BM796" s="523" t="str">
        <f t="shared" si="46"/>
        <v/>
      </c>
      <c r="BN796" s="523" t="str">
        <f t="shared" si="47"/>
        <v/>
      </c>
      <c r="BO796" s="523" t="str">
        <f t="shared" si="48"/>
        <v/>
      </c>
      <c r="BP796" s="523" t="str">
        <f t="shared" si="49"/>
        <v/>
      </c>
      <c r="BQ796" s="523" t="str">
        <f t="shared" si="50"/>
        <v/>
      </c>
      <c r="BR796" s="523" t="str">
        <f t="shared" si="51"/>
        <v/>
      </c>
      <c r="BS796" s="523" t="str">
        <f t="shared" si="52"/>
        <v/>
      </c>
      <c r="BT796" s="523" t="str">
        <f t="shared" si="53"/>
        <v/>
      </c>
      <c r="BU796" s="523" t="str">
        <f t="shared" si="54"/>
        <v/>
      </c>
      <c r="BV796" s="523" t="str">
        <f t="shared" si="55"/>
        <v/>
      </c>
      <c r="BW796" s="523" t="str">
        <f t="shared" si="56"/>
        <v/>
      </c>
      <c r="BX796" s="523" t="str">
        <f t="shared" si="57"/>
        <v/>
      </c>
      <c r="BY796" s="523" t="str">
        <f t="shared" si="58"/>
        <v/>
      </c>
      <c r="BZ796" s="523" t="str">
        <f t="shared" si="59"/>
        <v/>
      </c>
      <c r="CA796" s="523" t="str">
        <f t="shared" si="60"/>
        <v/>
      </c>
      <c r="CB796" s="523" t="str">
        <f t="shared" si="61"/>
        <v/>
      </c>
      <c r="CC796" s="523" t="str">
        <f t="shared" si="62"/>
        <v/>
      </c>
      <c r="CD796" s="523" t="str">
        <f t="shared" si="63"/>
        <v/>
      </c>
      <c r="CE796" s="523" t="str">
        <f t="shared" si="64"/>
        <v/>
      </c>
      <c r="CF796" s="523" t="str">
        <f t="shared" si="65"/>
        <v/>
      </c>
      <c r="CG796" s="523" t="str">
        <f t="shared" si="66"/>
        <v/>
      </c>
      <c r="CH796" s="523" t="str">
        <f t="shared" si="67"/>
        <v/>
      </c>
      <c r="CI796" s="523" t="str">
        <f t="shared" si="68"/>
        <v/>
      </c>
      <c r="CJ796" s="523" t="str">
        <f t="shared" si="69"/>
        <v/>
      </c>
      <c r="CK796" s="523" t="str">
        <f t="shared" si="70"/>
        <v/>
      </c>
      <c r="CL796" s="523" t="str">
        <f t="shared" si="71"/>
        <v/>
      </c>
      <c r="CM796" s="523" t="str">
        <f t="shared" si="72"/>
        <v/>
      </c>
      <c r="CN796" s="523" t="str">
        <f t="shared" si="73"/>
        <v/>
      </c>
      <c r="CO796" s="523" t="str">
        <f t="shared" si="74"/>
        <v/>
      </c>
      <c r="CP796" s="523" t="str">
        <f t="shared" si="75"/>
        <v/>
      </c>
      <c r="CQ796" s="523" t="str">
        <f t="shared" si="76"/>
        <v/>
      </c>
      <c r="CR796" s="523" t="str">
        <f t="shared" si="77"/>
        <v/>
      </c>
      <c r="CS796" s="523" t="str">
        <f t="shared" si="78"/>
        <v/>
      </c>
      <c r="CT796" s="523" t="str">
        <f t="shared" si="79"/>
        <v/>
      </c>
      <c r="CU796" s="523" t="str">
        <f t="shared" si="80"/>
        <v/>
      </c>
      <c r="CV796" s="523" t="str">
        <f t="shared" si="81"/>
        <v/>
      </c>
      <c r="CW796" s="523" t="str">
        <f t="shared" si="82"/>
        <v/>
      </c>
      <c r="CX796" s="523" t="str">
        <f t="shared" si="83"/>
        <v/>
      </c>
      <c r="CY796" s="523" t="str">
        <f t="shared" si="84"/>
        <v/>
      </c>
      <c r="CZ796" s="523" t="str">
        <f t="shared" si="85"/>
        <v/>
      </c>
      <c r="DA796" s="523" t="str">
        <f t="shared" si="86"/>
        <v/>
      </c>
      <c r="DB796" s="523" t="str">
        <f t="shared" si="87"/>
        <v/>
      </c>
      <c r="DC796" s="523" t="str">
        <f t="shared" si="88"/>
        <v/>
      </c>
      <c r="DD796" s="523" t="str">
        <f t="shared" si="89"/>
        <v/>
      </c>
      <c r="DE796" s="523" t="str">
        <f t="shared" si="90"/>
        <v/>
      </c>
      <c r="DF796" s="523" t="str">
        <f t="shared" si="91"/>
        <v/>
      </c>
      <c r="DG796" s="523" t="str">
        <f t="shared" si="92"/>
        <v/>
      </c>
      <c r="DH796" s="523" t="str">
        <f t="shared" si="93"/>
        <v/>
      </c>
      <c r="DI796" s="523" t="str">
        <f t="shared" si="94"/>
        <v/>
      </c>
      <c r="DJ796" s="523" t="str">
        <f t="shared" si="95"/>
        <v/>
      </c>
      <c r="DK796" s="523" t="str">
        <f t="shared" si="96"/>
        <v/>
      </c>
      <c r="DL796" s="523" t="str">
        <f t="shared" si="97"/>
        <v/>
      </c>
      <c r="DM796" s="523" t="str">
        <f t="shared" si="98"/>
        <v/>
      </c>
      <c r="DN796" s="523" t="str">
        <f t="shared" si="99"/>
        <v/>
      </c>
      <c r="DO796" s="523" t="str">
        <f t="shared" si="100"/>
        <v/>
      </c>
      <c r="DP796" s="523" t="str">
        <f t="shared" si="101"/>
        <v/>
      </c>
      <c r="DQ796" s="523" t="str">
        <f t="shared" si="102"/>
        <v/>
      </c>
      <c r="DR796" s="523" t="str">
        <f t="shared" si="103"/>
        <v/>
      </c>
      <c r="DS796" s="523" t="str">
        <f t="shared" si="104"/>
        <v/>
      </c>
      <c r="DT796" s="523" t="str">
        <f t="shared" si="105"/>
        <v/>
      </c>
      <c r="DU796" s="523" t="str">
        <f t="shared" si="106"/>
        <v/>
      </c>
      <c r="DV796" s="523" t="str">
        <f t="shared" si="107"/>
        <v/>
      </c>
      <c r="DW796" s="523" t="str">
        <f t="shared" si="108"/>
        <v/>
      </c>
      <c r="DX796" s="523" t="str">
        <f t="shared" si="109"/>
        <v/>
      </c>
      <c r="DY796" s="523" t="str">
        <f t="shared" si="110"/>
        <v/>
      </c>
      <c r="DZ796" s="523" t="str">
        <f t="shared" si="111"/>
        <v/>
      </c>
      <c r="EA796" s="523" t="str">
        <f t="shared" si="112"/>
        <v/>
      </c>
      <c r="EB796" s="523" t="str">
        <f t="shared" si="113"/>
        <v/>
      </c>
      <c r="EC796" s="523" t="str">
        <f t="shared" si="114"/>
        <v/>
      </c>
      <c r="ED796" s="523" t="str">
        <f t="shared" si="115"/>
        <v/>
      </c>
      <c r="EE796" s="523" t="str">
        <f t="shared" si="116"/>
        <v/>
      </c>
      <c r="EF796" s="523" t="str">
        <f t="shared" si="117"/>
        <v/>
      </c>
      <c r="EG796" s="523" t="str">
        <f t="shared" si="118"/>
        <v/>
      </c>
      <c r="EH796" s="523" t="str">
        <f t="shared" si="119"/>
        <v/>
      </c>
      <c r="EI796" s="523" t="str">
        <f t="shared" si="120"/>
        <v/>
      </c>
      <c r="EJ796" s="523" t="str">
        <f t="shared" si="121"/>
        <v/>
      </c>
      <c r="EK796" s="523" t="str">
        <f t="shared" si="122"/>
        <v/>
      </c>
      <c r="EL796" s="523" t="str">
        <f t="shared" si="123"/>
        <v/>
      </c>
      <c r="EM796" s="523" t="str">
        <f t="shared" si="124"/>
        <v/>
      </c>
      <c r="EN796" s="523" t="str">
        <f t="shared" si="125"/>
        <v/>
      </c>
      <c r="EO796" s="523" t="str">
        <f t="shared" si="126"/>
        <v/>
      </c>
      <c r="EP796" s="523" t="str">
        <f t="shared" si="127"/>
        <v/>
      </c>
      <c r="EQ796" s="523" t="str">
        <f t="shared" si="128"/>
        <v/>
      </c>
      <c r="ER796" s="523" t="str">
        <f t="shared" si="129"/>
        <v/>
      </c>
      <c r="ES796" s="523" t="str">
        <f t="shared" si="130"/>
        <v/>
      </c>
      <c r="ET796" s="523" t="str">
        <f t="shared" si="131"/>
        <v/>
      </c>
      <c r="EU796" s="523" t="str">
        <f t="shared" si="132"/>
        <v/>
      </c>
      <c r="EV796" s="523" t="str">
        <f t="shared" si="133"/>
        <v/>
      </c>
      <c r="EW796" s="3336" t="str">
        <f t="shared" si="134"/>
        <v/>
      </c>
      <c r="EX796" s="3336" t="str">
        <f t="shared" si="135"/>
        <v/>
      </c>
      <c r="EY796" s="3336" t="str">
        <f t="shared" si="136"/>
        <v/>
      </c>
      <c r="EZ796" s="3336" t="str">
        <f t="shared" si="137"/>
        <v/>
      </c>
      <c r="FA796" s="3336" t="str">
        <f t="shared" si="138"/>
        <v/>
      </c>
      <c r="FB796" s="3336" t="str">
        <f t="shared" si="139"/>
        <v/>
      </c>
      <c r="FC796" s="3336" t="str">
        <f t="shared" si="140"/>
        <v/>
      </c>
      <c r="FD796" s="3336" t="str">
        <f t="shared" si="141"/>
        <v/>
      </c>
      <c r="FE796" s="3336" t="str">
        <f t="shared" si="142"/>
        <v/>
      </c>
      <c r="FF796" s="3336" t="str">
        <f t="shared" si="143"/>
        <v/>
      </c>
      <c r="FG796" s="3336" t="str">
        <f t="shared" si="144"/>
        <v/>
      </c>
      <c r="FH796" s="3336" t="str">
        <f t="shared" si="145"/>
        <v/>
      </c>
      <c r="FI796" s="3336" t="str">
        <f t="shared" si="146"/>
        <v/>
      </c>
      <c r="FJ796" s="3336" t="str">
        <f t="shared" si="147"/>
        <v/>
      </c>
      <c r="FK796" s="3336" t="str">
        <f t="shared" si="148"/>
        <v/>
      </c>
      <c r="FL796" s="3336" t="str">
        <f t="shared" si="149"/>
        <v/>
      </c>
      <c r="FM796" s="3336" t="str">
        <f t="shared" si="150"/>
        <v/>
      </c>
      <c r="FN796" s="3336" t="str">
        <f t="shared" si="151"/>
        <v/>
      </c>
      <c r="FO796" s="3336" t="str">
        <f t="shared" si="152"/>
        <v/>
      </c>
      <c r="FP796" s="3336" t="str">
        <f t="shared" si="153"/>
        <v/>
      </c>
      <c r="FQ796" s="3336" t="str">
        <f t="shared" si="154"/>
        <v/>
      </c>
      <c r="FR796" s="3336" t="str">
        <f t="shared" si="155"/>
        <v/>
      </c>
      <c r="FS796" s="3336" t="str">
        <f t="shared" si="156"/>
        <v/>
      </c>
      <c r="FT796" s="3336" t="str">
        <f t="shared" si="157"/>
        <v/>
      </c>
      <c r="FU796" s="3336" t="str">
        <f t="shared" si="158"/>
        <v/>
      </c>
      <c r="FV796" s="3336" t="str">
        <f t="shared" si="159"/>
        <v/>
      </c>
      <c r="FW796" s="3336" t="str">
        <f t="shared" si="160"/>
        <v/>
      </c>
      <c r="FX796" s="3336" t="str">
        <f t="shared" si="161"/>
        <v/>
      </c>
      <c r="FY796" s="3336" t="str">
        <f t="shared" si="162"/>
        <v/>
      </c>
      <c r="FZ796" s="3336" t="str">
        <f t="shared" si="163"/>
        <v/>
      </c>
      <c r="GA796" s="3336" t="str">
        <f t="shared" si="164"/>
        <v/>
      </c>
      <c r="GB796" s="3336" t="str">
        <f t="shared" si="165"/>
        <v/>
      </c>
      <c r="GC796" s="3336" t="str">
        <f t="shared" si="166"/>
        <v/>
      </c>
      <c r="GD796" s="3336" t="str">
        <f t="shared" si="167"/>
        <v/>
      </c>
      <c r="GE796" s="3336" t="str">
        <f t="shared" si="168"/>
        <v/>
      </c>
      <c r="GF796" s="3336" t="str">
        <f t="shared" si="169"/>
        <v/>
      </c>
      <c r="GG796" s="3336" t="str">
        <f t="shared" si="170"/>
        <v/>
      </c>
      <c r="GH796" s="3336" t="str">
        <f t="shared" si="171"/>
        <v/>
      </c>
      <c r="GI796" s="3336" t="str">
        <f t="shared" si="172"/>
        <v/>
      </c>
      <c r="GJ796" s="3336" t="str">
        <f t="shared" si="173"/>
        <v/>
      </c>
      <c r="GK796" s="3336" t="str">
        <f t="shared" si="174"/>
        <v/>
      </c>
      <c r="GL796" s="3336" t="str">
        <f t="shared" si="175"/>
        <v/>
      </c>
      <c r="GM796" s="3336" t="str">
        <f t="shared" si="176"/>
        <v/>
      </c>
      <c r="GN796" s="3336" t="str">
        <f t="shared" si="177"/>
        <v/>
      </c>
      <c r="GO796" s="3336" t="str">
        <f t="shared" si="178"/>
        <v/>
      </c>
      <c r="GP796" s="3336" t="str">
        <f t="shared" si="179"/>
        <v/>
      </c>
      <c r="GQ796" s="3336" t="str">
        <f t="shared" si="180"/>
        <v/>
      </c>
      <c r="GR796" s="3336" t="str">
        <f t="shared" si="181"/>
        <v/>
      </c>
      <c r="GS796" s="3336" t="str">
        <f t="shared" si="182"/>
        <v/>
      </c>
      <c r="GT796" s="3336" t="str">
        <f t="shared" si="183"/>
        <v/>
      </c>
      <c r="GU796" s="3336" t="str">
        <f t="shared" si="184"/>
        <v/>
      </c>
      <c r="GV796" s="3336" t="str">
        <f t="shared" si="185"/>
        <v/>
      </c>
      <c r="GW796" s="3336" t="str">
        <f t="shared" si="186"/>
        <v/>
      </c>
      <c r="GX796" s="3336" t="str">
        <f t="shared" si="187"/>
        <v/>
      </c>
      <c r="GY796" s="3336" t="str">
        <f t="shared" si="188"/>
        <v/>
      </c>
      <c r="GZ796" s="3336" t="str">
        <f t="shared" si="189"/>
        <v/>
      </c>
      <c r="HA796" s="3336" t="str">
        <f t="shared" si="190"/>
        <v/>
      </c>
      <c r="HB796" s="3336" t="str">
        <f t="shared" si="191"/>
        <v/>
      </c>
      <c r="HC796" s="3336" t="str">
        <f t="shared" si="192"/>
        <v/>
      </c>
      <c r="HD796" s="3336" t="str">
        <f t="shared" si="193"/>
        <v/>
      </c>
      <c r="HE796" s="3336" t="str">
        <f t="shared" si="194"/>
        <v/>
      </c>
      <c r="HF796" s="3336" t="str">
        <f t="shared" si="195"/>
        <v/>
      </c>
      <c r="HG796" s="3336" t="str">
        <f t="shared" si="196"/>
        <v/>
      </c>
      <c r="HH796" s="3336" t="str">
        <f t="shared" si="197"/>
        <v/>
      </c>
      <c r="HI796" s="3336" t="str">
        <f t="shared" si="198"/>
        <v/>
      </c>
      <c r="HJ796" s="3336" t="str">
        <f t="shared" si="199"/>
        <v/>
      </c>
      <c r="HK796" s="3336" t="str">
        <f t="shared" si="200"/>
        <v/>
      </c>
      <c r="HL796" s="3336" t="str">
        <f t="shared" si="201"/>
        <v/>
      </c>
      <c r="HM796" s="3336" t="str">
        <f t="shared" si="202"/>
        <v/>
      </c>
      <c r="HN796" s="3336" t="str">
        <f t="shared" si="203"/>
        <v/>
      </c>
      <c r="HO796" s="3336" t="str">
        <f t="shared" si="204"/>
        <v/>
      </c>
      <c r="HP796" s="3336" t="str">
        <f t="shared" si="205"/>
        <v/>
      </c>
      <c r="HQ796" s="3336" t="str">
        <f t="shared" si="206"/>
        <v/>
      </c>
      <c r="HR796" s="3336" t="str">
        <f t="shared" si="207"/>
        <v/>
      </c>
      <c r="HS796" s="3336" t="str">
        <f t="shared" si="208"/>
        <v/>
      </c>
      <c r="HT796" s="3336" t="str">
        <f t="shared" si="209"/>
        <v/>
      </c>
      <c r="HU796" s="3336" t="str">
        <f t="shared" si="210"/>
        <v/>
      </c>
      <c r="HV796" s="3336" t="str">
        <f t="shared" si="211"/>
        <v/>
      </c>
      <c r="HW796" s="3336" t="str">
        <f t="shared" si="212"/>
        <v/>
      </c>
      <c r="HX796" s="3336" t="str">
        <f t="shared" si="213"/>
        <v/>
      </c>
      <c r="HY796" s="3336" t="str">
        <f t="shared" si="214"/>
        <v/>
      </c>
      <c r="HZ796" s="3336" t="str">
        <f t="shared" si="215"/>
        <v/>
      </c>
      <c r="IA796" s="3336" t="str">
        <f t="shared" si="216"/>
        <v/>
      </c>
      <c r="IB796" s="3336" t="str">
        <f t="shared" si="217"/>
        <v/>
      </c>
      <c r="IC796" s="3336" t="str">
        <f t="shared" si="218"/>
        <v/>
      </c>
      <c r="ID796" s="3308" t="str">
        <f t="shared" si="219"/>
        <v/>
      </c>
      <c r="IE796" s="3308" t="str">
        <f t="shared" si="220"/>
        <v/>
      </c>
      <c r="IF796" s="3308" t="str">
        <f t="shared" si="221"/>
        <v/>
      </c>
      <c r="IG796" s="3308" t="str">
        <f t="shared" si="222"/>
        <v/>
      </c>
      <c r="IH796" s="3308" t="str">
        <f t="shared" si="223"/>
        <v/>
      </c>
      <c r="II796" s="523" t="str">
        <f t="shared" si="224"/>
        <v/>
      </c>
      <c r="IJ796" s="523" t="str">
        <f t="shared" si="225"/>
        <v/>
      </c>
      <c r="IK796" s="523" t="str">
        <f t="shared" si="226"/>
        <v/>
      </c>
      <c r="IL796" s="523" t="str">
        <f t="shared" si="227"/>
        <v/>
      </c>
      <c r="IM796" s="523" t="str">
        <f t="shared" si="228"/>
        <v/>
      </c>
      <c r="IN796" s="523" t="str">
        <f t="shared" si="229"/>
        <v/>
      </c>
      <c r="IO796" s="523" t="str">
        <f t="shared" si="230"/>
        <v/>
      </c>
      <c r="IP796" s="523" t="str">
        <f t="shared" si="231"/>
        <v/>
      </c>
      <c r="IQ796" s="523" t="str">
        <f t="shared" si="232"/>
        <v/>
      </c>
      <c r="IR796" s="523" t="str">
        <f t="shared" si="233"/>
        <v/>
      </c>
      <c r="IS796" s="523" t="str">
        <f t="shared" si="234"/>
        <v/>
      </c>
      <c r="IT796" s="523" t="str">
        <f t="shared" si="235"/>
        <v/>
      </c>
      <c r="IU796" s="523" t="str">
        <f t="shared" si="236"/>
        <v/>
      </c>
      <c r="IV796" s="523" t="str">
        <f t="shared" si="237"/>
        <v/>
      </c>
      <c r="IW796" s="523" t="str">
        <f t="shared" si="238"/>
        <v/>
      </c>
      <c r="IX796" s="523" t="str">
        <f t="shared" si="239"/>
        <v/>
      </c>
      <c r="IY796" s="523" t="str">
        <f t="shared" si="240"/>
        <v/>
      </c>
      <c r="IZ796" s="523" t="str">
        <f t="shared" si="241"/>
        <v/>
      </c>
      <c r="JA796" s="523" t="str">
        <f t="shared" si="242"/>
        <v/>
      </c>
      <c r="JB796" s="523" t="str">
        <f t="shared" si="243"/>
        <v/>
      </c>
      <c r="JC796" s="3306">
        <f t="shared" si="244"/>
        <v>0</v>
      </c>
      <c r="JD796" s="3306">
        <f t="shared" si="245"/>
        <v>0</v>
      </c>
      <c r="JE796" s="3306">
        <f t="shared" si="246"/>
        <v>0</v>
      </c>
      <c r="JF796" s="3306">
        <f t="shared" si="247"/>
        <v>0</v>
      </c>
      <c r="JG796" s="3306">
        <f t="shared" si="248"/>
        <v>0</v>
      </c>
      <c r="JH796" s="3306">
        <f t="shared" si="249"/>
        <v>0</v>
      </c>
      <c r="JI796" s="3306">
        <f t="shared" si="250"/>
        <v>0</v>
      </c>
      <c r="JJ796" s="3306">
        <f t="shared" si="251"/>
        <v>0</v>
      </c>
      <c r="JK796" s="3306">
        <f t="shared" si="252"/>
        <v>0</v>
      </c>
      <c r="JL796" s="3306">
        <f t="shared" si="253"/>
        <v>0</v>
      </c>
      <c r="JM796" s="3306">
        <f t="shared" si="254"/>
        <v>0</v>
      </c>
      <c r="JN796" s="3306">
        <f t="shared" si="255"/>
        <v>0</v>
      </c>
      <c r="JO796" s="3306">
        <f t="shared" si="256"/>
        <v>0</v>
      </c>
      <c r="JP796" s="3306">
        <f t="shared" si="257"/>
        <v>0</v>
      </c>
      <c r="JQ796" s="3306">
        <f t="shared" si="258"/>
        <v>0</v>
      </c>
    </row>
    <row r="797" spans="1:277" ht="12" customHeight="1">
      <c r="A797" s="3319" t="str">
        <f t="shared" si="1"/>
        <v/>
      </c>
      <c r="B797" s="3328" t="str">
        <f>'Part VI-Revenues &amp; Expenses'!B40</f>
        <v>&lt;&lt;Select&gt;&gt;</v>
      </c>
      <c r="C797" s="3329">
        <f>'Part VI-Revenues &amp; Expenses'!C40</f>
        <v>0</v>
      </c>
      <c r="D797" s="3330">
        <f>'Part VI-Revenues &amp; Expenses'!D40</f>
        <v>0</v>
      </c>
      <c r="E797" s="3331">
        <f>'Part VI-Revenues &amp; Expenses'!E40</f>
        <v>0</v>
      </c>
      <c r="F797" s="3331">
        <f>'Part VI-Revenues &amp; Expenses'!F40</f>
        <v>0</v>
      </c>
      <c r="G797" s="3331">
        <f>'Part VI-Revenues &amp; Expenses'!G40</f>
        <v>0</v>
      </c>
      <c r="H797" s="3331">
        <f>'Part VI-Revenues &amp; Expenses'!H40</f>
        <v>0</v>
      </c>
      <c r="I797" s="3331">
        <f>'Part VI-Revenues &amp; Expenses'!I40</f>
        <v>0</v>
      </c>
      <c r="J797" s="3332">
        <f>'Part VI-Revenues &amp; Expenses'!J40</f>
        <v>0</v>
      </c>
      <c r="K797" s="3333">
        <f t="shared" si="2"/>
        <v>0</v>
      </c>
      <c r="L797" s="3333">
        <f t="shared" si="3"/>
        <v>0</v>
      </c>
      <c r="M797" s="3207">
        <f>'Part VI-Revenues &amp; Expenses'!M40</f>
        <v>0</v>
      </c>
      <c r="N797" s="3207">
        <f>'Part VI-Revenues &amp; Expenses'!N40</f>
        <v>0</v>
      </c>
      <c r="O797" s="3207">
        <f>'Part VI-Revenues &amp; Expenses'!O40</f>
        <v>0</v>
      </c>
      <c r="P797" s="3313">
        <f>'Part VI-Revenues &amp; Expenses'!P40</f>
        <v>0</v>
      </c>
      <c r="Q797" s="3334" t="str">
        <f>'Part VI-Revenues &amp; Expenses'!Q40</f>
        <v/>
      </c>
      <c r="R797" s="3335" t="str">
        <f>'Part VI-Revenues &amp; Expenses'!R40</f>
        <v/>
      </c>
      <c r="S797" s="3334">
        <f>'Part VI-Revenues &amp; Expenses'!S40</f>
        <v>0</v>
      </c>
      <c r="T797" s="3335">
        <f>'Part VI-Revenues &amp; Expenses'!T40</f>
        <v>0</v>
      </c>
      <c r="U797" s="3257"/>
      <c r="V797" s="3257"/>
      <c r="W797" s="523" t="str">
        <f t="shared" si="4"/>
        <v/>
      </c>
      <c r="X797" s="523" t="str">
        <f t="shared" si="5"/>
        <v/>
      </c>
      <c r="Y797" s="523" t="str">
        <f t="shared" si="6"/>
        <v/>
      </c>
      <c r="Z797" s="523" t="str">
        <f t="shared" si="7"/>
        <v/>
      </c>
      <c r="AA797" s="523" t="str">
        <f t="shared" si="8"/>
        <v/>
      </c>
      <c r="AB797" s="523" t="str">
        <f t="shared" si="9"/>
        <v/>
      </c>
      <c r="AC797" s="523" t="str">
        <f t="shared" si="10"/>
        <v/>
      </c>
      <c r="AD797" s="523" t="str">
        <f t="shared" si="11"/>
        <v/>
      </c>
      <c r="AE797" s="523" t="str">
        <f t="shared" si="12"/>
        <v/>
      </c>
      <c r="AF797" s="523" t="str">
        <f t="shared" si="13"/>
        <v/>
      </c>
      <c r="AG797" s="523" t="str">
        <f t="shared" si="14"/>
        <v/>
      </c>
      <c r="AH797" s="523" t="str">
        <f t="shared" si="15"/>
        <v/>
      </c>
      <c r="AI797" s="523" t="str">
        <f t="shared" si="16"/>
        <v/>
      </c>
      <c r="AJ797" s="523" t="str">
        <f t="shared" si="17"/>
        <v/>
      </c>
      <c r="AK797" s="523" t="str">
        <f t="shared" si="18"/>
        <v/>
      </c>
      <c r="AL797" s="523" t="str">
        <f t="shared" si="19"/>
        <v/>
      </c>
      <c r="AM797" s="523" t="str">
        <f t="shared" si="20"/>
        <v/>
      </c>
      <c r="AN797" s="523" t="str">
        <f t="shared" si="21"/>
        <v/>
      </c>
      <c r="AO797" s="523" t="str">
        <f t="shared" si="22"/>
        <v/>
      </c>
      <c r="AP797" s="523" t="str">
        <f t="shared" si="23"/>
        <v/>
      </c>
      <c r="AQ797" s="523" t="str">
        <f t="shared" si="24"/>
        <v/>
      </c>
      <c r="AR797" s="523" t="str">
        <f t="shared" si="25"/>
        <v/>
      </c>
      <c r="AS797" s="523" t="str">
        <f t="shared" si="26"/>
        <v/>
      </c>
      <c r="AT797" s="523" t="str">
        <f t="shared" si="27"/>
        <v/>
      </c>
      <c r="AU797" s="523" t="str">
        <f t="shared" si="28"/>
        <v/>
      </c>
      <c r="AV797" s="523" t="str">
        <f t="shared" si="29"/>
        <v/>
      </c>
      <c r="AW797" s="523" t="str">
        <f t="shared" si="30"/>
        <v/>
      </c>
      <c r="AX797" s="523" t="str">
        <f t="shared" si="31"/>
        <v/>
      </c>
      <c r="AY797" s="523" t="str">
        <f t="shared" si="32"/>
        <v/>
      </c>
      <c r="AZ797" s="523" t="str">
        <f t="shared" si="33"/>
        <v/>
      </c>
      <c r="BA797" s="523" t="str">
        <f t="shared" si="34"/>
        <v/>
      </c>
      <c r="BB797" s="523" t="str">
        <f t="shared" si="35"/>
        <v/>
      </c>
      <c r="BC797" s="523" t="str">
        <f t="shared" si="36"/>
        <v/>
      </c>
      <c r="BD797" s="523" t="str">
        <f t="shared" si="37"/>
        <v/>
      </c>
      <c r="BE797" s="523" t="str">
        <f t="shared" si="38"/>
        <v/>
      </c>
      <c r="BF797" s="523" t="str">
        <f t="shared" si="39"/>
        <v/>
      </c>
      <c r="BG797" s="523" t="str">
        <f t="shared" si="40"/>
        <v/>
      </c>
      <c r="BH797" s="523" t="str">
        <f t="shared" si="41"/>
        <v/>
      </c>
      <c r="BI797" s="523" t="str">
        <f t="shared" si="42"/>
        <v/>
      </c>
      <c r="BJ797" s="523" t="str">
        <f t="shared" si="43"/>
        <v/>
      </c>
      <c r="BK797" s="523" t="str">
        <f t="shared" si="44"/>
        <v/>
      </c>
      <c r="BL797" s="523" t="str">
        <f t="shared" si="45"/>
        <v/>
      </c>
      <c r="BM797" s="523" t="str">
        <f t="shared" si="46"/>
        <v/>
      </c>
      <c r="BN797" s="523" t="str">
        <f t="shared" si="47"/>
        <v/>
      </c>
      <c r="BO797" s="523" t="str">
        <f t="shared" si="48"/>
        <v/>
      </c>
      <c r="BP797" s="523" t="str">
        <f t="shared" si="49"/>
        <v/>
      </c>
      <c r="BQ797" s="523" t="str">
        <f t="shared" si="50"/>
        <v/>
      </c>
      <c r="BR797" s="523" t="str">
        <f t="shared" si="51"/>
        <v/>
      </c>
      <c r="BS797" s="523" t="str">
        <f t="shared" si="52"/>
        <v/>
      </c>
      <c r="BT797" s="523" t="str">
        <f t="shared" si="53"/>
        <v/>
      </c>
      <c r="BU797" s="523" t="str">
        <f t="shared" si="54"/>
        <v/>
      </c>
      <c r="BV797" s="523" t="str">
        <f t="shared" si="55"/>
        <v/>
      </c>
      <c r="BW797" s="523" t="str">
        <f t="shared" si="56"/>
        <v/>
      </c>
      <c r="BX797" s="523" t="str">
        <f t="shared" si="57"/>
        <v/>
      </c>
      <c r="BY797" s="523" t="str">
        <f t="shared" si="58"/>
        <v/>
      </c>
      <c r="BZ797" s="523" t="str">
        <f t="shared" si="59"/>
        <v/>
      </c>
      <c r="CA797" s="523" t="str">
        <f t="shared" si="60"/>
        <v/>
      </c>
      <c r="CB797" s="523" t="str">
        <f t="shared" si="61"/>
        <v/>
      </c>
      <c r="CC797" s="523" t="str">
        <f t="shared" si="62"/>
        <v/>
      </c>
      <c r="CD797" s="523" t="str">
        <f t="shared" si="63"/>
        <v/>
      </c>
      <c r="CE797" s="523" t="str">
        <f t="shared" si="64"/>
        <v/>
      </c>
      <c r="CF797" s="523" t="str">
        <f t="shared" si="65"/>
        <v/>
      </c>
      <c r="CG797" s="523" t="str">
        <f t="shared" si="66"/>
        <v/>
      </c>
      <c r="CH797" s="523" t="str">
        <f t="shared" si="67"/>
        <v/>
      </c>
      <c r="CI797" s="523" t="str">
        <f t="shared" si="68"/>
        <v/>
      </c>
      <c r="CJ797" s="523" t="str">
        <f t="shared" si="69"/>
        <v/>
      </c>
      <c r="CK797" s="523" t="str">
        <f t="shared" si="70"/>
        <v/>
      </c>
      <c r="CL797" s="523" t="str">
        <f t="shared" si="71"/>
        <v/>
      </c>
      <c r="CM797" s="523" t="str">
        <f t="shared" si="72"/>
        <v/>
      </c>
      <c r="CN797" s="523" t="str">
        <f t="shared" si="73"/>
        <v/>
      </c>
      <c r="CO797" s="523" t="str">
        <f t="shared" si="74"/>
        <v/>
      </c>
      <c r="CP797" s="523" t="str">
        <f t="shared" si="75"/>
        <v/>
      </c>
      <c r="CQ797" s="523" t="str">
        <f t="shared" si="76"/>
        <v/>
      </c>
      <c r="CR797" s="523" t="str">
        <f t="shared" si="77"/>
        <v/>
      </c>
      <c r="CS797" s="523" t="str">
        <f t="shared" si="78"/>
        <v/>
      </c>
      <c r="CT797" s="523" t="str">
        <f t="shared" si="79"/>
        <v/>
      </c>
      <c r="CU797" s="523" t="str">
        <f t="shared" si="80"/>
        <v/>
      </c>
      <c r="CV797" s="523" t="str">
        <f t="shared" si="81"/>
        <v/>
      </c>
      <c r="CW797" s="523" t="str">
        <f t="shared" si="82"/>
        <v/>
      </c>
      <c r="CX797" s="523" t="str">
        <f t="shared" si="83"/>
        <v/>
      </c>
      <c r="CY797" s="523" t="str">
        <f t="shared" si="84"/>
        <v/>
      </c>
      <c r="CZ797" s="523" t="str">
        <f t="shared" si="85"/>
        <v/>
      </c>
      <c r="DA797" s="523" t="str">
        <f t="shared" si="86"/>
        <v/>
      </c>
      <c r="DB797" s="523" t="str">
        <f t="shared" si="87"/>
        <v/>
      </c>
      <c r="DC797" s="523" t="str">
        <f t="shared" si="88"/>
        <v/>
      </c>
      <c r="DD797" s="523" t="str">
        <f t="shared" si="89"/>
        <v/>
      </c>
      <c r="DE797" s="523" t="str">
        <f t="shared" si="90"/>
        <v/>
      </c>
      <c r="DF797" s="523" t="str">
        <f t="shared" si="91"/>
        <v/>
      </c>
      <c r="DG797" s="523" t="str">
        <f t="shared" si="92"/>
        <v/>
      </c>
      <c r="DH797" s="523" t="str">
        <f t="shared" si="93"/>
        <v/>
      </c>
      <c r="DI797" s="523" t="str">
        <f t="shared" si="94"/>
        <v/>
      </c>
      <c r="DJ797" s="523" t="str">
        <f t="shared" si="95"/>
        <v/>
      </c>
      <c r="DK797" s="523" t="str">
        <f t="shared" si="96"/>
        <v/>
      </c>
      <c r="DL797" s="523" t="str">
        <f t="shared" si="97"/>
        <v/>
      </c>
      <c r="DM797" s="523" t="str">
        <f t="shared" si="98"/>
        <v/>
      </c>
      <c r="DN797" s="523" t="str">
        <f t="shared" si="99"/>
        <v/>
      </c>
      <c r="DO797" s="523" t="str">
        <f t="shared" si="100"/>
        <v/>
      </c>
      <c r="DP797" s="523" t="str">
        <f t="shared" si="101"/>
        <v/>
      </c>
      <c r="DQ797" s="523" t="str">
        <f t="shared" si="102"/>
        <v/>
      </c>
      <c r="DR797" s="523" t="str">
        <f t="shared" si="103"/>
        <v/>
      </c>
      <c r="DS797" s="523" t="str">
        <f t="shared" si="104"/>
        <v/>
      </c>
      <c r="DT797" s="523" t="str">
        <f t="shared" si="105"/>
        <v/>
      </c>
      <c r="DU797" s="523" t="str">
        <f t="shared" si="106"/>
        <v/>
      </c>
      <c r="DV797" s="523" t="str">
        <f t="shared" si="107"/>
        <v/>
      </c>
      <c r="DW797" s="523" t="str">
        <f t="shared" si="108"/>
        <v/>
      </c>
      <c r="DX797" s="523" t="str">
        <f t="shared" si="109"/>
        <v/>
      </c>
      <c r="DY797" s="523" t="str">
        <f t="shared" si="110"/>
        <v/>
      </c>
      <c r="DZ797" s="523" t="str">
        <f t="shared" si="111"/>
        <v/>
      </c>
      <c r="EA797" s="523" t="str">
        <f t="shared" si="112"/>
        <v/>
      </c>
      <c r="EB797" s="523" t="str">
        <f t="shared" si="113"/>
        <v/>
      </c>
      <c r="EC797" s="523" t="str">
        <f t="shared" si="114"/>
        <v/>
      </c>
      <c r="ED797" s="523" t="str">
        <f t="shared" si="115"/>
        <v/>
      </c>
      <c r="EE797" s="523" t="str">
        <f t="shared" si="116"/>
        <v/>
      </c>
      <c r="EF797" s="523" t="str">
        <f t="shared" si="117"/>
        <v/>
      </c>
      <c r="EG797" s="523" t="str">
        <f t="shared" si="118"/>
        <v/>
      </c>
      <c r="EH797" s="523" t="str">
        <f t="shared" si="119"/>
        <v/>
      </c>
      <c r="EI797" s="523" t="str">
        <f t="shared" si="120"/>
        <v/>
      </c>
      <c r="EJ797" s="523" t="str">
        <f t="shared" si="121"/>
        <v/>
      </c>
      <c r="EK797" s="523" t="str">
        <f t="shared" si="122"/>
        <v/>
      </c>
      <c r="EL797" s="523" t="str">
        <f t="shared" si="123"/>
        <v/>
      </c>
      <c r="EM797" s="523" t="str">
        <f t="shared" si="124"/>
        <v/>
      </c>
      <c r="EN797" s="523" t="str">
        <f t="shared" si="125"/>
        <v/>
      </c>
      <c r="EO797" s="523" t="str">
        <f t="shared" si="126"/>
        <v/>
      </c>
      <c r="EP797" s="523" t="str">
        <f t="shared" si="127"/>
        <v/>
      </c>
      <c r="EQ797" s="523" t="str">
        <f t="shared" si="128"/>
        <v/>
      </c>
      <c r="ER797" s="523" t="str">
        <f t="shared" si="129"/>
        <v/>
      </c>
      <c r="ES797" s="523" t="str">
        <f t="shared" si="130"/>
        <v/>
      </c>
      <c r="ET797" s="523" t="str">
        <f t="shared" si="131"/>
        <v/>
      </c>
      <c r="EU797" s="523" t="str">
        <f t="shared" si="132"/>
        <v/>
      </c>
      <c r="EV797" s="523" t="str">
        <f t="shared" si="133"/>
        <v/>
      </c>
      <c r="EW797" s="3336" t="str">
        <f t="shared" si="134"/>
        <v/>
      </c>
      <c r="EX797" s="3336" t="str">
        <f t="shared" si="135"/>
        <v/>
      </c>
      <c r="EY797" s="3336" t="str">
        <f t="shared" si="136"/>
        <v/>
      </c>
      <c r="EZ797" s="3336" t="str">
        <f t="shared" si="137"/>
        <v/>
      </c>
      <c r="FA797" s="3336" t="str">
        <f t="shared" si="138"/>
        <v/>
      </c>
      <c r="FB797" s="3336" t="str">
        <f t="shared" si="139"/>
        <v/>
      </c>
      <c r="FC797" s="3336" t="str">
        <f t="shared" si="140"/>
        <v/>
      </c>
      <c r="FD797" s="3336" t="str">
        <f t="shared" si="141"/>
        <v/>
      </c>
      <c r="FE797" s="3336" t="str">
        <f t="shared" si="142"/>
        <v/>
      </c>
      <c r="FF797" s="3336" t="str">
        <f t="shared" si="143"/>
        <v/>
      </c>
      <c r="FG797" s="3336" t="str">
        <f t="shared" si="144"/>
        <v/>
      </c>
      <c r="FH797" s="3336" t="str">
        <f t="shared" si="145"/>
        <v/>
      </c>
      <c r="FI797" s="3336" t="str">
        <f t="shared" si="146"/>
        <v/>
      </c>
      <c r="FJ797" s="3336" t="str">
        <f t="shared" si="147"/>
        <v/>
      </c>
      <c r="FK797" s="3336" t="str">
        <f t="shared" si="148"/>
        <v/>
      </c>
      <c r="FL797" s="3336" t="str">
        <f t="shared" si="149"/>
        <v/>
      </c>
      <c r="FM797" s="3336" t="str">
        <f t="shared" si="150"/>
        <v/>
      </c>
      <c r="FN797" s="3336" t="str">
        <f t="shared" si="151"/>
        <v/>
      </c>
      <c r="FO797" s="3336" t="str">
        <f t="shared" si="152"/>
        <v/>
      </c>
      <c r="FP797" s="3336" t="str">
        <f t="shared" si="153"/>
        <v/>
      </c>
      <c r="FQ797" s="3336" t="str">
        <f t="shared" si="154"/>
        <v/>
      </c>
      <c r="FR797" s="3336" t="str">
        <f t="shared" si="155"/>
        <v/>
      </c>
      <c r="FS797" s="3336" t="str">
        <f t="shared" si="156"/>
        <v/>
      </c>
      <c r="FT797" s="3336" t="str">
        <f t="shared" si="157"/>
        <v/>
      </c>
      <c r="FU797" s="3336" t="str">
        <f t="shared" si="158"/>
        <v/>
      </c>
      <c r="FV797" s="3336" t="str">
        <f t="shared" si="159"/>
        <v/>
      </c>
      <c r="FW797" s="3336" t="str">
        <f t="shared" si="160"/>
        <v/>
      </c>
      <c r="FX797" s="3336" t="str">
        <f t="shared" si="161"/>
        <v/>
      </c>
      <c r="FY797" s="3336" t="str">
        <f t="shared" si="162"/>
        <v/>
      </c>
      <c r="FZ797" s="3336" t="str">
        <f t="shared" si="163"/>
        <v/>
      </c>
      <c r="GA797" s="3336" t="str">
        <f t="shared" si="164"/>
        <v/>
      </c>
      <c r="GB797" s="3336" t="str">
        <f t="shared" si="165"/>
        <v/>
      </c>
      <c r="GC797" s="3336" t="str">
        <f t="shared" si="166"/>
        <v/>
      </c>
      <c r="GD797" s="3336" t="str">
        <f t="shared" si="167"/>
        <v/>
      </c>
      <c r="GE797" s="3336" t="str">
        <f t="shared" si="168"/>
        <v/>
      </c>
      <c r="GF797" s="3336" t="str">
        <f t="shared" si="169"/>
        <v/>
      </c>
      <c r="GG797" s="3336" t="str">
        <f t="shared" si="170"/>
        <v/>
      </c>
      <c r="GH797" s="3336" t="str">
        <f t="shared" si="171"/>
        <v/>
      </c>
      <c r="GI797" s="3336" t="str">
        <f t="shared" si="172"/>
        <v/>
      </c>
      <c r="GJ797" s="3336" t="str">
        <f t="shared" si="173"/>
        <v/>
      </c>
      <c r="GK797" s="3336" t="str">
        <f t="shared" si="174"/>
        <v/>
      </c>
      <c r="GL797" s="3336" t="str">
        <f t="shared" si="175"/>
        <v/>
      </c>
      <c r="GM797" s="3336" t="str">
        <f t="shared" si="176"/>
        <v/>
      </c>
      <c r="GN797" s="3336" t="str">
        <f t="shared" si="177"/>
        <v/>
      </c>
      <c r="GO797" s="3336" t="str">
        <f t="shared" si="178"/>
        <v/>
      </c>
      <c r="GP797" s="3336" t="str">
        <f t="shared" si="179"/>
        <v/>
      </c>
      <c r="GQ797" s="3336" t="str">
        <f t="shared" si="180"/>
        <v/>
      </c>
      <c r="GR797" s="3336" t="str">
        <f t="shared" si="181"/>
        <v/>
      </c>
      <c r="GS797" s="3336" t="str">
        <f t="shared" si="182"/>
        <v/>
      </c>
      <c r="GT797" s="3336" t="str">
        <f t="shared" si="183"/>
        <v/>
      </c>
      <c r="GU797" s="3336" t="str">
        <f t="shared" si="184"/>
        <v/>
      </c>
      <c r="GV797" s="3336" t="str">
        <f t="shared" si="185"/>
        <v/>
      </c>
      <c r="GW797" s="3336" t="str">
        <f t="shared" si="186"/>
        <v/>
      </c>
      <c r="GX797" s="3336" t="str">
        <f t="shared" si="187"/>
        <v/>
      </c>
      <c r="GY797" s="3336" t="str">
        <f t="shared" si="188"/>
        <v/>
      </c>
      <c r="GZ797" s="3336" t="str">
        <f t="shared" si="189"/>
        <v/>
      </c>
      <c r="HA797" s="3336" t="str">
        <f t="shared" si="190"/>
        <v/>
      </c>
      <c r="HB797" s="3336" t="str">
        <f t="shared" si="191"/>
        <v/>
      </c>
      <c r="HC797" s="3336" t="str">
        <f t="shared" si="192"/>
        <v/>
      </c>
      <c r="HD797" s="3336" t="str">
        <f t="shared" si="193"/>
        <v/>
      </c>
      <c r="HE797" s="3336" t="str">
        <f t="shared" si="194"/>
        <v/>
      </c>
      <c r="HF797" s="3336" t="str">
        <f t="shared" si="195"/>
        <v/>
      </c>
      <c r="HG797" s="3336" t="str">
        <f t="shared" si="196"/>
        <v/>
      </c>
      <c r="HH797" s="3336" t="str">
        <f t="shared" si="197"/>
        <v/>
      </c>
      <c r="HI797" s="3336" t="str">
        <f t="shared" si="198"/>
        <v/>
      </c>
      <c r="HJ797" s="3336" t="str">
        <f t="shared" si="199"/>
        <v/>
      </c>
      <c r="HK797" s="3336" t="str">
        <f t="shared" si="200"/>
        <v/>
      </c>
      <c r="HL797" s="3336" t="str">
        <f t="shared" si="201"/>
        <v/>
      </c>
      <c r="HM797" s="3336" t="str">
        <f t="shared" si="202"/>
        <v/>
      </c>
      <c r="HN797" s="3336" t="str">
        <f t="shared" si="203"/>
        <v/>
      </c>
      <c r="HO797" s="3336" t="str">
        <f t="shared" si="204"/>
        <v/>
      </c>
      <c r="HP797" s="3336" t="str">
        <f t="shared" si="205"/>
        <v/>
      </c>
      <c r="HQ797" s="3336" t="str">
        <f t="shared" si="206"/>
        <v/>
      </c>
      <c r="HR797" s="3336" t="str">
        <f t="shared" si="207"/>
        <v/>
      </c>
      <c r="HS797" s="3336" t="str">
        <f t="shared" si="208"/>
        <v/>
      </c>
      <c r="HT797" s="3336" t="str">
        <f t="shared" si="209"/>
        <v/>
      </c>
      <c r="HU797" s="3336" t="str">
        <f t="shared" si="210"/>
        <v/>
      </c>
      <c r="HV797" s="3336" t="str">
        <f t="shared" si="211"/>
        <v/>
      </c>
      <c r="HW797" s="3336" t="str">
        <f t="shared" si="212"/>
        <v/>
      </c>
      <c r="HX797" s="3336" t="str">
        <f t="shared" si="213"/>
        <v/>
      </c>
      <c r="HY797" s="3336" t="str">
        <f t="shared" si="214"/>
        <v/>
      </c>
      <c r="HZ797" s="3336" t="str">
        <f t="shared" si="215"/>
        <v/>
      </c>
      <c r="IA797" s="3336" t="str">
        <f t="shared" si="216"/>
        <v/>
      </c>
      <c r="IB797" s="3336" t="str">
        <f t="shared" si="217"/>
        <v/>
      </c>
      <c r="IC797" s="3336" t="str">
        <f t="shared" si="218"/>
        <v/>
      </c>
      <c r="ID797" s="3308" t="str">
        <f t="shared" si="219"/>
        <v/>
      </c>
      <c r="IE797" s="3308" t="str">
        <f t="shared" si="220"/>
        <v/>
      </c>
      <c r="IF797" s="3308" t="str">
        <f t="shared" si="221"/>
        <v/>
      </c>
      <c r="IG797" s="3308" t="str">
        <f t="shared" si="222"/>
        <v/>
      </c>
      <c r="IH797" s="3308" t="str">
        <f t="shared" si="223"/>
        <v/>
      </c>
      <c r="II797" s="523" t="str">
        <f t="shared" si="224"/>
        <v/>
      </c>
      <c r="IJ797" s="523" t="str">
        <f t="shared" si="225"/>
        <v/>
      </c>
      <c r="IK797" s="523" t="str">
        <f t="shared" si="226"/>
        <v/>
      </c>
      <c r="IL797" s="523" t="str">
        <f t="shared" si="227"/>
        <v/>
      </c>
      <c r="IM797" s="523" t="str">
        <f t="shared" si="228"/>
        <v/>
      </c>
      <c r="IN797" s="523" t="str">
        <f t="shared" si="229"/>
        <v/>
      </c>
      <c r="IO797" s="523" t="str">
        <f t="shared" si="230"/>
        <v/>
      </c>
      <c r="IP797" s="523" t="str">
        <f t="shared" si="231"/>
        <v/>
      </c>
      <c r="IQ797" s="523" t="str">
        <f t="shared" si="232"/>
        <v/>
      </c>
      <c r="IR797" s="523" t="str">
        <f t="shared" si="233"/>
        <v/>
      </c>
      <c r="IS797" s="523" t="str">
        <f t="shared" si="234"/>
        <v/>
      </c>
      <c r="IT797" s="523" t="str">
        <f t="shared" si="235"/>
        <v/>
      </c>
      <c r="IU797" s="523" t="str">
        <f t="shared" si="236"/>
        <v/>
      </c>
      <c r="IV797" s="523" t="str">
        <f t="shared" si="237"/>
        <v/>
      </c>
      <c r="IW797" s="523" t="str">
        <f t="shared" si="238"/>
        <v/>
      </c>
      <c r="IX797" s="523" t="str">
        <f t="shared" si="239"/>
        <v/>
      </c>
      <c r="IY797" s="523" t="str">
        <f t="shared" si="240"/>
        <v/>
      </c>
      <c r="IZ797" s="523" t="str">
        <f t="shared" si="241"/>
        <v/>
      </c>
      <c r="JA797" s="523" t="str">
        <f t="shared" si="242"/>
        <v/>
      </c>
      <c r="JB797" s="523" t="str">
        <f t="shared" si="243"/>
        <v/>
      </c>
      <c r="JC797" s="3306">
        <f t="shared" si="244"/>
        <v>0</v>
      </c>
      <c r="JD797" s="3306">
        <f t="shared" si="245"/>
        <v>0</v>
      </c>
      <c r="JE797" s="3306">
        <f t="shared" si="246"/>
        <v>0</v>
      </c>
      <c r="JF797" s="3306">
        <f t="shared" si="247"/>
        <v>0</v>
      </c>
      <c r="JG797" s="3306">
        <f t="shared" si="248"/>
        <v>0</v>
      </c>
      <c r="JH797" s="3306">
        <f t="shared" si="249"/>
        <v>0</v>
      </c>
      <c r="JI797" s="3306">
        <f t="shared" si="250"/>
        <v>0</v>
      </c>
      <c r="JJ797" s="3306">
        <f t="shared" si="251"/>
        <v>0</v>
      </c>
      <c r="JK797" s="3306">
        <f t="shared" si="252"/>
        <v>0</v>
      </c>
      <c r="JL797" s="3306">
        <f t="shared" si="253"/>
        <v>0</v>
      </c>
      <c r="JM797" s="3306">
        <f t="shared" si="254"/>
        <v>0</v>
      </c>
      <c r="JN797" s="3306">
        <f t="shared" si="255"/>
        <v>0</v>
      </c>
      <c r="JO797" s="3306">
        <f t="shared" si="256"/>
        <v>0</v>
      </c>
      <c r="JP797" s="3306">
        <f t="shared" si="257"/>
        <v>0</v>
      </c>
      <c r="JQ797" s="3306">
        <f t="shared" si="258"/>
        <v>0</v>
      </c>
    </row>
    <row r="798" spans="1:277" ht="12" customHeight="1">
      <c r="A798" s="3319" t="str">
        <f t="shared" si="1"/>
        <v/>
      </c>
      <c r="B798" s="3328" t="str">
        <f>'Part VI-Revenues &amp; Expenses'!B41</f>
        <v>&lt;&lt;Select&gt;&gt;</v>
      </c>
      <c r="C798" s="3329">
        <f>'Part VI-Revenues &amp; Expenses'!C41</f>
        <v>0</v>
      </c>
      <c r="D798" s="3330">
        <f>'Part VI-Revenues &amp; Expenses'!D41</f>
        <v>0</v>
      </c>
      <c r="E798" s="3331">
        <f>'Part VI-Revenues &amp; Expenses'!E41</f>
        <v>0</v>
      </c>
      <c r="F798" s="3331">
        <f>'Part VI-Revenues &amp; Expenses'!F41</f>
        <v>0</v>
      </c>
      <c r="G798" s="3331">
        <f>'Part VI-Revenues &amp; Expenses'!G41</f>
        <v>0</v>
      </c>
      <c r="H798" s="3331">
        <f>'Part VI-Revenues &amp; Expenses'!H41</f>
        <v>0</v>
      </c>
      <c r="I798" s="3331">
        <f>'Part VI-Revenues &amp; Expenses'!I41</f>
        <v>0</v>
      </c>
      <c r="J798" s="3332">
        <f>'Part VI-Revenues &amp; Expenses'!J41</f>
        <v>0</v>
      </c>
      <c r="K798" s="3333">
        <f t="shared" si="2"/>
        <v>0</v>
      </c>
      <c r="L798" s="3333">
        <f t="shared" si="3"/>
        <v>0</v>
      </c>
      <c r="M798" s="3207">
        <f>'Part VI-Revenues &amp; Expenses'!M41</f>
        <v>0</v>
      </c>
      <c r="N798" s="3207">
        <f>'Part VI-Revenues &amp; Expenses'!N41</f>
        <v>0</v>
      </c>
      <c r="O798" s="3207">
        <f>'Part VI-Revenues &amp; Expenses'!O41</f>
        <v>0</v>
      </c>
      <c r="P798" s="3313">
        <f>'Part VI-Revenues &amp; Expenses'!P41</f>
        <v>0</v>
      </c>
      <c r="Q798" s="3334" t="str">
        <f>'Part VI-Revenues &amp; Expenses'!Q41</f>
        <v/>
      </c>
      <c r="R798" s="3335" t="str">
        <f>'Part VI-Revenues &amp; Expenses'!R41</f>
        <v/>
      </c>
      <c r="S798" s="3334">
        <f>'Part VI-Revenues &amp; Expenses'!S41</f>
        <v>0</v>
      </c>
      <c r="T798" s="3335">
        <f>'Part VI-Revenues &amp; Expenses'!T41</f>
        <v>0</v>
      </c>
      <c r="U798" s="3257"/>
      <c r="V798" s="3257"/>
      <c r="W798" s="523" t="str">
        <f t="shared" si="4"/>
        <v/>
      </c>
      <c r="X798" s="523" t="str">
        <f t="shared" si="5"/>
        <v/>
      </c>
      <c r="Y798" s="523" t="str">
        <f t="shared" si="6"/>
        <v/>
      </c>
      <c r="Z798" s="523" t="str">
        <f t="shared" si="7"/>
        <v/>
      </c>
      <c r="AA798" s="523" t="str">
        <f t="shared" si="8"/>
        <v/>
      </c>
      <c r="AB798" s="523" t="str">
        <f t="shared" si="9"/>
        <v/>
      </c>
      <c r="AC798" s="523" t="str">
        <f t="shared" si="10"/>
        <v/>
      </c>
      <c r="AD798" s="523" t="str">
        <f t="shared" si="11"/>
        <v/>
      </c>
      <c r="AE798" s="523" t="str">
        <f t="shared" si="12"/>
        <v/>
      </c>
      <c r="AF798" s="523" t="str">
        <f t="shared" si="13"/>
        <v/>
      </c>
      <c r="AG798" s="523" t="str">
        <f t="shared" si="14"/>
        <v/>
      </c>
      <c r="AH798" s="523" t="str">
        <f t="shared" si="15"/>
        <v/>
      </c>
      <c r="AI798" s="523" t="str">
        <f t="shared" si="16"/>
        <v/>
      </c>
      <c r="AJ798" s="523" t="str">
        <f t="shared" si="17"/>
        <v/>
      </c>
      <c r="AK798" s="523" t="str">
        <f t="shared" si="18"/>
        <v/>
      </c>
      <c r="AL798" s="523" t="str">
        <f t="shared" si="19"/>
        <v/>
      </c>
      <c r="AM798" s="523" t="str">
        <f t="shared" si="20"/>
        <v/>
      </c>
      <c r="AN798" s="523" t="str">
        <f t="shared" si="21"/>
        <v/>
      </c>
      <c r="AO798" s="523" t="str">
        <f t="shared" si="22"/>
        <v/>
      </c>
      <c r="AP798" s="523" t="str">
        <f t="shared" si="23"/>
        <v/>
      </c>
      <c r="AQ798" s="523" t="str">
        <f t="shared" si="24"/>
        <v/>
      </c>
      <c r="AR798" s="523" t="str">
        <f t="shared" si="25"/>
        <v/>
      </c>
      <c r="AS798" s="523" t="str">
        <f t="shared" si="26"/>
        <v/>
      </c>
      <c r="AT798" s="523" t="str">
        <f t="shared" si="27"/>
        <v/>
      </c>
      <c r="AU798" s="523" t="str">
        <f t="shared" si="28"/>
        <v/>
      </c>
      <c r="AV798" s="523" t="str">
        <f t="shared" si="29"/>
        <v/>
      </c>
      <c r="AW798" s="523" t="str">
        <f t="shared" si="30"/>
        <v/>
      </c>
      <c r="AX798" s="523" t="str">
        <f t="shared" si="31"/>
        <v/>
      </c>
      <c r="AY798" s="523" t="str">
        <f t="shared" si="32"/>
        <v/>
      </c>
      <c r="AZ798" s="523" t="str">
        <f t="shared" si="33"/>
        <v/>
      </c>
      <c r="BA798" s="523" t="str">
        <f t="shared" si="34"/>
        <v/>
      </c>
      <c r="BB798" s="523" t="str">
        <f t="shared" si="35"/>
        <v/>
      </c>
      <c r="BC798" s="523" t="str">
        <f t="shared" si="36"/>
        <v/>
      </c>
      <c r="BD798" s="523" t="str">
        <f t="shared" si="37"/>
        <v/>
      </c>
      <c r="BE798" s="523" t="str">
        <f t="shared" si="38"/>
        <v/>
      </c>
      <c r="BF798" s="523" t="str">
        <f t="shared" si="39"/>
        <v/>
      </c>
      <c r="BG798" s="523" t="str">
        <f t="shared" si="40"/>
        <v/>
      </c>
      <c r="BH798" s="523" t="str">
        <f t="shared" si="41"/>
        <v/>
      </c>
      <c r="BI798" s="523" t="str">
        <f t="shared" si="42"/>
        <v/>
      </c>
      <c r="BJ798" s="523" t="str">
        <f t="shared" si="43"/>
        <v/>
      </c>
      <c r="BK798" s="523" t="str">
        <f t="shared" si="44"/>
        <v/>
      </c>
      <c r="BL798" s="523" t="str">
        <f t="shared" si="45"/>
        <v/>
      </c>
      <c r="BM798" s="523" t="str">
        <f t="shared" si="46"/>
        <v/>
      </c>
      <c r="BN798" s="523" t="str">
        <f t="shared" si="47"/>
        <v/>
      </c>
      <c r="BO798" s="523" t="str">
        <f t="shared" si="48"/>
        <v/>
      </c>
      <c r="BP798" s="523" t="str">
        <f t="shared" si="49"/>
        <v/>
      </c>
      <c r="BQ798" s="523" t="str">
        <f t="shared" si="50"/>
        <v/>
      </c>
      <c r="BR798" s="523" t="str">
        <f t="shared" si="51"/>
        <v/>
      </c>
      <c r="BS798" s="523" t="str">
        <f t="shared" si="52"/>
        <v/>
      </c>
      <c r="BT798" s="523" t="str">
        <f t="shared" si="53"/>
        <v/>
      </c>
      <c r="BU798" s="523" t="str">
        <f t="shared" si="54"/>
        <v/>
      </c>
      <c r="BV798" s="523" t="str">
        <f t="shared" si="55"/>
        <v/>
      </c>
      <c r="BW798" s="523" t="str">
        <f t="shared" si="56"/>
        <v/>
      </c>
      <c r="BX798" s="523" t="str">
        <f t="shared" si="57"/>
        <v/>
      </c>
      <c r="BY798" s="523" t="str">
        <f t="shared" si="58"/>
        <v/>
      </c>
      <c r="BZ798" s="523" t="str">
        <f t="shared" si="59"/>
        <v/>
      </c>
      <c r="CA798" s="523" t="str">
        <f t="shared" si="60"/>
        <v/>
      </c>
      <c r="CB798" s="523" t="str">
        <f t="shared" si="61"/>
        <v/>
      </c>
      <c r="CC798" s="523" t="str">
        <f t="shared" si="62"/>
        <v/>
      </c>
      <c r="CD798" s="523" t="str">
        <f t="shared" si="63"/>
        <v/>
      </c>
      <c r="CE798" s="523" t="str">
        <f t="shared" si="64"/>
        <v/>
      </c>
      <c r="CF798" s="523" t="str">
        <f t="shared" si="65"/>
        <v/>
      </c>
      <c r="CG798" s="523" t="str">
        <f t="shared" si="66"/>
        <v/>
      </c>
      <c r="CH798" s="523" t="str">
        <f t="shared" si="67"/>
        <v/>
      </c>
      <c r="CI798" s="523" t="str">
        <f t="shared" si="68"/>
        <v/>
      </c>
      <c r="CJ798" s="523" t="str">
        <f t="shared" si="69"/>
        <v/>
      </c>
      <c r="CK798" s="523" t="str">
        <f t="shared" si="70"/>
        <v/>
      </c>
      <c r="CL798" s="523" t="str">
        <f t="shared" si="71"/>
        <v/>
      </c>
      <c r="CM798" s="523" t="str">
        <f t="shared" si="72"/>
        <v/>
      </c>
      <c r="CN798" s="523" t="str">
        <f t="shared" si="73"/>
        <v/>
      </c>
      <c r="CO798" s="523" t="str">
        <f t="shared" si="74"/>
        <v/>
      </c>
      <c r="CP798" s="523" t="str">
        <f t="shared" si="75"/>
        <v/>
      </c>
      <c r="CQ798" s="523" t="str">
        <f t="shared" si="76"/>
        <v/>
      </c>
      <c r="CR798" s="523" t="str">
        <f t="shared" si="77"/>
        <v/>
      </c>
      <c r="CS798" s="523" t="str">
        <f t="shared" si="78"/>
        <v/>
      </c>
      <c r="CT798" s="523" t="str">
        <f t="shared" si="79"/>
        <v/>
      </c>
      <c r="CU798" s="523" t="str">
        <f t="shared" si="80"/>
        <v/>
      </c>
      <c r="CV798" s="523" t="str">
        <f t="shared" si="81"/>
        <v/>
      </c>
      <c r="CW798" s="523" t="str">
        <f t="shared" si="82"/>
        <v/>
      </c>
      <c r="CX798" s="523" t="str">
        <f t="shared" si="83"/>
        <v/>
      </c>
      <c r="CY798" s="523" t="str">
        <f t="shared" si="84"/>
        <v/>
      </c>
      <c r="CZ798" s="523" t="str">
        <f t="shared" si="85"/>
        <v/>
      </c>
      <c r="DA798" s="523" t="str">
        <f t="shared" si="86"/>
        <v/>
      </c>
      <c r="DB798" s="523" t="str">
        <f t="shared" si="87"/>
        <v/>
      </c>
      <c r="DC798" s="523" t="str">
        <f t="shared" si="88"/>
        <v/>
      </c>
      <c r="DD798" s="523" t="str">
        <f t="shared" si="89"/>
        <v/>
      </c>
      <c r="DE798" s="523" t="str">
        <f t="shared" si="90"/>
        <v/>
      </c>
      <c r="DF798" s="523" t="str">
        <f t="shared" si="91"/>
        <v/>
      </c>
      <c r="DG798" s="523" t="str">
        <f t="shared" si="92"/>
        <v/>
      </c>
      <c r="DH798" s="523" t="str">
        <f t="shared" si="93"/>
        <v/>
      </c>
      <c r="DI798" s="523" t="str">
        <f t="shared" si="94"/>
        <v/>
      </c>
      <c r="DJ798" s="523" t="str">
        <f t="shared" si="95"/>
        <v/>
      </c>
      <c r="DK798" s="523" t="str">
        <f t="shared" si="96"/>
        <v/>
      </c>
      <c r="DL798" s="523" t="str">
        <f t="shared" si="97"/>
        <v/>
      </c>
      <c r="DM798" s="523" t="str">
        <f t="shared" si="98"/>
        <v/>
      </c>
      <c r="DN798" s="523" t="str">
        <f t="shared" si="99"/>
        <v/>
      </c>
      <c r="DO798" s="523" t="str">
        <f t="shared" si="100"/>
        <v/>
      </c>
      <c r="DP798" s="523" t="str">
        <f t="shared" si="101"/>
        <v/>
      </c>
      <c r="DQ798" s="523" t="str">
        <f t="shared" si="102"/>
        <v/>
      </c>
      <c r="DR798" s="523" t="str">
        <f t="shared" si="103"/>
        <v/>
      </c>
      <c r="DS798" s="523" t="str">
        <f t="shared" si="104"/>
        <v/>
      </c>
      <c r="DT798" s="523" t="str">
        <f t="shared" si="105"/>
        <v/>
      </c>
      <c r="DU798" s="523" t="str">
        <f t="shared" si="106"/>
        <v/>
      </c>
      <c r="DV798" s="523" t="str">
        <f t="shared" si="107"/>
        <v/>
      </c>
      <c r="DW798" s="523" t="str">
        <f t="shared" si="108"/>
        <v/>
      </c>
      <c r="DX798" s="523" t="str">
        <f t="shared" si="109"/>
        <v/>
      </c>
      <c r="DY798" s="523" t="str">
        <f t="shared" si="110"/>
        <v/>
      </c>
      <c r="DZ798" s="523" t="str">
        <f t="shared" si="111"/>
        <v/>
      </c>
      <c r="EA798" s="523" t="str">
        <f t="shared" si="112"/>
        <v/>
      </c>
      <c r="EB798" s="523" t="str">
        <f t="shared" si="113"/>
        <v/>
      </c>
      <c r="EC798" s="523" t="str">
        <f t="shared" si="114"/>
        <v/>
      </c>
      <c r="ED798" s="523" t="str">
        <f t="shared" si="115"/>
        <v/>
      </c>
      <c r="EE798" s="523" t="str">
        <f t="shared" si="116"/>
        <v/>
      </c>
      <c r="EF798" s="523" t="str">
        <f t="shared" si="117"/>
        <v/>
      </c>
      <c r="EG798" s="523" t="str">
        <f t="shared" si="118"/>
        <v/>
      </c>
      <c r="EH798" s="523" t="str">
        <f t="shared" si="119"/>
        <v/>
      </c>
      <c r="EI798" s="523" t="str">
        <f t="shared" si="120"/>
        <v/>
      </c>
      <c r="EJ798" s="523" t="str">
        <f t="shared" si="121"/>
        <v/>
      </c>
      <c r="EK798" s="523" t="str">
        <f t="shared" si="122"/>
        <v/>
      </c>
      <c r="EL798" s="523" t="str">
        <f t="shared" si="123"/>
        <v/>
      </c>
      <c r="EM798" s="523" t="str">
        <f t="shared" si="124"/>
        <v/>
      </c>
      <c r="EN798" s="523" t="str">
        <f t="shared" si="125"/>
        <v/>
      </c>
      <c r="EO798" s="523" t="str">
        <f t="shared" si="126"/>
        <v/>
      </c>
      <c r="EP798" s="523" t="str">
        <f t="shared" si="127"/>
        <v/>
      </c>
      <c r="EQ798" s="523" t="str">
        <f t="shared" si="128"/>
        <v/>
      </c>
      <c r="ER798" s="523" t="str">
        <f t="shared" si="129"/>
        <v/>
      </c>
      <c r="ES798" s="523" t="str">
        <f t="shared" si="130"/>
        <v/>
      </c>
      <c r="ET798" s="523" t="str">
        <f t="shared" si="131"/>
        <v/>
      </c>
      <c r="EU798" s="523" t="str">
        <f t="shared" si="132"/>
        <v/>
      </c>
      <c r="EV798" s="523" t="str">
        <f t="shared" si="133"/>
        <v/>
      </c>
      <c r="EW798" s="3336" t="str">
        <f t="shared" si="134"/>
        <v/>
      </c>
      <c r="EX798" s="3336" t="str">
        <f t="shared" si="135"/>
        <v/>
      </c>
      <c r="EY798" s="3336" t="str">
        <f t="shared" si="136"/>
        <v/>
      </c>
      <c r="EZ798" s="3336" t="str">
        <f t="shared" si="137"/>
        <v/>
      </c>
      <c r="FA798" s="3336" t="str">
        <f t="shared" si="138"/>
        <v/>
      </c>
      <c r="FB798" s="3336" t="str">
        <f t="shared" si="139"/>
        <v/>
      </c>
      <c r="FC798" s="3336" t="str">
        <f t="shared" si="140"/>
        <v/>
      </c>
      <c r="FD798" s="3336" t="str">
        <f t="shared" si="141"/>
        <v/>
      </c>
      <c r="FE798" s="3336" t="str">
        <f t="shared" si="142"/>
        <v/>
      </c>
      <c r="FF798" s="3336" t="str">
        <f t="shared" si="143"/>
        <v/>
      </c>
      <c r="FG798" s="3336" t="str">
        <f t="shared" si="144"/>
        <v/>
      </c>
      <c r="FH798" s="3336" t="str">
        <f t="shared" si="145"/>
        <v/>
      </c>
      <c r="FI798" s="3336" t="str">
        <f t="shared" si="146"/>
        <v/>
      </c>
      <c r="FJ798" s="3336" t="str">
        <f t="shared" si="147"/>
        <v/>
      </c>
      <c r="FK798" s="3336" t="str">
        <f t="shared" si="148"/>
        <v/>
      </c>
      <c r="FL798" s="3336" t="str">
        <f t="shared" si="149"/>
        <v/>
      </c>
      <c r="FM798" s="3336" t="str">
        <f t="shared" si="150"/>
        <v/>
      </c>
      <c r="FN798" s="3336" t="str">
        <f t="shared" si="151"/>
        <v/>
      </c>
      <c r="FO798" s="3336" t="str">
        <f t="shared" si="152"/>
        <v/>
      </c>
      <c r="FP798" s="3336" t="str">
        <f t="shared" si="153"/>
        <v/>
      </c>
      <c r="FQ798" s="3336" t="str">
        <f t="shared" si="154"/>
        <v/>
      </c>
      <c r="FR798" s="3336" t="str">
        <f t="shared" si="155"/>
        <v/>
      </c>
      <c r="FS798" s="3336" t="str">
        <f t="shared" si="156"/>
        <v/>
      </c>
      <c r="FT798" s="3336" t="str">
        <f t="shared" si="157"/>
        <v/>
      </c>
      <c r="FU798" s="3336" t="str">
        <f t="shared" si="158"/>
        <v/>
      </c>
      <c r="FV798" s="3336" t="str">
        <f t="shared" si="159"/>
        <v/>
      </c>
      <c r="FW798" s="3336" t="str">
        <f t="shared" si="160"/>
        <v/>
      </c>
      <c r="FX798" s="3336" t="str">
        <f t="shared" si="161"/>
        <v/>
      </c>
      <c r="FY798" s="3336" t="str">
        <f t="shared" si="162"/>
        <v/>
      </c>
      <c r="FZ798" s="3336" t="str">
        <f t="shared" si="163"/>
        <v/>
      </c>
      <c r="GA798" s="3336" t="str">
        <f t="shared" si="164"/>
        <v/>
      </c>
      <c r="GB798" s="3336" t="str">
        <f t="shared" si="165"/>
        <v/>
      </c>
      <c r="GC798" s="3336" t="str">
        <f t="shared" si="166"/>
        <v/>
      </c>
      <c r="GD798" s="3336" t="str">
        <f t="shared" si="167"/>
        <v/>
      </c>
      <c r="GE798" s="3336" t="str">
        <f t="shared" si="168"/>
        <v/>
      </c>
      <c r="GF798" s="3336" t="str">
        <f t="shared" si="169"/>
        <v/>
      </c>
      <c r="GG798" s="3336" t="str">
        <f t="shared" si="170"/>
        <v/>
      </c>
      <c r="GH798" s="3336" t="str">
        <f t="shared" si="171"/>
        <v/>
      </c>
      <c r="GI798" s="3336" t="str">
        <f t="shared" si="172"/>
        <v/>
      </c>
      <c r="GJ798" s="3336" t="str">
        <f t="shared" si="173"/>
        <v/>
      </c>
      <c r="GK798" s="3336" t="str">
        <f t="shared" si="174"/>
        <v/>
      </c>
      <c r="GL798" s="3336" t="str">
        <f t="shared" si="175"/>
        <v/>
      </c>
      <c r="GM798" s="3336" t="str">
        <f t="shared" si="176"/>
        <v/>
      </c>
      <c r="GN798" s="3336" t="str">
        <f t="shared" si="177"/>
        <v/>
      </c>
      <c r="GO798" s="3336" t="str">
        <f t="shared" si="178"/>
        <v/>
      </c>
      <c r="GP798" s="3336" t="str">
        <f t="shared" si="179"/>
        <v/>
      </c>
      <c r="GQ798" s="3336" t="str">
        <f t="shared" si="180"/>
        <v/>
      </c>
      <c r="GR798" s="3336" t="str">
        <f t="shared" si="181"/>
        <v/>
      </c>
      <c r="GS798" s="3336" t="str">
        <f t="shared" si="182"/>
        <v/>
      </c>
      <c r="GT798" s="3336" t="str">
        <f t="shared" si="183"/>
        <v/>
      </c>
      <c r="GU798" s="3336" t="str">
        <f t="shared" si="184"/>
        <v/>
      </c>
      <c r="GV798" s="3336" t="str">
        <f t="shared" si="185"/>
        <v/>
      </c>
      <c r="GW798" s="3336" t="str">
        <f t="shared" si="186"/>
        <v/>
      </c>
      <c r="GX798" s="3336" t="str">
        <f t="shared" si="187"/>
        <v/>
      </c>
      <c r="GY798" s="3336" t="str">
        <f t="shared" si="188"/>
        <v/>
      </c>
      <c r="GZ798" s="3336" t="str">
        <f t="shared" si="189"/>
        <v/>
      </c>
      <c r="HA798" s="3336" t="str">
        <f t="shared" si="190"/>
        <v/>
      </c>
      <c r="HB798" s="3336" t="str">
        <f t="shared" si="191"/>
        <v/>
      </c>
      <c r="HC798" s="3336" t="str">
        <f t="shared" si="192"/>
        <v/>
      </c>
      <c r="HD798" s="3336" t="str">
        <f t="shared" si="193"/>
        <v/>
      </c>
      <c r="HE798" s="3336" t="str">
        <f t="shared" si="194"/>
        <v/>
      </c>
      <c r="HF798" s="3336" t="str">
        <f t="shared" si="195"/>
        <v/>
      </c>
      <c r="HG798" s="3336" t="str">
        <f t="shared" si="196"/>
        <v/>
      </c>
      <c r="HH798" s="3336" t="str">
        <f t="shared" si="197"/>
        <v/>
      </c>
      <c r="HI798" s="3336" t="str">
        <f t="shared" si="198"/>
        <v/>
      </c>
      <c r="HJ798" s="3336" t="str">
        <f t="shared" si="199"/>
        <v/>
      </c>
      <c r="HK798" s="3336" t="str">
        <f t="shared" si="200"/>
        <v/>
      </c>
      <c r="HL798" s="3336" t="str">
        <f t="shared" si="201"/>
        <v/>
      </c>
      <c r="HM798" s="3336" t="str">
        <f t="shared" si="202"/>
        <v/>
      </c>
      <c r="HN798" s="3336" t="str">
        <f t="shared" si="203"/>
        <v/>
      </c>
      <c r="HO798" s="3336" t="str">
        <f t="shared" si="204"/>
        <v/>
      </c>
      <c r="HP798" s="3336" t="str">
        <f t="shared" si="205"/>
        <v/>
      </c>
      <c r="HQ798" s="3336" t="str">
        <f t="shared" si="206"/>
        <v/>
      </c>
      <c r="HR798" s="3336" t="str">
        <f t="shared" si="207"/>
        <v/>
      </c>
      <c r="HS798" s="3336" t="str">
        <f t="shared" si="208"/>
        <v/>
      </c>
      <c r="HT798" s="3336" t="str">
        <f t="shared" si="209"/>
        <v/>
      </c>
      <c r="HU798" s="3336" t="str">
        <f t="shared" si="210"/>
        <v/>
      </c>
      <c r="HV798" s="3336" t="str">
        <f t="shared" si="211"/>
        <v/>
      </c>
      <c r="HW798" s="3336" t="str">
        <f t="shared" si="212"/>
        <v/>
      </c>
      <c r="HX798" s="3336" t="str">
        <f t="shared" si="213"/>
        <v/>
      </c>
      <c r="HY798" s="3336" t="str">
        <f t="shared" si="214"/>
        <v/>
      </c>
      <c r="HZ798" s="3336" t="str">
        <f t="shared" si="215"/>
        <v/>
      </c>
      <c r="IA798" s="3336" t="str">
        <f t="shared" si="216"/>
        <v/>
      </c>
      <c r="IB798" s="3336" t="str">
        <f t="shared" si="217"/>
        <v/>
      </c>
      <c r="IC798" s="3336" t="str">
        <f t="shared" si="218"/>
        <v/>
      </c>
      <c r="ID798" s="3308" t="str">
        <f t="shared" si="219"/>
        <v/>
      </c>
      <c r="IE798" s="3308" t="str">
        <f t="shared" si="220"/>
        <v/>
      </c>
      <c r="IF798" s="3308" t="str">
        <f t="shared" si="221"/>
        <v/>
      </c>
      <c r="IG798" s="3308" t="str">
        <f t="shared" si="222"/>
        <v/>
      </c>
      <c r="IH798" s="3308" t="str">
        <f t="shared" si="223"/>
        <v/>
      </c>
      <c r="II798" s="523" t="str">
        <f t="shared" si="224"/>
        <v/>
      </c>
      <c r="IJ798" s="523" t="str">
        <f t="shared" si="225"/>
        <v/>
      </c>
      <c r="IK798" s="523" t="str">
        <f t="shared" si="226"/>
        <v/>
      </c>
      <c r="IL798" s="523" t="str">
        <f t="shared" si="227"/>
        <v/>
      </c>
      <c r="IM798" s="523" t="str">
        <f t="shared" si="228"/>
        <v/>
      </c>
      <c r="IN798" s="523" t="str">
        <f t="shared" si="229"/>
        <v/>
      </c>
      <c r="IO798" s="523" t="str">
        <f t="shared" si="230"/>
        <v/>
      </c>
      <c r="IP798" s="523" t="str">
        <f t="shared" si="231"/>
        <v/>
      </c>
      <c r="IQ798" s="523" t="str">
        <f t="shared" si="232"/>
        <v/>
      </c>
      <c r="IR798" s="523" t="str">
        <f t="shared" si="233"/>
        <v/>
      </c>
      <c r="IS798" s="523" t="str">
        <f t="shared" si="234"/>
        <v/>
      </c>
      <c r="IT798" s="523" t="str">
        <f t="shared" si="235"/>
        <v/>
      </c>
      <c r="IU798" s="523" t="str">
        <f t="shared" si="236"/>
        <v/>
      </c>
      <c r="IV798" s="523" t="str">
        <f t="shared" si="237"/>
        <v/>
      </c>
      <c r="IW798" s="523" t="str">
        <f t="shared" si="238"/>
        <v/>
      </c>
      <c r="IX798" s="523" t="str">
        <f t="shared" si="239"/>
        <v/>
      </c>
      <c r="IY798" s="523" t="str">
        <f t="shared" si="240"/>
        <v/>
      </c>
      <c r="IZ798" s="523" t="str">
        <f t="shared" si="241"/>
        <v/>
      </c>
      <c r="JA798" s="523" t="str">
        <f t="shared" si="242"/>
        <v/>
      </c>
      <c r="JB798" s="523" t="str">
        <f t="shared" si="243"/>
        <v/>
      </c>
      <c r="JC798" s="3306">
        <f t="shared" si="244"/>
        <v>0</v>
      </c>
      <c r="JD798" s="3306">
        <f t="shared" si="245"/>
        <v>0</v>
      </c>
      <c r="JE798" s="3306">
        <f t="shared" si="246"/>
        <v>0</v>
      </c>
      <c r="JF798" s="3306">
        <f t="shared" si="247"/>
        <v>0</v>
      </c>
      <c r="JG798" s="3306">
        <f t="shared" si="248"/>
        <v>0</v>
      </c>
      <c r="JH798" s="3306">
        <f t="shared" si="249"/>
        <v>0</v>
      </c>
      <c r="JI798" s="3306">
        <f t="shared" si="250"/>
        <v>0</v>
      </c>
      <c r="JJ798" s="3306">
        <f t="shared" si="251"/>
        <v>0</v>
      </c>
      <c r="JK798" s="3306">
        <f t="shared" si="252"/>
        <v>0</v>
      </c>
      <c r="JL798" s="3306">
        <f t="shared" si="253"/>
        <v>0</v>
      </c>
      <c r="JM798" s="3306">
        <f t="shared" si="254"/>
        <v>0</v>
      </c>
      <c r="JN798" s="3306">
        <f t="shared" si="255"/>
        <v>0</v>
      </c>
      <c r="JO798" s="3306">
        <f t="shared" si="256"/>
        <v>0</v>
      </c>
      <c r="JP798" s="3306">
        <f t="shared" si="257"/>
        <v>0</v>
      </c>
      <c r="JQ798" s="3306">
        <f t="shared" si="258"/>
        <v>0</v>
      </c>
    </row>
    <row r="799" spans="1:277" ht="12" customHeight="1">
      <c r="A799" s="3319" t="str">
        <f t="shared" si="1"/>
        <v/>
      </c>
      <c r="B799" s="3328" t="str">
        <f>'Part VI-Revenues &amp; Expenses'!B42</f>
        <v>&lt;&lt;Select&gt;&gt;</v>
      </c>
      <c r="C799" s="3329">
        <f>'Part VI-Revenues &amp; Expenses'!C42</f>
        <v>0</v>
      </c>
      <c r="D799" s="3330">
        <f>'Part VI-Revenues &amp; Expenses'!D42</f>
        <v>0</v>
      </c>
      <c r="E799" s="3331">
        <f>'Part VI-Revenues &amp; Expenses'!E42</f>
        <v>0</v>
      </c>
      <c r="F799" s="3331">
        <f>'Part VI-Revenues &amp; Expenses'!F42</f>
        <v>0</v>
      </c>
      <c r="G799" s="3331">
        <f>'Part VI-Revenues &amp; Expenses'!G42</f>
        <v>0</v>
      </c>
      <c r="H799" s="3331">
        <f>'Part VI-Revenues &amp; Expenses'!H42</f>
        <v>0</v>
      </c>
      <c r="I799" s="3331">
        <f>'Part VI-Revenues &amp; Expenses'!I42</f>
        <v>0</v>
      </c>
      <c r="J799" s="3332">
        <f>'Part VI-Revenues &amp; Expenses'!J42</f>
        <v>0</v>
      </c>
      <c r="K799" s="3333">
        <f t="shared" si="2"/>
        <v>0</v>
      </c>
      <c r="L799" s="3333">
        <f t="shared" si="3"/>
        <v>0</v>
      </c>
      <c r="M799" s="3207">
        <f>'Part VI-Revenues &amp; Expenses'!M42</f>
        <v>0</v>
      </c>
      <c r="N799" s="3207">
        <f>'Part VI-Revenues &amp; Expenses'!N42</f>
        <v>0</v>
      </c>
      <c r="O799" s="3207">
        <f>'Part VI-Revenues &amp; Expenses'!O42</f>
        <v>0</v>
      </c>
      <c r="P799" s="3313">
        <f>'Part VI-Revenues &amp; Expenses'!P42</f>
        <v>0</v>
      </c>
      <c r="Q799" s="3334" t="str">
        <f>'Part VI-Revenues &amp; Expenses'!Q42</f>
        <v/>
      </c>
      <c r="R799" s="3335" t="str">
        <f>'Part VI-Revenues &amp; Expenses'!R42</f>
        <v/>
      </c>
      <c r="S799" s="3334">
        <f>'Part VI-Revenues &amp; Expenses'!S42</f>
        <v>0</v>
      </c>
      <c r="T799" s="3335">
        <f>'Part VI-Revenues &amp; Expenses'!T42</f>
        <v>0</v>
      </c>
      <c r="U799" s="3257"/>
      <c r="V799" s="3257"/>
      <c r="W799" s="523" t="str">
        <f t="shared" si="4"/>
        <v/>
      </c>
      <c r="X799" s="523" t="str">
        <f t="shared" si="5"/>
        <v/>
      </c>
      <c r="Y799" s="523" t="str">
        <f t="shared" si="6"/>
        <v/>
      </c>
      <c r="Z799" s="523" t="str">
        <f t="shared" si="7"/>
        <v/>
      </c>
      <c r="AA799" s="523" t="str">
        <f t="shared" si="8"/>
        <v/>
      </c>
      <c r="AB799" s="523" t="str">
        <f t="shared" si="9"/>
        <v/>
      </c>
      <c r="AC799" s="523" t="str">
        <f t="shared" si="10"/>
        <v/>
      </c>
      <c r="AD799" s="523" t="str">
        <f t="shared" si="11"/>
        <v/>
      </c>
      <c r="AE799" s="523" t="str">
        <f t="shared" si="12"/>
        <v/>
      </c>
      <c r="AF799" s="523" t="str">
        <f t="shared" si="13"/>
        <v/>
      </c>
      <c r="AG799" s="523" t="str">
        <f t="shared" si="14"/>
        <v/>
      </c>
      <c r="AH799" s="523" t="str">
        <f t="shared" si="15"/>
        <v/>
      </c>
      <c r="AI799" s="523" t="str">
        <f t="shared" si="16"/>
        <v/>
      </c>
      <c r="AJ799" s="523" t="str">
        <f t="shared" si="17"/>
        <v/>
      </c>
      <c r="AK799" s="523" t="str">
        <f t="shared" si="18"/>
        <v/>
      </c>
      <c r="AL799" s="523" t="str">
        <f t="shared" si="19"/>
        <v/>
      </c>
      <c r="AM799" s="523" t="str">
        <f t="shared" si="20"/>
        <v/>
      </c>
      <c r="AN799" s="523" t="str">
        <f t="shared" si="21"/>
        <v/>
      </c>
      <c r="AO799" s="523" t="str">
        <f t="shared" si="22"/>
        <v/>
      </c>
      <c r="AP799" s="523" t="str">
        <f t="shared" si="23"/>
        <v/>
      </c>
      <c r="AQ799" s="523" t="str">
        <f t="shared" si="24"/>
        <v/>
      </c>
      <c r="AR799" s="523" t="str">
        <f t="shared" si="25"/>
        <v/>
      </c>
      <c r="AS799" s="523" t="str">
        <f t="shared" si="26"/>
        <v/>
      </c>
      <c r="AT799" s="523" t="str">
        <f t="shared" si="27"/>
        <v/>
      </c>
      <c r="AU799" s="523" t="str">
        <f t="shared" si="28"/>
        <v/>
      </c>
      <c r="AV799" s="523" t="str">
        <f t="shared" si="29"/>
        <v/>
      </c>
      <c r="AW799" s="523" t="str">
        <f t="shared" si="30"/>
        <v/>
      </c>
      <c r="AX799" s="523" t="str">
        <f t="shared" si="31"/>
        <v/>
      </c>
      <c r="AY799" s="523" t="str">
        <f t="shared" si="32"/>
        <v/>
      </c>
      <c r="AZ799" s="523" t="str">
        <f t="shared" si="33"/>
        <v/>
      </c>
      <c r="BA799" s="523" t="str">
        <f t="shared" si="34"/>
        <v/>
      </c>
      <c r="BB799" s="523" t="str">
        <f t="shared" si="35"/>
        <v/>
      </c>
      <c r="BC799" s="523" t="str">
        <f t="shared" si="36"/>
        <v/>
      </c>
      <c r="BD799" s="523" t="str">
        <f t="shared" si="37"/>
        <v/>
      </c>
      <c r="BE799" s="523" t="str">
        <f t="shared" si="38"/>
        <v/>
      </c>
      <c r="BF799" s="523" t="str">
        <f t="shared" si="39"/>
        <v/>
      </c>
      <c r="BG799" s="523" t="str">
        <f t="shared" si="40"/>
        <v/>
      </c>
      <c r="BH799" s="523" t="str">
        <f t="shared" si="41"/>
        <v/>
      </c>
      <c r="BI799" s="523" t="str">
        <f t="shared" si="42"/>
        <v/>
      </c>
      <c r="BJ799" s="523" t="str">
        <f t="shared" si="43"/>
        <v/>
      </c>
      <c r="BK799" s="523" t="str">
        <f t="shared" si="44"/>
        <v/>
      </c>
      <c r="BL799" s="523" t="str">
        <f t="shared" si="45"/>
        <v/>
      </c>
      <c r="BM799" s="523" t="str">
        <f t="shared" si="46"/>
        <v/>
      </c>
      <c r="BN799" s="523" t="str">
        <f t="shared" si="47"/>
        <v/>
      </c>
      <c r="BO799" s="523" t="str">
        <f t="shared" si="48"/>
        <v/>
      </c>
      <c r="BP799" s="523" t="str">
        <f t="shared" si="49"/>
        <v/>
      </c>
      <c r="BQ799" s="523" t="str">
        <f t="shared" si="50"/>
        <v/>
      </c>
      <c r="BR799" s="523" t="str">
        <f t="shared" si="51"/>
        <v/>
      </c>
      <c r="BS799" s="523" t="str">
        <f t="shared" si="52"/>
        <v/>
      </c>
      <c r="BT799" s="523" t="str">
        <f t="shared" si="53"/>
        <v/>
      </c>
      <c r="BU799" s="523" t="str">
        <f t="shared" si="54"/>
        <v/>
      </c>
      <c r="BV799" s="523" t="str">
        <f t="shared" si="55"/>
        <v/>
      </c>
      <c r="BW799" s="523" t="str">
        <f t="shared" si="56"/>
        <v/>
      </c>
      <c r="BX799" s="523" t="str">
        <f t="shared" si="57"/>
        <v/>
      </c>
      <c r="BY799" s="523" t="str">
        <f t="shared" si="58"/>
        <v/>
      </c>
      <c r="BZ799" s="523" t="str">
        <f t="shared" si="59"/>
        <v/>
      </c>
      <c r="CA799" s="523" t="str">
        <f t="shared" si="60"/>
        <v/>
      </c>
      <c r="CB799" s="523" t="str">
        <f t="shared" si="61"/>
        <v/>
      </c>
      <c r="CC799" s="523" t="str">
        <f t="shared" si="62"/>
        <v/>
      </c>
      <c r="CD799" s="523" t="str">
        <f t="shared" si="63"/>
        <v/>
      </c>
      <c r="CE799" s="523" t="str">
        <f t="shared" si="64"/>
        <v/>
      </c>
      <c r="CF799" s="523" t="str">
        <f t="shared" si="65"/>
        <v/>
      </c>
      <c r="CG799" s="523" t="str">
        <f t="shared" si="66"/>
        <v/>
      </c>
      <c r="CH799" s="523" t="str">
        <f t="shared" si="67"/>
        <v/>
      </c>
      <c r="CI799" s="523" t="str">
        <f t="shared" si="68"/>
        <v/>
      </c>
      <c r="CJ799" s="523" t="str">
        <f t="shared" si="69"/>
        <v/>
      </c>
      <c r="CK799" s="523" t="str">
        <f t="shared" si="70"/>
        <v/>
      </c>
      <c r="CL799" s="523" t="str">
        <f t="shared" si="71"/>
        <v/>
      </c>
      <c r="CM799" s="523" t="str">
        <f t="shared" si="72"/>
        <v/>
      </c>
      <c r="CN799" s="523" t="str">
        <f t="shared" si="73"/>
        <v/>
      </c>
      <c r="CO799" s="523" t="str">
        <f t="shared" si="74"/>
        <v/>
      </c>
      <c r="CP799" s="523" t="str">
        <f t="shared" si="75"/>
        <v/>
      </c>
      <c r="CQ799" s="523" t="str">
        <f t="shared" si="76"/>
        <v/>
      </c>
      <c r="CR799" s="523" t="str">
        <f t="shared" si="77"/>
        <v/>
      </c>
      <c r="CS799" s="523" t="str">
        <f t="shared" si="78"/>
        <v/>
      </c>
      <c r="CT799" s="523" t="str">
        <f t="shared" si="79"/>
        <v/>
      </c>
      <c r="CU799" s="523" t="str">
        <f t="shared" si="80"/>
        <v/>
      </c>
      <c r="CV799" s="523" t="str">
        <f t="shared" si="81"/>
        <v/>
      </c>
      <c r="CW799" s="523" t="str">
        <f t="shared" si="82"/>
        <v/>
      </c>
      <c r="CX799" s="523" t="str">
        <f t="shared" si="83"/>
        <v/>
      </c>
      <c r="CY799" s="523" t="str">
        <f t="shared" si="84"/>
        <v/>
      </c>
      <c r="CZ799" s="523" t="str">
        <f t="shared" si="85"/>
        <v/>
      </c>
      <c r="DA799" s="523" t="str">
        <f t="shared" si="86"/>
        <v/>
      </c>
      <c r="DB799" s="523" t="str">
        <f t="shared" si="87"/>
        <v/>
      </c>
      <c r="DC799" s="523" t="str">
        <f t="shared" si="88"/>
        <v/>
      </c>
      <c r="DD799" s="523" t="str">
        <f t="shared" si="89"/>
        <v/>
      </c>
      <c r="DE799" s="523" t="str">
        <f t="shared" si="90"/>
        <v/>
      </c>
      <c r="DF799" s="523" t="str">
        <f t="shared" si="91"/>
        <v/>
      </c>
      <c r="DG799" s="523" t="str">
        <f t="shared" si="92"/>
        <v/>
      </c>
      <c r="DH799" s="523" t="str">
        <f t="shared" si="93"/>
        <v/>
      </c>
      <c r="DI799" s="523" t="str">
        <f t="shared" si="94"/>
        <v/>
      </c>
      <c r="DJ799" s="523" t="str">
        <f t="shared" si="95"/>
        <v/>
      </c>
      <c r="DK799" s="523" t="str">
        <f t="shared" si="96"/>
        <v/>
      </c>
      <c r="DL799" s="523" t="str">
        <f t="shared" si="97"/>
        <v/>
      </c>
      <c r="DM799" s="523" t="str">
        <f t="shared" si="98"/>
        <v/>
      </c>
      <c r="DN799" s="523" t="str">
        <f t="shared" si="99"/>
        <v/>
      </c>
      <c r="DO799" s="523" t="str">
        <f t="shared" si="100"/>
        <v/>
      </c>
      <c r="DP799" s="523" t="str">
        <f t="shared" si="101"/>
        <v/>
      </c>
      <c r="DQ799" s="523" t="str">
        <f t="shared" si="102"/>
        <v/>
      </c>
      <c r="DR799" s="523" t="str">
        <f t="shared" si="103"/>
        <v/>
      </c>
      <c r="DS799" s="523" t="str">
        <f t="shared" si="104"/>
        <v/>
      </c>
      <c r="DT799" s="523" t="str">
        <f t="shared" si="105"/>
        <v/>
      </c>
      <c r="DU799" s="523" t="str">
        <f t="shared" si="106"/>
        <v/>
      </c>
      <c r="DV799" s="523" t="str">
        <f t="shared" si="107"/>
        <v/>
      </c>
      <c r="DW799" s="523" t="str">
        <f t="shared" si="108"/>
        <v/>
      </c>
      <c r="DX799" s="523" t="str">
        <f t="shared" si="109"/>
        <v/>
      </c>
      <c r="DY799" s="523" t="str">
        <f t="shared" si="110"/>
        <v/>
      </c>
      <c r="DZ799" s="523" t="str">
        <f t="shared" si="111"/>
        <v/>
      </c>
      <c r="EA799" s="523" t="str">
        <f t="shared" si="112"/>
        <v/>
      </c>
      <c r="EB799" s="523" t="str">
        <f t="shared" si="113"/>
        <v/>
      </c>
      <c r="EC799" s="523" t="str">
        <f t="shared" si="114"/>
        <v/>
      </c>
      <c r="ED799" s="523" t="str">
        <f t="shared" si="115"/>
        <v/>
      </c>
      <c r="EE799" s="523" t="str">
        <f t="shared" si="116"/>
        <v/>
      </c>
      <c r="EF799" s="523" t="str">
        <f t="shared" si="117"/>
        <v/>
      </c>
      <c r="EG799" s="523" t="str">
        <f t="shared" si="118"/>
        <v/>
      </c>
      <c r="EH799" s="523" t="str">
        <f t="shared" si="119"/>
        <v/>
      </c>
      <c r="EI799" s="523" t="str">
        <f t="shared" si="120"/>
        <v/>
      </c>
      <c r="EJ799" s="523" t="str">
        <f t="shared" si="121"/>
        <v/>
      </c>
      <c r="EK799" s="523" t="str">
        <f t="shared" si="122"/>
        <v/>
      </c>
      <c r="EL799" s="523" t="str">
        <f t="shared" si="123"/>
        <v/>
      </c>
      <c r="EM799" s="523" t="str">
        <f t="shared" si="124"/>
        <v/>
      </c>
      <c r="EN799" s="523" t="str">
        <f t="shared" si="125"/>
        <v/>
      </c>
      <c r="EO799" s="523" t="str">
        <f t="shared" si="126"/>
        <v/>
      </c>
      <c r="EP799" s="523" t="str">
        <f t="shared" si="127"/>
        <v/>
      </c>
      <c r="EQ799" s="523" t="str">
        <f t="shared" si="128"/>
        <v/>
      </c>
      <c r="ER799" s="523" t="str">
        <f t="shared" si="129"/>
        <v/>
      </c>
      <c r="ES799" s="523" t="str">
        <f t="shared" si="130"/>
        <v/>
      </c>
      <c r="ET799" s="523" t="str">
        <f t="shared" si="131"/>
        <v/>
      </c>
      <c r="EU799" s="523" t="str">
        <f t="shared" si="132"/>
        <v/>
      </c>
      <c r="EV799" s="523" t="str">
        <f t="shared" si="133"/>
        <v/>
      </c>
      <c r="EW799" s="3336" t="str">
        <f t="shared" si="134"/>
        <v/>
      </c>
      <c r="EX799" s="3336" t="str">
        <f t="shared" si="135"/>
        <v/>
      </c>
      <c r="EY799" s="3336" t="str">
        <f t="shared" si="136"/>
        <v/>
      </c>
      <c r="EZ799" s="3336" t="str">
        <f t="shared" si="137"/>
        <v/>
      </c>
      <c r="FA799" s="3336" t="str">
        <f t="shared" si="138"/>
        <v/>
      </c>
      <c r="FB799" s="3336" t="str">
        <f t="shared" si="139"/>
        <v/>
      </c>
      <c r="FC799" s="3336" t="str">
        <f t="shared" si="140"/>
        <v/>
      </c>
      <c r="FD799" s="3336" t="str">
        <f t="shared" si="141"/>
        <v/>
      </c>
      <c r="FE799" s="3336" t="str">
        <f t="shared" si="142"/>
        <v/>
      </c>
      <c r="FF799" s="3336" t="str">
        <f t="shared" si="143"/>
        <v/>
      </c>
      <c r="FG799" s="3336" t="str">
        <f t="shared" si="144"/>
        <v/>
      </c>
      <c r="FH799" s="3336" t="str">
        <f t="shared" si="145"/>
        <v/>
      </c>
      <c r="FI799" s="3336" t="str">
        <f t="shared" si="146"/>
        <v/>
      </c>
      <c r="FJ799" s="3336" t="str">
        <f t="shared" si="147"/>
        <v/>
      </c>
      <c r="FK799" s="3336" t="str">
        <f t="shared" si="148"/>
        <v/>
      </c>
      <c r="FL799" s="3336" t="str">
        <f t="shared" si="149"/>
        <v/>
      </c>
      <c r="FM799" s="3336" t="str">
        <f t="shared" si="150"/>
        <v/>
      </c>
      <c r="FN799" s="3336" t="str">
        <f t="shared" si="151"/>
        <v/>
      </c>
      <c r="FO799" s="3336" t="str">
        <f t="shared" si="152"/>
        <v/>
      </c>
      <c r="FP799" s="3336" t="str">
        <f t="shared" si="153"/>
        <v/>
      </c>
      <c r="FQ799" s="3336" t="str">
        <f t="shared" si="154"/>
        <v/>
      </c>
      <c r="FR799" s="3336" t="str">
        <f t="shared" si="155"/>
        <v/>
      </c>
      <c r="FS799" s="3336" t="str">
        <f t="shared" si="156"/>
        <v/>
      </c>
      <c r="FT799" s="3336" t="str">
        <f t="shared" si="157"/>
        <v/>
      </c>
      <c r="FU799" s="3336" t="str">
        <f t="shared" si="158"/>
        <v/>
      </c>
      <c r="FV799" s="3336" t="str">
        <f t="shared" si="159"/>
        <v/>
      </c>
      <c r="FW799" s="3336" t="str">
        <f t="shared" si="160"/>
        <v/>
      </c>
      <c r="FX799" s="3336" t="str">
        <f t="shared" si="161"/>
        <v/>
      </c>
      <c r="FY799" s="3336" t="str">
        <f t="shared" si="162"/>
        <v/>
      </c>
      <c r="FZ799" s="3336" t="str">
        <f t="shared" si="163"/>
        <v/>
      </c>
      <c r="GA799" s="3336" t="str">
        <f t="shared" si="164"/>
        <v/>
      </c>
      <c r="GB799" s="3336" t="str">
        <f t="shared" si="165"/>
        <v/>
      </c>
      <c r="GC799" s="3336" t="str">
        <f t="shared" si="166"/>
        <v/>
      </c>
      <c r="GD799" s="3336" t="str">
        <f t="shared" si="167"/>
        <v/>
      </c>
      <c r="GE799" s="3336" t="str">
        <f t="shared" si="168"/>
        <v/>
      </c>
      <c r="GF799" s="3336" t="str">
        <f t="shared" si="169"/>
        <v/>
      </c>
      <c r="GG799" s="3336" t="str">
        <f t="shared" si="170"/>
        <v/>
      </c>
      <c r="GH799" s="3336" t="str">
        <f t="shared" si="171"/>
        <v/>
      </c>
      <c r="GI799" s="3336" t="str">
        <f t="shared" si="172"/>
        <v/>
      </c>
      <c r="GJ799" s="3336" t="str">
        <f t="shared" si="173"/>
        <v/>
      </c>
      <c r="GK799" s="3336" t="str">
        <f t="shared" si="174"/>
        <v/>
      </c>
      <c r="GL799" s="3336" t="str">
        <f t="shared" si="175"/>
        <v/>
      </c>
      <c r="GM799" s="3336" t="str">
        <f t="shared" si="176"/>
        <v/>
      </c>
      <c r="GN799" s="3336" t="str">
        <f t="shared" si="177"/>
        <v/>
      </c>
      <c r="GO799" s="3336" t="str">
        <f t="shared" si="178"/>
        <v/>
      </c>
      <c r="GP799" s="3336" t="str">
        <f t="shared" si="179"/>
        <v/>
      </c>
      <c r="GQ799" s="3336" t="str">
        <f t="shared" si="180"/>
        <v/>
      </c>
      <c r="GR799" s="3336" t="str">
        <f t="shared" si="181"/>
        <v/>
      </c>
      <c r="GS799" s="3336" t="str">
        <f t="shared" si="182"/>
        <v/>
      </c>
      <c r="GT799" s="3336" t="str">
        <f t="shared" si="183"/>
        <v/>
      </c>
      <c r="GU799" s="3336" t="str">
        <f t="shared" si="184"/>
        <v/>
      </c>
      <c r="GV799" s="3336" t="str">
        <f t="shared" si="185"/>
        <v/>
      </c>
      <c r="GW799" s="3336" t="str">
        <f t="shared" si="186"/>
        <v/>
      </c>
      <c r="GX799" s="3336" t="str">
        <f t="shared" si="187"/>
        <v/>
      </c>
      <c r="GY799" s="3336" t="str">
        <f t="shared" si="188"/>
        <v/>
      </c>
      <c r="GZ799" s="3336" t="str">
        <f t="shared" si="189"/>
        <v/>
      </c>
      <c r="HA799" s="3336" t="str">
        <f t="shared" si="190"/>
        <v/>
      </c>
      <c r="HB799" s="3336" t="str">
        <f t="shared" si="191"/>
        <v/>
      </c>
      <c r="HC799" s="3336" t="str">
        <f t="shared" si="192"/>
        <v/>
      </c>
      <c r="HD799" s="3336" t="str">
        <f t="shared" si="193"/>
        <v/>
      </c>
      <c r="HE799" s="3336" t="str">
        <f t="shared" si="194"/>
        <v/>
      </c>
      <c r="HF799" s="3336" t="str">
        <f t="shared" si="195"/>
        <v/>
      </c>
      <c r="HG799" s="3336" t="str">
        <f t="shared" si="196"/>
        <v/>
      </c>
      <c r="HH799" s="3336" t="str">
        <f t="shared" si="197"/>
        <v/>
      </c>
      <c r="HI799" s="3336" t="str">
        <f t="shared" si="198"/>
        <v/>
      </c>
      <c r="HJ799" s="3336" t="str">
        <f t="shared" si="199"/>
        <v/>
      </c>
      <c r="HK799" s="3336" t="str">
        <f t="shared" si="200"/>
        <v/>
      </c>
      <c r="HL799" s="3336" t="str">
        <f t="shared" si="201"/>
        <v/>
      </c>
      <c r="HM799" s="3336" t="str">
        <f t="shared" si="202"/>
        <v/>
      </c>
      <c r="HN799" s="3336" t="str">
        <f t="shared" si="203"/>
        <v/>
      </c>
      <c r="HO799" s="3336" t="str">
        <f t="shared" si="204"/>
        <v/>
      </c>
      <c r="HP799" s="3336" t="str">
        <f t="shared" si="205"/>
        <v/>
      </c>
      <c r="HQ799" s="3336" t="str">
        <f t="shared" si="206"/>
        <v/>
      </c>
      <c r="HR799" s="3336" t="str">
        <f t="shared" si="207"/>
        <v/>
      </c>
      <c r="HS799" s="3336" t="str">
        <f t="shared" si="208"/>
        <v/>
      </c>
      <c r="HT799" s="3336" t="str">
        <f t="shared" si="209"/>
        <v/>
      </c>
      <c r="HU799" s="3336" t="str">
        <f t="shared" si="210"/>
        <v/>
      </c>
      <c r="HV799" s="3336" t="str">
        <f t="shared" si="211"/>
        <v/>
      </c>
      <c r="HW799" s="3336" t="str">
        <f t="shared" si="212"/>
        <v/>
      </c>
      <c r="HX799" s="3336" t="str">
        <f t="shared" si="213"/>
        <v/>
      </c>
      <c r="HY799" s="3336" t="str">
        <f t="shared" si="214"/>
        <v/>
      </c>
      <c r="HZ799" s="3336" t="str">
        <f t="shared" si="215"/>
        <v/>
      </c>
      <c r="IA799" s="3336" t="str">
        <f t="shared" si="216"/>
        <v/>
      </c>
      <c r="IB799" s="3336" t="str">
        <f t="shared" si="217"/>
        <v/>
      </c>
      <c r="IC799" s="3336" t="str">
        <f t="shared" si="218"/>
        <v/>
      </c>
      <c r="ID799" s="3308" t="str">
        <f t="shared" si="219"/>
        <v/>
      </c>
      <c r="IE799" s="3308" t="str">
        <f t="shared" si="220"/>
        <v/>
      </c>
      <c r="IF799" s="3308" t="str">
        <f t="shared" si="221"/>
        <v/>
      </c>
      <c r="IG799" s="3308" t="str">
        <f t="shared" si="222"/>
        <v/>
      </c>
      <c r="IH799" s="3308" t="str">
        <f t="shared" si="223"/>
        <v/>
      </c>
      <c r="II799" s="523" t="str">
        <f t="shared" si="224"/>
        <v/>
      </c>
      <c r="IJ799" s="523" t="str">
        <f t="shared" si="225"/>
        <v/>
      </c>
      <c r="IK799" s="523" t="str">
        <f t="shared" si="226"/>
        <v/>
      </c>
      <c r="IL799" s="523" t="str">
        <f t="shared" si="227"/>
        <v/>
      </c>
      <c r="IM799" s="523" t="str">
        <f t="shared" si="228"/>
        <v/>
      </c>
      <c r="IN799" s="523" t="str">
        <f t="shared" si="229"/>
        <v/>
      </c>
      <c r="IO799" s="523" t="str">
        <f t="shared" si="230"/>
        <v/>
      </c>
      <c r="IP799" s="523" t="str">
        <f t="shared" si="231"/>
        <v/>
      </c>
      <c r="IQ799" s="523" t="str">
        <f t="shared" si="232"/>
        <v/>
      </c>
      <c r="IR799" s="523" t="str">
        <f t="shared" si="233"/>
        <v/>
      </c>
      <c r="IS799" s="523" t="str">
        <f t="shared" si="234"/>
        <v/>
      </c>
      <c r="IT799" s="523" t="str">
        <f t="shared" si="235"/>
        <v/>
      </c>
      <c r="IU799" s="523" t="str">
        <f t="shared" si="236"/>
        <v/>
      </c>
      <c r="IV799" s="523" t="str">
        <f t="shared" si="237"/>
        <v/>
      </c>
      <c r="IW799" s="523" t="str">
        <f t="shared" si="238"/>
        <v/>
      </c>
      <c r="IX799" s="523" t="str">
        <f t="shared" si="239"/>
        <v/>
      </c>
      <c r="IY799" s="523" t="str">
        <f t="shared" si="240"/>
        <v/>
      </c>
      <c r="IZ799" s="523" t="str">
        <f t="shared" si="241"/>
        <v/>
      </c>
      <c r="JA799" s="523" t="str">
        <f t="shared" si="242"/>
        <v/>
      </c>
      <c r="JB799" s="523" t="str">
        <f t="shared" si="243"/>
        <v/>
      </c>
      <c r="JC799" s="3306">
        <f t="shared" si="244"/>
        <v>0</v>
      </c>
      <c r="JD799" s="3306">
        <f t="shared" si="245"/>
        <v>0</v>
      </c>
      <c r="JE799" s="3306">
        <f t="shared" si="246"/>
        <v>0</v>
      </c>
      <c r="JF799" s="3306">
        <f t="shared" si="247"/>
        <v>0</v>
      </c>
      <c r="JG799" s="3306">
        <f t="shared" si="248"/>
        <v>0</v>
      </c>
      <c r="JH799" s="3306">
        <f t="shared" si="249"/>
        <v>0</v>
      </c>
      <c r="JI799" s="3306">
        <f t="shared" si="250"/>
        <v>0</v>
      </c>
      <c r="JJ799" s="3306">
        <f t="shared" si="251"/>
        <v>0</v>
      </c>
      <c r="JK799" s="3306">
        <f t="shared" si="252"/>
        <v>0</v>
      </c>
      <c r="JL799" s="3306">
        <f t="shared" si="253"/>
        <v>0</v>
      </c>
      <c r="JM799" s="3306">
        <f t="shared" si="254"/>
        <v>0</v>
      </c>
      <c r="JN799" s="3306">
        <f t="shared" si="255"/>
        <v>0</v>
      </c>
      <c r="JO799" s="3306">
        <f t="shared" si="256"/>
        <v>0</v>
      </c>
      <c r="JP799" s="3306">
        <f t="shared" si="257"/>
        <v>0</v>
      </c>
      <c r="JQ799" s="3306">
        <f t="shared" si="258"/>
        <v>0</v>
      </c>
    </row>
    <row r="800" spans="1:277" ht="12" customHeight="1">
      <c r="A800" s="3319" t="str">
        <f t="shared" si="1"/>
        <v/>
      </c>
      <c r="B800" s="3328" t="str">
        <f>'Part VI-Revenues &amp; Expenses'!B43</f>
        <v>&lt;&lt;Select&gt;&gt;</v>
      </c>
      <c r="C800" s="3329">
        <f>'Part VI-Revenues &amp; Expenses'!C43</f>
        <v>0</v>
      </c>
      <c r="D800" s="3330">
        <f>'Part VI-Revenues &amp; Expenses'!D43</f>
        <v>0</v>
      </c>
      <c r="E800" s="3331">
        <f>'Part VI-Revenues &amp; Expenses'!E43</f>
        <v>0</v>
      </c>
      <c r="F800" s="3331">
        <f>'Part VI-Revenues &amp; Expenses'!F43</f>
        <v>0</v>
      </c>
      <c r="G800" s="3331">
        <f>'Part VI-Revenues &amp; Expenses'!G43</f>
        <v>0</v>
      </c>
      <c r="H800" s="3331">
        <f>'Part VI-Revenues &amp; Expenses'!H43</f>
        <v>0</v>
      </c>
      <c r="I800" s="3331">
        <f>'Part VI-Revenues &amp; Expenses'!I43</f>
        <v>0</v>
      </c>
      <c r="J800" s="3332">
        <f>'Part VI-Revenues &amp; Expenses'!J43</f>
        <v>0</v>
      </c>
      <c r="K800" s="3333">
        <f t="shared" si="2"/>
        <v>0</v>
      </c>
      <c r="L800" s="3333">
        <f t="shared" si="3"/>
        <v>0</v>
      </c>
      <c r="M800" s="3207">
        <f>'Part VI-Revenues &amp; Expenses'!M43</f>
        <v>0</v>
      </c>
      <c r="N800" s="3207">
        <f>'Part VI-Revenues &amp; Expenses'!N43</f>
        <v>0</v>
      </c>
      <c r="O800" s="3207">
        <f>'Part VI-Revenues &amp; Expenses'!O43</f>
        <v>0</v>
      </c>
      <c r="P800" s="3313">
        <f>'Part VI-Revenues &amp; Expenses'!P43</f>
        <v>0</v>
      </c>
      <c r="Q800" s="3334" t="str">
        <f>'Part VI-Revenues &amp; Expenses'!Q43</f>
        <v/>
      </c>
      <c r="R800" s="3335" t="str">
        <f>'Part VI-Revenues &amp; Expenses'!R43</f>
        <v/>
      </c>
      <c r="S800" s="3334">
        <f>'Part VI-Revenues &amp; Expenses'!S43</f>
        <v>0</v>
      </c>
      <c r="T800" s="3335">
        <f>'Part VI-Revenues &amp; Expenses'!T43</f>
        <v>0</v>
      </c>
      <c r="U800" s="3257"/>
      <c r="V800" s="3257"/>
      <c r="W800" s="523" t="str">
        <f t="shared" si="4"/>
        <v/>
      </c>
      <c r="X800" s="523" t="str">
        <f t="shared" si="5"/>
        <v/>
      </c>
      <c r="Y800" s="523" t="str">
        <f t="shared" si="6"/>
        <v/>
      </c>
      <c r="Z800" s="523" t="str">
        <f t="shared" si="7"/>
        <v/>
      </c>
      <c r="AA800" s="523" t="str">
        <f t="shared" si="8"/>
        <v/>
      </c>
      <c r="AB800" s="523" t="str">
        <f t="shared" si="9"/>
        <v/>
      </c>
      <c r="AC800" s="523" t="str">
        <f t="shared" si="10"/>
        <v/>
      </c>
      <c r="AD800" s="523" t="str">
        <f t="shared" si="11"/>
        <v/>
      </c>
      <c r="AE800" s="523" t="str">
        <f t="shared" si="12"/>
        <v/>
      </c>
      <c r="AF800" s="523" t="str">
        <f t="shared" si="13"/>
        <v/>
      </c>
      <c r="AG800" s="523" t="str">
        <f t="shared" si="14"/>
        <v/>
      </c>
      <c r="AH800" s="523" t="str">
        <f t="shared" si="15"/>
        <v/>
      </c>
      <c r="AI800" s="523" t="str">
        <f t="shared" si="16"/>
        <v/>
      </c>
      <c r="AJ800" s="523" t="str">
        <f t="shared" si="17"/>
        <v/>
      </c>
      <c r="AK800" s="523" t="str">
        <f t="shared" si="18"/>
        <v/>
      </c>
      <c r="AL800" s="523" t="str">
        <f t="shared" si="19"/>
        <v/>
      </c>
      <c r="AM800" s="523" t="str">
        <f t="shared" si="20"/>
        <v/>
      </c>
      <c r="AN800" s="523" t="str">
        <f t="shared" si="21"/>
        <v/>
      </c>
      <c r="AO800" s="523" t="str">
        <f t="shared" si="22"/>
        <v/>
      </c>
      <c r="AP800" s="523" t="str">
        <f t="shared" si="23"/>
        <v/>
      </c>
      <c r="AQ800" s="523" t="str">
        <f t="shared" si="24"/>
        <v/>
      </c>
      <c r="AR800" s="523" t="str">
        <f t="shared" si="25"/>
        <v/>
      </c>
      <c r="AS800" s="523" t="str">
        <f t="shared" si="26"/>
        <v/>
      </c>
      <c r="AT800" s="523" t="str">
        <f t="shared" si="27"/>
        <v/>
      </c>
      <c r="AU800" s="523" t="str">
        <f t="shared" si="28"/>
        <v/>
      </c>
      <c r="AV800" s="523" t="str">
        <f t="shared" si="29"/>
        <v/>
      </c>
      <c r="AW800" s="523" t="str">
        <f t="shared" si="30"/>
        <v/>
      </c>
      <c r="AX800" s="523" t="str">
        <f t="shared" si="31"/>
        <v/>
      </c>
      <c r="AY800" s="523" t="str">
        <f t="shared" si="32"/>
        <v/>
      </c>
      <c r="AZ800" s="523" t="str">
        <f t="shared" si="33"/>
        <v/>
      </c>
      <c r="BA800" s="523" t="str">
        <f t="shared" si="34"/>
        <v/>
      </c>
      <c r="BB800" s="523" t="str">
        <f t="shared" si="35"/>
        <v/>
      </c>
      <c r="BC800" s="523" t="str">
        <f t="shared" si="36"/>
        <v/>
      </c>
      <c r="BD800" s="523" t="str">
        <f t="shared" si="37"/>
        <v/>
      </c>
      <c r="BE800" s="523" t="str">
        <f t="shared" si="38"/>
        <v/>
      </c>
      <c r="BF800" s="523" t="str">
        <f t="shared" si="39"/>
        <v/>
      </c>
      <c r="BG800" s="523" t="str">
        <f t="shared" si="40"/>
        <v/>
      </c>
      <c r="BH800" s="523" t="str">
        <f t="shared" si="41"/>
        <v/>
      </c>
      <c r="BI800" s="523" t="str">
        <f t="shared" si="42"/>
        <v/>
      </c>
      <c r="BJ800" s="523" t="str">
        <f t="shared" si="43"/>
        <v/>
      </c>
      <c r="BK800" s="523" t="str">
        <f t="shared" si="44"/>
        <v/>
      </c>
      <c r="BL800" s="523" t="str">
        <f t="shared" si="45"/>
        <v/>
      </c>
      <c r="BM800" s="523" t="str">
        <f t="shared" si="46"/>
        <v/>
      </c>
      <c r="BN800" s="523" t="str">
        <f t="shared" si="47"/>
        <v/>
      </c>
      <c r="BO800" s="523" t="str">
        <f t="shared" si="48"/>
        <v/>
      </c>
      <c r="BP800" s="523" t="str">
        <f t="shared" si="49"/>
        <v/>
      </c>
      <c r="BQ800" s="523" t="str">
        <f t="shared" si="50"/>
        <v/>
      </c>
      <c r="BR800" s="523" t="str">
        <f t="shared" si="51"/>
        <v/>
      </c>
      <c r="BS800" s="523" t="str">
        <f t="shared" si="52"/>
        <v/>
      </c>
      <c r="BT800" s="523" t="str">
        <f t="shared" si="53"/>
        <v/>
      </c>
      <c r="BU800" s="523" t="str">
        <f t="shared" si="54"/>
        <v/>
      </c>
      <c r="BV800" s="523" t="str">
        <f t="shared" si="55"/>
        <v/>
      </c>
      <c r="BW800" s="523" t="str">
        <f t="shared" si="56"/>
        <v/>
      </c>
      <c r="BX800" s="523" t="str">
        <f t="shared" si="57"/>
        <v/>
      </c>
      <c r="BY800" s="523" t="str">
        <f t="shared" si="58"/>
        <v/>
      </c>
      <c r="BZ800" s="523" t="str">
        <f t="shared" si="59"/>
        <v/>
      </c>
      <c r="CA800" s="523" t="str">
        <f t="shared" si="60"/>
        <v/>
      </c>
      <c r="CB800" s="523" t="str">
        <f t="shared" si="61"/>
        <v/>
      </c>
      <c r="CC800" s="523" t="str">
        <f t="shared" si="62"/>
        <v/>
      </c>
      <c r="CD800" s="523" t="str">
        <f t="shared" si="63"/>
        <v/>
      </c>
      <c r="CE800" s="523" t="str">
        <f t="shared" si="64"/>
        <v/>
      </c>
      <c r="CF800" s="523" t="str">
        <f t="shared" si="65"/>
        <v/>
      </c>
      <c r="CG800" s="523" t="str">
        <f t="shared" si="66"/>
        <v/>
      </c>
      <c r="CH800" s="523" t="str">
        <f t="shared" si="67"/>
        <v/>
      </c>
      <c r="CI800" s="523" t="str">
        <f t="shared" si="68"/>
        <v/>
      </c>
      <c r="CJ800" s="523" t="str">
        <f t="shared" si="69"/>
        <v/>
      </c>
      <c r="CK800" s="523" t="str">
        <f t="shared" si="70"/>
        <v/>
      </c>
      <c r="CL800" s="523" t="str">
        <f t="shared" si="71"/>
        <v/>
      </c>
      <c r="CM800" s="523" t="str">
        <f t="shared" si="72"/>
        <v/>
      </c>
      <c r="CN800" s="523" t="str">
        <f t="shared" si="73"/>
        <v/>
      </c>
      <c r="CO800" s="523" t="str">
        <f t="shared" si="74"/>
        <v/>
      </c>
      <c r="CP800" s="523" t="str">
        <f t="shared" si="75"/>
        <v/>
      </c>
      <c r="CQ800" s="523" t="str">
        <f t="shared" si="76"/>
        <v/>
      </c>
      <c r="CR800" s="523" t="str">
        <f t="shared" si="77"/>
        <v/>
      </c>
      <c r="CS800" s="523" t="str">
        <f t="shared" si="78"/>
        <v/>
      </c>
      <c r="CT800" s="523" t="str">
        <f t="shared" si="79"/>
        <v/>
      </c>
      <c r="CU800" s="523" t="str">
        <f t="shared" si="80"/>
        <v/>
      </c>
      <c r="CV800" s="523" t="str">
        <f t="shared" si="81"/>
        <v/>
      </c>
      <c r="CW800" s="523" t="str">
        <f t="shared" si="82"/>
        <v/>
      </c>
      <c r="CX800" s="523" t="str">
        <f t="shared" si="83"/>
        <v/>
      </c>
      <c r="CY800" s="523" t="str">
        <f t="shared" si="84"/>
        <v/>
      </c>
      <c r="CZ800" s="523" t="str">
        <f t="shared" si="85"/>
        <v/>
      </c>
      <c r="DA800" s="523" t="str">
        <f t="shared" si="86"/>
        <v/>
      </c>
      <c r="DB800" s="523" t="str">
        <f t="shared" si="87"/>
        <v/>
      </c>
      <c r="DC800" s="523" t="str">
        <f t="shared" si="88"/>
        <v/>
      </c>
      <c r="DD800" s="523" t="str">
        <f t="shared" si="89"/>
        <v/>
      </c>
      <c r="DE800" s="523" t="str">
        <f t="shared" si="90"/>
        <v/>
      </c>
      <c r="DF800" s="523" t="str">
        <f t="shared" si="91"/>
        <v/>
      </c>
      <c r="DG800" s="523" t="str">
        <f t="shared" si="92"/>
        <v/>
      </c>
      <c r="DH800" s="523" t="str">
        <f t="shared" si="93"/>
        <v/>
      </c>
      <c r="DI800" s="523" t="str">
        <f t="shared" si="94"/>
        <v/>
      </c>
      <c r="DJ800" s="523" t="str">
        <f t="shared" si="95"/>
        <v/>
      </c>
      <c r="DK800" s="523" t="str">
        <f t="shared" si="96"/>
        <v/>
      </c>
      <c r="DL800" s="523" t="str">
        <f t="shared" si="97"/>
        <v/>
      </c>
      <c r="DM800" s="523" t="str">
        <f t="shared" si="98"/>
        <v/>
      </c>
      <c r="DN800" s="523" t="str">
        <f t="shared" si="99"/>
        <v/>
      </c>
      <c r="DO800" s="523" t="str">
        <f t="shared" si="100"/>
        <v/>
      </c>
      <c r="DP800" s="523" t="str">
        <f t="shared" si="101"/>
        <v/>
      </c>
      <c r="DQ800" s="523" t="str">
        <f t="shared" si="102"/>
        <v/>
      </c>
      <c r="DR800" s="523" t="str">
        <f t="shared" si="103"/>
        <v/>
      </c>
      <c r="DS800" s="523" t="str">
        <f t="shared" si="104"/>
        <v/>
      </c>
      <c r="DT800" s="523" t="str">
        <f t="shared" si="105"/>
        <v/>
      </c>
      <c r="DU800" s="523" t="str">
        <f t="shared" si="106"/>
        <v/>
      </c>
      <c r="DV800" s="523" t="str">
        <f t="shared" si="107"/>
        <v/>
      </c>
      <c r="DW800" s="523" t="str">
        <f t="shared" si="108"/>
        <v/>
      </c>
      <c r="DX800" s="523" t="str">
        <f t="shared" si="109"/>
        <v/>
      </c>
      <c r="DY800" s="523" t="str">
        <f t="shared" si="110"/>
        <v/>
      </c>
      <c r="DZ800" s="523" t="str">
        <f t="shared" si="111"/>
        <v/>
      </c>
      <c r="EA800" s="523" t="str">
        <f t="shared" si="112"/>
        <v/>
      </c>
      <c r="EB800" s="523" t="str">
        <f t="shared" si="113"/>
        <v/>
      </c>
      <c r="EC800" s="523" t="str">
        <f t="shared" si="114"/>
        <v/>
      </c>
      <c r="ED800" s="523" t="str">
        <f t="shared" si="115"/>
        <v/>
      </c>
      <c r="EE800" s="523" t="str">
        <f t="shared" si="116"/>
        <v/>
      </c>
      <c r="EF800" s="523" t="str">
        <f t="shared" si="117"/>
        <v/>
      </c>
      <c r="EG800" s="523" t="str">
        <f t="shared" si="118"/>
        <v/>
      </c>
      <c r="EH800" s="523" t="str">
        <f t="shared" si="119"/>
        <v/>
      </c>
      <c r="EI800" s="523" t="str">
        <f t="shared" si="120"/>
        <v/>
      </c>
      <c r="EJ800" s="523" t="str">
        <f t="shared" si="121"/>
        <v/>
      </c>
      <c r="EK800" s="523" t="str">
        <f t="shared" si="122"/>
        <v/>
      </c>
      <c r="EL800" s="523" t="str">
        <f t="shared" si="123"/>
        <v/>
      </c>
      <c r="EM800" s="523" t="str">
        <f t="shared" si="124"/>
        <v/>
      </c>
      <c r="EN800" s="523" t="str">
        <f t="shared" si="125"/>
        <v/>
      </c>
      <c r="EO800" s="523" t="str">
        <f t="shared" si="126"/>
        <v/>
      </c>
      <c r="EP800" s="523" t="str">
        <f t="shared" si="127"/>
        <v/>
      </c>
      <c r="EQ800" s="523" t="str">
        <f t="shared" si="128"/>
        <v/>
      </c>
      <c r="ER800" s="523" t="str">
        <f t="shared" si="129"/>
        <v/>
      </c>
      <c r="ES800" s="523" t="str">
        <f t="shared" si="130"/>
        <v/>
      </c>
      <c r="ET800" s="523" t="str">
        <f t="shared" si="131"/>
        <v/>
      </c>
      <c r="EU800" s="523" t="str">
        <f t="shared" si="132"/>
        <v/>
      </c>
      <c r="EV800" s="523" t="str">
        <f t="shared" si="133"/>
        <v/>
      </c>
      <c r="EW800" s="3336" t="str">
        <f t="shared" si="134"/>
        <v/>
      </c>
      <c r="EX800" s="3336" t="str">
        <f t="shared" si="135"/>
        <v/>
      </c>
      <c r="EY800" s="3336" t="str">
        <f t="shared" si="136"/>
        <v/>
      </c>
      <c r="EZ800" s="3336" t="str">
        <f t="shared" si="137"/>
        <v/>
      </c>
      <c r="FA800" s="3336" t="str">
        <f t="shared" si="138"/>
        <v/>
      </c>
      <c r="FB800" s="3336" t="str">
        <f t="shared" si="139"/>
        <v/>
      </c>
      <c r="FC800" s="3336" t="str">
        <f t="shared" si="140"/>
        <v/>
      </c>
      <c r="FD800" s="3336" t="str">
        <f t="shared" si="141"/>
        <v/>
      </c>
      <c r="FE800" s="3336" t="str">
        <f t="shared" si="142"/>
        <v/>
      </c>
      <c r="FF800" s="3336" t="str">
        <f t="shared" si="143"/>
        <v/>
      </c>
      <c r="FG800" s="3336" t="str">
        <f t="shared" si="144"/>
        <v/>
      </c>
      <c r="FH800" s="3336" t="str">
        <f t="shared" si="145"/>
        <v/>
      </c>
      <c r="FI800" s="3336" t="str">
        <f t="shared" si="146"/>
        <v/>
      </c>
      <c r="FJ800" s="3336" t="str">
        <f t="shared" si="147"/>
        <v/>
      </c>
      <c r="FK800" s="3336" t="str">
        <f t="shared" si="148"/>
        <v/>
      </c>
      <c r="FL800" s="3336" t="str">
        <f t="shared" si="149"/>
        <v/>
      </c>
      <c r="FM800" s="3336" t="str">
        <f t="shared" si="150"/>
        <v/>
      </c>
      <c r="FN800" s="3336" t="str">
        <f t="shared" si="151"/>
        <v/>
      </c>
      <c r="FO800" s="3336" t="str">
        <f t="shared" si="152"/>
        <v/>
      </c>
      <c r="FP800" s="3336" t="str">
        <f t="shared" si="153"/>
        <v/>
      </c>
      <c r="FQ800" s="3336" t="str">
        <f t="shared" si="154"/>
        <v/>
      </c>
      <c r="FR800" s="3336" t="str">
        <f t="shared" si="155"/>
        <v/>
      </c>
      <c r="FS800" s="3336" t="str">
        <f t="shared" si="156"/>
        <v/>
      </c>
      <c r="FT800" s="3336" t="str">
        <f t="shared" si="157"/>
        <v/>
      </c>
      <c r="FU800" s="3336" t="str">
        <f t="shared" si="158"/>
        <v/>
      </c>
      <c r="FV800" s="3336" t="str">
        <f t="shared" si="159"/>
        <v/>
      </c>
      <c r="FW800" s="3336" t="str">
        <f t="shared" si="160"/>
        <v/>
      </c>
      <c r="FX800" s="3336" t="str">
        <f t="shared" si="161"/>
        <v/>
      </c>
      <c r="FY800" s="3336" t="str">
        <f t="shared" si="162"/>
        <v/>
      </c>
      <c r="FZ800" s="3336" t="str">
        <f t="shared" si="163"/>
        <v/>
      </c>
      <c r="GA800" s="3336" t="str">
        <f t="shared" si="164"/>
        <v/>
      </c>
      <c r="GB800" s="3336" t="str">
        <f t="shared" si="165"/>
        <v/>
      </c>
      <c r="GC800" s="3336" t="str">
        <f t="shared" si="166"/>
        <v/>
      </c>
      <c r="GD800" s="3336" t="str">
        <f t="shared" si="167"/>
        <v/>
      </c>
      <c r="GE800" s="3336" t="str">
        <f t="shared" si="168"/>
        <v/>
      </c>
      <c r="GF800" s="3336" t="str">
        <f t="shared" si="169"/>
        <v/>
      </c>
      <c r="GG800" s="3336" t="str">
        <f t="shared" si="170"/>
        <v/>
      </c>
      <c r="GH800" s="3336" t="str">
        <f t="shared" si="171"/>
        <v/>
      </c>
      <c r="GI800" s="3336" t="str">
        <f t="shared" si="172"/>
        <v/>
      </c>
      <c r="GJ800" s="3336" t="str">
        <f t="shared" si="173"/>
        <v/>
      </c>
      <c r="GK800" s="3336" t="str">
        <f t="shared" si="174"/>
        <v/>
      </c>
      <c r="GL800" s="3336" t="str">
        <f t="shared" si="175"/>
        <v/>
      </c>
      <c r="GM800" s="3336" t="str">
        <f t="shared" si="176"/>
        <v/>
      </c>
      <c r="GN800" s="3336" t="str">
        <f t="shared" si="177"/>
        <v/>
      </c>
      <c r="GO800" s="3336" t="str">
        <f t="shared" si="178"/>
        <v/>
      </c>
      <c r="GP800" s="3336" t="str">
        <f t="shared" si="179"/>
        <v/>
      </c>
      <c r="GQ800" s="3336" t="str">
        <f t="shared" si="180"/>
        <v/>
      </c>
      <c r="GR800" s="3336" t="str">
        <f t="shared" si="181"/>
        <v/>
      </c>
      <c r="GS800" s="3336" t="str">
        <f t="shared" si="182"/>
        <v/>
      </c>
      <c r="GT800" s="3336" t="str">
        <f t="shared" si="183"/>
        <v/>
      </c>
      <c r="GU800" s="3336" t="str">
        <f t="shared" si="184"/>
        <v/>
      </c>
      <c r="GV800" s="3336" t="str">
        <f t="shared" si="185"/>
        <v/>
      </c>
      <c r="GW800" s="3336" t="str">
        <f t="shared" si="186"/>
        <v/>
      </c>
      <c r="GX800" s="3336" t="str">
        <f t="shared" si="187"/>
        <v/>
      </c>
      <c r="GY800" s="3336" t="str">
        <f t="shared" si="188"/>
        <v/>
      </c>
      <c r="GZ800" s="3336" t="str">
        <f t="shared" si="189"/>
        <v/>
      </c>
      <c r="HA800" s="3336" t="str">
        <f t="shared" si="190"/>
        <v/>
      </c>
      <c r="HB800" s="3336" t="str">
        <f t="shared" si="191"/>
        <v/>
      </c>
      <c r="HC800" s="3336" t="str">
        <f t="shared" si="192"/>
        <v/>
      </c>
      <c r="HD800" s="3336" t="str">
        <f t="shared" si="193"/>
        <v/>
      </c>
      <c r="HE800" s="3336" t="str">
        <f t="shared" si="194"/>
        <v/>
      </c>
      <c r="HF800" s="3336" t="str">
        <f t="shared" si="195"/>
        <v/>
      </c>
      <c r="HG800" s="3336" t="str">
        <f t="shared" si="196"/>
        <v/>
      </c>
      <c r="HH800" s="3336" t="str">
        <f t="shared" si="197"/>
        <v/>
      </c>
      <c r="HI800" s="3336" t="str">
        <f t="shared" si="198"/>
        <v/>
      </c>
      <c r="HJ800" s="3336" t="str">
        <f t="shared" si="199"/>
        <v/>
      </c>
      <c r="HK800" s="3336" t="str">
        <f t="shared" si="200"/>
        <v/>
      </c>
      <c r="HL800" s="3336" t="str">
        <f t="shared" si="201"/>
        <v/>
      </c>
      <c r="HM800" s="3336" t="str">
        <f t="shared" si="202"/>
        <v/>
      </c>
      <c r="HN800" s="3336" t="str">
        <f t="shared" si="203"/>
        <v/>
      </c>
      <c r="HO800" s="3336" t="str">
        <f t="shared" si="204"/>
        <v/>
      </c>
      <c r="HP800" s="3336" t="str">
        <f t="shared" si="205"/>
        <v/>
      </c>
      <c r="HQ800" s="3336" t="str">
        <f t="shared" si="206"/>
        <v/>
      </c>
      <c r="HR800" s="3336" t="str">
        <f t="shared" si="207"/>
        <v/>
      </c>
      <c r="HS800" s="3336" t="str">
        <f t="shared" si="208"/>
        <v/>
      </c>
      <c r="HT800" s="3336" t="str">
        <f t="shared" si="209"/>
        <v/>
      </c>
      <c r="HU800" s="3336" t="str">
        <f t="shared" si="210"/>
        <v/>
      </c>
      <c r="HV800" s="3336" t="str">
        <f t="shared" si="211"/>
        <v/>
      </c>
      <c r="HW800" s="3336" t="str">
        <f t="shared" si="212"/>
        <v/>
      </c>
      <c r="HX800" s="3336" t="str">
        <f t="shared" si="213"/>
        <v/>
      </c>
      <c r="HY800" s="3336" t="str">
        <f t="shared" si="214"/>
        <v/>
      </c>
      <c r="HZ800" s="3336" t="str">
        <f t="shared" si="215"/>
        <v/>
      </c>
      <c r="IA800" s="3336" t="str">
        <f t="shared" si="216"/>
        <v/>
      </c>
      <c r="IB800" s="3336" t="str">
        <f t="shared" si="217"/>
        <v/>
      </c>
      <c r="IC800" s="3336" t="str">
        <f t="shared" si="218"/>
        <v/>
      </c>
      <c r="ID800" s="3308" t="str">
        <f t="shared" si="219"/>
        <v/>
      </c>
      <c r="IE800" s="3308" t="str">
        <f t="shared" si="220"/>
        <v/>
      </c>
      <c r="IF800" s="3308" t="str">
        <f t="shared" si="221"/>
        <v/>
      </c>
      <c r="IG800" s="3308" t="str">
        <f t="shared" si="222"/>
        <v/>
      </c>
      <c r="IH800" s="3308" t="str">
        <f t="shared" si="223"/>
        <v/>
      </c>
      <c r="II800" s="523" t="str">
        <f t="shared" si="224"/>
        <v/>
      </c>
      <c r="IJ800" s="523" t="str">
        <f t="shared" si="225"/>
        <v/>
      </c>
      <c r="IK800" s="523" t="str">
        <f t="shared" si="226"/>
        <v/>
      </c>
      <c r="IL800" s="523" t="str">
        <f t="shared" si="227"/>
        <v/>
      </c>
      <c r="IM800" s="523" t="str">
        <f t="shared" si="228"/>
        <v/>
      </c>
      <c r="IN800" s="523" t="str">
        <f t="shared" si="229"/>
        <v/>
      </c>
      <c r="IO800" s="523" t="str">
        <f t="shared" si="230"/>
        <v/>
      </c>
      <c r="IP800" s="523" t="str">
        <f t="shared" si="231"/>
        <v/>
      </c>
      <c r="IQ800" s="523" t="str">
        <f t="shared" si="232"/>
        <v/>
      </c>
      <c r="IR800" s="523" t="str">
        <f t="shared" si="233"/>
        <v/>
      </c>
      <c r="IS800" s="523" t="str">
        <f t="shared" si="234"/>
        <v/>
      </c>
      <c r="IT800" s="523" t="str">
        <f t="shared" si="235"/>
        <v/>
      </c>
      <c r="IU800" s="523" t="str">
        <f t="shared" si="236"/>
        <v/>
      </c>
      <c r="IV800" s="523" t="str">
        <f t="shared" si="237"/>
        <v/>
      </c>
      <c r="IW800" s="523" t="str">
        <f t="shared" si="238"/>
        <v/>
      </c>
      <c r="IX800" s="523" t="str">
        <f t="shared" si="239"/>
        <v/>
      </c>
      <c r="IY800" s="523" t="str">
        <f t="shared" si="240"/>
        <v/>
      </c>
      <c r="IZ800" s="523" t="str">
        <f t="shared" si="241"/>
        <v/>
      </c>
      <c r="JA800" s="523" t="str">
        <f t="shared" si="242"/>
        <v/>
      </c>
      <c r="JB800" s="523" t="str">
        <f t="shared" si="243"/>
        <v/>
      </c>
      <c r="JC800" s="3306">
        <f t="shared" si="244"/>
        <v>0</v>
      </c>
      <c r="JD800" s="3306">
        <f t="shared" si="245"/>
        <v>0</v>
      </c>
      <c r="JE800" s="3306">
        <f t="shared" si="246"/>
        <v>0</v>
      </c>
      <c r="JF800" s="3306">
        <f t="shared" si="247"/>
        <v>0</v>
      </c>
      <c r="JG800" s="3306">
        <f t="shared" si="248"/>
        <v>0</v>
      </c>
      <c r="JH800" s="3306">
        <f t="shared" si="249"/>
        <v>0</v>
      </c>
      <c r="JI800" s="3306">
        <f t="shared" si="250"/>
        <v>0</v>
      </c>
      <c r="JJ800" s="3306">
        <f t="shared" si="251"/>
        <v>0</v>
      </c>
      <c r="JK800" s="3306">
        <f t="shared" si="252"/>
        <v>0</v>
      </c>
      <c r="JL800" s="3306">
        <f t="shared" si="253"/>
        <v>0</v>
      </c>
      <c r="JM800" s="3306">
        <f t="shared" si="254"/>
        <v>0</v>
      </c>
      <c r="JN800" s="3306">
        <f t="shared" si="255"/>
        <v>0</v>
      </c>
      <c r="JO800" s="3306">
        <f t="shared" si="256"/>
        <v>0</v>
      </c>
      <c r="JP800" s="3306">
        <f t="shared" si="257"/>
        <v>0</v>
      </c>
      <c r="JQ800" s="3306">
        <f t="shared" si="258"/>
        <v>0</v>
      </c>
    </row>
    <row r="801" spans="1:278" ht="12" customHeight="1">
      <c r="A801" s="3319" t="str">
        <f t="shared" si="1"/>
        <v/>
      </c>
      <c r="B801" s="3328" t="str">
        <f>'Part VI-Revenues &amp; Expenses'!B44</f>
        <v>&lt;&lt;Select&gt;&gt;</v>
      </c>
      <c r="C801" s="3329">
        <f>'Part VI-Revenues &amp; Expenses'!C44</f>
        <v>0</v>
      </c>
      <c r="D801" s="3330">
        <f>'Part VI-Revenues &amp; Expenses'!D44</f>
        <v>0</v>
      </c>
      <c r="E801" s="3331">
        <f>'Part VI-Revenues &amp; Expenses'!E44</f>
        <v>0</v>
      </c>
      <c r="F801" s="3331">
        <f>'Part VI-Revenues &amp; Expenses'!F44</f>
        <v>0</v>
      </c>
      <c r="G801" s="3331">
        <f>'Part VI-Revenues &amp; Expenses'!G44</f>
        <v>0</v>
      </c>
      <c r="H801" s="3331">
        <f>'Part VI-Revenues &amp; Expenses'!H44</f>
        <v>0</v>
      </c>
      <c r="I801" s="3331">
        <f>'Part VI-Revenues &amp; Expenses'!I44</f>
        <v>0</v>
      </c>
      <c r="J801" s="3332">
        <f>'Part VI-Revenues &amp; Expenses'!J44</f>
        <v>0</v>
      </c>
      <c r="K801" s="3333">
        <f t="shared" si="2"/>
        <v>0</v>
      </c>
      <c r="L801" s="3333">
        <f t="shared" si="3"/>
        <v>0</v>
      </c>
      <c r="M801" s="3207">
        <f>'Part VI-Revenues &amp; Expenses'!M44</f>
        <v>0</v>
      </c>
      <c r="N801" s="3207">
        <f>'Part VI-Revenues &amp; Expenses'!N44</f>
        <v>0</v>
      </c>
      <c r="O801" s="3207">
        <f>'Part VI-Revenues &amp; Expenses'!O44</f>
        <v>0</v>
      </c>
      <c r="P801" s="3313">
        <f>'Part VI-Revenues &amp; Expenses'!P44</f>
        <v>0</v>
      </c>
      <c r="Q801" s="3334" t="str">
        <f>'Part VI-Revenues &amp; Expenses'!Q44</f>
        <v/>
      </c>
      <c r="R801" s="3335" t="str">
        <f>'Part VI-Revenues &amp; Expenses'!R44</f>
        <v/>
      </c>
      <c r="S801" s="3334">
        <f>'Part VI-Revenues &amp; Expenses'!S44</f>
        <v>0</v>
      </c>
      <c r="T801" s="3335">
        <f>'Part VI-Revenues &amp; Expenses'!T44</f>
        <v>0</v>
      </c>
      <c r="U801" s="3257"/>
      <c r="V801" s="3257"/>
      <c r="W801" s="523" t="str">
        <f t="shared" si="4"/>
        <v/>
      </c>
      <c r="X801" s="523" t="str">
        <f t="shared" si="5"/>
        <v/>
      </c>
      <c r="Y801" s="523" t="str">
        <f t="shared" si="6"/>
        <v/>
      </c>
      <c r="Z801" s="523" t="str">
        <f t="shared" si="7"/>
        <v/>
      </c>
      <c r="AA801" s="523" t="str">
        <f t="shared" si="8"/>
        <v/>
      </c>
      <c r="AB801" s="523" t="str">
        <f t="shared" si="9"/>
        <v/>
      </c>
      <c r="AC801" s="523" t="str">
        <f t="shared" si="10"/>
        <v/>
      </c>
      <c r="AD801" s="523" t="str">
        <f t="shared" si="11"/>
        <v/>
      </c>
      <c r="AE801" s="523" t="str">
        <f t="shared" si="12"/>
        <v/>
      </c>
      <c r="AF801" s="523" t="str">
        <f t="shared" si="13"/>
        <v/>
      </c>
      <c r="AG801" s="523" t="str">
        <f t="shared" si="14"/>
        <v/>
      </c>
      <c r="AH801" s="523" t="str">
        <f t="shared" si="15"/>
        <v/>
      </c>
      <c r="AI801" s="523" t="str">
        <f t="shared" si="16"/>
        <v/>
      </c>
      <c r="AJ801" s="523" t="str">
        <f t="shared" si="17"/>
        <v/>
      </c>
      <c r="AK801" s="523" t="str">
        <f t="shared" si="18"/>
        <v/>
      </c>
      <c r="AL801" s="523" t="str">
        <f t="shared" si="19"/>
        <v/>
      </c>
      <c r="AM801" s="523" t="str">
        <f t="shared" si="20"/>
        <v/>
      </c>
      <c r="AN801" s="523" t="str">
        <f t="shared" si="21"/>
        <v/>
      </c>
      <c r="AO801" s="523" t="str">
        <f t="shared" si="22"/>
        <v/>
      </c>
      <c r="AP801" s="523" t="str">
        <f t="shared" si="23"/>
        <v/>
      </c>
      <c r="AQ801" s="523" t="str">
        <f t="shared" si="24"/>
        <v/>
      </c>
      <c r="AR801" s="523" t="str">
        <f t="shared" si="25"/>
        <v/>
      </c>
      <c r="AS801" s="523" t="str">
        <f t="shared" si="26"/>
        <v/>
      </c>
      <c r="AT801" s="523" t="str">
        <f t="shared" si="27"/>
        <v/>
      </c>
      <c r="AU801" s="523" t="str">
        <f t="shared" si="28"/>
        <v/>
      </c>
      <c r="AV801" s="523" t="str">
        <f t="shared" si="29"/>
        <v/>
      </c>
      <c r="AW801" s="523" t="str">
        <f t="shared" si="30"/>
        <v/>
      </c>
      <c r="AX801" s="523" t="str">
        <f t="shared" si="31"/>
        <v/>
      </c>
      <c r="AY801" s="523" t="str">
        <f t="shared" si="32"/>
        <v/>
      </c>
      <c r="AZ801" s="523" t="str">
        <f t="shared" si="33"/>
        <v/>
      </c>
      <c r="BA801" s="523" t="str">
        <f t="shared" si="34"/>
        <v/>
      </c>
      <c r="BB801" s="523" t="str">
        <f t="shared" si="35"/>
        <v/>
      </c>
      <c r="BC801" s="523" t="str">
        <f t="shared" si="36"/>
        <v/>
      </c>
      <c r="BD801" s="523" t="str">
        <f t="shared" si="37"/>
        <v/>
      </c>
      <c r="BE801" s="523" t="str">
        <f t="shared" si="38"/>
        <v/>
      </c>
      <c r="BF801" s="523" t="str">
        <f t="shared" si="39"/>
        <v/>
      </c>
      <c r="BG801" s="523" t="str">
        <f t="shared" si="40"/>
        <v/>
      </c>
      <c r="BH801" s="523" t="str">
        <f t="shared" si="41"/>
        <v/>
      </c>
      <c r="BI801" s="523" t="str">
        <f t="shared" si="42"/>
        <v/>
      </c>
      <c r="BJ801" s="523" t="str">
        <f t="shared" si="43"/>
        <v/>
      </c>
      <c r="BK801" s="523" t="str">
        <f t="shared" si="44"/>
        <v/>
      </c>
      <c r="BL801" s="523" t="str">
        <f t="shared" si="45"/>
        <v/>
      </c>
      <c r="BM801" s="523" t="str">
        <f t="shared" si="46"/>
        <v/>
      </c>
      <c r="BN801" s="523" t="str">
        <f t="shared" si="47"/>
        <v/>
      </c>
      <c r="BO801" s="523" t="str">
        <f t="shared" si="48"/>
        <v/>
      </c>
      <c r="BP801" s="523" t="str">
        <f t="shared" si="49"/>
        <v/>
      </c>
      <c r="BQ801" s="523" t="str">
        <f t="shared" si="50"/>
        <v/>
      </c>
      <c r="BR801" s="523" t="str">
        <f t="shared" si="51"/>
        <v/>
      </c>
      <c r="BS801" s="523" t="str">
        <f t="shared" si="52"/>
        <v/>
      </c>
      <c r="BT801" s="523" t="str">
        <f t="shared" si="53"/>
        <v/>
      </c>
      <c r="BU801" s="523" t="str">
        <f t="shared" si="54"/>
        <v/>
      </c>
      <c r="BV801" s="523" t="str">
        <f t="shared" si="55"/>
        <v/>
      </c>
      <c r="BW801" s="523" t="str">
        <f t="shared" si="56"/>
        <v/>
      </c>
      <c r="BX801" s="523" t="str">
        <f t="shared" si="57"/>
        <v/>
      </c>
      <c r="BY801" s="523" t="str">
        <f t="shared" si="58"/>
        <v/>
      </c>
      <c r="BZ801" s="523" t="str">
        <f t="shared" si="59"/>
        <v/>
      </c>
      <c r="CA801" s="523" t="str">
        <f t="shared" si="60"/>
        <v/>
      </c>
      <c r="CB801" s="523" t="str">
        <f t="shared" si="61"/>
        <v/>
      </c>
      <c r="CC801" s="523" t="str">
        <f t="shared" si="62"/>
        <v/>
      </c>
      <c r="CD801" s="523" t="str">
        <f t="shared" si="63"/>
        <v/>
      </c>
      <c r="CE801" s="523" t="str">
        <f t="shared" si="64"/>
        <v/>
      </c>
      <c r="CF801" s="523" t="str">
        <f t="shared" si="65"/>
        <v/>
      </c>
      <c r="CG801" s="523" t="str">
        <f t="shared" si="66"/>
        <v/>
      </c>
      <c r="CH801" s="523" t="str">
        <f t="shared" si="67"/>
        <v/>
      </c>
      <c r="CI801" s="523" t="str">
        <f t="shared" si="68"/>
        <v/>
      </c>
      <c r="CJ801" s="523" t="str">
        <f t="shared" si="69"/>
        <v/>
      </c>
      <c r="CK801" s="523" t="str">
        <f t="shared" si="70"/>
        <v/>
      </c>
      <c r="CL801" s="523" t="str">
        <f t="shared" si="71"/>
        <v/>
      </c>
      <c r="CM801" s="523" t="str">
        <f t="shared" si="72"/>
        <v/>
      </c>
      <c r="CN801" s="523" t="str">
        <f t="shared" si="73"/>
        <v/>
      </c>
      <c r="CO801" s="523" t="str">
        <f t="shared" si="74"/>
        <v/>
      </c>
      <c r="CP801" s="523" t="str">
        <f t="shared" si="75"/>
        <v/>
      </c>
      <c r="CQ801" s="523" t="str">
        <f t="shared" si="76"/>
        <v/>
      </c>
      <c r="CR801" s="523" t="str">
        <f t="shared" si="77"/>
        <v/>
      </c>
      <c r="CS801" s="523" t="str">
        <f t="shared" si="78"/>
        <v/>
      </c>
      <c r="CT801" s="523" t="str">
        <f t="shared" si="79"/>
        <v/>
      </c>
      <c r="CU801" s="523" t="str">
        <f t="shared" si="80"/>
        <v/>
      </c>
      <c r="CV801" s="523" t="str">
        <f t="shared" si="81"/>
        <v/>
      </c>
      <c r="CW801" s="523" t="str">
        <f t="shared" si="82"/>
        <v/>
      </c>
      <c r="CX801" s="523" t="str">
        <f t="shared" si="83"/>
        <v/>
      </c>
      <c r="CY801" s="523" t="str">
        <f t="shared" si="84"/>
        <v/>
      </c>
      <c r="CZ801" s="523" t="str">
        <f t="shared" si="85"/>
        <v/>
      </c>
      <c r="DA801" s="523" t="str">
        <f t="shared" si="86"/>
        <v/>
      </c>
      <c r="DB801" s="523" t="str">
        <f t="shared" si="87"/>
        <v/>
      </c>
      <c r="DC801" s="523" t="str">
        <f t="shared" si="88"/>
        <v/>
      </c>
      <c r="DD801" s="523" t="str">
        <f t="shared" si="89"/>
        <v/>
      </c>
      <c r="DE801" s="523" t="str">
        <f t="shared" si="90"/>
        <v/>
      </c>
      <c r="DF801" s="523" t="str">
        <f t="shared" si="91"/>
        <v/>
      </c>
      <c r="DG801" s="523" t="str">
        <f t="shared" si="92"/>
        <v/>
      </c>
      <c r="DH801" s="523" t="str">
        <f t="shared" si="93"/>
        <v/>
      </c>
      <c r="DI801" s="523" t="str">
        <f t="shared" si="94"/>
        <v/>
      </c>
      <c r="DJ801" s="523" t="str">
        <f t="shared" si="95"/>
        <v/>
      </c>
      <c r="DK801" s="523" t="str">
        <f t="shared" si="96"/>
        <v/>
      </c>
      <c r="DL801" s="523" t="str">
        <f t="shared" si="97"/>
        <v/>
      </c>
      <c r="DM801" s="523" t="str">
        <f t="shared" si="98"/>
        <v/>
      </c>
      <c r="DN801" s="523" t="str">
        <f t="shared" si="99"/>
        <v/>
      </c>
      <c r="DO801" s="523" t="str">
        <f t="shared" si="100"/>
        <v/>
      </c>
      <c r="DP801" s="523" t="str">
        <f t="shared" si="101"/>
        <v/>
      </c>
      <c r="DQ801" s="523" t="str">
        <f t="shared" si="102"/>
        <v/>
      </c>
      <c r="DR801" s="523" t="str">
        <f t="shared" si="103"/>
        <v/>
      </c>
      <c r="DS801" s="523" t="str">
        <f t="shared" si="104"/>
        <v/>
      </c>
      <c r="DT801" s="523" t="str">
        <f t="shared" si="105"/>
        <v/>
      </c>
      <c r="DU801" s="523" t="str">
        <f t="shared" si="106"/>
        <v/>
      </c>
      <c r="DV801" s="523" t="str">
        <f t="shared" si="107"/>
        <v/>
      </c>
      <c r="DW801" s="523" t="str">
        <f t="shared" si="108"/>
        <v/>
      </c>
      <c r="DX801" s="523" t="str">
        <f t="shared" si="109"/>
        <v/>
      </c>
      <c r="DY801" s="523" t="str">
        <f t="shared" si="110"/>
        <v/>
      </c>
      <c r="DZ801" s="523" t="str">
        <f t="shared" si="111"/>
        <v/>
      </c>
      <c r="EA801" s="523" t="str">
        <f t="shared" si="112"/>
        <v/>
      </c>
      <c r="EB801" s="523" t="str">
        <f t="shared" si="113"/>
        <v/>
      </c>
      <c r="EC801" s="523" t="str">
        <f t="shared" si="114"/>
        <v/>
      </c>
      <c r="ED801" s="523" t="str">
        <f t="shared" si="115"/>
        <v/>
      </c>
      <c r="EE801" s="523" t="str">
        <f t="shared" si="116"/>
        <v/>
      </c>
      <c r="EF801" s="523" t="str">
        <f t="shared" si="117"/>
        <v/>
      </c>
      <c r="EG801" s="523" t="str">
        <f t="shared" si="118"/>
        <v/>
      </c>
      <c r="EH801" s="523" t="str">
        <f t="shared" si="119"/>
        <v/>
      </c>
      <c r="EI801" s="523" t="str">
        <f t="shared" si="120"/>
        <v/>
      </c>
      <c r="EJ801" s="523" t="str">
        <f t="shared" si="121"/>
        <v/>
      </c>
      <c r="EK801" s="523" t="str">
        <f t="shared" si="122"/>
        <v/>
      </c>
      <c r="EL801" s="523" t="str">
        <f t="shared" si="123"/>
        <v/>
      </c>
      <c r="EM801" s="523" t="str">
        <f t="shared" si="124"/>
        <v/>
      </c>
      <c r="EN801" s="523" t="str">
        <f t="shared" si="125"/>
        <v/>
      </c>
      <c r="EO801" s="523" t="str">
        <f t="shared" si="126"/>
        <v/>
      </c>
      <c r="EP801" s="523" t="str">
        <f t="shared" si="127"/>
        <v/>
      </c>
      <c r="EQ801" s="523" t="str">
        <f t="shared" si="128"/>
        <v/>
      </c>
      <c r="ER801" s="523" t="str">
        <f t="shared" si="129"/>
        <v/>
      </c>
      <c r="ES801" s="523" t="str">
        <f t="shared" si="130"/>
        <v/>
      </c>
      <c r="ET801" s="523" t="str">
        <f t="shared" si="131"/>
        <v/>
      </c>
      <c r="EU801" s="523" t="str">
        <f t="shared" si="132"/>
        <v/>
      </c>
      <c r="EV801" s="523" t="str">
        <f t="shared" si="133"/>
        <v/>
      </c>
      <c r="EW801" s="3336" t="str">
        <f t="shared" si="134"/>
        <v/>
      </c>
      <c r="EX801" s="3336" t="str">
        <f t="shared" si="135"/>
        <v/>
      </c>
      <c r="EY801" s="3336" t="str">
        <f t="shared" si="136"/>
        <v/>
      </c>
      <c r="EZ801" s="3336" t="str">
        <f t="shared" si="137"/>
        <v/>
      </c>
      <c r="FA801" s="3336" t="str">
        <f t="shared" si="138"/>
        <v/>
      </c>
      <c r="FB801" s="3336" t="str">
        <f t="shared" si="139"/>
        <v/>
      </c>
      <c r="FC801" s="3336" t="str">
        <f t="shared" si="140"/>
        <v/>
      </c>
      <c r="FD801" s="3336" t="str">
        <f t="shared" si="141"/>
        <v/>
      </c>
      <c r="FE801" s="3336" t="str">
        <f t="shared" si="142"/>
        <v/>
      </c>
      <c r="FF801" s="3336" t="str">
        <f t="shared" si="143"/>
        <v/>
      </c>
      <c r="FG801" s="3336" t="str">
        <f t="shared" si="144"/>
        <v/>
      </c>
      <c r="FH801" s="3336" t="str">
        <f t="shared" si="145"/>
        <v/>
      </c>
      <c r="FI801" s="3336" t="str">
        <f t="shared" si="146"/>
        <v/>
      </c>
      <c r="FJ801" s="3336" t="str">
        <f t="shared" si="147"/>
        <v/>
      </c>
      <c r="FK801" s="3336" t="str">
        <f t="shared" si="148"/>
        <v/>
      </c>
      <c r="FL801" s="3336" t="str">
        <f t="shared" si="149"/>
        <v/>
      </c>
      <c r="FM801" s="3336" t="str">
        <f t="shared" si="150"/>
        <v/>
      </c>
      <c r="FN801" s="3336" t="str">
        <f t="shared" si="151"/>
        <v/>
      </c>
      <c r="FO801" s="3336" t="str">
        <f t="shared" si="152"/>
        <v/>
      </c>
      <c r="FP801" s="3336" t="str">
        <f t="shared" si="153"/>
        <v/>
      </c>
      <c r="FQ801" s="3336" t="str">
        <f t="shared" si="154"/>
        <v/>
      </c>
      <c r="FR801" s="3336" t="str">
        <f t="shared" si="155"/>
        <v/>
      </c>
      <c r="FS801" s="3336" t="str">
        <f t="shared" si="156"/>
        <v/>
      </c>
      <c r="FT801" s="3336" t="str">
        <f t="shared" si="157"/>
        <v/>
      </c>
      <c r="FU801" s="3336" t="str">
        <f t="shared" si="158"/>
        <v/>
      </c>
      <c r="FV801" s="3336" t="str">
        <f t="shared" si="159"/>
        <v/>
      </c>
      <c r="FW801" s="3336" t="str">
        <f t="shared" si="160"/>
        <v/>
      </c>
      <c r="FX801" s="3336" t="str">
        <f t="shared" si="161"/>
        <v/>
      </c>
      <c r="FY801" s="3336" t="str">
        <f t="shared" si="162"/>
        <v/>
      </c>
      <c r="FZ801" s="3336" t="str">
        <f t="shared" si="163"/>
        <v/>
      </c>
      <c r="GA801" s="3336" t="str">
        <f t="shared" si="164"/>
        <v/>
      </c>
      <c r="GB801" s="3336" t="str">
        <f t="shared" si="165"/>
        <v/>
      </c>
      <c r="GC801" s="3336" t="str">
        <f t="shared" si="166"/>
        <v/>
      </c>
      <c r="GD801" s="3336" t="str">
        <f t="shared" si="167"/>
        <v/>
      </c>
      <c r="GE801" s="3336" t="str">
        <f t="shared" si="168"/>
        <v/>
      </c>
      <c r="GF801" s="3336" t="str">
        <f t="shared" si="169"/>
        <v/>
      </c>
      <c r="GG801" s="3336" t="str">
        <f t="shared" si="170"/>
        <v/>
      </c>
      <c r="GH801" s="3336" t="str">
        <f t="shared" si="171"/>
        <v/>
      </c>
      <c r="GI801" s="3336" t="str">
        <f t="shared" si="172"/>
        <v/>
      </c>
      <c r="GJ801" s="3336" t="str">
        <f t="shared" si="173"/>
        <v/>
      </c>
      <c r="GK801" s="3336" t="str">
        <f t="shared" si="174"/>
        <v/>
      </c>
      <c r="GL801" s="3336" t="str">
        <f t="shared" si="175"/>
        <v/>
      </c>
      <c r="GM801" s="3336" t="str">
        <f t="shared" si="176"/>
        <v/>
      </c>
      <c r="GN801" s="3336" t="str">
        <f t="shared" si="177"/>
        <v/>
      </c>
      <c r="GO801" s="3336" t="str">
        <f t="shared" si="178"/>
        <v/>
      </c>
      <c r="GP801" s="3336" t="str">
        <f t="shared" si="179"/>
        <v/>
      </c>
      <c r="GQ801" s="3336" t="str">
        <f t="shared" si="180"/>
        <v/>
      </c>
      <c r="GR801" s="3336" t="str">
        <f t="shared" si="181"/>
        <v/>
      </c>
      <c r="GS801" s="3336" t="str">
        <f t="shared" si="182"/>
        <v/>
      </c>
      <c r="GT801" s="3336" t="str">
        <f t="shared" si="183"/>
        <v/>
      </c>
      <c r="GU801" s="3336" t="str">
        <f t="shared" si="184"/>
        <v/>
      </c>
      <c r="GV801" s="3336" t="str">
        <f t="shared" si="185"/>
        <v/>
      </c>
      <c r="GW801" s="3336" t="str">
        <f t="shared" si="186"/>
        <v/>
      </c>
      <c r="GX801" s="3336" t="str">
        <f t="shared" si="187"/>
        <v/>
      </c>
      <c r="GY801" s="3336" t="str">
        <f t="shared" si="188"/>
        <v/>
      </c>
      <c r="GZ801" s="3336" t="str">
        <f t="shared" si="189"/>
        <v/>
      </c>
      <c r="HA801" s="3336" t="str">
        <f t="shared" si="190"/>
        <v/>
      </c>
      <c r="HB801" s="3336" t="str">
        <f t="shared" si="191"/>
        <v/>
      </c>
      <c r="HC801" s="3336" t="str">
        <f t="shared" si="192"/>
        <v/>
      </c>
      <c r="HD801" s="3336" t="str">
        <f t="shared" si="193"/>
        <v/>
      </c>
      <c r="HE801" s="3336" t="str">
        <f t="shared" si="194"/>
        <v/>
      </c>
      <c r="HF801" s="3336" t="str">
        <f t="shared" si="195"/>
        <v/>
      </c>
      <c r="HG801" s="3336" t="str">
        <f t="shared" si="196"/>
        <v/>
      </c>
      <c r="HH801" s="3336" t="str">
        <f t="shared" si="197"/>
        <v/>
      </c>
      <c r="HI801" s="3336" t="str">
        <f t="shared" si="198"/>
        <v/>
      </c>
      <c r="HJ801" s="3336" t="str">
        <f t="shared" si="199"/>
        <v/>
      </c>
      <c r="HK801" s="3336" t="str">
        <f t="shared" si="200"/>
        <v/>
      </c>
      <c r="HL801" s="3336" t="str">
        <f t="shared" si="201"/>
        <v/>
      </c>
      <c r="HM801" s="3336" t="str">
        <f t="shared" si="202"/>
        <v/>
      </c>
      <c r="HN801" s="3336" t="str">
        <f t="shared" si="203"/>
        <v/>
      </c>
      <c r="HO801" s="3336" t="str">
        <f t="shared" si="204"/>
        <v/>
      </c>
      <c r="HP801" s="3336" t="str">
        <f t="shared" si="205"/>
        <v/>
      </c>
      <c r="HQ801" s="3336" t="str">
        <f t="shared" si="206"/>
        <v/>
      </c>
      <c r="HR801" s="3336" t="str">
        <f t="shared" si="207"/>
        <v/>
      </c>
      <c r="HS801" s="3336" t="str">
        <f t="shared" si="208"/>
        <v/>
      </c>
      <c r="HT801" s="3336" t="str">
        <f t="shared" si="209"/>
        <v/>
      </c>
      <c r="HU801" s="3336" t="str">
        <f t="shared" si="210"/>
        <v/>
      </c>
      <c r="HV801" s="3336" t="str">
        <f t="shared" si="211"/>
        <v/>
      </c>
      <c r="HW801" s="3336" t="str">
        <f t="shared" si="212"/>
        <v/>
      </c>
      <c r="HX801" s="3336" t="str">
        <f t="shared" si="213"/>
        <v/>
      </c>
      <c r="HY801" s="3336" t="str">
        <f t="shared" si="214"/>
        <v/>
      </c>
      <c r="HZ801" s="3336" t="str">
        <f t="shared" si="215"/>
        <v/>
      </c>
      <c r="IA801" s="3336" t="str">
        <f t="shared" si="216"/>
        <v/>
      </c>
      <c r="IB801" s="3336" t="str">
        <f t="shared" si="217"/>
        <v/>
      </c>
      <c r="IC801" s="3336" t="str">
        <f t="shared" si="218"/>
        <v/>
      </c>
      <c r="ID801" s="3308" t="str">
        <f t="shared" si="219"/>
        <v/>
      </c>
      <c r="IE801" s="3308" t="str">
        <f t="shared" si="220"/>
        <v/>
      </c>
      <c r="IF801" s="3308" t="str">
        <f t="shared" si="221"/>
        <v/>
      </c>
      <c r="IG801" s="3308" t="str">
        <f t="shared" si="222"/>
        <v/>
      </c>
      <c r="IH801" s="3308" t="str">
        <f t="shared" si="223"/>
        <v/>
      </c>
      <c r="II801" s="523" t="str">
        <f t="shared" si="224"/>
        <v/>
      </c>
      <c r="IJ801" s="523" t="str">
        <f t="shared" si="225"/>
        <v/>
      </c>
      <c r="IK801" s="523" t="str">
        <f t="shared" si="226"/>
        <v/>
      </c>
      <c r="IL801" s="523" t="str">
        <f t="shared" si="227"/>
        <v/>
      </c>
      <c r="IM801" s="523" t="str">
        <f t="shared" si="228"/>
        <v/>
      </c>
      <c r="IN801" s="523" t="str">
        <f t="shared" si="229"/>
        <v/>
      </c>
      <c r="IO801" s="523" t="str">
        <f t="shared" si="230"/>
        <v/>
      </c>
      <c r="IP801" s="523" t="str">
        <f t="shared" si="231"/>
        <v/>
      </c>
      <c r="IQ801" s="523" t="str">
        <f t="shared" si="232"/>
        <v/>
      </c>
      <c r="IR801" s="523" t="str">
        <f t="shared" si="233"/>
        <v/>
      </c>
      <c r="IS801" s="523" t="str">
        <f t="shared" si="234"/>
        <v/>
      </c>
      <c r="IT801" s="523" t="str">
        <f t="shared" si="235"/>
        <v/>
      </c>
      <c r="IU801" s="523" t="str">
        <f t="shared" si="236"/>
        <v/>
      </c>
      <c r="IV801" s="523" t="str">
        <f t="shared" si="237"/>
        <v/>
      </c>
      <c r="IW801" s="523" t="str">
        <f t="shared" si="238"/>
        <v/>
      </c>
      <c r="IX801" s="523" t="str">
        <f t="shared" si="239"/>
        <v/>
      </c>
      <c r="IY801" s="523" t="str">
        <f t="shared" si="240"/>
        <v/>
      </c>
      <c r="IZ801" s="523" t="str">
        <f t="shared" si="241"/>
        <v/>
      </c>
      <c r="JA801" s="523" t="str">
        <f t="shared" si="242"/>
        <v/>
      </c>
      <c r="JB801" s="523" t="str">
        <f t="shared" si="243"/>
        <v/>
      </c>
      <c r="JC801" s="3306">
        <f t="shared" si="244"/>
        <v>0</v>
      </c>
      <c r="JD801" s="3306">
        <f t="shared" si="245"/>
        <v>0</v>
      </c>
      <c r="JE801" s="3306">
        <f t="shared" si="246"/>
        <v>0</v>
      </c>
      <c r="JF801" s="3306">
        <f t="shared" si="247"/>
        <v>0</v>
      </c>
      <c r="JG801" s="3306">
        <f t="shared" si="248"/>
        <v>0</v>
      </c>
      <c r="JH801" s="3306">
        <f t="shared" si="249"/>
        <v>0</v>
      </c>
      <c r="JI801" s="3306">
        <f t="shared" si="250"/>
        <v>0</v>
      </c>
      <c r="JJ801" s="3306">
        <f t="shared" si="251"/>
        <v>0</v>
      </c>
      <c r="JK801" s="3306">
        <f t="shared" si="252"/>
        <v>0</v>
      </c>
      <c r="JL801" s="3306">
        <f t="shared" si="253"/>
        <v>0</v>
      </c>
      <c r="JM801" s="3306">
        <f t="shared" si="254"/>
        <v>0</v>
      </c>
      <c r="JN801" s="3306">
        <f t="shared" si="255"/>
        <v>0</v>
      </c>
      <c r="JO801" s="3306">
        <f t="shared" si="256"/>
        <v>0</v>
      </c>
      <c r="JP801" s="3306">
        <f t="shared" si="257"/>
        <v>0</v>
      </c>
      <c r="JQ801" s="3306">
        <f t="shared" si="258"/>
        <v>0</v>
      </c>
    </row>
    <row r="802" spans="1:278" ht="12" customHeight="1">
      <c r="A802" s="3319" t="str">
        <f t="shared" si="1"/>
        <v/>
      </c>
      <c r="B802" s="3328" t="str">
        <f>'Part VI-Revenues &amp; Expenses'!B45</f>
        <v>&lt;&lt;Select&gt;&gt;</v>
      </c>
      <c r="C802" s="3329">
        <f>'Part VI-Revenues &amp; Expenses'!C45</f>
        <v>0</v>
      </c>
      <c r="D802" s="3330">
        <f>'Part VI-Revenues &amp; Expenses'!D45</f>
        <v>0</v>
      </c>
      <c r="E802" s="3331">
        <f>'Part VI-Revenues &amp; Expenses'!E45</f>
        <v>0</v>
      </c>
      <c r="F802" s="3331">
        <f>'Part VI-Revenues &amp; Expenses'!F45</f>
        <v>0</v>
      </c>
      <c r="G802" s="3331">
        <f>'Part VI-Revenues &amp; Expenses'!G45</f>
        <v>0</v>
      </c>
      <c r="H802" s="3331">
        <f>'Part VI-Revenues &amp; Expenses'!H45</f>
        <v>0</v>
      </c>
      <c r="I802" s="3331">
        <f>'Part VI-Revenues &amp; Expenses'!I45</f>
        <v>0</v>
      </c>
      <c r="J802" s="3332">
        <f>'Part VI-Revenues &amp; Expenses'!J45</f>
        <v>0</v>
      </c>
      <c r="K802" s="3333">
        <f t="shared" si="2"/>
        <v>0</v>
      </c>
      <c r="L802" s="3333">
        <f t="shared" si="3"/>
        <v>0</v>
      </c>
      <c r="M802" s="3207">
        <f>'Part VI-Revenues &amp; Expenses'!M45</f>
        <v>0</v>
      </c>
      <c r="N802" s="3207">
        <f>'Part VI-Revenues &amp; Expenses'!N45</f>
        <v>0</v>
      </c>
      <c r="O802" s="3207">
        <f>'Part VI-Revenues &amp; Expenses'!O45</f>
        <v>0</v>
      </c>
      <c r="P802" s="3313">
        <f>'Part VI-Revenues &amp; Expenses'!P45</f>
        <v>0</v>
      </c>
      <c r="Q802" s="3334" t="str">
        <f>'Part VI-Revenues &amp; Expenses'!Q45</f>
        <v/>
      </c>
      <c r="R802" s="3335" t="str">
        <f>'Part VI-Revenues &amp; Expenses'!R45</f>
        <v/>
      </c>
      <c r="S802" s="3334">
        <f>'Part VI-Revenues &amp; Expenses'!S45</f>
        <v>0</v>
      </c>
      <c r="T802" s="3335">
        <f>'Part VI-Revenues &amp; Expenses'!T45</f>
        <v>0</v>
      </c>
      <c r="U802" s="3257"/>
      <c r="V802" s="3257"/>
      <c r="W802" s="523" t="str">
        <f t="shared" si="4"/>
        <v/>
      </c>
      <c r="X802" s="523" t="str">
        <f t="shared" si="5"/>
        <v/>
      </c>
      <c r="Y802" s="523" t="str">
        <f t="shared" si="6"/>
        <v/>
      </c>
      <c r="Z802" s="523" t="str">
        <f t="shared" si="7"/>
        <v/>
      </c>
      <c r="AA802" s="523" t="str">
        <f t="shared" si="8"/>
        <v/>
      </c>
      <c r="AB802" s="523" t="str">
        <f t="shared" si="9"/>
        <v/>
      </c>
      <c r="AC802" s="523" t="str">
        <f t="shared" si="10"/>
        <v/>
      </c>
      <c r="AD802" s="523" t="str">
        <f t="shared" si="11"/>
        <v/>
      </c>
      <c r="AE802" s="523" t="str">
        <f t="shared" si="12"/>
        <v/>
      </c>
      <c r="AF802" s="523" t="str">
        <f t="shared" si="13"/>
        <v/>
      </c>
      <c r="AG802" s="523" t="str">
        <f t="shared" si="14"/>
        <v/>
      </c>
      <c r="AH802" s="523" t="str">
        <f t="shared" si="15"/>
        <v/>
      </c>
      <c r="AI802" s="523" t="str">
        <f t="shared" si="16"/>
        <v/>
      </c>
      <c r="AJ802" s="523" t="str">
        <f t="shared" si="17"/>
        <v/>
      </c>
      <c r="AK802" s="523" t="str">
        <f t="shared" si="18"/>
        <v/>
      </c>
      <c r="AL802" s="523" t="str">
        <f t="shared" si="19"/>
        <v/>
      </c>
      <c r="AM802" s="523" t="str">
        <f t="shared" si="20"/>
        <v/>
      </c>
      <c r="AN802" s="523" t="str">
        <f t="shared" si="21"/>
        <v/>
      </c>
      <c r="AO802" s="523" t="str">
        <f t="shared" si="22"/>
        <v/>
      </c>
      <c r="AP802" s="523" t="str">
        <f t="shared" si="23"/>
        <v/>
      </c>
      <c r="AQ802" s="523" t="str">
        <f t="shared" si="24"/>
        <v/>
      </c>
      <c r="AR802" s="523" t="str">
        <f t="shared" si="25"/>
        <v/>
      </c>
      <c r="AS802" s="523" t="str">
        <f t="shared" si="26"/>
        <v/>
      </c>
      <c r="AT802" s="523" t="str">
        <f t="shared" si="27"/>
        <v/>
      </c>
      <c r="AU802" s="523" t="str">
        <f t="shared" si="28"/>
        <v/>
      </c>
      <c r="AV802" s="523" t="str">
        <f t="shared" si="29"/>
        <v/>
      </c>
      <c r="AW802" s="523" t="str">
        <f t="shared" si="30"/>
        <v/>
      </c>
      <c r="AX802" s="523" t="str">
        <f t="shared" si="31"/>
        <v/>
      </c>
      <c r="AY802" s="523" t="str">
        <f t="shared" si="32"/>
        <v/>
      </c>
      <c r="AZ802" s="523" t="str">
        <f t="shared" si="33"/>
        <v/>
      </c>
      <c r="BA802" s="523" t="str">
        <f t="shared" si="34"/>
        <v/>
      </c>
      <c r="BB802" s="523" t="str">
        <f t="shared" si="35"/>
        <v/>
      </c>
      <c r="BC802" s="523" t="str">
        <f t="shared" si="36"/>
        <v/>
      </c>
      <c r="BD802" s="523" t="str">
        <f t="shared" si="37"/>
        <v/>
      </c>
      <c r="BE802" s="523" t="str">
        <f t="shared" si="38"/>
        <v/>
      </c>
      <c r="BF802" s="523" t="str">
        <f t="shared" si="39"/>
        <v/>
      </c>
      <c r="BG802" s="523" t="str">
        <f t="shared" si="40"/>
        <v/>
      </c>
      <c r="BH802" s="523" t="str">
        <f t="shared" si="41"/>
        <v/>
      </c>
      <c r="BI802" s="523" t="str">
        <f t="shared" si="42"/>
        <v/>
      </c>
      <c r="BJ802" s="523" t="str">
        <f t="shared" si="43"/>
        <v/>
      </c>
      <c r="BK802" s="523" t="str">
        <f t="shared" si="44"/>
        <v/>
      </c>
      <c r="BL802" s="523" t="str">
        <f t="shared" si="45"/>
        <v/>
      </c>
      <c r="BM802" s="523" t="str">
        <f t="shared" si="46"/>
        <v/>
      </c>
      <c r="BN802" s="523" t="str">
        <f t="shared" si="47"/>
        <v/>
      </c>
      <c r="BO802" s="523" t="str">
        <f t="shared" si="48"/>
        <v/>
      </c>
      <c r="BP802" s="523" t="str">
        <f t="shared" si="49"/>
        <v/>
      </c>
      <c r="BQ802" s="523" t="str">
        <f t="shared" si="50"/>
        <v/>
      </c>
      <c r="BR802" s="523" t="str">
        <f t="shared" si="51"/>
        <v/>
      </c>
      <c r="BS802" s="523" t="str">
        <f t="shared" si="52"/>
        <v/>
      </c>
      <c r="BT802" s="523" t="str">
        <f t="shared" si="53"/>
        <v/>
      </c>
      <c r="BU802" s="523" t="str">
        <f t="shared" si="54"/>
        <v/>
      </c>
      <c r="BV802" s="523" t="str">
        <f t="shared" si="55"/>
        <v/>
      </c>
      <c r="BW802" s="523" t="str">
        <f t="shared" si="56"/>
        <v/>
      </c>
      <c r="BX802" s="523" t="str">
        <f t="shared" si="57"/>
        <v/>
      </c>
      <c r="BY802" s="523" t="str">
        <f t="shared" si="58"/>
        <v/>
      </c>
      <c r="BZ802" s="523" t="str">
        <f t="shared" si="59"/>
        <v/>
      </c>
      <c r="CA802" s="523" t="str">
        <f t="shared" si="60"/>
        <v/>
      </c>
      <c r="CB802" s="523" t="str">
        <f t="shared" si="61"/>
        <v/>
      </c>
      <c r="CC802" s="523" t="str">
        <f t="shared" si="62"/>
        <v/>
      </c>
      <c r="CD802" s="523" t="str">
        <f t="shared" si="63"/>
        <v/>
      </c>
      <c r="CE802" s="523" t="str">
        <f t="shared" si="64"/>
        <v/>
      </c>
      <c r="CF802" s="523" t="str">
        <f t="shared" si="65"/>
        <v/>
      </c>
      <c r="CG802" s="523" t="str">
        <f t="shared" si="66"/>
        <v/>
      </c>
      <c r="CH802" s="523" t="str">
        <f t="shared" si="67"/>
        <v/>
      </c>
      <c r="CI802" s="523" t="str">
        <f t="shared" si="68"/>
        <v/>
      </c>
      <c r="CJ802" s="523" t="str">
        <f t="shared" si="69"/>
        <v/>
      </c>
      <c r="CK802" s="523" t="str">
        <f t="shared" si="70"/>
        <v/>
      </c>
      <c r="CL802" s="523" t="str">
        <f t="shared" si="71"/>
        <v/>
      </c>
      <c r="CM802" s="523" t="str">
        <f t="shared" si="72"/>
        <v/>
      </c>
      <c r="CN802" s="523" t="str">
        <f t="shared" si="73"/>
        <v/>
      </c>
      <c r="CO802" s="523" t="str">
        <f t="shared" si="74"/>
        <v/>
      </c>
      <c r="CP802" s="523" t="str">
        <f t="shared" si="75"/>
        <v/>
      </c>
      <c r="CQ802" s="523" t="str">
        <f t="shared" si="76"/>
        <v/>
      </c>
      <c r="CR802" s="523" t="str">
        <f t="shared" si="77"/>
        <v/>
      </c>
      <c r="CS802" s="523" t="str">
        <f t="shared" si="78"/>
        <v/>
      </c>
      <c r="CT802" s="523" t="str">
        <f t="shared" si="79"/>
        <v/>
      </c>
      <c r="CU802" s="523" t="str">
        <f t="shared" si="80"/>
        <v/>
      </c>
      <c r="CV802" s="523" t="str">
        <f t="shared" si="81"/>
        <v/>
      </c>
      <c r="CW802" s="523" t="str">
        <f t="shared" si="82"/>
        <v/>
      </c>
      <c r="CX802" s="523" t="str">
        <f t="shared" si="83"/>
        <v/>
      </c>
      <c r="CY802" s="523" t="str">
        <f t="shared" si="84"/>
        <v/>
      </c>
      <c r="CZ802" s="523" t="str">
        <f t="shared" si="85"/>
        <v/>
      </c>
      <c r="DA802" s="523" t="str">
        <f t="shared" si="86"/>
        <v/>
      </c>
      <c r="DB802" s="523" t="str">
        <f t="shared" si="87"/>
        <v/>
      </c>
      <c r="DC802" s="523" t="str">
        <f t="shared" si="88"/>
        <v/>
      </c>
      <c r="DD802" s="523" t="str">
        <f t="shared" si="89"/>
        <v/>
      </c>
      <c r="DE802" s="523" t="str">
        <f t="shared" si="90"/>
        <v/>
      </c>
      <c r="DF802" s="523" t="str">
        <f t="shared" si="91"/>
        <v/>
      </c>
      <c r="DG802" s="523" t="str">
        <f t="shared" si="92"/>
        <v/>
      </c>
      <c r="DH802" s="523" t="str">
        <f t="shared" si="93"/>
        <v/>
      </c>
      <c r="DI802" s="523" t="str">
        <f t="shared" si="94"/>
        <v/>
      </c>
      <c r="DJ802" s="523" t="str">
        <f t="shared" si="95"/>
        <v/>
      </c>
      <c r="DK802" s="523" t="str">
        <f t="shared" si="96"/>
        <v/>
      </c>
      <c r="DL802" s="523" t="str">
        <f t="shared" si="97"/>
        <v/>
      </c>
      <c r="DM802" s="523" t="str">
        <f t="shared" si="98"/>
        <v/>
      </c>
      <c r="DN802" s="523" t="str">
        <f t="shared" si="99"/>
        <v/>
      </c>
      <c r="DO802" s="523" t="str">
        <f t="shared" si="100"/>
        <v/>
      </c>
      <c r="DP802" s="523" t="str">
        <f t="shared" si="101"/>
        <v/>
      </c>
      <c r="DQ802" s="523" t="str">
        <f t="shared" si="102"/>
        <v/>
      </c>
      <c r="DR802" s="523" t="str">
        <f t="shared" si="103"/>
        <v/>
      </c>
      <c r="DS802" s="523" t="str">
        <f t="shared" si="104"/>
        <v/>
      </c>
      <c r="DT802" s="523" t="str">
        <f t="shared" si="105"/>
        <v/>
      </c>
      <c r="DU802" s="523" t="str">
        <f t="shared" si="106"/>
        <v/>
      </c>
      <c r="DV802" s="523" t="str">
        <f t="shared" si="107"/>
        <v/>
      </c>
      <c r="DW802" s="523" t="str">
        <f t="shared" si="108"/>
        <v/>
      </c>
      <c r="DX802" s="523" t="str">
        <f t="shared" si="109"/>
        <v/>
      </c>
      <c r="DY802" s="523" t="str">
        <f t="shared" si="110"/>
        <v/>
      </c>
      <c r="DZ802" s="523" t="str">
        <f t="shared" si="111"/>
        <v/>
      </c>
      <c r="EA802" s="523" t="str">
        <f t="shared" si="112"/>
        <v/>
      </c>
      <c r="EB802" s="523" t="str">
        <f t="shared" si="113"/>
        <v/>
      </c>
      <c r="EC802" s="523" t="str">
        <f t="shared" si="114"/>
        <v/>
      </c>
      <c r="ED802" s="523" t="str">
        <f t="shared" si="115"/>
        <v/>
      </c>
      <c r="EE802" s="523" t="str">
        <f t="shared" si="116"/>
        <v/>
      </c>
      <c r="EF802" s="523" t="str">
        <f t="shared" si="117"/>
        <v/>
      </c>
      <c r="EG802" s="523" t="str">
        <f t="shared" si="118"/>
        <v/>
      </c>
      <c r="EH802" s="523" t="str">
        <f t="shared" si="119"/>
        <v/>
      </c>
      <c r="EI802" s="523" t="str">
        <f t="shared" si="120"/>
        <v/>
      </c>
      <c r="EJ802" s="523" t="str">
        <f t="shared" si="121"/>
        <v/>
      </c>
      <c r="EK802" s="523" t="str">
        <f t="shared" si="122"/>
        <v/>
      </c>
      <c r="EL802" s="523" t="str">
        <f t="shared" si="123"/>
        <v/>
      </c>
      <c r="EM802" s="523" t="str">
        <f t="shared" si="124"/>
        <v/>
      </c>
      <c r="EN802" s="523" t="str">
        <f t="shared" si="125"/>
        <v/>
      </c>
      <c r="EO802" s="523" t="str">
        <f t="shared" si="126"/>
        <v/>
      </c>
      <c r="EP802" s="523" t="str">
        <f t="shared" si="127"/>
        <v/>
      </c>
      <c r="EQ802" s="523" t="str">
        <f t="shared" si="128"/>
        <v/>
      </c>
      <c r="ER802" s="523" t="str">
        <f t="shared" si="129"/>
        <v/>
      </c>
      <c r="ES802" s="523" t="str">
        <f t="shared" si="130"/>
        <v/>
      </c>
      <c r="ET802" s="523" t="str">
        <f t="shared" si="131"/>
        <v/>
      </c>
      <c r="EU802" s="523" t="str">
        <f t="shared" si="132"/>
        <v/>
      </c>
      <c r="EV802" s="523" t="str">
        <f t="shared" si="133"/>
        <v/>
      </c>
      <c r="EW802" s="3336" t="str">
        <f t="shared" si="134"/>
        <v/>
      </c>
      <c r="EX802" s="3336" t="str">
        <f t="shared" si="135"/>
        <v/>
      </c>
      <c r="EY802" s="3336" t="str">
        <f t="shared" si="136"/>
        <v/>
      </c>
      <c r="EZ802" s="3336" t="str">
        <f t="shared" si="137"/>
        <v/>
      </c>
      <c r="FA802" s="3336" t="str">
        <f t="shared" si="138"/>
        <v/>
      </c>
      <c r="FB802" s="3336" t="str">
        <f t="shared" si="139"/>
        <v/>
      </c>
      <c r="FC802" s="3336" t="str">
        <f t="shared" si="140"/>
        <v/>
      </c>
      <c r="FD802" s="3336" t="str">
        <f t="shared" si="141"/>
        <v/>
      </c>
      <c r="FE802" s="3336" t="str">
        <f t="shared" si="142"/>
        <v/>
      </c>
      <c r="FF802" s="3336" t="str">
        <f t="shared" si="143"/>
        <v/>
      </c>
      <c r="FG802" s="3336" t="str">
        <f t="shared" si="144"/>
        <v/>
      </c>
      <c r="FH802" s="3336" t="str">
        <f t="shared" si="145"/>
        <v/>
      </c>
      <c r="FI802" s="3336" t="str">
        <f t="shared" si="146"/>
        <v/>
      </c>
      <c r="FJ802" s="3336" t="str">
        <f t="shared" si="147"/>
        <v/>
      </c>
      <c r="FK802" s="3336" t="str">
        <f t="shared" si="148"/>
        <v/>
      </c>
      <c r="FL802" s="3336" t="str">
        <f t="shared" si="149"/>
        <v/>
      </c>
      <c r="FM802" s="3336" t="str">
        <f t="shared" si="150"/>
        <v/>
      </c>
      <c r="FN802" s="3336" t="str">
        <f t="shared" si="151"/>
        <v/>
      </c>
      <c r="FO802" s="3336" t="str">
        <f t="shared" si="152"/>
        <v/>
      </c>
      <c r="FP802" s="3336" t="str">
        <f t="shared" si="153"/>
        <v/>
      </c>
      <c r="FQ802" s="3336" t="str">
        <f t="shared" si="154"/>
        <v/>
      </c>
      <c r="FR802" s="3336" t="str">
        <f t="shared" si="155"/>
        <v/>
      </c>
      <c r="FS802" s="3336" t="str">
        <f t="shared" si="156"/>
        <v/>
      </c>
      <c r="FT802" s="3336" t="str">
        <f t="shared" si="157"/>
        <v/>
      </c>
      <c r="FU802" s="3336" t="str">
        <f t="shared" si="158"/>
        <v/>
      </c>
      <c r="FV802" s="3336" t="str">
        <f t="shared" si="159"/>
        <v/>
      </c>
      <c r="FW802" s="3336" t="str">
        <f t="shared" si="160"/>
        <v/>
      </c>
      <c r="FX802" s="3336" t="str">
        <f t="shared" si="161"/>
        <v/>
      </c>
      <c r="FY802" s="3336" t="str">
        <f t="shared" si="162"/>
        <v/>
      </c>
      <c r="FZ802" s="3336" t="str">
        <f t="shared" si="163"/>
        <v/>
      </c>
      <c r="GA802" s="3336" t="str">
        <f t="shared" si="164"/>
        <v/>
      </c>
      <c r="GB802" s="3336" t="str">
        <f t="shared" si="165"/>
        <v/>
      </c>
      <c r="GC802" s="3336" t="str">
        <f t="shared" si="166"/>
        <v/>
      </c>
      <c r="GD802" s="3336" t="str">
        <f t="shared" si="167"/>
        <v/>
      </c>
      <c r="GE802" s="3336" t="str">
        <f t="shared" si="168"/>
        <v/>
      </c>
      <c r="GF802" s="3336" t="str">
        <f t="shared" si="169"/>
        <v/>
      </c>
      <c r="GG802" s="3336" t="str">
        <f t="shared" si="170"/>
        <v/>
      </c>
      <c r="GH802" s="3336" t="str">
        <f t="shared" si="171"/>
        <v/>
      </c>
      <c r="GI802" s="3336" t="str">
        <f t="shared" si="172"/>
        <v/>
      </c>
      <c r="GJ802" s="3336" t="str">
        <f t="shared" si="173"/>
        <v/>
      </c>
      <c r="GK802" s="3336" t="str">
        <f t="shared" si="174"/>
        <v/>
      </c>
      <c r="GL802" s="3336" t="str">
        <f t="shared" si="175"/>
        <v/>
      </c>
      <c r="GM802" s="3336" t="str">
        <f t="shared" si="176"/>
        <v/>
      </c>
      <c r="GN802" s="3336" t="str">
        <f t="shared" si="177"/>
        <v/>
      </c>
      <c r="GO802" s="3336" t="str">
        <f t="shared" si="178"/>
        <v/>
      </c>
      <c r="GP802" s="3336" t="str">
        <f t="shared" si="179"/>
        <v/>
      </c>
      <c r="GQ802" s="3336" t="str">
        <f t="shared" si="180"/>
        <v/>
      </c>
      <c r="GR802" s="3336" t="str">
        <f t="shared" si="181"/>
        <v/>
      </c>
      <c r="GS802" s="3336" t="str">
        <f t="shared" si="182"/>
        <v/>
      </c>
      <c r="GT802" s="3336" t="str">
        <f t="shared" si="183"/>
        <v/>
      </c>
      <c r="GU802" s="3336" t="str">
        <f t="shared" si="184"/>
        <v/>
      </c>
      <c r="GV802" s="3336" t="str">
        <f t="shared" si="185"/>
        <v/>
      </c>
      <c r="GW802" s="3336" t="str">
        <f t="shared" si="186"/>
        <v/>
      </c>
      <c r="GX802" s="3336" t="str">
        <f t="shared" si="187"/>
        <v/>
      </c>
      <c r="GY802" s="3336" t="str">
        <f t="shared" si="188"/>
        <v/>
      </c>
      <c r="GZ802" s="3336" t="str">
        <f t="shared" si="189"/>
        <v/>
      </c>
      <c r="HA802" s="3336" t="str">
        <f t="shared" si="190"/>
        <v/>
      </c>
      <c r="HB802" s="3336" t="str">
        <f t="shared" si="191"/>
        <v/>
      </c>
      <c r="HC802" s="3336" t="str">
        <f t="shared" si="192"/>
        <v/>
      </c>
      <c r="HD802" s="3336" t="str">
        <f t="shared" si="193"/>
        <v/>
      </c>
      <c r="HE802" s="3336" t="str">
        <f t="shared" si="194"/>
        <v/>
      </c>
      <c r="HF802" s="3336" t="str">
        <f t="shared" si="195"/>
        <v/>
      </c>
      <c r="HG802" s="3336" t="str">
        <f t="shared" si="196"/>
        <v/>
      </c>
      <c r="HH802" s="3336" t="str">
        <f t="shared" si="197"/>
        <v/>
      </c>
      <c r="HI802" s="3336" t="str">
        <f t="shared" si="198"/>
        <v/>
      </c>
      <c r="HJ802" s="3336" t="str">
        <f t="shared" si="199"/>
        <v/>
      </c>
      <c r="HK802" s="3336" t="str">
        <f t="shared" si="200"/>
        <v/>
      </c>
      <c r="HL802" s="3336" t="str">
        <f t="shared" si="201"/>
        <v/>
      </c>
      <c r="HM802" s="3336" t="str">
        <f t="shared" si="202"/>
        <v/>
      </c>
      <c r="HN802" s="3336" t="str">
        <f t="shared" si="203"/>
        <v/>
      </c>
      <c r="HO802" s="3336" t="str">
        <f t="shared" si="204"/>
        <v/>
      </c>
      <c r="HP802" s="3336" t="str">
        <f t="shared" si="205"/>
        <v/>
      </c>
      <c r="HQ802" s="3336" t="str">
        <f t="shared" si="206"/>
        <v/>
      </c>
      <c r="HR802" s="3336" t="str">
        <f t="shared" si="207"/>
        <v/>
      </c>
      <c r="HS802" s="3336" t="str">
        <f t="shared" si="208"/>
        <v/>
      </c>
      <c r="HT802" s="3336" t="str">
        <f t="shared" si="209"/>
        <v/>
      </c>
      <c r="HU802" s="3336" t="str">
        <f t="shared" si="210"/>
        <v/>
      </c>
      <c r="HV802" s="3336" t="str">
        <f t="shared" si="211"/>
        <v/>
      </c>
      <c r="HW802" s="3336" t="str">
        <f t="shared" si="212"/>
        <v/>
      </c>
      <c r="HX802" s="3336" t="str">
        <f t="shared" si="213"/>
        <v/>
      </c>
      <c r="HY802" s="3336" t="str">
        <f t="shared" si="214"/>
        <v/>
      </c>
      <c r="HZ802" s="3336" t="str">
        <f t="shared" si="215"/>
        <v/>
      </c>
      <c r="IA802" s="3336" t="str">
        <f t="shared" si="216"/>
        <v/>
      </c>
      <c r="IB802" s="3336" t="str">
        <f t="shared" si="217"/>
        <v/>
      </c>
      <c r="IC802" s="3336" t="str">
        <f t="shared" si="218"/>
        <v/>
      </c>
      <c r="ID802" s="3308" t="str">
        <f t="shared" si="219"/>
        <v/>
      </c>
      <c r="IE802" s="3308" t="str">
        <f t="shared" si="220"/>
        <v/>
      </c>
      <c r="IF802" s="3308" t="str">
        <f t="shared" si="221"/>
        <v/>
      </c>
      <c r="IG802" s="3308" t="str">
        <f t="shared" si="222"/>
        <v/>
      </c>
      <c r="IH802" s="3308" t="str">
        <f t="shared" si="223"/>
        <v/>
      </c>
      <c r="II802" s="523" t="str">
        <f t="shared" si="224"/>
        <v/>
      </c>
      <c r="IJ802" s="523" t="str">
        <f t="shared" si="225"/>
        <v/>
      </c>
      <c r="IK802" s="523" t="str">
        <f t="shared" si="226"/>
        <v/>
      </c>
      <c r="IL802" s="523" t="str">
        <f t="shared" si="227"/>
        <v/>
      </c>
      <c r="IM802" s="523" t="str">
        <f t="shared" si="228"/>
        <v/>
      </c>
      <c r="IN802" s="523" t="str">
        <f t="shared" si="229"/>
        <v/>
      </c>
      <c r="IO802" s="523" t="str">
        <f t="shared" si="230"/>
        <v/>
      </c>
      <c r="IP802" s="523" t="str">
        <f t="shared" si="231"/>
        <v/>
      </c>
      <c r="IQ802" s="523" t="str">
        <f t="shared" si="232"/>
        <v/>
      </c>
      <c r="IR802" s="523" t="str">
        <f t="shared" si="233"/>
        <v/>
      </c>
      <c r="IS802" s="523" t="str">
        <f t="shared" si="234"/>
        <v/>
      </c>
      <c r="IT802" s="523" t="str">
        <f t="shared" si="235"/>
        <v/>
      </c>
      <c r="IU802" s="523" t="str">
        <f t="shared" si="236"/>
        <v/>
      </c>
      <c r="IV802" s="523" t="str">
        <f t="shared" si="237"/>
        <v/>
      </c>
      <c r="IW802" s="523" t="str">
        <f t="shared" si="238"/>
        <v/>
      </c>
      <c r="IX802" s="523" t="str">
        <f t="shared" si="239"/>
        <v/>
      </c>
      <c r="IY802" s="523" t="str">
        <f t="shared" si="240"/>
        <v/>
      </c>
      <c r="IZ802" s="523" t="str">
        <f t="shared" si="241"/>
        <v/>
      </c>
      <c r="JA802" s="523" t="str">
        <f t="shared" si="242"/>
        <v/>
      </c>
      <c r="JB802" s="523" t="str">
        <f t="shared" si="243"/>
        <v/>
      </c>
      <c r="JC802" s="3306">
        <f t="shared" si="244"/>
        <v>0</v>
      </c>
      <c r="JD802" s="3306">
        <f t="shared" si="245"/>
        <v>0</v>
      </c>
      <c r="JE802" s="3306">
        <f t="shared" si="246"/>
        <v>0</v>
      </c>
      <c r="JF802" s="3306">
        <f t="shared" si="247"/>
        <v>0</v>
      </c>
      <c r="JG802" s="3306">
        <f t="shared" si="248"/>
        <v>0</v>
      </c>
      <c r="JH802" s="3306">
        <f t="shared" si="249"/>
        <v>0</v>
      </c>
      <c r="JI802" s="3306">
        <f t="shared" si="250"/>
        <v>0</v>
      </c>
      <c r="JJ802" s="3306">
        <f t="shared" si="251"/>
        <v>0</v>
      </c>
      <c r="JK802" s="3306">
        <f t="shared" si="252"/>
        <v>0</v>
      </c>
      <c r="JL802" s="3306">
        <f t="shared" si="253"/>
        <v>0</v>
      </c>
      <c r="JM802" s="3306">
        <f t="shared" si="254"/>
        <v>0</v>
      </c>
      <c r="JN802" s="3306">
        <f t="shared" si="255"/>
        <v>0</v>
      </c>
      <c r="JO802" s="3306">
        <f t="shared" si="256"/>
        <v>0</v>
      </c>
      <c r="JP802" s="3306">
        <f t="shared" si="257"/>
        <v>0</v>
      </c>
      <c r="JQ802" s="3306">
        <f t="shared" si="258"/>
        <v>0</v>
      </c>
    </row>
    <row r="803" spans="1:278" ht="12" customHeight="1">
      <c r="A803" s="3319" t="str">
        <f t="shared" si="1"/>
        <v/>
      </c>
      <c r="B803" s="3328" t="str">
        <f>'Part VI-Revenues &amp; Expenses'!B46</f>
        <v>&lt;&lt;Select&gt;&gt;</v>
      </c>
      <c r="C803" s="3329">
        <f>'Part VI-Revenues &amp; Expenses'!C46</f>
        <v>0</v>
      </c>
      <c r="D803" s="3330">
        <f>'Part VI-Revenues &amp; Expenses'!D46</f>
        <v>0</v>
      </c>
      <c r="E803" s="3331">
        <f>'Part VI-Revenues &amp; Expenses'!E46</f>
        <v>0</v>
      </c>
      <c r="F803" s="3331">
        <f>'Part VI-Revenues &amp; Expenses'!F46</f>
        <v>0</v>
      </c>
      <c r="G803" s="3331">
        <f>'Part VI-Revenues &amp; Expenses'!G46</f>
        <v>0</v>
      </c>
      <c r="H803" s="3331">
        <f>'Part VI-Revenues &amp; Expenses'!H46</f>
        <v>0</v>
      </c>
      <c r="I803" s="3331">
        <f>'Part VI-Revenues &amp; Expenses'!I46</f>
        <v>0</v>
      </c>
      <c r="J803" s="3332">
        <f>'Part VI-Revenues &amp; Expenses'!J46</f>
        <v>0</v>
      </c>
      <c r="K803" s="3333">
        <f t="shared" si="2"/>
        <v>0</v>
      </c>
      <c r="L803" s="3333">
        <f t="shared" si="3"/>
        <v>0</v>
      </c>
      <c r="M803" s="3207">
        <f>'Part VI-Revenues &amp; Expenses'!M46</f>
        <v>0</v>
      </c>
      <c r="N803" s="3207">
        <f>'Part VI-Revenues &amp; Expenses'!N46</f>
        <v>0</v>
      </c>
      <c r="O803" s="3207">
        <f>'Part VI-Revenues &amp; Expenses'!O46</f>
        <v>0</v>
      </c>
      <c r="P803" s="3313">
        <f>'Part VI-Revenues &amp; Expenses'!P46</f>
        <v>0</v>
      </c>
      <c r="Q803" s="3334" t="str">
        <f>'Part VI-Revenues &amp; Expenses'!Q46</f>
        <v/>
      </c>
      <c r="R803" s="3335" t="str">
        <f>'Part VI-Revenues &amp; Expenses'!R46</f>
        <v/>
      </c>
      <c r="S803" s="3334">
        <f>'Part VI-Revenues &amp; Expenses'!S46</f>
        <v>0</v>
      </c>
      <c r="T803" s="3335">
        <f>'Part VI-Revenues &amp; Expenses'!T46</f>
        <v>0</v>
      </c>
      <c r="U803" s="3257"/>
      <c r="V803" s="3257"/>
      <c r="W803" s="523" t="str">
        <f t="shared" si="4"/>
        <v/>
      </c>
      <c r="X803" s="523" t="str">
        <f t="shared" si="5"/>
        <v/>
      </c>
      <c r="Y803" s="523" t="str">
        <f t="shared" si="6"/>
        <v/>
      </c>
      <c r="Z803" s="523" t="str">
        <f t="shared" si="7"/>
        <v/>
      </c>
      <c r="AA803" s="523" t="str">
        <f t="shared" si="8"/>
        <v/>
      </c>
      <c r="AB803" s="523" t="str">
        <f t="shared" si="9"/>
        <v/>
      </c>
      <c r="AC803" s="523" t="str">
        <f t="shared" si="10"/>
        <v/>
      </c>
      <c r="AD803" s="523" t="str">
        <f t="shared" si="11"/>
        <v/>
      </c>
      <c r="AE803" s="523" t="str">
        <f t="shared" si="12"/>
        <v/>
      </c>
      <c r="AF803" s="523" t="str">
        <f t="shared" si="13"/>
        <v/>
      </c>
      <c r="AG803" s="523" t="str">
        <f t="shared" si="14"/>
        <v/>
      </c>
      <c r="AH803" s="523" t="str">
        <f t="shared" si="15"/>
        <v/>
      </c>
      <c r="AI803" s="523" t="str">
        <f t="shared" si="16"/>
        <v/>
      </c>
      <c r="AJ803" s="523" t="str">
        <f t="shared" si="17"/>
        <v/>
      </c>
      <c r="AK803" s="523" t="str">
        <f t="shared" si="18"/>
        <v/>
      </c>
      <c r="AL803" s="523" t="str">
        <f t="shared" si="19"/>
        <v/>
      </c>
      <c r="AM803" s="523" t="str">
        <f t="shared" si="20"/>
        <v/>
      </c>
      <c r="AN803" s="523" t="str">
        <f t="shared" si="21"/>
        <v/>
      </c>
      <c r="AO803" s="523" t="str">
        <f t="shared" si="22"/>
        <v/>
      </c>
      <c r="AP803" s="523" t="str">
        <f t="shared" si="23"/>
        <v/>
      </c>
      <c r="AQ803" s="523" t="str">
        <f t="shared" si="24"/>
        <v/>
      </c>
      <c r="AR803" s="523" t="str">
        <f t="shared" si="25"/>
        <v/>
      </c>
      <c r="AS803" s="523" t="str">
        <f t="shared" si="26"/>
        <v/>
      </c>
      <c r="AT803" s="523" t="str">
        <f t="shared" si="27"/>
        <v/>
      </c>
      <c r="AU803" s="523" t="str">
        <f t="shared" si="28"/>
        <v/>
      </c>
      <c r="AV803" s="523" t="str">
        <f t="shared" si="29"/>
        <v/>
      </c>
      <c r="AW803" s="523" t="str">
        <f t="shared" si="30"/>
        <v/>
      </c>
      <c r="AX803" s="523" t="str">
        <f t="shared" si="31"/>
        <v/>
      </c>
      <c r="AY803" s="523" t="str">
        <f t="shared" si="32"/>
        <v/>
      </c>
      <c r="AZ803" s="523" t="str">
        <f t="shared" si="33"/>
        <v/>
      </c>
      <c r="BA803" s="523" t="str">
        <f t="shared" si="34"/>
        <v/>
      </c>
      <c r="BB803" s="523" t="str">
        <f t="shared" si="35"/>
        <v/>
      </c>
      <c r="BC803" s="523" t="str">
        <f t="shared" si="36"/>
        <v/>
      </c>
      <c r="BD803" s="523" t="str">
        <f t="shared" si="37"/>
        <v/>
      </c>
      <c r="BE803" s="523" t="str">
        <f t="shared" si="38"/>
        <v/>
      </c>
      <c r="BF803" s="523" t="str">
        <f t="shared" si="39"/>
        <v/>
      </c>
      <c r="BG803" s="523" t="str">
        <f t="shared" si="40"/>
        <v/>
      </c>
      <c r="BH803" s="523" t="str">
        <f t="shared" si="41"/>
        <v/>
      </c>
      <c r="BI803" s="523" t="str">
        <f t="shared" si="42"/>
        <v/>
      </c>
      <c r="BJ803" s="523" t="str">
        <f t="shared" si="43"/>
        <v/>
      </c>
      <c r="BK803" s="523" t="str">
        <f t="shared" si="44"/>
        <v/>
      </c>
      <c r="BL803" s="523" t="str">
        <f t="shared" si="45"/>
        <v/>
      </c>
      <c r="BM803" s="523" t="str">
        <f t="shared" si="46"/>
        <v/>
      </c>
      <c r="BN803" s="523" t="str">
        <f t="shared" si="47"/>
        <v/>
      </c>
      <c r="BO803" s="523" t="str">
        <f t="shared" si="48"/>
        <v/>
      </c>
      <c r="BP803" s="523" t="str">
        <f t="shared" si="49"/>
        <v/>
      </c>
      <c r="BQ803" s="523" t="str">
        <f t="shared" si="50"/>
        <v/>
      </c>
      <c r="BR803" s="523" t="str">
        <f t="shared" si="51"/>
        <v/>
      </c>
      <c r="BS803" s="523" t="str">
        <f t="shared" si="52"/>
        <v/>
      </c>
      <c r="BT803" s="523" t="str">
        <f t="shared" si="53"/>
        <v/>
      </c>
      <c r="BU803" s="523" t="str">
        <f t="shared" si="54"/>
        <v/>
      </c>
      <c r="BV803" s="523" t="str">
        <f t="shared" si="55"/>
        <v/>
      </c>
      <c r="BW803" s="523" t="str">
        <f t="shared" si="56"/>
        <v/>
      </c>
      <c r="BX803" s="523" t="str">
        <f t="shared" si="57"/>
        <v/>
      </c>
      <c r="BY803" s="523" t="str">
        <f t="shared" si="58"/>
        <v/>
      </c>
      <c r="BZ803" s="523" t="str">
        <f t="shared" si="59"/>
        <v/>
      </c>
      <c r="CA803" s="523" t="str">
        <f t="shared" si="60"/>
        <v/>
      </c>
      <c r="CB803" s="523" t="str">
        <f t="shared" si="61"/>
        <v/>
      </c>
      <c r="CC803" s="523" t="str">
        <f t="shared" si="62"/>
        <v/>
      </c>
      <c r="CD803" s="523" t="str">
        <f t="shared" si="63"/>
        <v/>
      </c>
      <c r="CE803" s="523" t="str">
        <f t="shared" si="64"/>
        <v/>
      </c>
      <c r="CF803" s="523" t="str">
        <f t="shared" si="65"/>
        <v/>
      </c>
      <c r="CG803" s="523" t="str">
        <f t="shared" si="66"/>
        <v/>
      </c>
      <c r="CH803" s="523" t="str">
        <f t="shared" si="67"/>
        <v/>
      </c>
      <c r="CI803" s="523" t="str">
        <f t="shared" si="68"/>
        <v/>
      </c>
      <c r="CJ803" s="523" t="str">
        <f t="shared" si="69"/>
        <v/>
      </c>
      <c r="CK803" s="523" t="str">
        <f t="shared" si="70"/>
        <v/>
      </c>
      <c r="CL803" s="523" t="str">
        <f t="shared" si="71"/>
        <v/>
      </c>
      <c r="CM803" s="523" t="str">
        <f t="shared" si="72"/>
        <v/>
      </c>
      <c r="CN803" s="523" t="str">
        <f t="shared" si="73"/>
        <v/>
      </c>
      <c r="CO803" s="523" t="str">
        <f t="shared" si="74"/>
        <v/>
      </c>
      <c r="CP803" s="523" t="str">
        <f t="shared" si="75"/>
        <v/>
      </c>
      <c r="CQ803" s="523" t="str">
        <f t="shared" si="76"/>
        <v/>
      </c>
      <c r="CR803" s="523" t="str">
        <f t="shared" si="77"/>
        <v/>
      </c>
      <c r="CS803" s="523" t="str">
        <f t="shared" si="78"/>
        <v/>
      </c>
      <c r="CT803" s="523" t="str">
        <f t="shared" si="79"/>
        <v/>
      </c>
      <c r="CU803" s="523" t="str">
        <f t="shared" si="80"/>
        <v/>
      </c>
      <c r="CV803" s="523" t="str">
        <f t="shared" si="81"/>
        <v/>
      </c>
      <c r="CW803" s="523" t="str">
        <f t="shared" si="82"/>
        <v/>
      </c>
      <c r="CX803" s="523" t="str">
        <f t="shared" si="83"/>
        <v/>
      </c>
      <c r="CY803" s="523" t="str">
        <f t="shared" si="84"/>
        <v/>
      </c>
      <c r="CZ803" s="523" t="str">
        <f t="shared" si="85"/>
        <v/>
      </c>
      <c r="DA803" s="523" t="str">
        <f t="shared" si="86"/>
        <v/>
      </c>
      <c r="DB803" s="523" t="str">
        <f t="shared" si="87"/>
        <v/>
      </c>
      <c r="DC803" s="523" t="str">
        <f t="shared" si="88"/>
        <v/>
      </c>
      <c r="DD803" s="523" t="str">
        <f t="shared" si="89"/>
        <v/>
      </c>
      <c r="DE803" s="523" t="str">
        <f t="shared" si="90"/>
        <v/>
      </c>
      <c r="DF803" s="523" t="str">
        <f t="shared" si="91"/>
        <v/>
      </c>
      <c r="DG803" s="523" t="str">
        <f t="shared" si="92"/>
        <v/>
      </c>
      <c r="DH803" s="523" t="str">
        <f t="shared" si="93"/>
        <v/>
      </c>
      <c r="DI803" s="523" t="str">
        <f t="shared" si="94"/>
        <v/>
      </c>
      <c r="DJ803" s="523" t="str">
        <f t="shared" si="95"/>
        <v/>
      </c>
      <c r="DK803" s="523" t="str">
        <f t="shared" si="96"/>
        <v/>
      </c>
      <c r="DL803" s="523" t="str">
        <f t="shared" si="97"/>
        <v/>
      </c>
      <c r="DM803" s="523" t="str">
        <f t="shared" si="98"/>
        <v/>
      </c>
      <c r="DN803" s="523" t="str">
        <f t="shared" si="99"/>
        <v/>
      </c>
      <c r="DO803" s="523" t="str">
        <f t="shared" si="100"/>
        <v/>
      </c>
      <c r="DP803" s="523" t="str">
        <f t="shared" si="101"/>
        <v/>
      </c>
      <c r="DQ803" s="523" t="str">
        <f t="shared" si="102"/>
        <v/>
      </c>
      <c r="DR803" s="523" t="str">
        <f t="shared" si="103"/>
        <v/>
      </c>
      <c r="DS803" s="523" t="str">
        <f t="shared" si="104"/>
        <v/>
      </c>
      <c r="DT803" s="523" t="str">
        <f t="shared" si="105"/>
        <v/>
      </c>
      <c r="DU803" s="523" t="str">
        <f t="shared" si="106"/>
        <v/>
      </c>
      <c r="DV803" s="523" t="str">
        <f t="shared" si="107"/>
        <v/>
      </c>
      <c r="DW803" s="523" t="str">
        <f t="shared" si="108"/>
        <v/>
      </c>
      <c r="DX803" s="523" t="str">
        <f t="shared" si="109"/>
        <v/>
      </c>
      <c r="DY803" s="523" t="str">
        <f t="shared" si="110"/>
        <v/>
      </c>
      <c r="DZ803" s="523" t="str">
        <f t="shared" si="111"/>
        <v/>
      </c>
      <c r="EA803" s="523" t="str">
        <f t="shared" si="112"/>
        <v/>
      </c>
      <c r="EB803" s="523" t="str">
        <f t="shared" si="113"/>
        <v/>
      </c>
      <c r="EC803" s="523" t="str">
        <f t="shared" si="114"/>
        <v/>
      </c>
      <c r="ED803" s="523" t="str">
        <f t="shared" si="115"/>
        <v/>
      </c>
      <c r="EE803" s="523" t="str">
        <f t="shared" si="116"/>
        <v/>
      </c>
      <c r="EF803" s="523" t="str">
        <f t="shared" si="117"/>
        <v/>
      </c>
      <c r="EG803" s="523" t="str">
        <f t="shared" si="118"/>
        <v/>
      </c>
      <c r="EH803" s="523" t="str">
        <f t="shared" si="119"/>
        <v/>
      </c>
      <c r="EI803" s="523" t="str">
        <f t="shared" si="120"/>
        <v/>
      </c>
      <c r="EJ803" s="523" t="str">
        <f t="shared" si="121"/>
        <v/>
      </c>
      <c r="EK803" s="523" t="str">
        <f t="shared" si="122"/>
        <v/>
      </c>
      <c r="EL803" s="523" t="str">
        <f t="shared" si="123"/>
        <v/>
      </c>
      <c r="EM803" s="523" t="str">
        <f t="shared" si="124"/>
        <v/>
      </c>
      <c r="EN803" s="523" t="str">
        <f t="shared" si="125"/>
        <v/>
      </c>
      <c r="EO803" s="523" t="str">
        <f t="shared" si="126"/>
        <v/>
      </c>
      <c r="EP803" s="523" t="str">
        <f t="shared" si="127"/>
        <v/>
      </c>
      <c r="EQ803" s="523" t="str">
        <f t="shared" si="128"/>
        <v/>
      </c>
      <c r="ER803" s="523" t="str">
        <f t="shared" si="129"/>
        <v/>
      </c>
      <c r="ES803" s="523" t="str">
        <f t="shared" si="130"/>
        <v/>
      </c>
      <c r="ET803" s="523" t="str">
        <f t="shared" si="131"/>
        <v/>
      </c>
      <c r="EU803" s="523" t="str">
        <f t="shared" si="132"/>
        <v/>
      </c>
      <c r="EV803" s="523" t="str">
        <f t="shared" si="133"/>
        <v/>
      </c>
      <c r="EW803" s="3336" t="str">
        <f t="shared" si="134"/>
        <v/>
      </c>
      <c r="EX803" s="3336" t="str">
        <f t="shared" si="135"/>
        <v/>
      </c>
      <c r="EY803" s="3336" t="str">
        <f t="shared" si="136"/>
        <v/>
      </c>
      <c r="EZ803" s="3336" t="str">
        <f t="shared" si="137"/>
        <v/>
      </c>
      <c r="FA803" s="3336" t="str">
        <f t="shared" si="138"/>
        <v/>
      </c>
      <c r="FB803" s="3336" t="str">
        <f t="shared" si="139"/>
        <v/>
      </c>
      <c r="FC803" s="3336" t="str">
        <f t="shared" si="140"/>
        <v/>
      </c>
      <c r="FD803" s="3336" t="str">
        <f t="shared" si="141"/>
        <v/>
      </c>
      <c r="FE803" s="3336" t="str">
        <f t="shared" si="142"/>
        <v/>
      </c>
      <c r="FF803" s="3336" t="str">
        <f t="shared" si="143"/>
        <v/>
      </c>
      <c r="FG803" s="3336" t="str">
        <f t="shared" si="144"/>
        <v/>
      </c>
      <c r="FH803" s="3336" t="str">
        <f t="shared" si="145"/>
        <v/>
      </c>
      <c r="FI803" s="3336" t="str">
        <f t="shared" si="146"/>
        <v/>
      </c>
      <c r="FJ803" s="3336" t="str">
        <f t="shared" si="147"/>
        <v/>
      </c>
      <c r="FK803" s="3336" t="str">
        <f t="shared" si="148"/>
        <v/>
      </c>
      <c r="FL803" s="3336" t="str">
        <f t="shared" si="149"/>
        <v/>
      </c>
      <c r="FM803" s="3336" t="str">
        <f t="shared" si="150"/>
        <v/>
      </c>
      <c r="FN803" s="3336" t="str">
        <f t="shared" si="151"/>
        <v/>
      </c>
      <c r="FO803" s="3336" t="str">
        <f t="shared" si="152"/>
        <v/>
      </c>
      <c r="FP803" s="3336" t="str">
        <f t="shared" si="153"/>
        <v/>
      </c>
      <c r="FQ803" s="3336" t="str">
        <f t="shared" si="154"/>
        <v/>
      </c>
      <c r="FR803" s="3336" t="str">
        <f t="shared" si="155"/>
        <v/>
      </c>
      <c r="FS803" s="3336" t="str">
        <f t="shared" si="156"/>
        <v/>
      </c>
      <c r="FT803" s="3336" t="str">
        <f t="shared" si="157"/>
        <v/>
      </c>
      <c r="FU803" s="3336" t="str">
        <f t="shared" si="158"/>
        <v/>
      </c>
      <c r="FV803" s="3336" t="str">
        <f t="shared" si="159"/>
        <v/>
      </c>
      <c r="FW803" s="3336" t="str">
        <f t="shared" si="160"/>
        <v/>
      </c>
      <c r="FX803" s="3336" t="str">
        <f t="shared" si="161"/>
        <v/>
      </c>
      <c r="FY803" s="3336" t="str">
        <f t="shared" si="162"/>
        <v/>
      </c>
      <c r="FZ803" s="3336" t="str">
        <f t="shared" si="163"/>
        <v/>
      </c>
      <c r="GA803" s="3336" t="str">
        <f t="shared" si="164"/>
        <v/>
      </c>
      <c r="GB803" s="3336" t="str">
        <f t="shared" si="165"/>
        <v/>
      </c>
      <c r="GC803" s="3336" t="str">
        <f t="shared" si="166"/>
        <v/>
      </c>
      <c r="GD803" s="3336" t="str">
        <f t="shared" si="167"/>
        <v/>
      </c>
      <c r="GE803" s="3336" t="str">
        <f t="shared" si="168"/>
        <v/>
      </c>
      <c r="GF803" s="3336" t="str">
        <f t="shared" si="169"/>
        <v/>
      </c>
      <c r="GG803" s="3336" t="str">
        <f t="shared" si="170"/>
        <v/>
      </c>
      <c r="GH803" s="3336" t="str">
        <f t="shared" si="171"/>
        <v/>
      </c>
      <c r="GI803" s="3336" t="str">
        <f t="shared" si="172"/>
        <v/>
      </c>
      <c r="GJ803" s="3336" t="str">
        <f t="shared" si="173"/>
        <v/>
      </c>
      <c r="GK803" s="3336" t="str">
        <f t="shared" si="174"/>
        <v/>
      </c>
      <c r="GL803" s="3336" t="str">
        <f t="shared" si="175"/>
        <v/>
      </c>
      <c r="GM803" s="3336" t="str">
        <f t="shared" si="176"/>
        <v/>
      </c>
      <c r="GN803" s="3336" t="str">
        <f t="shared" si="177"/>
        <v/>
      </c>
      <c r="GO803" s="3336" t="str">
        <f t="shared" si="178"/>
        <v/>
      </c>
      <c r="GP803" s="3336" t="str">
        <f t="shared" si="179"/>
        <v/>
      </c>
      <c r="GQ803" s="3336" t="str">
        <f t="shared" si="180"/>
        <v/>
      </c>
      <c r="GR803" s="3336" t="str">
        <f t="shared" si="181"/>
        <v/>
      </c>
      <c r="GS803" s="3336" t="str">
        <f t="shared" si="182"/>
        <v/>
      </c>
      <c r="GT803" s="3336" t="str">
        <f t="shared" si="183"/>
        <v/>
      </c>
      <c r="GU803" s="3336" t="str">
        <f t="shared" si="184"/>
        <v/>
      </c>
      <c r="GV803" s="3336" t="str">
        <f t="shared" si="185"/>
        <v/>
      </c>
      <c r="GW803" s="3336" t="str">
        <f t="shared" si="186"/>
        <v/>
      </c>
      <c r="GX803" s="3336" t="str">
        <f t="shared" si="187"/>
        <v/>
      </c>
      <c r="GY803" s="3336" t="str">
        <f t="shared" si="188"/>
        <v/>
      </c>
      <c r="GZ803" s="3336" t="str">
        <f t="shared" si="189"/>
        <v/>
      </c>
      <c r="HA803" s="3336" t="str">
        <f t="shared" si="190"/>
        <v/>
      </c>
      <c r="HB803" s="3336" t="str">
        <f t="shared" si="191"/>
        <v/>
      </c>
      <c r="HC803" s="3336" t="str">
        <f t="shared" si="192"/>
        <v/>
      </c>
      <c r="HD803" s="3336" t="str">
        <f t="shared" si="193"/>
        <v/>
      </c>
      <c r="HE803" s="3336" t="str">
        <f t="shared" si="194"/>
        <v/>
      </c>
      <c r="HF803" s="3336" t="str">
        <f t="shared" si="195"/>
        <v/>
      </c>
      <c r="HG803" s="3336" t="str">
        <f t="shared" si="196"/>
        <v/>
      </c>
      <c r="HH803" s="3336" t="str">
        <f t="shared" si="197"/>
        <v/>
      </c>
      <c r="HI803" s="3336" t="str">
        <f t="shared" si="198"/>
        <v/>
      </c>
      <c r="HJ803" s="3336" t="str">
        <f t="shared" si="199"/>
        <v/>
      </c>
      <c r="HK803" s="3336" t="str">
        <f t="shared" si="200"/>
        <v/>
      </c>
      <c r="HL803" s="3336" t="str">
        <f t="shared" si="201"/>
        <v/>
      </c>
      <c r="HM803" s="3336" t="str">
        <f t="shared" si="202"/>
        <v/>
      </c>
      <c r="HN803" s="3336" t="str">
        <f t="shared" si="203"/>
        <v/>
      </c>
      <c r="HO803" s="3336" t="str">
        <f t="shared" si="204"/>
        <v/>
      </c>
      <c r="HP803" s="3336" t="str">
        <f t="shared" si="205"/>
        <v/>
      </c>
      <c r="HQ803" s="3336" t="str">
        <f t="shared" si="206"/>
        <v/>
      </c>
      <c r="HR803" s="3336" t="str">
        <f t="shared" si="207"/>
        <v/>
      </c>
      <c r="HS803" s="3336" t="str">
        <f t="shared" si="208"/>
        <v/>
      </c>
      <c r="HT803" s="3336" t="str">
        <f t="shared" si="209"/>
        <v/>
      </c>
      <c r="HU803" s="3336" t="str">
        <f t="shared" si="210"/>
        <v/>
      </c>
      <c r="HV803" s="3336" t="str">
        <f t="shared" si="211"/>
        <v/>
      </c>
      <c r="HW803" s="3336" t="str">
        <f t="shared" si="212"/>
        <v/>
      </c>
      <c r="HX803" s="3336" t="str">
        <f t="shared" si="213"/>
        <v/>
      </c>
      <c r="HY803" s="3336" t="str">
        <f t="shared" si="214"/>
        <v/>
      </c>
      <c r="HZ803" s="3336" t="str">
        <f t="shared" si="215"/>
        <v/>
      </c>
      <c r="IA803" s="3336" t="str">
        <f t="shared" si="216"/>
        <v/>
      </c>
      <c r="IB803" s="3336" t="str">
        <f t="shared" si="217"/>
        <v/>
      </c>
      <c r="IC803" s="3336" t="str">
        <f t="shared" si="218"/>
        <v/>
      </c>
      <c r="ID803" s="3308" t="str">
        <f t="shared" si="219"/>
        <v/>
      </c>
      <c r="IE803" s="3308" t="str">
        <f t="shared" si="220"/>
        <v/>
      </c>
      <c r="IF803" s="3308" t="str">
        <f t="shared" si="221"/>
        <v/>
      </c>
      <c r="IG803" s="3308" t="str">
        <f t="shared" si="222"/>
        <v/>
      </c>
      <c r="IH803" s="3308" t="str">
        <f t="shared" si="223"/>
        <v/>
      </c>
      <c r="II803" s="523" t="str">
        <f t="shared" si="224"/>
        <v/>
      </c>
      <c r="IJ803" s="523" t="str">
        <f t="shared" si="225"/>
        <v/>
      </c>
      <c r="IK803" s="523" t="str">
        <f t="shared" si="226"/>
        <v/>
      </c>
      <c r="IL803" s="523" t="str">
        <f t="shared" si="227"/>
        <v/>
      </c>
      <c r="IM803" s="523" t="str">
        <f t="shared" si="228"/>
        <v/>
      </c>
      <c r="IN803" s="523" t="str">
        <f t="shared" si="229"/>
        <v/>
      </c>
      <c r="IO803" s="523" t="str">
        <f t="shared" si="230"/>
        <v/>
      </c>
      <c r="IP803" s="523" t="str">
        <f t="shared" si="231"/>
        <v/>
      </c>
      <c r="IQ803" s="523" t="str">
        <f t="shared" si="232"/>
        <v/>
      </c>
      <c r="IR803" s="523" t="str">
        <f t="shared" si="233"/>
        <v/>
      </c>
      <c r="IS803" s="523" t="str">
        <f t="shared" si="234"/>
        <v/>
      </c>
      <c r="IT803" s="523" t="str">
        <f t="shared" si="235"/>
        <v/>
      </c>
      <c r="IU803" s="523" t="str">
        <f t="shared" si="236"/>
        <v/>
      </c>
      <c r="IV803" s="523" t="str">
        <f t="shared" si="237"/>
        <v/>
      </c>
      <c r="IW803" s="523" t="str">
        <f t="shared" si="238"/>
        <v/>
      </c>
      <c r="IX803" s="523" t="str">
        <f t="shared" si="239"/>
        <v/>
      </c>
      <c r="IY803" s="523" t="str">
        <f t="shared" si="240"/>
        <v/>
      </c>
      <c r="IZ803" s="523" t="str">
        <f t="shared" si="241"/>
        <v/>
      </c>
      <c r="JA803" s="523" t="str">
        <f t="shared" si="242"/>
        <v/>
      </c>
      <c r="JB803" s="523" t="str">
        <f t="shared" si="243"/>
        <v/>
      </c>
      <c r="JC803" s="3306">
        <f t="shared" si="244"/>
        <v>0</v>
      </c>
      <c r="JD803" s="3306">
        <f t="shared" si="245"/>
        <v>0</v>
      </c>
      <c r="JE803" s="3306">
        <f t="shared" si="246"/>
        <v>0</v>
      </c>
      <c r="JF803" s="3306">
        <f t="shared" si="247"/>
        <v>0</v>
      </c>
      <c r="JG803" s="3306">
        <f t="shared" si="248"/>
        <v>0</v>
      </c>
      <c r="JH803" s="3306">
        <f t="shared" si="249"/>
        <v>0</v>
      </c>
      <c r="JI803" s="3306">
        <f t="shared" si="250"/>
        <v>0</v>
      </c>
      <c r="JJ803" s="3306">
        <f t="shared" si="251"/>
        <v>0</v>
      </c>
      <c r="JK803" s="3306">
        <f t="shared" si="252"/>
        <v>0</v>
      </c>
      <c r="JL803" s="3306">
        <f t="shared" si="253"/>
        <v>0</v>
      </c>
      <c r="JM803" s="3306">
        <f t="shared" si="254"/>
        <v>0</v>
      </c>
      <c r="JN803" s="3306">
        <f t="shared" si="255"/>
        <v>0</v>
      </c>
      <c r="JO803" s="3306">
        <f t="shared" si="256"/>
        <v>0</v>
      </c>
      <c r="JP803" s="3306">
        <f t="shared" si="257"/>
        <v>0</v>
      </c>
      <c r="JQ803" s="3306">
        <f t="shared" si="258"/>
        <v>0</v>
      </c>
    </row>
    <row r="804" spans="1:278" ht="12" customHeight="1">
      <c r="A804" s="3319" t="str">
        <f t="shared" si="1"/>
        <v/>
      </c>
      <c r="B804" s="3328" t="str">
        <f>'Part VI-Revenues &amp; Expenses'!B47</f>
        <v>&lt;&lt;Select&gt;&gt;</v>
      </c>
      <c r="C804" s="3329">
        <f>'Part VI-Revenues &amp; Expenses'!C47</f>
        <v>0</v>
      </c>
      <c r="D804" s="3330">
        <f>'Part VI-Revenues &amp; Expenses'!D47</f>
        <v>0</v>
      </c>
      <c r="E804" s="3331">
        <f>'Part VI-Revenues &amp; Expenses'!E47</f>
        <v>0</v>
      </c>
      <c r="F804" s="3331">
        <f>'Part VI-Revenues &amp; Expenses'!F47</f>
        <v>0</v>
      </c>
      <c r="G804" s="3331">
        <f>'Part VI-Revenues &amp; Expenses'!G47</f>
        <v>0</v>
      </c>
      <c r="H804" s="3331">
        <f>'Part VI-Revenues &amp; Expenses'!H47</f>
        <v>0</v>
      </c>
      <c r="I804" s="3331">
        <f>'Part VI-Revenues &amp; Expenses'!I47</f>
        <v>0</v>
      </c>
      <c r="J804" s="3332">
        <f>'Part VI-Revenues &amp; Expenses'!J47</f>
        <v>0</v>
      </c>
      <c r="K804" s="3333">
        <f t="shared" si="2"/>
        <v>0</v>
      </c>
      <c r="L804" s="3333">
        <f t="shared" si="3"/>
        <v>0</v>
      </c>
      <c r="M804" s="3207">
        <f>'Part VI-Revenues &amp; Expenses'!M47</f>
        <v>0</v>
      </c>
      <c r="N804" s="3207">
        <f>'Part VI-Revenues &amp; Expenses'!N47</f>
        <v>0</v>
      </c>
      <c r="O804" s="3207">
        <f>'Part VI-Revenues &amp; Expenses'!O47</f>
        <v>0</v>
      </c>
      <c r="P804" s="3313">
        <f>'Part VI-Revenues &amp; Expenses'!P47</f>
        <v>0</v>
      </c>
      <c r="Q804" s="3334" t="str">
        <f>'Part VI-Revenues &amp; Expenses'!Q47</f>
        <v/>
      </c>
      <c r="R804" s="3335" t="str">
        <f>'Part VI-Revenues &amp; Expenses'!R47</f>
        <v/>
      </c>
      <c r="S804" s="3334">
        <f>'Part VI-Revenues &amp; Expenses'!S47</f>
        <v>0</v>
      </c>
      <c r="T804" s="3335">
        <f>'Part VI-Revenues &amp; Expenses'!T47</f>
        <v>0</v>
      </c>
      <c r="U804" s="3257"/>
      <c r="V804" s="3257"/>
      <c r="W804" s="523" t="str">
        <f t="shared" si="4"/>
        <v/>
      </c>
      <c r="X804" s="523" t="str">
        <f t="shared" si="5"/>
        <v/>
      </c>
      <c r="Y804" s="523" t="str">
        <f t="shared" si="6"/>
        <v/>
      </c>
      <c r="Z804" s="523" t="str">
        <f t="shared" si="7"/>
        <v/>
      </c>
      <c r="AA804" s="523" t="str">
        <f t="shared" si="8"/>
        <v/>
      </c>
      <c r="AB804" s="523" t="str">
        <f t="shared" si="9"/>
        <v/>
      </c>
      <c r="AC804" s="523" t="str">
        <f t="shared" si="10"/>
        <v/>
      </c>
      <c r="AD804" s="523" t="str">
        <f t="shared" si="11"/>
        <v/>
      </c>
      <c r="AE804" s="523" t="str">
        <f t="shared" si="12"/>
        <v/>
      </c>
      <c r="AF804" s="523" t="str">
        <f t="shared" si="13"/>
        <v/>
      </c>
      <c r="AG804" s="523" t="str">
        <f t="shared" si="14"/>
        <v/>
      </c>
      <c r="AH804" s="523" t="str">
        <f t="shared" si="15"/>
        <v/>
      </c>
      <c r="AI804" s="523" t="str">
        <f t="shared" si="16"/>
        <v/>
      </c>
      <c r="AJ804" s="523" t="str">
        <f t="shared" si="17"/>
        <v/>
      </c>
      <c r="AK804" s="523" t="str">
        <f t="shared" si="18"/>
        <v/>
      </c>
      <c r="AL804" s="523" t="str">
        <f t="shared" si="19"/>
        <v/>
      </c>
      <c r="AM804" s="523" t="str">
        <f t="shared" si="20"/>
        <v/>
      </c>
      <c r="AN804" s="523" t="str">
        <f t="shared" si="21"/>
        <v/>
      </c>
      <c r="AO804" s="523" t="str">
        <f t="shared" si="22"/>
        <v/>
      </c>
      <c r="AP804" s="523" t="str">
        <f t="shared" si="23"/>
        <v/>
      </c>
      <c r="AQ804" s="523" t="str">
        <f t="shared" si="24"/>
        <v/>
      </c>
      <c r="AR804" s="523" t="str">
        <f t="shared" si="25"/>
        <v/>
      </c>
      <c r="AS804" s="523" t="str">
        <f t="shared" si="26"/>
        <v/>
      </c>
      <c r="AT804" s="523" t="str">
        <f t="shared" si="27"/>
        <v/>
      </c>
      <c r="AU804" s="523" t="str">
        <f t="shared" si="28"/>
        <v/>
      </c>
      <c r="AV804" s="523" t="str">
        <f t="shared" si="29"/>
        <v/>
      </c>
      <c r="AW804" s="523" t="str">
        <f t="shared" si="30"/>
        <v/>
      </c>
      <c r="AX804" s="523" t="str">
        <f t="shared" si="31"/>
        <v/>
      </c>
      <c r="AY804" s="523" t="str">
        <f t="shared" si="32"/>
        <v/>
      </c>
      <c r="AZ804" s="523" t="str">
        <f t="shared" si="33"/>
        <v/>
      </c>
      <c r="BA804" s="523" t="str">
        <f t="shared" si="34"/>
        <v/>
      </c>
      <c r="BB804" s="523" t="str">
        <f t="shared" si="35"/>
        <v/>
      </c>
      <c r="BC804" s="523" t="str">
        <f t="shared" si="36"/>
        <v/>
      </c>
      <c r="BD804" s="523" t="str">
        <f t="shared" si="37"/>
        <v/>
      </c>
      <c r="BE804" s="523" t="str">
        <f t="shared" si="38"/>
        <v/>
      </c>
      <c r="BF804" s="523" t="str">
        <f t="shared" si="39"/>
        <v/>
      </c>
      <c r="BG804" s="523" t="str">
        <f t="shared" si="40"/>
        <v/>
      </c>
      <c r="BH804" s="523" t="str">
        <f t="shared" si="41"/>
        <v/>
      </c>
      <c r="BI804" s="523" t="str">
        <f t="shared" si="42"/>
        <v/>
      </c>
      <c r="BJ804" s="523" t="str">
        <f t="shared" si="43"/>
        <v/>
      </c>
      <c r="BK804" s="523" t="str">
        <f t="shared" si="44"/>
        <v/>
      </c>
      <c r="BL804" s="523" t="str">
        <f t="shared" si="45"/>
        <v/>
      </c>
      <c r="BM804" s="523" t="str">
        <f t="shared" si="46"/>
        <v/>
      </c>
      <c r="BN804" s="523" t="str">
        <f t="shared" si="47"/>
        <v/>
      </c>
      <c r="BO804" s="523" t="str">
        <f t="shared" si="48"/>
        <v/>
      </c>
      <c r="BP804" s="523" t="str">
        <f t="shared" si="49"/>
        <v/>
      </c>
      <c r="BQ804" s="523" t="str">
        <f t="shared" si="50"/>
        <v/>
      </c>
      <c r="BR804" s="523" t="str">
        <f t="shared" si="51"/>
        <v/>
      </c>
      <c r="BS804" s="523" t="str">
        <f t="shared" si="52"/>
        <v/>
      </c>
      <c r="BT804" s="523" t="str">
        <f t="shared" si="53"/>
        <v/>
      </c>
      <c r="BU804" s="523" t="str">
        <f t="shared" si="54"/>
        <v/>
      </c>
      <c r="BV804" s="523" t="str">
        <f t="shared" si="55"/>
        <v/>
      </c>
      <c r="BW804" s="523" t="str">
        <f t="shared" si="56"/>
        <v/>
      </c>
      <c r="BX804" s="523" t="str">
        <f t="shared" si="57"/>
        <v/>
      </c>
      <c r="BY804" s="523" t="str">
        <f t="shared" si="58"/>
        <v/>
      </c>
      <c r="BZ804" s="523" t="str">
        <f t="shared" si="59"/>
        <v/>
      </c>
      <c r="CA804" s="523" t="str">
        <f t="shared" si="60"/>
        <v/>
      </c>
      <c r="CB804" s="523" t="str">
        <f t="shared" si="61"/>
        <v/>
      </c>
      <c r="CC804" s="523" t="str">
        <f t="shared" si="62"/>
        <v/>
      </c>
      <c r="CD804" s="523" t="str">
        <f t="shared" si="63"/>
        <v/>
      </c>
      <c r="CE804" s="523" t="str">
        <f t="shared" si="64"/>
        <v/>
      </c>
      <c r="CF804" s="523" t="str">
        <f t="shared" si="65"/>
        <v/>
      </c>
      <c r="CG804" s="523" t="str">
        <f t="shared" si="66"/>
        <v/>
      </c>
      <c r="CH804" s="523" t="str">
        <f t="shared" si="67"/>
        <v/>
      </c>
      <c r="CI804" s="523" t="str">
        <f t="shared" si="68"/>
        <v/>
      </c>
      <c r="CJ804" s="523" t="str">
        <f t="shared" si="69"/>
        <v/>
      </c>
      <c r="CK804" s="523" t="str">
        <f t="shared" si="70"/>
        <v/>
      </c>
      <c r="CL804" s="523" t="str">
        <f t="shared" si="71"/>
        <v/>
      </c>
      <c r="CM804" s="523" t="str">
        <f t="shared" si="72"/>
        <v/>
      </c>
      <c r="CN804" s="523" t="str">
        <f t="shared" si="73"/>
        <v/>
      </c>
      <c r="CO804" s="523" t="str">
        <f t="shared" si="74"/>
        <v/>
      </c>
      <c r="CP804" s="523" t="str">
        <f t="shared" si="75"/>
        <v/>
      </c>
      <c r="CQ804" s="523" t="str">
        <f t="shared" si="76"/>
        <v/>
      </c>
      <c r="CR804" s="523" t="str">
        <f t="shared" si="77"/>
        <v/>
      </c>
      <c r="CS804" s="523" t="str">
        <f t="shared" si="78"/>
        <v/>
      </c>
      <c r="CT804" s="523" t="str">
        <f t="shared" si="79"/>
        <v/>
      </c>
      <c r="CU804" s="523" t="str">
        <f t="shared" si="80"/>
        <v/>
      </c>
      <c r="CV804" s="523" t="str">
        <f t="shared" si="81"/>
        <v/>
      </c>
      <c r="CW804" s="523" t="str">
        <f t="shared" si="82"/>
        <v/>
      </c>
      <c r="CX804" s="523" t="str">
        <f t="shared" si="83"/>
        <v/>
      </c>
      <c r="CY804" s="523" t="str">
        <f t="shared" si="84"/>
        <v/>
      </c>
      <c r="CZ804" s="523" t="str">
        <f t="shared" si="85"/>
        <v/>
      </c>
      <c r="DA804" s="523" t="str">
        <f t="shared" si="86"/>
        <v/>
      </c>
      <c r="DB804" s="523" t="str">
        <f t="shared" si="87"/>
        <v/>
      </c>
      <c r="DC804" s="523" t="str">
        <f t="shared" si="88"/>
        <v/>
      </c>
      <c r="DD804" s="523" t="str">
        <f t="shared" si="89"/>
        <v/>
      </c>
      <c r="DE804" s="523" t="str">
        <f t="shared" si="90"/>
        <v/>
      </c>
      <c r="DF804" s="523" t="str">
        <f t="shared" si="91"/>
        <v/>
      </c>
      <c r="DG804" s="523" t="str">
        <f t="shared" si="92"/>
        <v/>
      </c>
      <c r="DH804" s="523" t="str">
        <f t="shared" si="93"/>
        <v/>
      </c>
      <c r="DI804" s="523" t="str">
        <f t="shared" si="94"/>
        <v/>
      </c>
      <c r="DJ804" s="523" t="str">
        <f t="shared" si="95"/>
        <v/>
      </c>
      <c r="DK804" s="523" t="str">
        <f t="shared" si="96"/>
        <v/>
      </c>
      <c r="DL804" s="523" t="str">
        <f t="shared" si="97"/>
        <v/>
      </c>
      <c r="DM804" s="523" t="str">
        <f t="shared" si="98"/>
        <v/>
      </c>
      <c r="DN804" s="523" t="str">
        <f t="shared" si="99"/>
        <v/>
      </c>
      <c r="DO804" s="523" t="str">
        <f t="shared" si="100"/>
        <v/>
      </c>
      <c r="DP804" s="523" t="str">
        <f t="shared" si="101"/>
        <v/>
      </c>
      <c r="DQ804" s="523" t="str">
        <f t="shared" si="102"/>
        <v/>
      </c>
      <c r="DR804" s="523" t="str">
        <f t="shared" si="103"/>
        <v/>
      </c>
      <c r="DS804" s="523" t="str">
        <f t="shared" si="104"/>
        <v/>
      </c>
      <c r="DT804" s="523" t="str">
        <f t="shared" si="105"/>
        <v/>
      </c>
      <c r="DU804" s="523" t="str">
        <f t="shared" si="106"/>
        <v/>
      </c>
      <c r="DV804" s="523" t="str">
        <f t="shared" si="107"/>
        <v/>
      </c>
      <c r="DW804" s="523" t="str">
        <f t="shared" si="108"/>
        <v/>
      </c>
      <c r="DX804" s="523" t="str">
        <f t="shared" si="109"/>
        <v/>
      </c>
      <c r="DY804" s="523" t="str">
        <f t="shared" si="110"/>
        <v/>
      </c>
      <c r="DZ804" s="523" t="str">
        <f t="shared" si="111"/>
        <v/>
      </c>
      <c r="EA804" s="523" t="str">
        <f t="shared" si="112"/>
        <v/>
      </c>
      <c r="EB804" s="523" t="str">
        <f t="shared" si="113"/>
        <v/>
      </c>
      <c r="EC804" s="523" t="str">
        <f t="shared" si="114"/>
        <v/>
      </c>
      <c r="ED804" s="523" t="str">
        <f t="shared" si="115"/>
        <v/>
      </c>
      <c r="EE804" s="523" t="str">
        <f t="shared" si="116"/>
        <v/>
      </c>
      <c r="EF804" s="523" t="str">
        <f t="shared" si="117"/>
        <v/>
      </c>
      <c r="EG804" s="523" t="str">
        <f t="shared" si="118"/>
        <v/>
      </c>
      <c r="EH804" s="523" t="str">
        <f t="shared" si="119"/>
        <v/>
      </c>
      <c r="EI804" s="523" t="str">
        <f t="shared" si="120"/>
        <v/>
      </c>
      <c r="EJ804" s="523" t="str">
        <f t="shared" si="121"/>
        <v/>
      </c>
      <c r="EK804" s="523" t="str">
        <f t="shared" si="122"/>
        <v/>
      </c>
      <c r="EL804" s="523" t="str">
        <f t="shared" si="123"/>
        <v/>
      </c>
      <c r="EM804" s="523" t="str">
        <f t="shared" si="124"/>
        <v/>
      </c>
      <c r="EN804" s="523" t="str">
        <f t="shared" si="125"/>
        <v/>
      </c>
      <c r="EO804" s="523" t="str">
        <f t="shared" si="126"/>
        <v/>
      </c>
      <c r="EP804" s="523" t="str">
        <f t="shared" si="127"/>
        <v/>
      </c>
      <c r="EQ804" s="523" t="str">
        <f t="shared" si="128"/>
        <v/>
      </c>
      <c r="ER804" s="523" t="str">
        <f t="shared" si="129"/>
        <v/>
      </c>
      <c r="ES804" s="523" t="str">
        <f t="shared" si="130"/>
        <v/>
      </c>
      <c r="ET804" s="523" t="str">
        <f t="shared" si="131"/>
        <v/>
      </c>
      <c r="EU804" s="523" t="str">
        <f t="shared" si="132"/>
        <v/>
      </c>
      <c r="EV804" s="523" t="str">
        <f t="shared" si="133"/>
        <v/>
      </c>
      <c r="EW804" s="3336" t="str">
        <f t="shared" si="134"/>
        <v/>
      </c>
      <c r="EX804" s="3336" t="str">
        <f t="shared" si="135"/>
        <v/>
      </c>
      <c r="EY804" s="3336" t="str">
        <f t="shared" si="136"/>
        <v/>
      </c>
      <c r="EZ804" s="3336" t="str">
        <f t="shared" si="137"/>
        <v/>
      </c>
      <c r="FA804" s="3336" t="str">
        <f t="shared" si="138"/>
        <v/>
      </c>
      <c r="FB804" s="3336" t="str">
        <f t="shared" si="139"/>
        <v/>
      </c>
      <c r="FC804" s="3336" t="str">
        <f t="shared" si="140"/>
        <v/>
      </c>
      <c r="FD804" s="3336" t="str">
        <f t="shared" si="141"/>
        <v/>
      </c>
      <c r="FE804" s="3336" t="str">
        <f t="shared" si="142"/>
        <v/>
      </c>
      <c r="FF804" s="3336" t="str">
        <f t="shared" si="143"/>
        <v/>
      </c>
      <c r="FG804" s="3336" t="str">
        <f t="shared" si="144"/>
        <v/>
      </c>
      <c r="FH804" s="3336" t="str">
        <f t="shared" si="145"/>
        <v/>
      </c>
      <c r="FI804" s="3336" t="str">
        <f t="shared" si="146"/>
        <v/>
      </c>
      <c r="FJ804" s="3336" t="str">
        <f t="shared" si="147"/>
        <v/>
      </c>
      <c r="FK804" s="3336" t="str">
        <f t="shared" si="148"/>
        <v/>
      </c>
      <c r="FL804" s="3336" t="str">
        <f t="shared" si="149"/>
        <v/>
      </c>
      <c r="FM804" s="3336" t="str">
        <f t="shared" si="150"/>
        <v/>
      </c>
      <c r="FN804" s="3336" t="str">
        <f t="shared" si="151"/>
        <v/>
      </c>
      <c r="FO804" s="3336" t="str">
        <f t="shared" si="152"/>
        <v/>
      </c>
      <c r="FP804" s="3336" t="str">
        <f t="shared" si="153"/>
        <v/>
      </c>
      <c r="FQ804" s="3336" t="str">
        <f t="shared" si="154"/>
        <v/>
      </c>
      <c r="FR804" s="3336" t="str">
        <f t="shared" si="155"/>
        <v/>
      </c>
      <c r="FS804" s="3336" t="str">
        <f t="shared" si="156"/>
        <v/>
      </c>
      <c r="FT804" s="3336" t="str">
        <f t="shared" si="157"/>
        <v/>
      </c>
      <c r="FU804" s="3336" t="str">
        <f t="shared" si="158"/>
        <v/>
      </c>
      <c r="FV804" s="3336" t="str">
        <f t="shared" si="159"/>
        <v/>
      </c>
      <c r="FW804" s="3336" t="str">
        <f t="shared" si="160"/>
        <v/>
      </c>
      <c r="FX804" s="3336" t="str">
        <f t="shared" si="161"/>
        <v/>
      </c>
      <c r="FY804" s="3336" t="str">
        <f t="shared" si="162"/>
        <v/>
      </c>
      <c r="FZ804" s="3336" t="str">
        <f t="shared" si="163"/>
        <v/>
      </c>
      <c r="GA804" s="3336" t="str">
        <f t="shared" si="164"/>
        <v/>
      </c>
      <c r="GB804" s="3336" t="str">
        <f t="shared" si="165"/>
        <v/>
      </c>
      <c r="GC804" s="3336" t="str">
        <f t="shared" si="166"/>
        <v/>
      </c>
      <c r="GD804" s="3336" t="str">
        <f t="shared" si="167"/>
        <v/>
      </c>
      <c r="GE804" s="3336" t="str">
        <f t="shared" si="168"/>
        <v/>
      </c>
      <c r="GF804" s="3336" t="str">
        <f t="shared" si="169"/>
        <v/>
      </c>
      <c r="GG804" s="3336" t="str">
        <f t="shared" si="170"/>
        <v/>
      </c>
      <c r="GH804" s="3336" t="str">
        <f t="shared" si="171"/>
        <v/>
      </c>
      <c r="GI804" s="3336" t="str">
        <f t="shared" si="172"/>
        <v/>
      </c>
      <c r="GJ804" s="3336" t="str">
        <f t="shared" si="173"/>
        <v/>
      </c>
      <c r="GK804" s="3336" t="str">
        <f t="shared" si="174"/>
        <v/>
      </c>
      <c r="GL804" s="3336" t="str">
        <f t="shared" si="175"/>
        <v/>
      </c>
      <c r="GM804" s="3336" t="str">
        <f t="shared" si="176"/>
        <v/>
      </c>
      <c r="GN804" s="3336" t="str">
        <f t="shared" si="177"/>
        <v/>
      </c>
      <c r="GO804" s="3336" t="str">
        <f t="shared" si="178"/>
        <v/>
      </c>
      <c r="GP804" s="3336" t="str">
        <f t="shared" si="179"/>
        <v/>
      </c>
      <c r="GQ804" s="3336" t="str">
        <f t="shared" si="180"/>
        <v/>
      </c>
      <c r="GR804" s="3336" t="str">
        <f t="shared" si="181"/>
        <v/>
      </c>
      <c r="GS804" s="3336" t="str">
        <f t="shared" si="182"/>
        <v/>
      </c>
      <c r="GT804" s="3336" t="str">
        <f t="shared" si="183"/>
        <v/>
      </c>
      <c r="GU804" s="3336" t="str">
        <f t="shared" si="184"/>
        <v/>
      </c>
      <c r="GV804" s="3336" t="str">
        <f t="shared" si="185"/>
        <v/>
      </c>
      <c r="GW804" s="3336" t="str">
        <f t="shared" si="186"/>
        <v/>
      </c>
      <c r="GX804" s="3336" t="str">
        <f t="shared" si="187"/>
        <v/>
      </c>
      <c r="GY804" s="3336" t="str">
        <f t="shared" si="188"/>
        <v/>
      </c>
      <c r="GZ804" s="3336" t="str">
        <f t="shared" si="189"/>
        <v/>
      </c>
      <c r="HA804" s="3336" t="str">
        <f t="shared" si="190"/>
        <v/>
      </c>
      <c r="HB804" s="3336" t="str">
        <f t="shared" si="191"/>
        <v/>
      </c>
      <c r="HC804" s="3336" t="str">
        <f t="shared" si="192"/>
        <v/>
      </c>
      <c r="HD804" s="3336" t="str">
        <f t="shared" si="193"/>
        <v/>
      </c>
      <c r="HE804" s="3336" t="str">
        <f t="shared" si="194"/>
        <v/>
      </c>
      <c r="HF804" s="3336" t="str">
        <f t="shared" si="195"/>
        <v/>
      </c>
      <c r="HG804" s="3336" t="str">
        <f t="shared" si="196"/>
        <v/>
      </c>
      <c r="HH804" s="3336" t="str">
        <f t="shared" si="197"/>
        <v/>
      </c>
      <c r="HI804" s="3336" t="str">
        <f t="shared" si="198"/>
        <v/>
      </c>
      <c r="HJ804" s="3336" t="str">
        <f t="shared" si="199"/>
        <v/>
      </c>
      <c r="HK804" s="3336" t="str">
        <f t="shared" si="200"/>
        <v/>
      </c>
      <c r="HL804" s="3336" t="str">
        <f t="shared" si="201"/>
        <v/>
      </c>
      <c r="HM804" s="3336" t="str">
        <f t="shared" si="202"/>
        <v/>
      </c>
      <c r="HN804" s="3336" t="str">
        <f t="shared" si="203"/>
        <v/>
      </c>
      <c r="HO804" s="3336" t="str">
        <f t="shared" si="204"/>
        <v/>
      </c>
      <c r="HP804" s="3336" t="str">
        <f t="shared" si="205"/>
        <v/>
      </c>
      <c r="HQ804" s="3336" t="str">
        <f t="shared" si="206"/>
        <v/>
      </c>
      <c r="HR804" s="3336" t="str">
        <f t="shared" si="207"/>
        <v/>
      </c>
      <c r="HS804" s="3336" t="str">
        <f t="shared" si="208"/>
        <v/>
      </c>
      <c r="HT804" s="3336" t="str">
        <f t="shared" si="209"/>
        <v/>
      </c>
      <c r="HU804" s="3336" t="str">
        <f t="shared" si="210"/>
        <v/>
      </c>
      <c r="HV804" s="3336" t="str">
        <f t="shared" si="211"/>
        <v/>
      </c>
      <c r="HW804" s="3336" t="str">
        <f t="shared" si="212"/>
        <v/>
      </c>
      <c r="HX804" s="3336" t="str">
        <f t="shared" si="213"/>
        <v/>
      </c>
      <c r="HY804" s="3336" t="str">
        <f t="shared" si="214"/>
        <v/>
      </c>
      <c r="HZ804" s="3336" t="str">
        <f t="shared" si="215"/>
        <v/>
      </c>
      <c r="IA804" s="3336" t="str">
        <f t="shared" si="216"/>
        <v/>
      </c>
      <c r="IB804" s="3336" t="str">
        <f t="shared" si="217"/>
        <v/>
      </c>
      <c r="IC804" s="3336" t="str">
        <f t="shared" si="218"/>
        <v/>
      </c>
      <c r="ID804" s="3308" t="str">
        <f t="shared" si="219"/>
        <v/>
      </c>
      <c r="IE804" s="3308" t="str">
        <f t="shared" si="220"/>
        <v/>
      </c>
      <c r="IF804" s="3308" t="str">
        <f t="shared" si="221"/>
        <v/>
      </c>
      <c r="IG804" s="3308" t="str">
        <f t="shared" si="222"/>
        <v/>
      </c>
      <c r="IH804" s="3308" t="str">
        <f t="shared" si="223"/>
        <v/>
      </c>
      <c r="II804" s="523" t="str">
        <f t="shared" si="224"/>
        <v/>
      </c>
      <c r="IJ804" s="523" t="str">
        <f t="shared" si="225"/>
        <v/>
      </c>
      <c r="IK804" s="523" t="str">
        <f t="shared" si="226"/>
        <v/>
      </c>
      <c r="IL804" s="523" t="str">
        <f t="shared" si="227"/>
        <v/>
      </c>
      <c r="IM804" s="523" t="str">
        <f t="shared" si="228"/>
        <v/>
      </c>
      <c r="IN804" s="523" t="str">
        <f t="shared" si="229"/>
        <v/>
      </c>
      <c r="IO804" s="523" t="str">
        <f t="shared" si="230"/>
        <v/>
      </c>
      <c r="IP804" s="523" t="str">
        <f t="shared" si="231"/>
        <v/>
      </c>
      <c r="IQ804" s="523" t="str">
        <f t="shared" si="232"/>
        <v/>
      </c>
      <c r="IR804" s="523" t="str">
        <f t="shared" si="233"/>
        <v/>
      </c>
      <c r="IS804" s="523" t="str">
        <f t="shared" si="234"/>
        <v/>
      </c>
      <c r="IT804" s="523" t="str">
        <f t="shared" si="235"/>
        <v/>
      </c>
      <c r="IU804" s="523" t="str">
        <f t="shared" si="236"/>
        <v/>
      </c>
      <c r="IV804" s="523" t="str">
        <f t="shared" si="237"/>
        <v/>
      </c>
      <c r="IW804" s="523" t="str">
        <f t="shared" si="238"/>
        <v/>
      </c>
      <c r="IX804" s="523" t="str">
        <f t="shared" si="239"/>
        <v/>
      </c>
      <c r="IY804" s="523" t="str">
        <f t="shared" si="240"/>
        <v/>
      </c>
      <c r="IZ804" s="523" t="str">
        <f t="shared" si="241"/>
        <v/>
      </c>
      <c r="JA804" s="523" t="str">
        <f t="shared" si="242"/>
        <v/>
      </c>
      <c r="JB804" s="523" t="str">
        <f t="shared" si="243"/>
        <v/>
      </c>
      <c r="JC804" s="3306">
        <f t="shared" si="244"/>
        <v>0</v>
      </c>
      <c r="JD804" s="3306">
        <f t="shared" si="245"/>
        <v>0</v>
      </c>
      <c r="JE804" s="3306">
        <f t="shared" si="246"/>
        <v>0</v>
      </c>
      <c r="JF804" s="3306">
        <f t="shared" si="247"/>
        <v>0</v>
      </c>
      <c r="JG804" s="3306">
        <f t="shared" si="248"/>
        <v>0</v>
      </c>
      <c r="JH804" s="3306">
        <f t="shared" si="249"/>
        <v>0</v>
      </c>
      <c r="JI804" s="3306">
        <f t="shared" si="250"/>
        <v>0</v>
      </c>
      <c r="JJ804" s="3306">
        <f t="shared" si="251"/>
        <v>0</v>
      </c>
      <c r="JK804" s="3306">
        <f t="shared" si="252"/>
        <v>0</v>
      </c>
      <c r="JL804" s="3306">
        <f t="shared" si="253"/>
        <v>0</v>
      </c>
      <c r="JM804" s="3306">
        <f t="shared" si="254"/>
        <v>0</v>
      </c>
      <c r="JN804" s="3306">
        <f t="shared" si="255"/>
        <v>0</v>
      </c>
      <c r="JO804" s="3306">
        <f t="shared" si="256"/>
        <v>0</v>
      </c>
      <c r="JP804" s="3306">
        <f t="shared" si="257"/>
        <v>0</v>
      </c>
      <c r="JQ804" s="3306">
        <f t="shared" si="258"/>
        <v>0</v>
      </c>
    </row>
    <row r="805" spans="1:278" ht="12" customHeight="1">
      <c r="A805" s="3319">
        <f>COUNT(A767,A768,A769,A770,A771,A772,A773,A774,A775,A776,A777,A778,A779,A780,A781,A782,A783,A784,A785,A786,A787,A788,A789,A790,A791,A792,A793,A794,A795,A796)</f>
        <v>0</v>
      </c>
      <c r="B805" s="3111"/>
      <c r="C805" s="3111"/>
      <c r="D805" s="3337" t="s">
        <v>1091</v>
      </c>
      <c r="E805" s="3338">
        <f>SUM(E767:E804)</f>
        <v>74</v>
      </c>
      <c r="F805" s="3339">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80132</v>
      </c>
      <c r="G805" s="359"/>
      <c r="H805" s="359"/>
      <c r="I805" s="359"/>
      <c r="J805" s="359"/>
      <c r="K805" s="3340" t="s">
        <v>1092</v>
      </c>
      <c r="L805" s="3338">
        <f>SUM(L767:L804)</f>
        <v>53407</v>
      </c>
      <c r="M805" s="3111"/>
      <c r="N805" s="3111"/>
      <c r="O805" s="3111"/>
      <c r="P805" s="3111"/>
      <c r="Q805" s="3111"/>
      <c r="R805" s="3111"/>
      <c r="S805" s="3111"/>
      <c r="T805" s="3111"/>
      <c r="U805" s="3318"/>
      <c r="V805" s="3341"/>
      <c r="W805" s="3341">
        <f t="shared" ref="W805:CH805" si="259">SUM(W767:W804)</f>
        <v>0</v>
      </c>
      <c r="X805" s="3341">
        <f t="shared" si="259"/>
        <v>9</v>
      </c>
      <c r="Y805" s="3341">
        <f t="shared" si="259"/>
        <v>22</v>
      </c>
      <c r="Z805" s="3341">
        <f t="shared" si="259"/>
        <v>17</v>
      </c>
      <c r="AA805" s="3341">
        <f t="shared" si="259"/>
        <v>0</v>
      </c>
      <c r="AB805" s="3341">
        <f t="shared" si="259"/>
        <v>0</v>
      </c>
      <c r="AC805" s="3341">
        <f t="shared" si="259"/>
        <v>3</v>
      </c>
      <c r="AD805" s="3341">
        <f t="shared" si="259"/>
        <v>6</v>
      </c>
      <c r="AE805" s="3341">
        <f t="shared" si="259"/>
        <v>6</v>
      </c>
      <c r="AF805" s="3341">
        <f t="shared" si="259"/>
        <v>0</v>
      </c>
      <c r="AG805" s="3341">
        <f t="shared" si="259"/>
        <v>0</v>
      </c>
      <c r="AH805" s="3341">
        <f t="shared" si="259"/>
        <v>0</v>
      </c>
      <c r="AI805" s="3341">
        <f t="shared" si="259"/>
        <v>0</v>
      </c>
      <c r="AJ805" s="3341">
        <f t="shared" si="259"/>
        <v>0</v>
      </c>
      <c r="AK805" s="3341">
        <f t="shared" si="259"/>
        <v>0</v>
      </c>
      <c r="AL805" s="3341">
        <f t="shared" si="259"/>
        <v>0</v>
      </c>
      <c r="AM805" s="3341">
        <f t="shared" si="259"/>
        <v>0</v>
      </c>
      <c r="AN805" s="3341">
        <f t="shared" si="259"/>
        <v>4</v>
      </c>
      <c r="AO805" s="3341">
        <f t="shared" si="259"/>
        <v>5</v>
      </c>
      <c r="AP805" s="3341">
        <f t="shared" si="259"/>
        <v>0</v>
      </c>
      <c r="AQ805" s="3341">
        <f t="shared" si="259"/>
        <v>0</v>
      </c>
      <c r="AR805" s="3341">
        <f t="shared" si="259"/>
        <v>0</v>
      </c>
      <c r="AS805" s="3341">
        <f t="shared" si="259"/>
        <v>0</v>
      </c>
      <c r="AT805" s="3341">
        <f t="shared" si="259"/>
        <v>0</v>
      </c>
      <c r="AU805" s="3341">
        <f t="shared" si="259"/>
        <v>0</v>
      </c>
      <c r="AV805" s="3341">
        <f t="shared" si="259"/>
        <v>0</v>
      </c>
      <c r="AW805" s="3341">
        <f t="shared" si="259"/>
        <v>0</v>
      </c>
      <c r="AX805" s="3341">
        <f t="shared" si="259"/>
        <v>0</v>
      </c>
      <c r="AY805" s="3341">
        <f t="shared" si="259"/>
        <v>0</v>
      </c>
      <c r="AZ805" s="3341">
        <f t="shared" si="259"/>
        <v>0</v>
      </c>
      <c r="BA805" s="3341">
        <f t="shared" si="259"/>
        <v>0</v>
      </c>
      <c r="BB805" s="3341">
        <f t="shared" si="259"/>
        <v>0</v>
      </c>
      <c r="BC805" s="3341">
        <f t="shared" si="259"/>
        <v>0</v>
      </c>
      <c r="BD805" s="3341">
        <f t="shared" si="259"/>
        <v>0</v>
      </c>
      <c r="BE805" s="3341">
        <f t="shared" si="259"/>
        <v>0</v>
      </c>
      <c r="BF805" s="3341">
        <f t="shared" si="259"/>
        <v>0</v>
      </c>
      <c r="BG805" s="3341">
        <f t="shared" si="259"/>
        <v>0</v>
      </c>
      <c r="BH805" s="3341">
        <f t="shared" si="259"/>
        <v>0</v>
      </c>
      <c r="BI805" s="3341">
        <f t="shared" si="259"/>
        <v>0</v>
      </c>
      <c r="BJ805" s="3341">
        <f t="shared" si="259"/>
        <v>0</v>
      </c>
      <c r="BK805" s="3341">
        <f t="shared" si="259"/>
        <v>0</v>
      </c>
      <c r="BL805" s="3341">
        <f t="shared" si="259"/>
        <v>0</v>
      </c>
      <c r="BM805" s="3341">
        <f t="shared" si="259"/>
        <v>0</v>
      </c>
      <c r="BN805" s="3341">
        <f t="shared" si="259"/>
        <v>0</v>
      </c>
      <c r="BO805" s="3341">
        <f t="shared" si="259"/>
        <v>0</v>
      </c>
      <c r="BP805" s="3341">
        <f t="shared" si="259"/>
        <v>0</v>
      </c>
      <c r="BQ805" s="3341">
        <f t="shared" si="259"/>
        <v>0</v>
      </c>
      <c r="BR805" s="3341">
        <f t="shared" si="259"/>
        <v>0</v>
      </c>
      <c r="BS805" s="3341">
        <f t="shared" si="259"/>
        <v>0</v>
      </c>
      <c r="BT805" s="3341">
        <f t="shared" si="259"/>
        <v>0</v>
      </c>
      <c r="BU805" s="3341">
        <f t="shared" si="259"/>
        <v>0</v>
      </c>
      <c r="BV805" s="3341">
        <f t="shared" si="259"/>
        <v>0</v>
      </c>
      <c r="BW805" s="3341">
        <f t="shared" si="259"/>
        <v>0</v>
      </c>
      <c r="BX805" s="3341">
        <f t="shared" si="259"/>
        <v>2</v>
      </c>
      <c r="BY805" s="3341">
        <f t="shared" si="259"/>
        <v>0</v>
      </c>
      <c r="BZ805" s="3341">
        <f t="shared" si="259"/>
        <v>0</v>
      </c>
      <c r="CA805" s="3341">
        <f t="shared" si="259"/>
        <v>7524</v>
      </c>
      <c r="CB805" s="3341">
        <f t="shared" si="259"/>
        <v>22990</v>
      </c>
      <c r="CC805" s="3341">
        <f t="shared" si="259"/>
        <v>20774</v>
      </c>
      <c r="CD805" s="3341">
        <f t="shared" si="259"/>
        <v>0</v>
      </c>
      <c r="CE805" s="3341">
        <f t="shared" si="259"/>
        <v>0</v>
      </c>
      <c r="CF805" s="3341">
        <f t="shared" si="259"/>
        <v>2508</v>
      </c>
      <c r="CG805" s="3341">
        <f t="shared" si="259"/>
        <v>6270</v>
      </c>
      <c r="CH805" s="3341">
        <f t="shared" si="259"/>
        <v>7332</v>
      </c>
      <c r="CI805" s="3341">
        <f t="shared" ref="CI805:ET805" si="260">SUM(CI767:CI804)</f>
        <v>0</v>
      </c>
      <c r="CJ805" s="3341">
        <f t="shared" si="260"/>
        <v>0</v>
      </c>
      <c r="CK805" s="3341">
        <f t="shared" si="260"/>
        <v>0</v>
      </c>
      <c r="CL805" s="3341">
        <f t="shared" si="260"/>
        <v>0</v>
      </c>
      <c r="CM805" s="3341">
        <f t="shared" si="260"/>
        <v>0</v>
      </c>
      <c r="CN805" s="3341">
        <f t="shared" si="260"/>
        <v>0</v>
      </c>
      <c r="CO805" s="3341">
        <f t="shared" si="260"/>
        <v>0</v>
      </c>
      <c r="CP805" s="3341">
        <f t="shared" si="260"/>
        <v>0</v>
      </c>
      <c r="CQ805" s="3341">
        <f t="shared" si="260"/>
        <v>4180</v>
      </c>
      <c r="CR805" s="3341">
        <f t="shared" si="260"/>
        <v>6110</v>
      </c>
      <c r="CS805" s="3341">
        <f t="shared" si="260"/>
        <v>0</v>
      </c>
      <c r="CT805" s="3341">
        <f t="shared" si="260"/>
        <v>0</v>
      </c>
      <c r="CU805" s="3341">
        <f t="shared" si="260"/>
        <v>0</v>
      </c>
      <c r="CV805" s="3341">
        <f t="shared" si="260"/>
        <v>0</v>
      </c>
      <c r="CW805" s="3341">
        <f t="shared" si="260"/>
        <v>0</v>
      </c>
      <c r="CX805" s="3341">
        <f t="shared" si="260"/>
        <v>0</v>
      </c>
      <c r="CY805" s="3341">
        <f t="shared" si="260"/>
        <v>0</v>
      </c>
      <c r="CZ805" s="3341">
        <f t="shared" si="260"/>
        <v>0</v>
      </c>
      <c r="DA805" s="3341">
        <f t="shared" si="260"/>
        <v>0</v>
      </c>
      <c r="DB805" s="3341">
        <f t="shared" si="260"/>
        <v>2444</v>
      </c>
      <c r="DC805" s="3341">
        <f t="shared" si="260"/>
        <v>0</v>
      </c>
      <c r="DD805" s="3341">
        <f t="shared" si="260"/>
        <v>0</v>
      </c>
      <c r="DE805" s="3341">
        <f t="shared" si="260"/>
        <v>12</v>
      </c>
      <c r="DF805" s="3341">
        <f t="shared" si="260"/>
        <v>28</v>
      </c>
      <c r="DG805" s="3341">
        <f t="shared" si="260"/>
        <v>23</v>
      </c>
      <c r="DH805" s="3341">
        <f t="shared" si="260"/>
        <v>0</v>
      </c>
      <c r="DI805" s="3341">
        <f t="shared" si="260"/>
        <v>0</v>
      </c>
      <c r="DJ805" s="3341">
        <f t="shared" si="260"/>
        <v>0</v>
      </c>
      <c r="DK805" s="3341">
        <f t="shared" si="260"/>
        <v>4</v>
      </c>
      <c r="DL805" s="3341">
        <f t="shared" si="260"/>
        <v>5</v>
      </c>
      <c r="DM805" s="3341">
        <f t="shared" si="260"/>
        <v>0</v>
      </c>
      <c r="DN805" s="3341">
        <f t="shared" si="260"/>
        <v>0</v>
      </c>
      <c r="DO805" s="3341">
        <f t="shared" si="260"/>
        <v>0</v>
      </c>
      <c r="DP805" s="3341">
        <f t="shared" si="260"/>
        <v>0</v>
      </c>
      <c r="DQ805" s="3341">
        <f t="shared" si="260"/>
        <v>2</v>
      </c>
      <c r="DR805" s="3341">
        <f t="shared" si="260"/>
        <v>0</v>
      </c>
      <c r="DS805" s="3341">
        <f t="shared" si="260"/>
        <v>0</v>
      </c>
      <c r="DT805" s="3341">
        <f t="shared" si="260"/>
        <v>0</v>
      </c>
      <c r="DU805" s="3341">
        <f t="shared" si="260"/>
        <v>0</v>
      </c>
      <c r="DV805" s="3341">
        <f t="shared" si="260"/>
        <v>0</v>
      </c>
      <c r="DW805" s="3341">
        <f t="shared" si="260"/>
        <v>0</v>
      </c>
      <c r="DX805" s="3341">
        <f t="shared" si="260"/>
        <v>0</v>
      </c>
      <c r="DY805" s="3341">
        <f t="shared" si="260"/>
        <v>0</v>
      </c>
      <c r="DZ805" s="3341">
        <f t="shared" si="260"/>
        <v>0</v>
      </c>
      <c r="EA805" s="3341">
        <f t="shared" si="260"/>
        <v>0</v>
      </c>
      <c r="EB805" s="3341">
        <f t="shared" si="260"/>
        <v>0</v>
      </c>
      <c r="EC805" s="3341">
        <f t="shared" si="260"/>
        <v>0</v>
      </c>
      <c r="ED805" s="3341">
        <f t="shared" si="260"/>
        <v>0</v>
      </c>
      <c r="EE805" s="3341">
        <f t="shared" si="260"/>
        <v>0</v>
      </c>
      <c r="EF805" s="3341">
        <f t="shared" si="260"/>
        <v>0</v>
      </c>
      <c r="EG805" s="3341">
        <f t="shared" si="260"/>
        <v>0</v>
      </c>
      <c r="EH805" s="3341">
        <f t="shared" si="260"/>
        <v>0</v>
      </c>
      <c r="EI805" s="3341">
        <f t="shared" si="260"/>
        <v>0</v>
      </c>
      <c r="EJ805" s="3341">
        <f t="shared" si="260"/>
        <v>0</v>
      </c>
      <c r="EK805" s="3341">
        <f t="shared" si="260"/>
        <v>0</v>
      </c>
      <c r="EL805" s="3341">
        <f t="shared" si="260"/>
        <v>0</v>
      </c>
      <c r="EM805" s="3341">
        <f t="shared" si="260"/>
        <v>0</v>
      </c>
      <c r="EN805" s="3341">
        <f t="shared" si="260"/>
        <v>0</v>
      </c>
      <c r="EO805" s="3341">
        <f t="shared" si="260"/>
        <v>0</v>
      </c>
      <c r="EP805" s="3341">
        <f t="shared" si="260"/>
        <v>0</v>
      </c>
      <c r="EQ805" s="3341">
        <f t="shared" si="260"/>
        <v>0</v>
      </c>
      <c r="ER805" s="3341">
        <f t="shared" si="260"/>
        <v>0</v>
      </c>
      <c r="ES805" s="3341">
        <f t="shared" si="260"/>
        <v>0</v>
      </c>
      <c r="ET805" s="3341">
        <f t="shared" si="260"/>
        <v>0</v>
      </c>
      <c r="EU805" s="3341">
        <f t="shared" ref="EU805:HF805" si="261">SUM(EU767:EU804)</f>
        <v>0</v>
      </c>
      <c r="EV805" s="3341">
        <f t="shared" si="261"/>
        <v>0</v>
      </c>
      <c r="EW805" s="3341">
        <f t="shared" si="261"/>
        <v>0</v>
      </c>
      <c r="EX805" s="3341">
        <f t="shared" si="261"/>
        <v>12</v>
      </c>
      <c r="EY805" s="3341">
        <f t="shared" si="261"/>
        <v>32</v>
      </c>
      <c r="EZ805" s="3341">
        <f t="shared" si="261"/>
        <v>30</v>
      </c>
      <c r="FA805" s="3341">
        <f t="shared" si="261"/>
        <v>0</v>
      </c>
      <c r="FB805" s="3341">
        <f t="shared" si="261"/>
        <v>0</v>
      </c>
      <c r="FC805" s="3341">
        <f t="shared" si="261"/>
        <v>0</v>
      </c>
      <c r="FD805" s="3341">
        <f t="shared" si="261"/>
        <v>0</v>
      </c>
      <c r="FE805" s="3341">
        <f t="shared" si="261"/>
        <v>0</v>
      </c>
      <c r="FF805" s="3341">
        <f t="shared" si="261"/>
        <v>0</v>
      </c>
      <c r="FG805" s="3341">
        <f t="shared" si="261"/>
        <v>0</v>
      </c>
      <c r="FH805" s="3341">
        <f t="shared" si="261"/>
        <v>0</v>
      </c>
      <c r="FI805" s="3341">
        <f t="shared" si="261"/>
        <v>0</v>
      </c>
      <c r="FJ805" s="3341">
        <f t="shared" si="261"/>
        <v>0</v>
      </c>
      <c r="FK805" s="3341">
        <f t="shared" si="261"/>
        <v>0</v>
      </c>
      <c r="FL805" s="3341">
        <f t="shared" si="261"/>
        <v>0</v>
      </c>
      <c r="FM805" s="3341">
        <f t="shared" si="261"/>
        <v>0</v>
      </c>
      <c r="FN805" s="3341">
        <f t="shared" si="261"/>
        <v>0</v>
      </c>
      <c r="FO805" s="3341">
        <f t="shared" si="261"/>
        <v>0</v>
      </c>
      <c r="FP805" s="3341">
        <f t="shared" si="261"/>
        <v>0</v>
      </c>
      <c r="FQ805" s="3341">
        <f t="shared" si="261"/>
        <v>0</v>
      </c>
      <c r="FR805" s="3341">
        <f t="shared" si="261"/>
        <v>0</v>
      </c>
      <c r="FS805" s="3341">
        <f t="shared" si="261"/>
        <v>0</v>
      </c>
      <c r="FT805" s="3341">
        <f t="shared" si="261"/>
        <v>0</v>
      </c>
      <c r="FU805" s="3341">
        <f t="shared" si="261"/>
        <v>0</v>
      </c>
      <c r="FV805" s="3341">
        <f t="shared" si="261"/>
        <v>0</v>
      </c>
      <c r="FW805" s="3341">
        <f t="shared" si="261"/>
        <v>0</v>
      </c>
      <c r="FX805" s="3341">
        <f t="shared" si="261"/>
        <v>0</v>
      </c>
      <c r="FY805" s="3341">
        <f t="shared" si="261"/>
        <v>0</v>
      </c>
      <c r="FZ805" s="3341">
        <f t="shared" si="261"/>
        <v>0</v>
      </c>
      <c r="GA805" s="3341">
        <f t="shared" si="261"/>
        <v>0</v>
      </c>
      <c r="GB805" s="3341">
        <f t="shared" si="261"/>
        <v>0</v>
      </c>
      <c r="GC805" s="3341">
        <f t="shared" si="261"/>
        <v>0</v>
      </c>
      <c r="GD805" s="3341">
        <f t="shared" si="261"/>
        <v>0</v>
      </c>
      <c r="GE805" s="3341">
        <f t="shared" si="261"/>
        <v>0</v>
      </c>
      <c r="GF805" s="3341">
        <f t="shared" si="261"/>
        <v>0</v>
      </c>
      <c r="GG805" s="3341">
        <f t="shared" si="261"/>
        <v>0</v>
      </c>
      <c r="GH805" s="3341">
        <f t="shared" si="261"/>
        <v>0</v>
      </c>
      <c r="GI805" s="3341">
        <f t="shared" si="261"/>
        <v>0</v>
      </c>
      <c r="GJ805" s="3341">
        <f t="shared" si="261"/>
        <v>0</v>
      </c>
      <c r="GK805" s="3341">
        <f t="shared" si="261"/>
        <v>0</v>
      </c>
      <c r="GL805" s="3341">
        <f t="shared" si="261"/>
        <v>0</v>
      </c>
      <c r="GM805" s="3341">
        <f t="shared" si="261"/>
        <v>0</v>
      </c>
      <c r="GN805" s="3341">
        <f t="shared" si="261"/>
        <v>0</v>
      </c>
      <c r="GO805" s="3341">
        <f t="shared" si="261"/>
        <v>0</v>
      </c>
      <c r="GP805" s="3341">
        <f t="shared" si="261"/>
        <v>0</v>
      </c>
      <c r="GQ805" s="3341">
        <f t="shared" si="261"/>
        <v>0</v>
      </c>
      <c r="GR805" s="3341">
        <f t="shared" si="261"/>
        <v>0</v>
      </c>
      <c r="GS805" s="3341">
        <f t="shared" si="261"/>
        <v>0</v>
      </c>
      <c r="GT805" s="3341">
        <f t="shared" si="261"/>
        <v>0</v>
      </c>
      <c r="GU805" s="3341">
        <f t="shared" si="261"/>
        <v>0</v>
      </c>
      <c r="GV805" s="3341">
        <f t="shared" si="261"/>
        <v>0</v>
      </c>
      <c r="GW805" s="3341">
        <f t="shared" si="261"/>
        <v>0</v>
      </c>
      <c r="GX805" s="3341">
        <f t="shared" si="261"/>
        <v>0</v>
      </c>
      <c r="GY805" s="3341">
        <f t="shared" si="261"/>
        <v>0</v>
      </c>
      <c r="GZ805" s="3341">
        <f t="shared" si="261"/>
        <v>0</v>
      </c>
      <c r="HA805" s="3341">
        <f t="shared" si="261"/>
        <v>0</v>
      </c>
      <c r="HB805" s="3341">
        <f t="shared" si="261"/>
        <v>0</v>
      </c>
      <c r="HC805" s="3341">
        <f t="shared" si="261"/>
        <v>0</v>
      </c>
      <c r="HD805" s="3341">
        <f t="shared" si="261"/>
        <v>0</v>
      </c>
      <c r="HE805" s="3341">
        <f t="shared" si="261"/>
        <v>0</v>
      </c>
      <c r="HF805" s="3341">
        <f t="shared" si="261"/>
        <v>0</v>
      </c>
      <c r="HG805" s="3341">
        <f t="shared" ref="HG805:JR805" si="262">SUM(HG767:HG804)</f>
        <v>0</v>
      </c>
      <c r="HH805" s="3341">
        <f t="shared" si="262"/>
        <v>0</v>
      </c>
      <c r="HI805" s="3341">
        <f t="shared" si="262"/>
        <v>0</v>
      </c>
      <c r="HJ805" s="3341">
        <f t="shared" si="262"/>
        <v>0</v>
      </c>
      <c r="HK805" s="3341">
        <f t="shared" si="262"/>
        <v>12</v>
      </c>
      <c r="HL805" s="3341">
        <f t="shared" si="262"/>
        <v>32</v>
      </c>
      <c r="HM805" s="3341">
        <f t="shared" si="262"/>
        <v>30</v>
      </c>
      <c r="HN805" s="3341">
        <f t="shared" si="262"/>
        <v>0</v>
      </c>
      <c r="HO805" s="3341">
        <f t="shared" si="262"/>
        <v>0</v>
      </c>
      <c r="HP805" s="3341">
        <f t="shared" si="262"/>
        <v>0</v>
      </c>
      <c r="HQ805" s="3341">
        <f t="shared" si="262"/>
        <v>0</v>
      </c>
      <c r="HR805" s="3341">
        <f t="shared" si="262"/>
        <v>0</v>
      </c>
      <c r="HS805" s="3341">
        <f t="shared" si="262"/>
        <v>0</v>
      </c>
      <c r="HT805" s="3341">
        <f t="shared" si="262"/>
        <v>0</v>
      </c>
      <c r="HU805" s="3341">
        <f t="shared" si="262"/>
        <v>0</v>
      </c>
      <c r="HV805" s="3341">
        <f t="shared" si="262"/>
        <v>0</v>
      </c>
      <c r="HW805" s="3341">
        <f t="shared" si="262"/>
        <v>0</v>
      </c>
      <c r="HX805" s="3341">
        <f t="shared" si="262"/>
        <v>0</v>
      </c>
      <c r="HY805" s="3341">
        <f t="shared" si="262"/>
        <v>0</v>
      </c>
      <c r="HZ805" s="3341">
        <f t="shared" si="262"/>
        <v>0</v>
      </c>
      <c r="IA805" s="3341">
        <f t="shared" si="262"/>
        <v>0</v>
      </c>
      <c r="IB805" s="3341">
        <f t="shared" si="262"/>
        <v>0</v>
      </c>
      <c r="IC805" s="3341">
        <f t="shared" si="262"/>
        <v>0</v>
      </c>
      <c r="ID805" s="3341">
        <f t="shared" si="262"/>
        <v>0</v>
      </c>
      <c r="IE805" s="3341">
        <f t="shared" si="262"/>
        <v>0</v>
      </c>
      <c r="IF805" s="3341">
        <f t="shared" si="262"/>
        <v>0</v>
      </c>
      <c r="IG805" s="3341">
        <f t="shared" si="262"/>
        <v>0</v>
      </c>
      <c r="IH805" s="3341">
        <f t="shared" si="262"/>
        <v>0</v>
      </c>
      <c r="II805" s="3341">
        <f t="shared" si="262"/>
        <v>0</v>
      </c>
      <c r="IJ805" s="3341">
        <f t="shared" si="262"/>
        <v>0</v>
      </c>
      <c r="IK805" s="3341">
        <f t="shared" si="262"/>
        <v>0</v>
      </c>
      <c r="IL805" s="3341">
        <f t="shared" si="262"/>
        <v>0</v>
      </c>
      <c r="IM805" s="3341">
        <f t="shared" si="262"/>
        <v>0</v>
      </c>
      <c r="IN805" s="3341">
        <f t="shared" si="262"/>
        <v>0</v>
      </c>
      <c r="IO805" s="3341">
        <f t="shared" si="262"/>
        <v>0</v>
      </c>
      <c r="IP805" s="3341">
        <f t="shared" si="262"/>
        <v>0</v>
      </c>
      <c r="IQ805" s="3341">
        <f t="shared" si="262"/>
        <v>0</v>
      </c>
      <c r="IR805" s="3341">
        <f t="shared" si="262"/>
        <v>0</v>
      </c>
      <c r="IS805" s="3341">
        <f t="shared" si="262"/>
        <v>0</v>
      </c>
      <c r="IT805" s="3341">
        <f t="shared" si="262"/>
        <v>0</v>
      </c>
      <c r="IU805" s="3341">
        <f t="shared" si="262"/>
        <v>0</v>
      </c>
      <c r="IV805" s="3341">
        <f t="shared" si="262"/>
        <v>0</v>
      </c>
      <c r="IW805" s="3341">
        <f t="shared" si="262"/>
        <v>0</v>
      </c>
      <c r="IX805" s="3341">
        <f t="shared" si="262"/>
        <v>0</v>
      </c>
      <c r="IY805" s="3341">
        <f t="shared" si="262"/>
        <v>0</v>
      </c>
      <c r="IZ805" s="3341">
        <f t="shared" si="262"/>
        <v>0</v>
      </c>
      <c r="JA805" s="3341">
        <f t="shared" si="262"/>
        <v>0</v>
      </c>
      <c r="JB805" s="3341">
        <f t="shared" si="262"/>
        <v>0</v>
      </c>
      <c r="JC805" s="3341">
        <f t="shared" si="262"/>
        <v>0</v>
      </c>
      <c r="JD805" s="3341">
        <f t="shared" si="262"/>
        <v>0</v>
      </c>
      <c r="JE805" s="3341">
        <f t="shared" si="262"/>
        <v>0</v>
      </c>
      <c r="JF805" s="3341">
        <f t="shared" si="262"/>
        <v>0</v>
      </c>
      <c r="JG805" s="3341">
        <f t="shared" si="262"/>
        <v>0</v>
      </c>
      <c r="JH805" s="3341">
        <f t="shared" si="262"/>
        <v>0</v>
      </c>
      <c r="JI805" s="3341">
        <f t="shared" si="262"/>
        <v>12</v>
      </c>
      <c r="JJ805" s="3341">
        <f t="shared" si="262"/>
        <v>32</v>
      </c>
      <c r="JK805" s="3341">
        <f t="shared" si="262"/>
        <v>30</v>
      </c>
      <c r="JL805" s="3341">
        <f t="shared" si="262"/>
        <v>0</v>
      </c>
      <c r="JM805" s="3341">
        <f t="shared" si="262"/>
        <v>0</v>
      </c>
      <c r="JN805" s="3341">
        <f t="shared" si="262"/>
        <v>0</v>
      </c>
      <c r="JO805" s="3341">
        <f t="shared" si="262"/>
        <v>0</v>
      </c>
      <c r="JP805" s="3341">
        <f t="shared" si="262"/>
        <v>0</v>
      </c>
      <c r="JQ805" s="3341">
        <f t="shared" si="262"/>
        <v>0</v>
      </c>
      <c r="JR805" s="3341">
        <f t="shared" si="262"/>
        <v>0</v>
      </c>
    </row>
    <row r="806" spans="1:278" ht="12" customHeight="1">
      <c r="B806" s="3111"/>
      <c r="D806" s="3342"/>
      <c r="E806" s="3338"/>
      <c r="F806" s="3338"/>
      <c r="G806" s="359"/>
      <c r="H806" s="359"/>
      <c r="I806" s="359"/>
      <c r="J806" s="359"/>
      <c r="K806" s="3337" t="s">
        <v>1093</v>
      </c>
      <c r="L806" s="3338">
        <f>L805*12</f>
        <v>640884</v>
      </c>
      <c r="M806" s="3111"/>
      <c r="N806" s="3111"/>
      <c r="O806" s="3111"/>
      <c r="P806" s="3111"/>
      <c r="Q806" s="3111"/>
      <c r="R806" s="3111"/>
      <c r="S806" s="3111"/>
      <c r="T806" s="3111"/>
      <c r="U806" s="3111"/>
      <c r="V806" s="3341"/>
      <c r="W806" s="3341"/>
      <c r="X806" s="3341"/>
      <c r="Y806" s="3341"/>
      <c r="Z806" s="3341"/>
      <c r="AA806" s="3341"/>
      <c r="AB806" s="3341"/>
      <c r="AC806" s="3341"/>
      <c r="AD806" s="3341"/>
      <c r="AE806" s="3341"/>
      <c r="AF806" s="3341"/>
      <c r="AG806" s="3341"/>
      <c r="AH806" s="3341"/>
      <c r="AI806" s="3341"/>
      <c r="AJ806" s="3341"/>
      <c r="AK806" s="3341"/>
      <c r="AL806" s="3341"/>
      <c r="AM806" s="3341"/>
      <c r="AN806" s="3341"/>
      <c r="AO806" s="3341"/>
      <c r="AP806" s="3341"/>
      <c r="AQ806" s="3341"/>
      <c r="AR806" s="3341"/>
      <c r="AS806" s="3341"/>
      <c r="AT806" s="3341"/>
      <c r="AU806" s="3341"/>
      <c r="AV806" s="3341"/>
      <c r="AW806" s="3341"/>
      <c r="AX806" s="3341"/>
      <c r="AY806" s="3341"/>
      <c r="AZ806" s="3341"/>
      <c r="BA806" s="3341"/>
      <c r="BB806" s="3341"/>
      <c r="BC806" s="3341"/>
      <c r="BD806" s="3341"/>
      <c r="BE806" s="3341"/>
      <c r="BF806" s="3341"/>
      <c r="BG806" s="3341"/>
      <c r="BH806" s="3341"/>
      <c r="BI806" s="3341"/>
      <c r="BJ806" s="3341"/>
      <c r="BK806" s="3341"/>
      <c r="BL806" s="3341"/>
      <c r="BM806" s="3341"/>
      <c r="BN806" s="3341"/>
      <c r="BO806" s="3341"/>
      <c r="BP806" s="3341"/>
      <c r="BQ806" s="3341"/>
      <c r="BR806" s="3341"/>
      <c r="BS806" s="3341"/>
      <c r="BT806" s="3341"/>
      <c r="BU806" s="3341"/>
      <c r="BV806" s="3341"/>
      <c r="BW806" s="3341"/>
      <c r="BX806" s="3341"/>
      <c r="BY806" s="3341"/>
      <c r="BZ806" s="3341"/>
      <c r="CA806" s="3341"/>
      <c r="CB806" s="3341"/>
      <c r="CC806" s="3341"/>
      <c r="CD806" s="3341"/>
      <c r="CE806" s="3341"/>
      <c r="CF806" s="3341"/>
      <c r="CG806" s="3341"/>
      <c r="CH806" s="3341"/>
      <c r="CI806" s="3341"/>
      <c r="CJ806" s="3341"/>
      <c r="CK806" s="3341"/>
      <c r="CL806" s="3341"/>
      <c r="CM806" s="3341"/>
      <c r="CN806" s="3341"/>
      <c r="CO806" s="3341"/>
      <c r="CP806" s="3341"/>
      <c r="CQ806" s="3341"/>
      <c r="CR806" s="3341"/>
      <c r="CS806" s="3341"/>
      <c r="CT806" s="3341"/>
      <c r="CU806" s="3341"/>
      <c r="CV806" s="3341"/>
      <c r="CW806" s="3341"/>
      <c r="CX806" s="3341"/>
      <c r="CY806" s="3341"/>
      <c r="CZ806" s="3341"/>
      <c r="DA806" s="3341"/>
      <c r="DB806" s="3341"/>
      <c r="DC806" s="3341"/>
      <c r="DD806" s="3341"/>
      <c r="DE806" s="3341"/>
      <c r="DF806" s="3341"/>
      <c r="DG806" s="3341"/>
      <c r="DH806" s="3341"/>
      <c r="DI806" s="3341"/>
      <c r="DJ806" s="3341"/>
      <c r="DK806" s="3341"/>
      <c r="DL806" s="3341"/>
      <c r="DM806" s="3341"/>
      <c r="DN806" s="3341"/>
      <c r="DO806" s="3341"/>
      <c r="DP806" s="3341"/>
      <c r="DQ806" s="3341"/>
      <c r="DR806" s="3341"/>
      <c r="DS806" s="3341"/>
      <c r="DT806" s="3341"/>
      <c r="DU806" s="3341"/>
      <c r="DV806" s="3341"/>
      <c r="DW806" s="3341"/>
      <c r="DX806" s="3341"/>
      <c r="DY806" s="3341"/>
      <c r="DZ806" s="3341"/>
      <c r="EA806" s="3341"/>
      <c r="EB806" s="3341"/>
      <c r="EC806" s="3341"/>
      <c r="ED806" s="3341"/>
      <c r="EE806" s="3341"/>
      <c r="EF806" s="3341"/>
      <c r="EG806" s="3341"/>
      <c r="EH806" s="3341"/>
      <c r="EI806" s="3341"/>
      <c r="EJ806" s="3341"/>
      <c r="EK806" s="3341"/>
      <c r="EL806" s="3341"/>
      <c r="EM806" s="3341"/>
      <c r="EN806" s="3341"/>
      <c r="EO806" s="3341"/>
      <c r="EP806" s="3341"/>
      <c r="EQ806" s="3341"/>
      <c r="ER806" s="3341"/>
      <c r="ES806" s="3341"/>
      <c r="ET806" s="3341"/>
      <c r="EU806" s="3341"/>
      <c r="EV806" s="3341"/>
      <c r="EW806" s="3341"/>
      <c r="EX806" s="3341"/>
      <c r="EY806" s="3341"/>
      <c r="EZ806" s="3341"/>
      <c r="FA806" s="3341"/>
      <c r="FB806" s="3341"/>
      <c r="FC806" s="3341"/>
      <c r="FD806" s="3341"/>
      <c r="FE806" s="3341"/>
      <c r="FF806" s="3341"/>
      <c r="FG806" s="3341"/>
      <c r="FH806" s="3341"/>
      <c r="FI806" s="3341"/>
      <c r="FJ806" s="3341"/>
      <c r="FK806" s="3341"/>
      <c r="FL806" s="3341"/>
      <c r="FM806" s="3341"/>
      <c r="FN806" s="3341"/>
      <c r="FO806" s="3341"/>
      <c r="FP806" s="3341"/>
      <c r="FQ806" s="3341"/>
      <c r="FR806" s="3341"/>
      <c r="FS806" s="3341"/>
      <c r="FT806" s="3341"/>
      <c r="FU806" s="3341"/>
      <c r="FV806" s="3341"/>
      <c r="FW806" s="3341"/>
      <c r="FX806" s="3341"/>
      <c r="FY806" s="3341"/>
      <c r="FZ806" s="3341"/>
      <c r="GA806" s="3341"/>
      <c r="GB806" s="3341"/>
      <c r="GC806" s="3341"/>
      <c r="GD806" s="3341"/>
      <c r="GE806" s="3341"/>
      <c r="GF806" s="3341"/>
      <c r="GG806" s="3341"/>
      <c r="GH806" s="3341"/>
      <c r="GI806" s="3341"/>
      <c r="GJ806" s="3341"/>
      <c r="GK806" s="3341"/>
      <c r="GL806" s="3341"/>
      <c r="GM806" s="3341"/>
      <c r="GN806" s="3341"/>
      <c r="GO806" s="3341"/>
      <c r="GP806" s="3341"/>
      <c r="GQ806" s="3341"/>
      <c r="GR806" s="3341"/>
      <c r="GS806" s="3341"/>
      <c r="GT806" s="3341"/>
      <c r="GU806" s="3341"/>
      <c r="GV806" s="3341"/>
      <c r="GW806" s="3341"/>
      <c r="GX806" s="3341"/>
      <c r="GY806" s="3341"/>
      <c r="GZ806" s="3341"/>
      <c r="HA806" s="3341"/>
      <c r="HB806" s="3341"/>
      <c r="HC806" s="3341"/>
      <c r="HD806" s="3341"/>
      <c r="HE806" s="3341"/>
      <c r="HF806" s="3341"/>
      <c r="HG806" s="3341"/>
      <c r="HH806" s="3341"/>
      <c r="HI806" s="3341"/>
      <c r="HJ806" s="3341"/>
      <c r="HK806" s="3341"/>
      <c r="HL806" s="3341"/>
      <c r="HM806" s="3341"/>
      <c r="HN806" s="3341"/>
      <c r="HO806" s="3341"/>
      <c r="HP806" s="3341"/>
      <c r="HQ806" s="3341"/>
      <c r="HR806" s="3341"/>
      <c r="HS806" s="3341"/>
      <c r="HT806" s="3341"/>
      <c r="HU806" s="3341"/>
      <c r="HV806" s="3341"/>
      <c r="HW806" s="3341"/>
      <c r="HX806" s="3341"/>
      <c r="HY806" s="3341"/>
      <c r="HZ806" s="3341"/>
      <c r="IA806" s="3341"/>
      <c r="IB806" s="3341"/>
      <c r="IC806" s="3341"/>
      <c r="ID806" s="3341"/>
      <c r="IE806" s="3341"/>
      <c r="IF806" s="3341"/>
      <c r="IG806" s="3341"/>
      <c r="IH806" s="3341"/>
      <c r="II806" s="3341"/>
      <c r="IJ806" s="3341"/>
      <c r="IK806" s="3341"/>
      <c r="IL806" s="3341"/>
      <c r="IM806" s="3341"/>
      <c r="IN806" s="3341"/>
      <c r="IO806" s="3341"/>
      <c r="IP806" s="3341"/>
      <c r="IQ806" s="3341"/>
      <c r="IR806" s="3341"/>
      <c r="IS806" s="3341"/>
      <c r="IT806" s="3341"/>
      <c r="IU806" s="3341"/>
      <c r="IV806" s="3341"/>
      <c r="IW806" s="3341"/>
      <c r="IX806" s="3341"/>
      <c r="IY806" s="3341"/>
      <c r="IZ806" s="3341"/>
      <c r="JA806" s="3341"/>
      <c r="JB806" s="3341"/>
    </row>
    <row r="807" spans="1:278" ht="3" customHeight="1">
      <c r="A807" s="358"/>
      <c r="B807" s="3111"/>
      <c r="D807" s="3342"/>
      <c r="E807" s="3338"/>
      <c r="F807" s="3338"/>
      <c r="G807" s="359"/>
      <c r="H807" s="359"/>
      <c r="I807" s="359"/>
      <c r="J807" s="359"/>
      <c r="K807" s="3342"/>
      <c r="L807" s="3338"/>
      <c r="M807" s="3111"/>
      <c r="N807" s="3111"/>
      <c r="O807" s="3111"/>
      <c r="P807" s="3111"/>
      <c r="Q807" s="3111"/>
      <c r="R807" s="3111"/>
      <c r="S807" s="3111"/>
      <c r="T807" s="3111"/>
      <c r="U807" s="3111"/>
      <c r="V807" s="3341"/>
      <c r="W807" s="3341"/>
      <c r="X807" s="3341"/>
      <c r="Y807" s="3341"/>
      <c r="Z807" s="3341"/>
      <c r="AA807" s="3341"/>
      <c r="AB807" s="3341"/>
      <c r="AC807" s="3341"/>
      <c r="AD807" s="3341"/>
      <c r="AE807" s="3341"/>
      <c r="AF807" s="3341"/>
      <c r="AG807" s="3341"/>
      <c r="AH807" s="3341"/>
      <c r="AI807" s="3341"/>
      <c r="AJ807" s="3341"/>
      <c r="AK807" s="3341"/>
      <c r="AL807" s="3341"/>
      <c r="AM807" s="3341"/>
      <c r="AN807" s="3341"/>
      <c r="AO807" s="3341"/>
      <c r="AP807" s="3341"/>
      <c r="AQ807" s="3341"/>
      <c r="AR807" s="3341"/>
      <c r="AS807" s="3341"/>
      <c r="AT807" s="3341"/>
      <c r="AU807" s="3341"/>
      <c r="AV807" s="3341"/>
      <c r="AW807" s="3341"/>
      <c r="AX807" s="3341"/>
      <c r="AY807" s="3341"/>
      <c r="AZ807" s="3341"/>
      <c r="BA807" s="3341"/>
      <c r="BB807" s="3341"/>
      <c r="BC807" s="3341"/>
      <c r="BD807" s="3341"/>
      <c r="BE807" s="3341"/>
      <c r="BF807" s="3341"/>
      <c r="BG807" s="3341"/>
      <c r="BH807" s="3341"/>
      <c r="BI807" s="3341"/>
      <c r="BJ807" s="3341"/>
      <c r="BK807" s="3341"/>
      <c r="BL807" s="3341"/>
      <c r="BM807" s="3341"/>
      <c r="BN807" s="3341"/>
      <c r="BO807" s="3341"/>
      <c r="BP807" s="3341"/>
      <c r="BQ807" s="3341"/>
      <c r="BR807" s="3341"/>
      <c r="BS807" s="3341"/>
      <c r="BT807" s="3341"/>
      <c r="BU807" s="3341"/>
      <c r="BV807" s="3341"/>
      <c r="BW807" s="3341"/>
      <c r="BX807" s="3341"/>
      <c r="BY807" s="3341"/>
      <c r="BZ807" s="3341"/>
      <c r="CA807" s="3341"/>
      <c r="CB807" s="3341"/>
      <c r="CC807" s="3341"/>
      <c r="CD807" s="3341"/>
      <c r="CE807" s="3341"/>
      <c r="CF807" s="3341"/>
      <c r="CG807" s="3341"/>
      <c r="CH807" s="3341"/>
      <c r="CI807" s="3341"/>
      <c r="CJ807" s="3341"/>
      <c r="CK807" s="3341"/>
      <c r="CL807" s="3341"/>
      <c r="CM807" s="3341"/>
      <c r="CN807" s="3341"/>
      <c r="CO807" s="3341"/>
      <c r="CP807" s="3341"/>
      <c r="CQ807" s="3341"/>
      <c r="CR807" s="3341"/>
      <c r="CS807" s="3341"/>
      <c r="CT807" s="3341"/>
      <c r="CU807" s="3341"/>
      <c r="CV807" s="3341"/>
      <c r="CW807" s="3341"/>
      <c r="CX807" s="3341"/>
      <c r="CY807" s="3341"/>
      <c r="CZ807" s="3341"/>
      <c r="DA807" s="3341"/>
      <c r="DB807" s="3341"/>
      <c r="DC807" s="3341"/>
      <c r="DD807" s="3341"/>
      <c r="DE807" s="3341"/>
      <c r="DF807" s="3341"/>
      <c r="DG807" s="3341"/>
      <c r="DH807" s="3341"/>
      <c r="DI807" s="3341"/>
      <c r="DJ807" s="3341"/>
      <c r="DK807" s="3341"/>
      <c r="DL807" s="3341"/>
      <c r="DM807" s="3341"/>
      <c r="DN807" s="3341"/>
      <c r="DO807" s="3341"/>
      <c r="DP807" s="3341"/>
      <c r="DQ807" s="3341"/>
      <c r="DR807" s="3341"/>
      <c r="DS807" s="3341"/>
      <c r="DT807" s="3341"/>
      <c r="DU807" s="3341"/>
      <c r="DV807" s="3341"/>
      <c r="DW807" s="3341"/>
      <c r="DX807" s="3341"/>
      <c r="DY807" s="3341"/>
      <c r="DZ807" s="3341"/>
      <c r="EA807" s="3341"/>
      <c r="EB807" s="3341"/>
      <c r="EC807" s="3341"/>
      <c r="ED807" s="3341"/>
      <c r="EE807" s="3341"/>
      <c r="EF807" s="3341"/>
      <c r="EG807" s="3341"/>
      <c r="EH807" s="3341"/>
      <c r="EI807" s="3341"/>
      <c r="EJ807" s="3341"/>
      <c r="EK807" s="3341"/>
      <c r="EL807" s="3341"/>
      <c r="EM807" s="3341"/>
      <c r="EN807" s="3341"/>
      <c r="EO807" s="3341"/>
      <c r="EP807" s="3341"/>
      <c r="EQ807" s="3341"/>
      <c r="ER807" s="3341"/>
      <c r="ES807" s="3341"/>
      <c r="ET807" s="3341"/>
      <c r="EU807" s="3341"/>
      <c r="EV807" s="3341"/>
      <c r="EW807" s="3341"/>
      <c r="EX807" s="3341"/>
      <c r="EY807" s="3341"/>
      <c r="EZ807" s="3341"/>
      <c r="FA807" s="3341"/>
      <c r="FB807" s="3341"/>
      <c r="FC807" s="3341"/>
      <c r="FD807" s="3341"/>
      <c r="FE807" s="3341"/>
      <c r="FF807" s="3341"/>
      <c r="FG807" s="3341"/>
      <c r="FH807" s="3341"/>
      <c r="FI807" s="3341"/>
      <c r="FJ807" s="3341"/>
      <c r="FK807" s="3341"/>
      <c r="FL807" s="3341"/>
      <c r="FM807" s="3341"/>
      <c r="FN807" s="3341"/>
      <c r="FO807" s="3341"/>
      <c r="FP807" s="3341"/>
      <c r="FQ807" s="3341"/>
      <c r="FR807" s="3341"/>
      <c r="FS807" s="3341"/>
      <c r="FT807" s="3341"/>
      <c r="FU807" s="3341"/>
      <c r="FV807" s="3341"/>
      <c r="FW807" s="3341"/>
      <c r="FX807" s="3341"/>
      <c r="FY807" s="3341"/>
      <c r="FZ807" s="3341"/>
      <c r="GA807" s="3341"/>
      <c r="GB807" s="3341"/>
      <c r="GC807" s="3341"/>
      <c r="GD807" s="3341"/>
      <c r="GE807" s="3341"/>
      <c r="GF807" s="3341"/>
      <c r="GG807" s="3341"/>
      <c r="GH807" s="3341"/>
      <c r="GI807" s="3341"/>
      <c r="GJ807" s="3341"/>
      <c r="GK807" s="3341"/>
      <c r="GL807" s="3341"/>
      <c r="GM807" s="3341"/>
      <c r="GN807" s="3341"/>
      <c r="GO807" s="3341"/>
      <c r="GP807" s="3341"/>
      <c r="GQ807" s="3341"/>
      <c r="GR807" s="3341"/>
      <c r="GS807" s="3341"/>
      <c r="GT807" s="3341"/>
      <c r="GU807" s="3341"/>
      <c r="GV807" s="3341"/>
      <c r="GW807" s="3341"/>
      <c r="GX807" s="3341"/>
      <c r="GY807" s="3341"/>
      <c r="GZ807" s="3341"/>
      <c r="HA807" s="3341"/>
      <c r="HB807" s="3341"/>
      <c r="HC807" s="3341"/>
      <c r="HD807" s="3341"/>
      <c r="HE807" s="3341"/>
      <c r="HF807" s="3341"/>
      <c r="HG807" s="3341"/>
      <c r="HH807" s="3341"/>
      <c r="HI807" s="3341"/>
      <c r="HJ807" s="3341"/>
      <c r="HK807" s="3341"/>
      <c r="HL807" s="3341"/>
      <c r="HM807" s="3341"/>
      <c r="HN807" s="3341"/>
      <c r="HO807" s="3341"/>
      <c r="HP807" s="3341"/>
      <c r="HQ807" s="3341"/>
      <c r="HR807" s="3341"/>
      <c r="HS807" s="3341"/>
      <c r="HT807" s="3341"/>
      <c r="HU807" s="3341"/>
      <c r="HV807" s="3341"/>
      <c r="HW807" s="3341"/>
      <c r="HX807" s="3341"/>
      <c r="HY807" s="3341"/>
      <c r="HZ807" s="3341"/>
      <c r="IA807" s="3341"/>
      <c r="IB807" s="3341"/>
      <c r="IC807" s="3341"/>
      <c r="ID807" s="3341"/>
      <c r="IE807" s="3341"/>
      <c r="IF807" s="3341"/>
      <c r="IG807" s="3341"/>
      <c r="IH807" s="3341"/>
      <c r="II807" s="3341"/>
      <c r="IJ807" s="3341"/>
      <c r="IK807" s="3341"/>
      <c r="IL807" s="3341"/>
      <c r="IM807" s="3341"/>
      <c r="IN807" s="3341"/>
      <c r="IO807" s="3341"/>
      <c r="IP807" s="3341"/>
      <c r="IQ807" s="3341"/>
      <c r="IR807" s="3341"/>
      <c r="IS807" s="3341"/>
      <c r="IT807" s="3341"/>
      <c r="IU807" s="3341"/>
      <c r="IV807" s="3341"/>
      <c r="IW807" s="3341"/>
      <c r="IX807" s="3341"/>
      <c r="IY807" s="3341"/>
      <c r="IZ807" s="3341"/>
      <c r="JA807" s="3341"/>
      <c r="JB807" s="3341"/>
    </row>
    <row r="808" spans="1:278" ht="12" customHeight="1">
      <c r="A808" s="3343" t="s">
        <v>4780</v>
      </c>
      <c r="B808" s="3343"/>
      <c r="C808" s="3343"/>
      <c r="D808" s="3343"/>
      <c r="E808" s="3343"/>
      <c r="F808" s="3343"/>
      <c r="G808" s="3343"/>
      <c r="H808" s="3343"/>
      <c r="I808" s="3343"/>
      <c r="J808" s="3343"/>
      <c r="K808" s="3343"/>
      <c r="L808" s="3343"/>
      <c r="M808" s="3343"/>
      <c r="N808" s="3343"/>
      <c r="O808" s="3343"/>
      <c r="P808" s="3343"/>
      <c r="Q808" s="3344"/>
      <c r="R808" s="3111"/>
      <c r="S808" s="3111"/>
      <c r="T808" s="3111"/>
      <c r="U808" s="3111"/>
      <c r="V808" s="3341"/>
      <c r="W808" s="3341"/>
      <c r="X808" s="3341"/>
      <c r="Y808" s="3341"/>
      <c r="Z808" s="3341"/>
      <c r="AA808" s="3341"/>
      <c r="AB808" s="3341"/>
      <c r="AC808" s="3341"/>
      <c r="AD808" s="3341"/>
      <c r="AE808" s="3341"/>
      <c r="AF808" s="3341"/>
      <c r="AG808" s="3341"/>
      <c r="AH808" s="3341"/>
      <c r="AI808" s="3341"/>
      <c r="AJ808" s="3341"/>
      <c r="AK808" s="3341"/>
      <c r="AL808" s="3341"/>
      <c r="AM808" s="3341"/>
      <c r="AN808" s="3341"/>
      <c r="AO808" s="3341"/>
      <c r="AP808" s="3341"/>
      <c r="AQ808" s="3341"/>
      <c r="AR808" s="3341"/>
      <c r="AS808" s="3341"/>
      <c r="AT808" s="3341"/>
      <c r="AU808" s="3341"/>
      <c r="AV808" s="3341"/>
      <c r="AW808" s="3341"/>
      <c r="AX808" s="3341"/>
      <c r="AY808" s="3341"/>
      <c r="AZ808" s="3341"/>
      <c r="BA808" s="3341"/>
      <c r="BB808" s="3341"/>
      <c r="BC808" s="3341"/>
      <c r="BD808" s="3341"/>
      <c r="BE808" s="3341"/>
      <c r="BF808" s="3341"/>
      <c r="BG808" s="3341"/>
      <c r="BH808" s="3341"/>
      <c r="BI808" s="3341"/>
      <c r="BJ808" s="3341"/>
      <c r="BK808" s="3341"/>
      <c r="BL808" s="3341"/>
      <c r="BM808" s="3341"/>
      <c r="BN808" s="3341"/>
      <c r="BO808" s="3341"/>
      <c r="BP808" s="3341"/>
      <c r="BQ808" s="3341"/>
      <c r="BR808" s="3341"/>
      <c r="BS808" s="3341"/>
      <c r="BT808" s="3341"/>
      <c r="BU808" s="3341"/>
      <c r="BV808" s="3341"/>
      <c r="BW808" s="3341"/>
      <c r="BX808" s="3341"/>
      <c r="BY808" s="3341"/>
      <c r="BZ808" s="3341"/>
      <c r="CA808" s="3341"/>
      <c r="CB808" s="3341"/>
      <c r="CC808" s="3341"/>
      <c r="CD808" s="3341"/>
      <c r="CE808" s="3341"/>
      <c r="CF808" s="3341"/>
      <c r="CG808" s="3341"/>
      <c r="CH808" s="3341"/>
      <c r="CI808" s="3341"/>
      <c r="CJ808" s="3341"/>
      <c r="CK808" s="3341"/>
      <c r="CL808" s="3341"/>
      <c r="CM808" s="3341"/>
      <c r="CN808" s="3341"/>
      <c r="CO808" s="3341"/>
      <c r="CP808" s="3341"/>
      <c r="CQ808" s="3341"/>
      <c r="CR808" s="3341"/>
      <c r="CS808" s="3341"/>
      <c r="CT808" s="3341"/>
      <c r="CU808" s="3341"/>
      <c r="CV808" s="3341"/>
      <c r="CW808" s="3341"/>
      <c r="CX808" s="3341"/>
      <c r="CY808" s="3341"/>
      <c r="CZ808" s="3341"/>
      <c r="DA808" s="3341"/>
      <c r="DB808" s="3341"/>
      <c r="DC808" s="3341"/>
      <c r="DD808" s="3341"/>
      <c r="DE808" s="3341"/>
      <c r="DF808" s="3341"/>
      <c r="DG808" s="3341"/>
      <c r="DH808" s="3341"/>
      <c r="DI808" s="3341"/>
      <c r="DJ808" s="3341"/>
      <c r="DK808" s="3341"/>
      <c r="DL808" s="3341"/>
      <c r="DM808" s="3341"/>
      <c r="DN808" s="3341"/>
      <c r="DO808" s="3341"/>
      <c r="DP808" s="3341"/>
      <c r="DQ808" s="3341"/>
      <c r="DR808" s="3341"/>
      <c r="DS808" s="3341"/>
      <c r="DT808" s="3341"/>
      <c r="DU808" s="3341"/>
      <c r="DV808" s="3341"/>
      <c r="DW808" s="3341"/>
      <c r="DX808" s="3341"/>
      <c r="DY808" s="3341"/>
      <c r="DZ808" s="3341"/>
      <c r="EA808" s="3341"/>
      <c r="EB808" s="3341"/>
      <c r="EC808" s="3341"/>
      <c r="ED808" s="3341"/>
      <c r="EE808" s="3341"/>
      <c r="EF808" s="3341"/>
      <c r="EG808" s="3341"/>
      <c r="EH808" s="3341"/>
      <c r="EI808" s="3341"/>
      <c r="EJ808" s="3341"/>
      <c r="EK808" s="3341"/>
      <c r="EL808" s="3341"/>
      <c r="EM808" s="3341"/>
      <c r="EN808" s="3341"/>
      <c r="EO808" s="3341"/>
      <c r="EP808" s="3341"/>
      <c r="EQ808" s="3341"/>
      <c r="ER808" s="3341"/>
      <c r="ES808" s="3341"/>
      <c r="ET808" s="3341"/>
      <c r="EU808" s="3341"/>
      <c r="EV808" s="3341"/>
      <c r="EW808" s="3341"/>
      <c r="EX808" s="3341"/>
      <c r="EY808" s="3341"/>
      <c r="EZ808" s="3341"/>
      <c r="FA808" s="3341"/>
      <c r="FB808" s="3341"/>
      <c r="FC808" s="3341"/>
      <c r="FD808" s="3341"/>
      <c r="FE808" s="3341"/>
      <c r="FF808" s="3341"/>
      <c r="FG808" s="3341"/>
      <c r="FH808" s="3341"/>
      <c r="FI808" s="3341"/>
      <c r="FJ808" s="3341"/>
      <c r="FK808" s="3341"/>
      <c r="FL808" s="3341"/>
      <c r="FM808" s="3341"/>
      <c r="FN808" s="3341"/>
      <c r="FO808" s="3341"/>
      <c r="FP808" s="3341"/>
      <c r="FQ808" s="3341"/>
      <c r="FR808" s="3341"/>
      <c r="FS808" s="3341"/>
      <c r="FT808" s="3341"/>
      <c r="FU808" s="3341"/>
      <c r="FV808" s="3341"/>
      <c r="FW808" s="3341"/>
      <c r="FX808" s="3341"/>
      <c r="FY808" s="3341"/>
      <c r="FZ808" s="3341"/>
      <c r="GA808" s="3341"/>
      <c r="GB808" s="3341"/>
      <c r="GC808" s="3341"/>
      <c r="GD808" s="3341"/>
      <c r="GE808" s="3341"/>
      <c r="GF808" s="3341"/>
      <c r="GG808" s="3341"/>
      <c r="GH808" s="3341"/>
      <c r="GI808" s="3341"/>
      <c r="GJ808" s="3341"/>
      <c r="GK808" s="3341"/>
      <c r="GL808" s="3341"/>
      <c r="GM808" s="3341"/>
      <c r="GN808" s="3341"/>
      <c r="GO808" s="3341"/>
      <c r="GP808" s="3341"/>
      <c r="GQ808" s="3341"/>
      <c r="GR808" s="3341"/>
      <c r="GS808" s="3341"/>
      <c r="GT808" s="3341"/>
      <c r="GU808" s="3341"/>
      <c r="GV808" s="3341"/>
      <c r="GW808" s="3341"/>
      <c r="GX808" s="3341"/>
      <c r="GY808" s="3341"/>
      <c r="GZ808" s="3341"/>
      <c r="HA808" s="3341"/>
      <c r="HB808" s="3341"/>
      <c r="HC808" s="3341"/>
      <c r="HD808" s="3341"/>
      <c r="HE808" s="3341"/>
      <c r="HF808" s="3341"/>
      <c r="HG808" s="3341"/>
      <c r="HH808" s="3341"/>
      <c r="HI808" s="3341"/>
      <c r="HJ808" s="3341"/>
      <c r="HK808" s="3341"/>
      <c r="HL808" s="3341"/>
      <c r="HM808" s="3341"/>
      <c r="HN808" s="3341"/>
      <c r="HO808" s="3341"/>
      <c r="HP808" s="3341"/>
      <c r="HQ808" s="3341"/>
      <c r="HR808" s="3341"/>
      <c r="HS808" s="3341"/>
      <c r="HT808" s="3341"/>
      <c r="HU808" s="3341"/>
      <c r="HV808" s="3341"/>
      <c r="HW808" s="3341"/>
      <c r="HX808" s="3341"/>
      <c r="HY808" s="3341"/>
      <c r="HZ808" s="3341"/>
      <c r="IA808" s="3341"/>
      <c r="IB808" s="3341"/>
      <c r="IC808" s="3341"/>
      <c r="ID808" s="3341"/>
      <c r="IE808" s="3341"/>
      <c r="IF808" s="3341"/>
      <c r="IG808" s="3341"/>
      <c r="IH808" s="3341"/>
      <c r="II808" s="3341"/>
      <c r="IJ808" s="3341"/>
      <c r="IK808" s="3341"/>
      <c r="IL808" s="3341"/>
      <c r="IM808" s="3341"/>
      <c r="IN808" s="3341"/>
      <c r="IO808" s="3341"/>
      <c r="IP808" s="3341"/>
      <c r="IQ808" s="3341"/>
      <c r="IR808" s="3341"/>
      <c r="IS808" s="3341"/>
      <c r="IT808" s="3341"/>
      <c r="IU808" s="3341"/>
      <c r="IV808" s="3341"/>
      <c r="IW808" s="3341"/>
      <c r="IX808" s="3341"/>
      <c r="IY808" s="3341"/>
      <c r="IZ808" s="3341"/>
      <c r="JA808" s="3341"/>
      <c r="JB808" s="3341"/>
    </row>
    <row r="809" spans="1:278" ht="12" customHeight="1">
      <c r="A809" s="3343"/>
      <c r="B809" s="3343"/>
      <c r="C809" s="3343"/>
      <c r="D809" s="3343"/>
      <c r="E809" s="3343"/>
      <c r="F809" s="3343"/>
      <c r="G809" s="3343"/>
      <c r="H809" s="3343"/>
      <c r="I809" s="3343"/>
      <c r="J809" s="3343"/>
      <c r="K809" s="3343"/>
      <c r="L809" s="3343"/>
      <c r="M809" s="3343"/>
      <c r="N809" s="3343"/>
      <c r="O809" s="3343"/>
      <c r="P809" s="3343"/>
      <c r="Q809" s="3344"/>
      <c r="R809" s="3111"/>
      <c r="S809" s="3111"/>
      <c r="T809" s="3111"/>
      <c r="U809" s="3111"/>
      <c r="V809" s="3341"/>
      <c r="W809" s="3341"/>
      <c r="X809" s="3341"/>
      <c r="Y809" s="3341"/>
      <c r="Z809" s="3341"/>
      <c r="AA809" s="3341"/>
      <c r="AB809" s="3341"/>
      <c r="AC809" s="3341"/>
      <c r="AD809" s="3341"/>
      <c r="AE809" s="3341"/>
      <c r="AF809" s="3341"/>
      <c r="AG809" s="3341"/>
      <c r="AH809" s="3341"/>
      <c r="AI809" s="3341"/>
      <c r="AJ809" s="3341"/>
      <c r="AK809" s="3341"/>
      <c r="AL809" s="3341"/>
      <c r="AM809" s="3341"/>
      <c r="AN809" s="3341"/>
      <c r="AO809" s="3341"/>
      <c r="AP809" s="3341"/>
      <c r="AQ809" s="3341"/>
      <c r="AR809" s="3341"/>
      <c r="AS809" s="3341"/>
      <c r="AT809" s="3341"/>
      <c r="AU809" s="3341"/>
      <c r="AV809" s="3341"/>
      <c r="AW809" s="3341"/>
      <c r="AX809" s="3341"/>
      <c r="AY809" s="3341"/>
      <c r="AZ809" s="3341"/>
      <c r="BA809" s="3341"/>
      <c r="BB809" s="3341"/>
      <c r="BC809" s="3341"/>
      <c r="BD809" s="3341"/>
      <c r="BE809" s="3341"/>
      <c r="BF809" s="3341"/>
      <c r="BG809" s="3341"/>
      <c r="BH809" s="3341"/>
      <c r="BI809" s="3341"/>
      <c r="BJ809" s="3341"/>
      <c r="BK809" s="3341"/>
      <c r="BL809" s="3341"/>
      <c r="BM809" s="3341"/>
      <c r="BN809" s="3341"/>
      <c r="BO809" s="3341"/>
      <c r="BP809" s="3341"/>
      <c r="BQ809" s="3341"/>
      <c r="BR809" s="3341"/>
      <c r="BS809" s="3341"/>
      <c r="BT809" s="3341"/>
      <c r="BU809" s="3341"/>
      <c r="BV809" s="3341"/>
      <c r="BW809" s="3341"/>
      <c r="BX809" s="3341"/>
      <c r="BY809" s="3341"/>
      <c r="BZ809" s="3341"/>
      <c r="CA809" s="3341"/>
      <c r="CB809" s="3341"/>
      <c r="CC809" s="3341"/>
      <c r="CD809" s="3341"/>
      <c r="CE809" s="3341"/>
      <c r="CF809" s="3341"/>
      <c r="CG809" s="3341"/>
      <c r="CH809" s="3341"/>
      <c r="CI809" s="3341"/>
      <c r="CJ809" s="3341"/>
      <c r="CK809" s="3341"/>
      <c r="CL809" s="3341"/>
      <c r="CM809" s="3341"/>
      <c r="CN809" s="3341"/>
      <c r="CO809" s="3341"/>
      <c r="CP809" s="3341"/>
      <c r="CQ809" s="3341"/>
      <c r="CR809" s="3341"/>
      <c r="CS809" s="3341"/>
      <c r="CT809" s="3341"/>
      <c r="CU809" s="3341"/>
      <c r="CV809" s="3341"/>
      <c r="CW809" s="3341"/>
      <c r="CX809" s="3341"/>
      <c r="CY809" s="3341"/>
      <c r="CZ809" s="3341"/>
      <c r="DA809" s="3341"/>
      <c r="DB809" s="3341"/>
      <c r="DC809" s="3341"/>
      <c r="DD809" s="3341"/>
      <c r="DE809" s="3341"/>
      <c r="DF809" s="3341"/>
      <c r="DG809" s="3341"/>
      <c r="DH809" s="3341"/>
      <c r="DI809" s="3341"/>
      <c r="DJ809" s="3341"/>
      <c r="DK809" s="3341"/>
      <c r="DL809" s="3341"/>
      <c r="DM809" s="3341"/>
      <c r="DN809" s="3341"/>
      <c r="DO809" s="3341"/>
      <c r="DP809" s="3341"/>
      <c r="DQ809" s="3341"/>
      <c r="DR809" s="3341"/>
      <c r="DS809" s="3341"/>
      <c r="DT809" s="3341"/>
      <c r="DU809" s="3341"/>
      <c r="DV809" s="3341"/>
      <c r="DW809" s="3341"/>
      <c r="DX809" s="3341"/>
      <c r="DY809" s="3341"/>
      <c r="DZ809" s="3341"/>
      <c r="EA809" s="3341"/>
      <c r="EB809" s="3341"/>
      <c r="EC809" s="3341"/>
      <c r="ED809" s="3341"/>
      <c r="EE809" s="3341"/>
      <c r="EF809" s="3341"/>
      <c r="EG809" s="3341"/>
      <c r="EH809" s="3341"/>
      <c r="EI809" s="3341"/>
      <c r="EJ809" s="3341"/>
      <c r="EK809" s="3341"/>
      <c r="EL809" s="3341"/>
      <c r="EM809" s="3341"/>
      <c r="EN809" s="3341"/>
      <c r="EO809" s="3341"/>
      <c r="EP809" s="3341"/>
      <c r="EQ809" s="3341"/>
      <c r="ER809" s="3341"/>
      <c r="ES809" s="3341"/>
      <c r="ET809" s="3341"/>
      <c r="EU809" s="3341"/>
      <c r="EV809" s="3341"/>
      <c r="EW809" s="3341"/>
      <c r="EX809" s="3341"/>
      <c r="EY809" s="3341"/>
      <c r="EZ809" s="3341"/>
      <c r="FA809" s="3341"/>
      <c r="FB809" s="3341"/>
      <c r="FC809" s="3341"/>
      <c r="FD809" s="3341"/>
      <c r="FE809" s="3341"/>
      <c r="FF809" s="3341"/>
      <c r="FG809" s="3341"/>
      <c r="FH809" s="3341"/>
      <c r="FI809" s="3341"/>
      <c r="FJ809" s="3341"/>
      <c r="FK809" s="3341"/>
      <c r="FL809" s="3341"/>
      <c r="FM809" s="3341"/>
      <c r="FN809" s="3341"/>
      <c r="FO809" s="3341"/>
      <c r="FP809" s="3341"/>
      <c r="FQ809" s="3341"/>
      <c r="FR809" s="3341"/>
      <c r="FS809" s="3341"/>
      <c r="FT809" s="3341"/>
      <c r="FU809" s="3341"/>
      <c r="FV809" s="3341"/>
      <c r="FW809" s="3341"/>
      <c r="FX809" s="3341"/>
      <c r="FY809" s="3341"/>
      <c r="FZ809" s="3341"/>
      <c r="GA809" s="3341"/>
      <c r="GB809" s="3341"/>
      <c r="GC809" s="3341"/>
      <c r="GD809" s="3341"/>
      <c r="GE809" s="3341"/>
      <c r="GF809" s="3341"/>
      <c r="GG809" s="3341"/>
      <c r="GH809" s="3341"/>
      <c r="GI809" s="3341"/>
      <c r="GJ809" s="3341"/>
      <c r="GK809" s="3341"/>
      <c r="GL809" s="3341"/>
      <c r="GM809" s="3341"/>
      <c r="GN809" s="3341"/>
      <c r="GO809" s="3341"/>
      <c r="GP809" s="3341"/>
      <c r="GQ809" s="3341"/>
      <c r="GR809" s="3341"/>
      <c r="GS809" s="3341"/>
      <c r="GT809" s="3341"/>
      <c r="GU809" s="3341"/>
      <c r="GV809" s="3341"/>
      <c r="GW809" s="3341"/>
      <c r="GX809" s="3341"/>
      <c r="GY809" s="3341"/>
      <c r="GZ809" s="3341"/>
      <c r="HA809" s="3341"/>
      <c r="HB809" s="3341"/>
      <c r="HC809" s="3341"/>
      <c r="HD809" s="3341"/>
      <c r="HE809" s="3341"/>
      <c r="HF809" s="3341"/>
      <c r="HG809" s="3341"/>
      <c r="HH809" s="3341"/>
      <c r="HI809" s="3341"/>
      <c r="HJ809" s="3341"/>
      <c r="HK809" s="3341"/>
      <c r="HL809" s="3341"/>
      <c r="HM809" s="3341"/>
      <c r="HN809" s="3341"/>
      <c r="HO809" s="3341"/>
      <c r="HP809" s="3341"/>
      <c r="HQ809" s="3341"/>
      <c r="HR809" s="3341"/>
      <c r="HS809" s="3341"/>
      <c r="HT809" s="3341"/>
      <c r="HU809" s="3341"/>
      <c r="HV809" s="3341"/>
      <c r="HW809" s="3341"/>
      <c r="HX809" s="3341"/>
      <c r="HY809" s="3341"/>
      <c r="HZ809" s="3341"/>
      <c r="IA809" s="3341"/>
      <c r="IB809" s="3341"/>
      <c r="IC809" s="3341"/>
      <c r="ID809" s="3341"/>
      <c r="IE809" s="3341"/>
      <c r="IF809" s="3341"/>
      <c r="IG809" s="3341"/>
      <c r="IH809" s="3341"/>
      <c r="II809" s="3341"/>
      <c r="IJ809" s="3341"/>
      <c r="IK809" s="3341"/>
      <c r="IL809" s="3341"/>
      <c r="IM809" s="3341"/>
      <c r="IN809" s="3341"/>
      <c r="IO809" s="3341"/>
      <c r="IP809" s="3341"/>
      <c r="IQ809" s="3341"/>
      <c r="IR809" s="3341"/>
      <c r="IS809" s="3341"/>
      <c r="IT809" s="3341"/>
      <c r="IU809" s="3341"/>
      <c r="IV809" s="3341"/>
      <c r="IW809" s="3341"/>
      <c r="IX809" s="3341"/>
      <c r="IY809" s="3341"/>
      <c r="IZ809" s="3341"/>
      <c r="JA809" s="3341"/>
      <c r="JB809" s="3341"/>
    </row>
    <row r="810" spans="1:278" ht="14.45" customHeight="1">
      <c r="A810" s="3303" t="s">
        <v>13</v>
      </c>
      <c r="B810" s="3303" t="s">
        <v>1095</v>
      </c>
      <c r="R810" s="3300" t="str">
        <f>B810</f>
        <v>UNIT SUMMARY</v>
      </c>
      <c r="S810" s="3300"/>
      <c r="T810" s="3300"/>
      <c r="U810" s="3300"/>
      <c r="AI810" s="3111"/>
      <c r="GT810" s="3306"/>
      <c r="GY810" s="3306"/>
      <c r="GZ810" s="3306"/>
      <c r="HA810" s="3306"/>
      <c r="HB810" s="3306"/>
      <c r="HC810" s="3306"/>
      <c r="HD810" s="3306"/>
      <c r="HE810" s="3306"/>
      <c r="HF810" s="3306"/>
      <c r="HG810" s="3306"/>
      <c r="HH810" s="3306"/>
      <c r="HI810" s="3306"/>
      <c r="HJ810" s="3306"/>
      <c r="HK810" s="3306"/>
      <c r="HL810" s="3306"/>
      <c r="HM810" s="3306"/>
      <c r="HN810" s="3306"/>
      <c r="HO810" s="3306"/>
      <c r="HP810" s="3306"/>
      <c r="HQ810" s="3306"/>
      <c r="HR810" s="3306"/>
      <c r="HS810" s="3306"/>
      <c r="HT810" s="3306"/>
      <c r="HU810" s="3306"/>
      <c r="HV810" s="3306"/>
      <c r="HW810" s="3306"/>
      <c r="HX810" s="3306"/>
      <c r="HY810" s="3306"/>
      <c r="HZ810" s="3306"/>
      <c r="IA810" s="3306"/>
      <c r="IB810" s="3306"/>
      <c r="IC810" s="3306"/>
      <c r="ID810" s="3306"/>
      <c r="IK810" s="3303"/>
      <c r="IL810" s="3303"/>
      <c r="JB810" s="3303"/>
    </row>
    <row r="811" spans="1:278" ht="3" customHeight="1">
      <c r="A811" s="3303"/>
      <c r="B811" s="3303"/>
      <c r="R811" s="3303"/>
      <c r="S811" s="3303"/>
      <c r="T811" s="3345"/>
      <c r="AI811" s="3111"/>
      <c r="GT811" s="3306"/>
      <c r="GY811" s="3306"/>
      <c r="GZ811" s="3306"/>
      <c r="HA811" s="3306"/>
      <c r="HB811" s="3306"/>
      <c r="HC811" s="3306"/>
      <c r="HD811" s="3306"/>
      <c r="HE811" s="3306"/>
      <c r="HF811" s="3306"/>
      <c r="HG811" s="3306"/>
      <c r="HH811" s="3306"/>
      <c r="HI811" s="3306"/>
      <c r="HJ811" s="3306"/>
      <c r="HK811" s="3306"/>
      <c r="HL811" s="3306"/>
      <c r="HM811" s="3306"/>
      <c r="HN811" s="3306"/>
      <c r="HO811" s="3306"/>
      <c r="HP811" s="3306"/>
      <c r="HQ811" s="3306"/>
      <c r="HR811" s="3306"/>
      <c r="HS811" s="3306"/>
      <c r="HT811" s="3306"/>
      <c r="HU811" s="3306"/>
      <c r="HV811" s="3306"/>
      <c r="HW811" s="3306"/>
      <c r="HX811" s="3306"/>
      <c r="HY811" s="3306"/>
      <c r="HZ811" s="3306"/>
      <c r="IA811" s="3306"/>
      <c r="IB811" s="3306"/>
      <c r="IC811" s="3306"/>
      <c r="ID811" s="3306"/>
      <c r="IK811" s="3303"/>
      <c r="IL811" s="3303"/>
      <c r="JB811" s="3303"/>
    </row>
    <row r="812" spans="1:278" ht="14.45" customHeight="1">
      <c r="A812" s="3303"/>
      <c r="B812" s="3303" t="s">
        <v>1096</v>
      </c>
      <c r="J812" s="3346" t="s">
        <v>831</v>
      </c>
      <c r="K812" s="3346" t="s">
        <v>1097</v>
      </c>
      <c r="L812" s="3346" t="s">
        <v>1098</v>
      </c>
      <c r="M812" s="3346" t="s">
        <v>1099</v>
      </c>
      <c r="N812" s="3346" t="s">
        <v>1100</v>
      </c>
      <c r="O812" s="3346" t="s">
        <v>478</v>
      </c>
      <c r="R812" s="3307" t="s">
        <v>851</v>
      </c>
      <c r="S812" s="3307"/>
      <c r="T812" s="3345"/>
      <c r="AB812" s="3346"/>
      <c r="AC812" s="3346"/>
      <c r="AD812" s="3346"/>
      <c r="AE812" s="3346"/>
      <c r="AF812" s="3346"/>
      <c r="AG812" s="3346"/>
      <c r="AI812" s="3111"/>
      <c r="GT812" s="3306"/>
      <c r="GY812" s="3306"/>
      <c r="GZ812" s="3306"/>
      <c r="HA812" s="3306"/>
      <c r="HB812" s="3306"/>
      <c r="HC812" s="3306"/>
      <c r="HD812" s="3306"/>
      <c r="HE812" s="3306"/>
      <c r="HF812" s="3306"/>
      <c r="HG812" s="3306"/>
      <c r="HH812" s="3306"/>
      <c r="HI812" s="3306"/>
      <c r="HJ812" s="3306"/>
      <c r="HK812" s="3306"/>
      <c r="HL812" s="3306"/>
      <c r="HM812" s="3306"/>
      <c r="HN812" s="3306"/>
      <c r="HO812" s="3306"/>
      <c r="HP812" s="3306"/>
      <c r="HQ812" s="3306"/>
      <c r="HR812" s="3306"/>
      <c r="HS812" s="3306"/>
      <c r="HT812" s="3306"/>
      <c r="HU812" s="3306"/>
      <c r="HV812" s="3306"/>
      <c r="HW812" s="3306"/>
      <c r="HX812" s="3306"/>
      <c r="HY812" s="3306"/>
      <c r="HZ812" s="3306"/>
      <c r="IA812" s="3306"/>
      <c r="IB812" s="3306"/>
      <c r="IC812" s="3306"/>
      <c r="ID812" s="3306"/>
      <c r="IK812" s="3303"/>
      <c r="IL812" s="3303"/>
      <c r="JB812" s="3303"/>
    </row>
    <row r="813" spans="1:278" ht="12" customHeight="1">
      <c r="C813" s="3111" t="s">
        <v>1101</v>
      </c>
      <c r="D813" s="3111"/>
      <c r="E813" s="3111"/>
      <c r="F813" s="3111"/>
      <c r="H813" s="358" t="s">
        <v>1088</v>
      </c>
      <c r="J813" s="3347">
        <f>W805</f>
        <v>0</v>
      </c>
      <c r="K813" s="3347">
        <f>X805</f>
        <v>9</v>
      </c>
      <c r="L813" s="3347">
        <f>Y805</f>
        <v>22</v>
      </c>
      <c r="M813" s="3347">
        <f>Z805</f>
        <v>17</v>
      </c>
      <c r="N813" s="3347">
        <f>AA805</f>
        <v>0</v>
      </c>
      <c r="O813" s="3347">
        <f t="shared" ref="O813:O819" si="263">SUM(J813:N813)</f>
        <v>48</v>
      </c>
      <c r="P813" s="3274" t="s">
        <v>1102</v>
      </c>
      <c r="Q813" s="3348"/>
      <c r="R813" s="3257"/>
      <c r="S813" s="3257"/>
      <c r="T813" s="3257"/>
      <c r="U813" s="3257"/>
      <c r="V813" s="3257"/>
      <c r="W813" s="3111"/>
      <c r="Z813" s="3111"/>
      <c r="AA813" s="358"/>
      <c r="AB813" s="359"/>
      <c r="AC813" s="359"/>
      <c r="AD813" s="359"/>
      <c r="AE813" s="359"/>
      <c r="AF813" s="359"/>
      <c r="AG813" s="359"/>
      <c r="AH813" s="358"/>
      <c r="AI813" s="3111"/>
      <c r="GT813" s="3306"/>
      <c r="GY813" s="3306"/>
      <c r="GZ813" s="3306"/>
      <c r="HA813" s="3306"/>
      <c r="HB813" s="3306"/>
      <c r="HC813" s="3306"/>
      <c r="HD813" s="3306"/>
      <c r="HE813" s="3306"/>
      <c r="HF813" s="3306"/>
      <c r="HG813" s="3306"/>
      <c r="HH813" s="3306"/>
      <c r="HI813" s="3306"/>
      <c r="HJ813" s="3306"/>
      <c r="HK813" s="3306"/>
      <c r="HL813" s="3306"/>
      <c r="HM813" s="3306"/>
      <c r="HN813" s="3306"/>
      <c r="HO813" s="3306"/>
      <c r="HP813" s="3306"/>
      <c r="HQ813" s="3306"/>
      <c r="HR813" s="3306"/>
      <c r="HS813" s="3306"/>
      <c r="HT813" s="3306"/>
      <c r="HU813" s="3306"/>
      <c r="HV813" s="3306"/>
      <c r="HW813" s="3306"/>
      <c r="HX813" s="3306"/>
      <c r="HY813" s="3306"/>
      <c r="HZ813" s="3306"/>
      <c r="IA813" s="3306"/>
      <c r="IB813" s="3306"/>
      <c r="IC813" s="3306"/>
      <c r="ID813" s="3306"/>
      <c r="IK813" s="3303"/>
      <c r="IL813" s="3303"/>
      <c r="JB813" s="3303"/>
    </row>
    <row r="814" spans="1:278" ht="12" customHeight="1">
      <c r="A814" s="3349" t="s">
        <v>1103</v>
      </c>
      <c r="B814" s="3349"/>
      <c r="C814" s="3300"/>
      <c r="D814" s="3111"/>
      <c r="E814" s="3111"/>
      <c r="F814" s="3111"/>
      <c r="H814" s="358" t="s">
        <v>1086</v>
      </c>
      <c r="J814" s="3347">
        <f>AB805</f>
        <v>0</v>
      </c>
      <c r="K814" s="3347">
        <f>AC805</f>
        <v>3</v>
      </c>
      <c r="L814" s="3347">
        <f>AD805</f>
        <v>6</v>
      </c>
      <c r="M814" s="3347">
        <f>AE805</f>
        <v>6</v>
      </c>
      <c r="N814" s="3347">
        <f>AF805</f>
        <v>0</v>
      </c>
      <c r="O814" s="3347">
        <f t="shared" si="263"/>
        <v>15</v>
      </c>
      <c r="P814" s="3274"/>
      <c r="Q814" s="3348"/>
      <c r="R814" s="3257"/>
      <c r="S814" s="3257"/>
      <c r="T814" s="3257"/>
      <c r="U814" s="3257"/>
      <c r="V814" s="3257"/>
      <c r="W814" s="3300"/>
      <c r="Z814" s="3111"/>
      <c r="AA814" s="358"/>
      <c r="AB814" s="359"/>
      <c r="AC814" s="359"/>
      <c r="AD814" s="359"/>
      <c r="AE814" s="359"/>
      <c r="AF814" s="359"/>
      <c r="AG814" s="359"/>
      <c r="AH814" s="358"/>
      <c r="AI814" s="3111"/>
      <c r="GT814" s="3306"/>
      <c r="GY814" s="3306"/>
      <c r="GZ814" s="3306"/>
      <c r="HA814" s="3306"/>
      <c r="HB814" s="3306"/>
      <c r="HC814" s="3306"/>
      <c r="HD814" s="3306"/>
      <c r="HE814" s="3306"/>
      <c r="HF814" s="3306"/>
      <c r="HG814" s="3306"/>
      <c r="HH814" s="3306"/>
      <c r="HI814" s="3306"/>
      <c r="HJ814" s="3306"/>
      <c r="HK814" s="3306"/>
      <c r="HL814" s="3306"/>
      <c r="HM814" s="3306"/>
      <c r="HN814" s="3306"/>
      <c r="HO814" s="3306"/>
      <c r="HP814" s="3306"/>
      <c r="HQ814" s="3306"/>
      <c r="HR814" s="3306"/>
      <c r="HS814" s="3306"/>
      <c r="HT814" s="3306"/>
      <c r="HU814" s="3306"/>
      <c r="HV814" s="3306"/>
      <c r="HW814" s="3306"/>
      <c r="HX814" s="3306"/>
      <c r="HY814" s="3306"/>
      <c r="HZ814" s="3306"/>
      <c r="IA814" s="3306"/>
      <c r="IB814" s="3306"/>
      <c r="IC814" s="3306"/>
      <c r="ID814" s="3306"/>
      <c r="IK814" s="3303"/>
      <c r="IL814" s="3303"/>
      <c r="JB814" s="3303"/>
    </row>
    <row r="815" spans="1:278" ht="12" customHeight="1">
      <c r="A815" s="3349"/>
      <c r="B815" s="3349"/>
      <c r="C815" s="3300"/>
      <c r="D815" s="3111"/>
      <c r="E815" s="3111"/>
      <c r="F815" s="3111"/>
      <c r="H815" s="358" t="s">
        <v>478</v>
      </c>
      <c r="J815" s="3347">
        <f>SUM(J813:J814)</f>
        <v>0</v>
      </c>
      <c r="K815" s="3347">
        <f>SUM(K813:K814)</f>
        <v>12</v>
      </c>
      <c r="L815" s="3347">
        <f>SUM(L813:L814)</f>
        <v>28</v>
      </c>
      <c r="M815" s="3347">
        <f>SUM(M813:M814)</f>
        <v>23</v>
      </c>
      <c r="N815" s="3347">
        <f>SUM(N813:N814)</f>
        <v>0</v>
      </c>
      <c r="O815" s="3347">
        <f t="shared" si="263"/>
        <v>63</v>
      </c>
      <c r="P815" s="3274"/>
      <c r="R815" s="3257"/>
      <c r="S815" s="3257"/>
      <c r="T815" s="3257"/>
      <c r="U815" s="3257"/>
      <c r="V815" s="3257"/>
      <c r="W815" s="3300"/>
      <c r="Z815" s="3111"/>
      <c r="AA815" s="358"/>
      <c r="AB815" s="359"/>
      <c r="AC815" s="359"/>
      <c r="AD815" s="359"/>
      <c r="AE815" s="359"/>
      <c r="AF815" s="359"/>
      <c r="AG815" s="359"/>
      <c r="AH815" s="358"/>
      <c r="AI815" s="3111"/>
      <c r="GT815" s="3306"/>
      <c r="GY815" s="3306"/>
      <c r="GZ815" s="3306"/>
      <c r="HA815" s="3306"/>
      <c r="HB815" s="3306"/>
      <c r="HC815" s="3306"/>
      <c r="HD815" s="3306"/>
      <c r="HE815" s="3306"/>
      <c r="HF815" s="3306"/>
      <c r="HG815" s="3306"/>
      <c r="HH815" s="3306"/>
      <c r="HI815" s="3306"/>
      <c r="HJ815" s="3306"/>
      <c r="HK815" s="3306"/>
      <c r="HL815" s="3306"/>
      <c r="HM815" s="3306"/>
      <c r="HN815" s="3306"/>
      <c r="HO815" s="3306"/>
      <c r="HP815" s="3306"/>
      <c r="HQ815" s="3306"/>
      <c r="HR815" s="3306"/>
      <c r="HS815" s="3306"/>
      <c r="HT815" s="3306"/>
      <c r="HU815" s="3306"/>
      <c r="HV815" s="3306"/>
      <c r="HW815" s="3306"/>
      <c r="HX815" s="3306"/>
      <c r="HY815" s="3306"/>
      <c r="HZ815" s="3306"/>
      <c r="IA815" s="3306"/>
      <c r="IB815" s="3306"/>
      <c r="IC815" s="3306"/>
      <c r="ID815" s="3306"/>
      <c r="IK815" s="3303"/>
      <c r="IL815" s="3303"/>
      <c r="JB815" s="3303"/>
    </row>
    <row r="816" spans="1:278" ht="12" customHeight="1">
      <c r="A816" s="3349"/>
      <c r="B816" s="3349"/>
      <c r="C816" s="3111" t="s">
        <v>1104</v>
      </c>
      <c r="D816" s="3111"/>
      <c r="E816" s="3111"/>
      <c r="F816" s="3111"/>
      <c r="H816" s="358"/>
      <c r="J816" s="3347">
        <f>AL805</f>
        <v>0</v>
      </c>
      <c r="K816" s="3347">
        <f>AM805</f>
        <v>0</v>
      </c>
      <c r="L816" s="3347">
        <f>AN805</f>
        <v>4</v>
      </c>
      <c r="M816" s="3347">
        <f>AO805</f>
        <v>5</v>
      </c>
      <c r="N816" s="3347">
        <f>AP805</f>
        <v>0</v>
      </c>
      <c r="O816" s="3347">
        <f t="shared" si="263"/>
        <v>9</v>
      </c>
      <c r="R816" s="3257"/>
      <c r="S816" s="3257"/>
      <c r="T816" s="3257"/>
      <c r="U816" s="3257"/>
      <c r="V816" s="3257"/>
      <c r="W816" s="3111"/>
      <c r="Z816" s="3111"/>
      <c r="AA816" s="358"/>
      <c r="AB816" s="359"/>
      <c r="AC816" s="359"/>
      <c r="AD816" s="359"/>
      <c r="AE816" s="359"/>
      <c r="AF816" s="359"/>
      <c r="AG816" s="359"/>
      <c r="AH816" s="943"/>
      <c r="AI816" s="3111"/>
      <c r="GT816" s="3306"/>
      <c r="GY816" s="3306"/>
      <c r="GZ816" s="3306"/>
      <c r="HA816" s="3306"/>
      <c r="HB816" s="3306"/>
      <c r="HC816" s="3306"/>
      <c r="HD816" s="3306"/>
      <c r="HE816" s="3306"/>
      <c r="HF816" s="3306"/>
      <c r="HG816" s="3306"/>
      <c r="HH816" s="3306"/>
      <c r="HI816" s="3306"/>
      <c r="HJ816" s="3306"/>
      <c r="HK816" s="3306"/>
      <c r="HL816" s="3306"/>
      <c r="HM816" s="3306"/>
      <c r="HN816" s="3306"/>
      <c r="HO816" s="3306"/>
      <c r="HP816" s="3306"/>
      <c r="HQ816" s="3306"/>
      <c r="HR816" s="3306"/>
      <c r="HS816" s="3306"/>
      <c r="HT816" s="3306"/>
      <c r="HU816" s="3306"/>
      <c r="HV816" s="3306"/>
      <c r="HW816" s="3306"/>
      <c r="HX816" s="3306"/>
      <c r="HY816" s="3306"/>
      <c r="HZ816" s="3306"/>
      <c r="IA816" s="3306"/>
      <c r="IB816" s="3306"/>
      <c r="IC816" s="3306"/>
      <c r="ID816" s="3306"/>
      <c r="IK816" s="3303"/>
      <c r="IL816" s="3303"/>
      <c r="JB816" s="3303"/>
    </row>
    <row r="817" spans="1:262" ht="12" customHeight="1">
      <c r="A817" s="3349"/>
      <c r="B817" s="3349"/>
      <c r="C817" s="3111" t="s">
        <v>1105</v>
      </c>
      <c r="D817" s="3111"/>
      <c r="E817" s="3111"/>
      <c r="F817" s="3111"/>
      <c r="H817" s="358"/>
      <c r="J817" s="3347">
        <f>SUM(J815:J816)</f>
        <v>0</v>
      </c>
      <c r="K817" s="3347">
        <f>SUM(K815:K816)</f>
        <v>12</v>
      </c>
      <c r="L817" s="3347">
        <f>SUM(L815:L816)</f>
        <v>32</v>
      </c>
      <c r="M817" s="3347">
        <f>SUM(M815:M816)</f>
        <v>28</v>
      </c>
      <c r="N817" s="3347">
        <f>SUM(N815:N816)</f>
        <v>0</v>
      </c>
      <c r="O817" s="3347">
        <f t="shared" si="263"/>
        <v>72</v>
      </c>
      <c r="R817" s="3257"/>
      <c r="S817" s="3257"/>
      <c r="T817" s="3257"/>
      <c r="U817" s="3257"/>
      <c r="V817" s="3257"/>
      <c r="W817" s="3111"/>
      <c r="Z817" s="3111"/>
      <c r="AA817" s="358"/>
      <c r="AB817" s="359"/>
      <c r="AC817" s="359"/>
      <c r="AD817" s="359"/>
      <c r="AE817" s="359"/>
      <c r="AF817" s="359"/>
      <c r="AG817" s="359"/>
      <c r="AH817" s="943"/>
      <c r="AI817" s="3111"/>
      <c r="GT817" s="3306"/>
      <c r="GY817" s="3306"/>
      <c r="GZ817" s="3306"/>
      <c r="HA817" s="3306"/>
      <c r="HB817" s="3306"/>
      <c r="HC817" s="3306"/>
      <c r="HD817" s="3306"/>
      <c r="HE817" s="3306"/>
      <c r="HF817" s="3306"/>
      <c r="HG817" s="3306"/>
      <c r="HH817" s="3306"/>
      <c r="HI817" s="3306"/>
      <c r="HJ817" s="3306"/>
      <c r="HK817" s="3306"/>
      <c r="HL817" s="3306"/>
      <c r="HM817" s="3306"/>
      <c r="HN817" s="3306"/>
      <c r="HO817" s="3306"/>
      <c r="HP817" s="3306"/>
      <c r="HQ817" s="3306"/>
      <c r="HR817" s="3306"/>
      <c r="HS817" s="3306"/>
      <c r="HT817" s="3306"/>
      <c r="HU817" s="3306"/>
      <c r="HV817" s="3306"/>
      <c r="HW817" s="3306"/>
      <c r="HX817" s="3306"/>
      <c r="HY817" s="3306"/>
      <c r="HZ817" s="3306"/>
      <c r="IA817" s="3306"/>
      <c r="IB817" s="3306"/>
      <c r="IC817" s="3306"/>
      <c r="ID817" s="3306"/>
      <c r="IK817" s="3303"/>
      <c r="IL817" s="3303"/>
      <c r="JB817" s="3303"/>
    </row>
    <row r="818" spans="1:262" ht="12" customHeight="1">
      <c r="A818" s="3349"/>
      <c r="B818" s="3349"/>
      <c r="C818" s="3111" t="s">
        <v>1090</v>
      </c>
      <c r="D818" s="3111"/>
      <c r="E818" s="3111"/>
      <c r="F818" s="3111"/>
      <c r="H818" s="358"/>
      <c r="J818" s="3347">
        <f>BU805</f>
        <v>0</v>
      </c>
      <c r="K818" s="3347">
        <f>BV805</f>
        <v>0</v>
      </c>
      <c r="L818" s="3347">
        <f>BW805</f>
        <v>0</v>
      </c>
      <c r="M818" s="3347">
        <f>BX805</f>
        <v>2</v>
      </c>
      <c r="N818" s="3347">
        <f>BY805</f>
        <v>0</v>
      </c>
      <c r="O818" s="3347">
        <f t="shared" si="263"/>
        <v>2</v>
      </c>
      <c r="P818" s="3113" t="s">
        <v>1106</v>
      </c>
      <c r="R818" s="3257"/>
      <c r="S818" s="3257"/>
      <c r="T818" s="3257"/>
      <c r="U818" s="3257"/>
      <c r="V818" s="3257"/>
      <c r="W818" s="3111"/>
      <c r="Z818" s="3111"/>
      <c r="AA818" s="358"/>
      <c r="AB818" s="359"/>
      <c r="AC818" s="359"/>
      <c r="AD818" s="359"/>
      <c r="AE818" s="359"/>
      <c r="AF818" s="359"/>
      <c r="AG818" s="359"/>
      <c r="AH818" s="358"/>
      <c r="AI818" s="3111"/>
      <c r="GT818" s="3306"/>
      <c r="GY818" s="3306"/>
      <c r="GZ818" s="3306"/>
      <c r="HA818" s="3306"/>
      <c r="HB818" s="3306"/>
      <c r="HC818" s="3306"/>
      <c r="HD818" s="3306"/>
      <c r="HE818" s="3306"/>
      <c r="HF818" s="3306"/>
      <c r="HG818" s="3306"/>
      <c r="HH818" s="3306"/>
      <c r="HI818" s="3306"/>
      <c r="HJ818" s="3306"/>
      <c r="HK818" s="3306"/>
      <c r="HL818" s="3306"/>
      <c r="HM818" s="3306"/>
      <c r="HN818" s="3306"/>
      <c r="HO818" s="3306"/>
      <c r="HP818" s="3306"/>
      <c r="HQ818" s="3306"/>
      <c r="HR818" s="3306"/>
      <c r="HS818" s="3306"/>
      <c r="HT818" s="3306"/>
      <c r="HU818" s="3306"/>
      <c r="HV818" s="3306"/>
      <c r="HW818" s="3306"/>
      <c r="HX818" s="3306"/>
      <c r="HY818" s="3306"/>
      <c r="HZ818" s="3306"/>
      <c r="IA818" s="3306"/>
      <c r="IB818" s="3306"/>
      <c r="IC818" s="3306"/>
      <c r="ID818" s="3306"/>
      <c r="IK818" s="3303"/>
      <c r="IL818" s="3303"/>
      <c r="JB818" s="3303"/>
    </row>
    <row r="819" spans="1:262" ht="12" customHeight="1">
      <c r="A819" s="3349"/>
      <c r="B819" s="3349"/>
      <c r="C819" s="3111" t="s">
        <v>478</v>
      </c>
      <c r="D819" s="3111"/>
      <c r="E819" s="3111"/>
      <c r="F819" s="3111"/>
      <c r="H819" s="358"/>
      <c r="J819" s="3347">
        <f>SUM(J817:J818)</f>
        <v>0</v>
      </c>
      <c r="K819" s="3347">
        <f>SUM(K817:K818)</f>
        <v>12</v>
      </c>
      <c r="L819" s="3347">
        <f>SUM(L817:L818)</f>
        <v>32</v>
      </c>
      <c r="M819" s="3347">
        <f>SUM(M817:M818)</f>
        <v>30</v>
      </c>
      <c r="N819" s="3347">
        <f>SUM(N817:N818)</f>
        <v>0</v>
      </c>
      <c r="O819" s="3347">
        <f t="shared" si="263"/>
        <v>74</v>
      </c>
      <c r="R819" s="3257"/>
      <c r="S819" s="3257"/>
      <c r="T819" s="3257"/>
      <c r="U819" s="3257"/>
      <c r="V819" s="3257"/>
      <c r="W819" s="3111"/>
      <c r="Z819" s="3111"/>
      <c r="AA819" s="358"/>
      <c r="AB819" s="359"/>
      <c r="AC819" s="359"/>
      <c r="AD819" s="359"/>
      <c r="AE819" s="359"/>
      <c r="AF819" s="359"/>
      <c r="AG819" s="359"/>
      <c r="AI819" s="3111"/>
      <c r="GT819" s="3306"/>
      <c r="GY819" s="3306"/>
      <c r="GZ819" s="3306"/>
      <c r="HA819" s="3306"/>
      <c r="HB819" s="3306"/>
      <c r="HC819" s="3306"/>
      <c r="HD819" s="3306"/>
      <c r="HE819" s="3306"/>
      <c r="HF819" s="3306"/>
      <c r="HG819" s="3306"/>
      <c r="HH819" s="3306"/>
      <c r="HI819" s="3306"/>
      <c r="HJ819" s="3306"/>
      <c r="HK819" s="3306"/>
      <c r="HL819" s="3306"/>
      <c r="HM819" s="3306"/>
      <c r="HN819" s="3306"/>
      <c r="HO819" s="3306"/>
      <c r="HP819" s="3306"/>
      <c r="HQ819" s="3306"/>
      <c r="HR819" s="3306"/>
      <c r="HS819" s="3306"/>
      <c r="HT819" s="3306"/>
      <c r="HU819" s="3306"/>
      <c r="HV819" s="3306"/>
      <c r="HW819" s="3306"/>
      <c r="HX819" s="3306"/>
      <c r="HY819" s="3306"/>
      <c r="HZ819" s="3306"/>
      <c r="IA819" s="3306"/>
      <c r="IB819" s="3306"/>
      <c r="IC819" s="3306"/>
      <c r="ID819" s="3306"/>
      <c r="IK819" s="3303"/>
      <c r="IL819" s="3303"/>
      <c r="JB819" s="3303"/>
    </row>
    <row r="820" spans="1:262" ht="9" customHeight="1">
      <c r="A820" s="3349"/>
      <c r="B820" s="3349"/>
      <c r="C820" s="3111"/>
      <c r="D820" s="3111"/>
      <c r="E820" s="3111"/>
      <c r="F820" s="3111"/>
      <c r="H820" s="358"/>
      <c r="J820" s="3350"/>
      <c r="K820" s="3350"/>
      <c r="L820" s="3350"/>
      <c r="M820" s="3350"/>
      <c r="N820" s="3350"/>
      <c r="O820" s="3350"/>
      <c r="R820" s="3114" t="str">
        <f>C821</f>
        <v>PBRA-Assisted</v>
      </c>
      <c r="T820" s="3351"/>
      <c r="W820" s="3111"/>
      <c r="Z820" s="3111"/>
      <c r="AA820" s="358"/>
      <c r="AB820" s="3111"/>
      <c r="AC820" s="3111"/>
      <c r="AD820" s="3111"/>
      <c r="AE820" s="3111"/>
      <c r="AF820" s="3111"/>
      <c r="AG820" s="3111"/>
      <c r="AI820" s="3111"/>
      <c r="GT820" s="3306"/>
      <c r="GY820" s="3306"/>
      <c r="GZ820" s="3306"/>
      <c r="HA820" s="3306"/>
      <c r="HB820" s="3306"/>
      <c r="HC820" s="3306"/>
      <c r="HD820" s="3306"/>
      <c r="HE820" s="3306"/>
      <c r="HF820" s="3306"/>
      <c r="HG820" s="3306"/>
      <c r="HH820" s="3306"/>
      <c r="HI820" s="3306"/>
      <c r="HJ820" s="3306"/>
      <c r="HK820" s="3306"/>
      <c r="HL820" s="3306"/>
      <c r="HM820" s="3306"/>
      <c r="HN820" s="3306"/>
      <c r="HO820" s="3306"/>
      <c r="HP820" s="3306"/>
      <c r="HQ820" s="3306"/>
      <c r="HR820" s="3306"/>
      <c r="HS820" s="3306"/>
      <c r="HT820" s="3306"/>
      <c r="HU820" s="3306"/>
      <c r="HV820" s="3306"/>
      <c r="HW820" s="3306"/>
      <c r="HX820" s="3306"/>
      <c r="HY820" s="3306"/>
      <c r="HZ820" s="3306"/>
      <c r="IA820" s="3306"/>
      <c r="IB820" s="3306"/>
      <c r="IC820" s="3306"/>
      <c r="ID820" s="3306"/>
      <c r="IK820" s="3303"/>
      <c r="IL820" s="3303"/>
      <c r="JB820" s="3303"/>
    </row>
    <row r="821" spans="1:262" ht="12" customHeight="1">
      <c r="A821" s="3349"/>
      <c r="B821" s="3349"/>
      <c r="C821" s="3111" t="s">
        <v>1107</v>
      </c>
      <c r="D821" s="3111"/>
      <c r="E821" s="3312"/>
      <c r="F821" s="3111"/>
      <c r="H821" s="358" t="s">
        <v>1088</v>
      </c>
      <c r="J821" s="3347">
        <f>BA805</f>
        <v>0</v>
      </c>
      <c r="K821" s="3347">
        <f>BB805</f>
        <v>0</v>
      </c>
      <c r="L821" s="3347">
        <f>BC805</f>
        <v>0</v>
      </c>
      <c r="M821" s="3347">
        <f>BD805</f>
        <v>0</v>
      </c>
      <c r="N821" s="3347">
        <f>BE805</f>
        <v>0</v>
      </c>
      <c r="O821" s="3347">
        <f>SUM(J821:N821)</f>
        <v>0</v>
      </c>
      <c r="R821" s="3257"/>
      <c r="S821" s="3257"/>
      <c r="T821" s="3257"/>
      <c r="U821" s="3257"/>
      <c r="V821" s="3257"/>
      <c r="W821" s="3111"/>
      <c r="Z821" s="3111"/>
      <c r="AA821" s="358"/>
      <c r="AB821" s="359"/>
      <c r="AC821" s="359"/>
      <c r="AD821" s="359"/>
      <c r="AE821" s="359"/>
      <c r="AF821" s="359"/>
      <c r="AG821" s="359"/>
      <c r="AH821" s="358"/>
      <c r="AI821" s="3111"/>
      <c r="GT821" s="3306"/>
      <c r="GY821" s="3306"/>
      <c r="GZ821" s="3306"/>
      <c r="HA821" s="3306"/>
      <c r="HB821" s="3306"/>
      <c r="HC821" s="3306"/>
      <c r="HD821" s="3306"/>
      <c r="HE821" s="3306"/>
      <c r="HF821" s="3306"/>
      <c r="HG821" s="3306"/>
      <c r="HH821" s="3306"/>
      <c r="HI821" s="3306"/>
      <c r="HJ821" s="3306"/>
      <c r="HK821" s="3306"/>
      <c r="HL821" s="3306"/>
      <c r="HM821" s="3306"/>
      <c r="HN821" s="3306"/>
      <c r="HO821" s="3306"/>
      <c r="HP821" s="3306"/>
      <c r="HQ821" s="3306"/>
      <c r="HR821" s="3306"/>
      <c r="HS821" s="3306"/>
      <c r="HT821" s="3306"/>
      <c r="HU821" s="3306"/>
      <c r="HV821" s="3306"/>
      <c r="HW821" s="3306"/>
      <c r="HX821" s="3306"/>
      <c r="HY821" s="3306"/>
      <c r="HZ821" s="3306"/>
      <c r="IA821" s="3306"/>
      <c r="IB821" s="3306"/>
      <c r="IC821" s="3306"/>
      <c r="ID821" s="3306"/>
      <c r="IK821" s="3303"/>
      <c r="IL821" s="3303"/>
      <c r="JB821" s="3303"/>
    </row>
    <row r="822" spans="1:262" ht="12" customHeight="1">
      <c r="A822" s="3349"/>
      <c r="B822" s="3349"/>
      <c r="C822" s="358" t="s">
        <v>1108</v>
      </c>
      <c r="D822" s="3111"/>
      <c r="E822" s="3312"/>
      <c r="F822" s="3111"/>
      <c r="H822" s="358" t="s">
        <v>1086</v>
      </c>
      <c r="J822" s="3347">
        <f>AV805</f>
        <v>0</v>
      </c>
      <c r="K822" s="3347">
        <f>AW805</f>
        <v>0</v>
      </c>
      <c r="L822" s="3347">
        <f>AX805</f>
        <v>0</v>
      </c>
      <c r="M822" s="3347">
        <f>AY805</f>
        <v>0</v>
      </c>
      <c r="N822" s="3347">
        <f>AZ805</f>
        <v>0</v>
      </c>
      <c r="O822" s="3347">
        <f>SUM(J822:N822)</f>
        <v>0</v>
      </c>
      <c r="R822" s="3257"/>
      <c r="S822" s="3257"/>
      <c r="T822" s="3257"/>
      <c r="U822" s="3257"/>
      <c r="V822" s="3257"/>
      <c r="W822" s="358"/>
      <c r="Z822" s="3111"/>
      <c r="AA822" s="358"/>
      <c r="AB822" s="359"/>
      <c r="AC822" s="359"/>
      <c r="AD822" s="359"/>
      <c r="AE822" s="359"/>
      <c r="AF822" s="359"/>
      <c r="AG822" s="359"/>
      <c r="AH822" s="358"/>
      <c r="AI822" s="3111"/>
      <c r="GT822" s="3306"/>
      <c r="GY822" s="3306"/>
      <c r="GZ822" s="3306"/>
      <c r="HA822" s="3306"/>
      <c r="HB822" s="3306"/>
      <c r="HC822" s="3306"/>
      <c r="HD822" s="3306"/>
      <c r="HE822" s="3306"/>
      <c r="HF822" s="3306"/>
      <c r="HG822" s="3306"/>
      <c r="HH822" s="3306"/>
      <c r="HI822" s="3306"/>
      <c r="HJ822" s="3306"/>
      <c r="HK822" s="3306"/>
      <c r="HL822" s="3306"/>
      <c r="HM822" s="3306"/>
      <c r="HN822" s="3306"/>
      <c r="HO822" s="3306"/>
      <c r="HP822" s="3306"/>
      <c r="HQ822" s="3306"/>
      <c r="HR822" s="3306"/>
      <c r="HS822" s="3306"/>
      <c r="HT822" s="3306"/>
      <c r="HU822" s="3306"/>
      <c r="HV822" s="3306"/>
      <c r="HW822" s="3306"/>
      <c r="HX822" s="3306"/>
      <c r="HY822" s="3306"/>
      <c r="HZ822" s="3306"/>
      <c r="IA822" s="3306"/>
      <c r="IB822" s="3306"/>
      <c r="IC822" s="3306"/>
      <c r="ID822" s="3306"/>
      <c r="IK822" s="3303"/>
      <c r="IL822" s="3303"/>
      <c r="JB822" s="3303"/>
    </row>
    <row r="823" spans="1:262" ht="12" customHeight="1">
      <c r="A823" s="3349"/>
      <c r="B823" s="3349"/>
      <c r="C823" s="3300"/>
      <c r="D823" s="3111"/>
      <c r="E823" s="3312"/>
      <c r="F823" s="3111"/>
      <c r="H823" s="358" t="s">
        <v>478</v>
      </c>
      <c r="J823" s="3347">
        <f>SUM(J821:J822)</f>
        <v>0</v>
      </c>
      <c r="K823" s="3347">
        <f>SUM(K821:K822)</f>
        <v>0</v>
      </c>
      <c r="L823" s="3347">
        <f>SUM(L821:L822)</f>
        <v>0</v>
      </c>
      <c r="M823" s="3347">
        <f>SUM(M821:M822)</f>
        <v>0</v>
      </c>
      <c r="N823" s="3347">
        <f>SUM(N821:N822)</f>
        <v>0</v>
      </c>
      <c r="O823" s="3347">
        <f>SUM(J823:N823)</f>
        <v>0</v>
      </c>
      <c r="R823" s="3257"/>
      <c r="S823" s="3257"/>
      <c r="T823" s="3257"/>
      <c r="U823" s="3257"/>
      <c r="V823" s="3257"/>
      <c r="W823" s="3300"/>
      <c r="Z823" s="3111"/>
      <c r="AA823" s="358"/>
      <c r="AB823" s="359"/>
      <c r="AC823" s="359"/>
      <c r="AD823" s="359"/>
      <c r="AE823" s="359"/>
      <c r="AF823" s="359"/>
      <c r="AG823" s="359"/>
      <c r="AH823" s="358"/>
      <c r="AI823" s="3111"/>
      <c r="GT823" s="3306"/>
      <c r="GY823" s="3306"/>
      <c r="GZ823" s="3306"/>
      <c r="HA823" s="3306"/>
      <c r="HB823" s="3306"/>
      <c r="HC823" s="3306"/>
      <c r="HD823" s="3306"/>
      <c r="HE823" s="3306"/>
      <c r="HF823" s="3306"/>
      <c r="HG823" s="3306"/>
      <c r="HH823" s="3306"/>
      <c r="HI823" s="3306"/>
      <c r="HJ823" s="3306"/>
      <c r="HK823" s="3306"/>
      <c r="HL823" s="3306"/>
      <c r="HM823" s="3306"/>
      <c r="HN823" s="3306"/>
      <c r="HO823" s="3306"/>
      <c r="HP823" s="3306"/>
      <c r="HQ823" s="3306"/>
      <c r="HR823" s="3306"/>
      <c r="HS823" s="3306"/>
      <c r="HT823" s="3306"/>
      <c r="HU823" s="3306"/>
      <c r="HV823" s="3306"/>
      <c r="HW823" s="3306"/>
      <c r="HX823" s="3306"/>
      <c r="HY823" s="3306"/>
      <c r="HZ823" s="3306"/>
      <c r="IA823" s="3306"/>
      <c r="IB823" s="3306"/>
      <c r="IC823" s="3306"/>
      <c r="ID823" s="3306"/>
      <c r="IK823" s="3303"/>
      <c r="IL823" s="3303"/>
      <c r="JB823" s="3303"/>
    </row>
    <row r="824" spans="1:262" ht="9" customHeight="1">
      <c r="A824" s="3349"/>
      <c r="B824" s="3349"/>
      <c r="C824" s="3111"/>
      <c r="D824" s="3111"/>
      <c r="E824" s="3111"/>
      <c r="F824" s="3111"/>
      <c r="H824" s="358"/>
      <c r="J824" s="3350"/>
      <c r="K824" s="3350"/>
      <c r="L824" s="3350"/>
      <c r="M824" s="3350"/>
      <c r="N824" s="3350"/>
      <c r="O824" s="3350"/>
      <c r="R824" s="3114" t="str">
        <f>C825</f>
        <v>PHA Operating Subsidy-Assisted</v>
      </c>
      <c r="T824" s="3351"/>
      <c r="W824" s="3111"/>
      <c r="Z824" s="3111"/>
      <c r="AA824" s="358"/>
      <c r="AB824" s="3111"/>
      <c r="AC824" s="3111"/>
      <c r="AD824" s="3111"/>
      <c r="AE824" s="3111"/>
      <c r="AF824" s="3111"/>
      <c r="AG824" s="3111"/>
      <c r="AI824" s="3111"/>
      <c r="GT824" s="3306"/>
      <c r="GY824" s="3306"/>
      <c r="GZ824" s="3306"/>
      <c r="HA824" s="3306"/>
      <c r="HB824" s="3306"/>
      <c r="HC824" s="3306"/>
      <c r="HD824" s="3306"/>
      <c r="HE824" s="3306"/>
      <c r="HF824" s="3306"/>
      <c r="HG824" s="3306"/>
      <c r="HH824" s="3306"/>
      <c r="HI824" s="3306"/>
      <c r="HJ824" s="3306"/>
      <c r="HK824" s="3306"/>
      <c r="HL824" s="3306"/>
      <c r="HM824" s="3306"/>
      <c r="HN824" s="3306"/>
      <c r="HO824" s="3306"/>
      <c r="HP824" s="3306"/>
      <c r="HQ824" s="3306"/>
      <c r="HR824" s="3306"/>
      <c r="HS824" s="3306"/>
      <c r="HT824" s="3306"/>
      <c r="HU824" s="3306"/>
      <c r="HV824" s="3306"/>
      <c r="HW824" s="3306"/>
      <c r="HX824" s="3306"/>
      <c r="HY824" s="3306"/>
      <c r="HZ824" s="3306"/>
      <c r="IA824" s="3306"/>
      <c r="IB824" s="3306"/>
      <c r="IC824" s="3306"/>
      <c r="ID824" s="3306"/>
      <c r="IK824" s="3303"/>
      <c r="IL824" s="3303"/>
      <c r="JB824" s="3303"/>
    </row>
    <row r="825" spans="1:262" ht="12" customHeight="1">
      <c r="A825" s="3349"/>
      <c r="B825" s="3349"/>
      <c r="C825" s="3316" t="s">
        <v>1109</v>
      </c>
      <c r="D825" s="3316"/>
      <c r="E825" s="3316"/>
      <c r="F825" s="3111"/>
      <c r="H825" s="358" t="s">
        <v>1088</v>
      </c>
      <c r="J825" s="3347">
        <f>BP805</f>
        <v>0</v>
      </c>
      <c r="K825" s="3347">
        <f>BQ805</f>
        <v>0</v>
      </c>
      <c r="L825" s="3347">
        <f>BR805</f>
        <v>0</v>
      </c>
      <c r="M825" s="3347">
        <f>BS805</f>
        <v>0</v>
      </c>
      <c r="N825" s="3347">
        <f>BT805</f>
        <v>0</v>
      </c>
      <c r="O825" s="3347">
        <f>SUM(J825:N825)</f>
        <v>0</v>
      </c>
      <c r="R825" s="3257"/>
      <c r="S825" s="3257"/>
      <c r="T825" s="3257"/>
      <c r="U825" s="3257"/>
      <c r="V825" s="3257"/>
      <c r="W825" s="3111"/>
      <c r="Z825" s="3111"/>
      <c r="AA825" s="358"/>
      <c r="AB825" s="359"/>
      <c r="AC825" s="359"/>
      <c r="AD825" s="359"/>
      <c r="AE825" s="359"/>
      <c r="AF825" s="359"/>
      <c r="AG825" s="359"/>
      <c r="AH825" s="358"/>
      <c r="AI825" s="3111"/>
      <c r="GT825" s="3306"/>
      <c r="GY825" s="3306"/>
      <c r="GZ825" s="3306"/>
      <c r="HA825" s="3306"/>
      <c r="HB825" s="3306"/>
      <c r="HC825" s="3306"/>
      <c r="HD825" s="3306"/>
      <c r="HE825" s="3306"/>
      <c r="HF825" s="3306"/>
      <c r="HG825" s="3306"/>
      <c r="HH825" s="3306"/>
      <c r="HI825" s="3306"/>
      <c r="HJ825" s="3306"/>
      <c r="HK825" s="3306"/>
      <c r="HL825" s="3306"/>
      <c r="HM825" s="3306"/>
      <c r="HN825" s="3306"/>
      <c r="HO825" s="3306"/>
      <c r="HP825" s="3306"/>
      <c r="HQ825" s="3306"/>
      <c r="HR825" s="3306"/>
      <c r="HS825" s="3306"/>
      <c r="HT825" s="3306"/>
      <c r="HU825" s="3306"/>
      <c r="HV825" s="3306"/>
      <c r="HW825" s="3306"/>
      <c r="HX825" s="3306"/>
      <c r="HY825" s="3306"/>
      <c r="HZ825" s="3306"/>
      <c r="IA825" s="3306"/>
      <c r="IB825" s="3306"/>
      <c r="IC825" s="3306"/>
      <c r="ID825" s="3306"/>
      <c r="IK825" s="3303"/>
      <c r="IL825" s="3303"/>
      <c r="JB825" s="3303"/>
    </row>
    <row r="826" spans="1:262" ht="12" customHeight="1">
      <c r="A826" s="3349"/>
      <c r="B826" s="3349"/>
      <c r="C826" s="3316"/>
      <c r="D826" s="3316"/>
      <c r="E826" s="3316"/>
      <c r="F826" s="3111"/>
      <c r="H826" s="358" t="s">
        <v>1086</v>
      </c>
      <c r="J826" s="3347">
        <f>BK805</f>
        <v>0</v>
      </c>
      <c r="K826" s="3347">
        <f>BL805</f>
        <v>0</v>
      </c>
      <c r="L826" s="3347">
        <f>BM805</f>
        <v>0</v>
      </c>
      <c r="M826" s="3347">
        <f>BN805</f>
        <v>0</v>
      </c>
      <c r="N826" s="3347">
        <f>BO805</f>
        <v>0</v>
      </c>
      <c r="O826" s="3347">
        <f>SUM(J826:N826)</f>
        <v>0</v>
      </c>
      <c r="R826" s="3257"/>
      <c r="S826" s="3257"/>
      <c r="T826" s="3257"/>
      <c r="U826" s="3257"/>
      <c r="V826" s="3257"/>
      <c r="W826" s="358"/>
      <c r="Z826" s="3111"/>
      <c r="AA826" s="358"/>
      <c r="AB826" s="359"/>
      <c r="AC826" s="359"/>
      <c r="AD826" s="359"/>
      <c r="AE826" s="359"/>
      <c r="AF826" s="359"/>
      <c r="AG826" s="359"/>
      <c r="AH826" s="358"/>
      <c r="AI826" s="3111"/>
      <c r="GT826" s="3306"/>
      <c r="GY826" s="3306"/>
      <c r="GZ826" s="3306"/>
      <c r="HA826" s="3306"/>
      <c r="HB826" s="3306"/>
      <c r="HC826" s="3306"/>
      <c r="HD826" s="3306"/>
      <c r="HE826" s="3306"/>
      <c r="HF826" s="3306"/>
      <c r="HG826" s="3306"/>
      <c r="HH826" s="3306"/>
      <c r="HI826" s="3306"/>
      <c r="HJ826" s="3306"/>
      <c r="HK826" s="3306"/>
      <c r="HL826" s="3306"/>
      <c r="HM826" s="3306"/>
      <c r="HN826" s="3306"/>
      <c r="HO826" s="3306"/>
      <c r="HP826" s="3306"/>
      <c r="HQ826" s="3306"/>
      <c r="HR826" s="3306"/>
      <c r="HS826" s="3306"/>
      <c r="HT826" s="3306"/>
      <c r="HU826" s="3306"/>
      <c r="HV826" s="3306"/>
      <c r="HW826" s="3306"/>
      <c r="HX826" s="3306"/>
      <c r="HY826" s="3306"/>
      <c r="HZ826" s="3306"/>
      <c r="IA826" s="3306"/>
      <c r="IB826" s="3306"/>
      <c r="IC826" s="3306"/>
      <c r="ID826" s="3306"/>
      <c r="IK826" s="3303"/>
      <c r="IL826" s="3303"/>
      <c r="JB826" s="3303"/>
    </row>
    <row r="827" spans="1:262" ht="12" customHeight="1">
      <c r="A827" s="3349"/>
      <c r="B827" s="3349"/>
      <c r="C827" s="358" t="s">
        <v>1108</v>
      </c>
      <c r="D827" s="3111"/>
      <c r="E827" s="3312"/>
      <c r="F827" s="3111"/>
      <c r="H827" s="358" t="s">
        <v>478</v>
      </c>
      <c r="J827" s="3347">
        <f>SUM(J825:J826)</f>
        <v>0</v>
      </c>
      <c r="K827" s="3347">
        <f>SUM(K825:K826)</f>
        <v>0</v>
      </c>
      <c r="L827" s="3347">
        <f>SUM(L825:L826)</f>
        <v>0</v>
      </c>
      <c r="M827" s="3347">
        <f>SUM(M825:M826)</f>
        <v>0</v>
      </c>
      <c r="N827" s="3347">
        <f>SUM(N825:N826)</f>
        <v>0</v>
      </c>
      <c r="O827" s="3347">
        <f>SUM(J827:N827)</f>
        <v>0</v>
      </c>
      <c r="R827" s="3257"/>
      <c r="S827" s="3257"/>
      <c r="T827" s="3257"/>
      <c r="U827" s="3257"/>
      <c r="V827" s="3257"/>
      <c r="W827" s="3300"/>
      <c r="Z827" s="3111"/>
      <c r="AA827" s="358"/>
      <c r="AB827" s="359"/>
      <c r="AC827" s="359"/>
      <c r="AD827" s="359"/>
      <c r="AE827" s="359"/>
      <c r="AF827" s="359"/>
      <c r="AG827" s="359"/>
      <c r="AH827" s="358"/>
      <c r="AI827" s="3111"/>
      <c r="GT827" s="3306"/>
      <c r="GY827" s="3306"/>
      <c r="GZ827" s="3306"/>
      <c r="HA827" s="3306"/>
      <c r="HB827" s="3306"/>
      <c r="HC827" s="3306"/>
      <c r="HD827" s="3306"/>
      <c r="HE827" s="3306"/>
      <c r="HF827" s="3306"/>
      <c r="HG827" s="3306"/>
      <c r="HH827" s="3306"/>
      <c r="HI827" s="3306"/>
      <c r="HJ827" s="3306"/>
      <c r="HK827" s="3306"/>
      <c r="HL827" s="3306"/>
      <c r="HM827" s="3306"/>
      <c r="HN827" s="3306"/>
      <c r="HO827" s="3306"/>
      <c r="HP827" s="3306"/>
      <c r="HQ827" s="3306"/>
      <c r="HR827" s="3306"/>
      <c r="HS827" s="3306"/>
      <c r="HT827" s="3306"/>
      <c r="HU827" s="3306"/>
      <c r="HV827" s="3306"/>
      <c r="HW827" s="3306"/>
      <c r="HX827" s="3306"/>
      <c r="HY827" s="3306"/>
      <c r="HZ827" s="3306"/>
      <c r="IA827" s="3306"/>
      <c r="IB827" s="3306"/>
      <c r="IC827" s="3306"/>
      <c r="ID827" s="3306"/>
      <c r="IK827" s="3303"/>
      <c r="IL827" s="3303"/>
      <c r="JB827" s="3303"/>
    </row>
    <row r="828" spans="1:262" ht="9" customHeight="1">
      <c r="A828" s="3349"/>
      <c r="B828" s="3349"/>
      <c r="D828" s="3316"/>
      <c r="E828" s="3312"/>
      <c r="F828" s="3111"/>
      <c r="H828" s="358"/>
      <c r="J828" s="3350"/>
      <c r="K828" s="3350"/>
      <c r="L828" s="3350"/>
      <c r="M828" s="3350"/>
      <c r="N828" s="3350"/>
      <c r="O828" s="3350"/>
      <c r="R828" s="3114" t="str">
        <f>C829</f>
        <v>Type of Construction Activity</v>
      </c>
      <c r="T828" s="3351"/>
      <c r="W828" s="3111"/>
      <c r="Z828" s="3111"/>
      <c r="AA828" s="358"/>
      <c r="AB828" s="3111"/>
      <c r="AC828" s="3111"/>
      <c r="AD828" s="3111"/>
      <c r="AE828" s="3111"/>
      <c r="AF828" s="3111"/>
      <c r="AG828" s="3111"/>
      <c r="AI828" s="3111"/>
      <c r="GT828" s="3306"/>
      <c r="GY828" s="3306"/>
      <c r="GZ828" s="3306"/>
      <c r="HA828" s="3306"/>
      <c r="HB828" s="3306"/>
      <c r="HC828" s="3306"/>
      <c r="HD828" s="3306"/>
      <c r="HE828" s="3306"/>
      <c r="HF828" s="3306"/>
      <c r="HG828" s="3306"/>
      <c r="HH828" s="3306"/>
      <c r="HI828" s="3306"/>
      <c r="HJ828" s="3306"/>
      <c r="HK828" s="3306"/>
      <c r="HL828" s="3306"/>
      <c r="HM828" s="3306"/>
      <c r="HN828" s="3306"/>
      <c r="HO828" s="3306"/>
      <c r="HP828" s="3306"/>
      <c r="HQ828" s="3306"/>
      <c r="HR828" s="3306"/>
      <c r="HS828" s="3306"/>
      <c r="HT828" s="3306"/>
      <c r="HU828" s="3306"/>
      <c r="HV828" s="3306"/>
      <c r="HW828" s="3306"/>
      <c r="HX828" s="3306"/>
      <c r="HY828" s="3306"/>
      <c r="HZ828" s="3306"/>
      <c r="IA828" s="3306"/>
      <c r="IB828" s="3306"/>
      <c r="IC828" s="3306"/>
      <c r="ID828" s="3306"/>
      <c r="IK828" s="3303"/>
      <c r="IL828" s="3303"/>
      <c r="JB828" s="3303"/>
    </row>
    <row r="829" spans="1:262" ht="12" customHeight="1">
      <c r="A829" s="3349"/>
      <c r="B829" s="3349"/>
      <c r="C829" s="3257" t="s">
        <v>1110</v>
      </c>
      <c r="D829" s="3257"/>
      <c r="E829" s="3312" t="s">
        <v>112</v>
      </c>
      <c r="F829" s="3111"/>
      <c r="H829" s="358" t="s">
        <v>1111</v>
      </c>
      <c r="J829" s="3347">
        <f>DD805</f>
        <v>0</v>
      </c>
      <c r="K829" s="3347">
        <f>DE805</f>
        <v>12</v>
      </c>
      <c r="L829" s="3347">
        <f>DF805</f>
        <v>28</v>
      </c>
      <c r="M829" s="3347">
        <f>DG805</f>
        <v>23</v>
      </c>
      <c r="N829" s="3347">
        <f>DH805</f>
        <v>0</v>
      </c>
      <c r="O829" s="3347">
        <f t="shared" ref="O829:O839" si="264">SUM(J829:N829)</f>
        <v>63</v>
      </c>
      <c r="R829" s="3257"/>
      <c r="S829" s="3257"/>
      <c r="T829" s="3257"/>
      <c r="U829" s="3257"/>
      <c r="V829" s="3257"/>
      <c r="W829" s="3111"/>
      <c r="Z829" s="3111"/>
      <c r="AA829" s="358"/>
      <c r="AB829" s="359"/>
      <c r="AC829" s="359"/>
      <c r="AD829" s="359"/>
      <c r="AE829" s="359"/>
      <c r="AF829" s="359"/>
      <c r="AG829" s="359"/>
      <c r="IK829" s="3303"/>
      <c r="IL829" s="3303"/>
      <c r="JB829" s="3303"/>
    </row>
    <row r="830" spans="1:262" ht="12" customHeight="1">
      <c r="A830" s="3349"/>
      <c r="B830" s="3349"/>
      <c r="C830" s="3257"/>
      <c r="D830" s="3257"/>
      <c r="E830" s="3312"/>
      <c r="F830" s="3111"/>
      <c r="H830" s="358" t="s">
        <v>1104</v>
      </c>
      <c r="J830" s="3347">
        <f>DI805</f>
        <v>0</v>
      </c>
      <c r="K830" s="3347">
        <f>DJ805</f>
        <v>0</v>
      </c>
      <c r="L830" s="3347">
        <f>DK805</f>
        <v>4</v>
      </c>
      <c r="M830" s="3347">
        <f>DL805</f>
        <v>5</v>
      </c>
      <c r="N830" s="3347">
        <f>DM805</f>
        <v>0</v>
      </c>
      <c r="O830" s="3347">
        <f t="shared" si="264"/>
        <v>9</v>
      </c>
      <c r="R830" s="3257"/>
      <c r="S830" s="3257"/>
      <c r="T830" s="3257"/>
      <c r="U830" s="3257"/>
      <c r="V830" s="3257"/>
      <c r="W830" s="3111"/>
      <c r="Z830" s="3111"/>
      <c r="AA830" s="358"/>
      <c r="AB830" s="359"/>
      <c r="AC830" s="359"/>
      <c r="AD830" s="359"/>
      <c r="AE830" s="359"/>
      <c r="AF830" s="359"/>
      <c r="AG830" s="359"/>
      <c r="AH830" s="943"/>
      <c r="AI830" s="3111"/>
      <c r="GT830" s="3306"/>
      <c r="GY830" s="3306"/>
      <c r="GZ830" s="3306"/>
      <c r="HA830" s="3306"/>
      <c r="HB830" s="3306"/>
      <c r="HC830" s="3306"/>
      <c r="HD830" s="3306"/>
      <c r="HE830" s="3306"/>
      <c r="HF830" s="3306"/>
      <c r="HG830" s="3306"/>
      <c r="HH830" s="3306"/>
      <c r="HI830" s="3306"/>
      <c r="HJ830" s="3306"/>
      <c r="HK830" s="3306"/>
      <c r="HL830" s="3306"/>
      <c r="HM830" s="3306"/>
      <c r="HN830" s="3306"/>
      <c r="HO830" s="3306"/>
      <c r="HP830" s="3306"/>
      <c r="HQ830" s="3306"/>
      <c r="HR830" s="3306"/>
      <c r="HS830" s="3306"/>
      <c r="HT830" s="3306"/>
      <c r="HU830" s="3306"/>
      <c r="HV830" s="3306"/>
      <c r="HW830" s="3306"/>
      <c r="HX830" s="3306"/>
      <c r="HY830" s="3306"/>
      <c r="HZ830" s="3306"/>
      <c r="IA830" s="3306"/>
      <c r="IB830" s="3306"/>
      <c r="IC830" s="3306"/>
      <c r="ID830" s="3306"/>
      <c r="IK830" s="3303"/>
      <c r="IL830" s="3303"/>
      <c r="JB830" s="3303"/>
    </row>
    <row r="831" spans="1:262" ht="12" customHeight="1">
      <c r="A831" s="3349"/>
      <c r="B831" s="3349"/>
      <c r="C831" s="3257"/>
      <c r="D831" s="3257"/>
      <c r="E831" s="3312"/>
      <c r="F831" s="3111"/>
      <c r="H831" s="358" t="s">
        <v>1112</v>
      </c>
      <c r="J831" s="3347">
        <f>SUM(J829:J830)+DN805</f>
        <v>0</v>
      </c>
      <c r="K831" s="3347">
        <f>SUM(K829:K830)+DO805</f>
        <v>12</v>
      </c>
      <c r="L831" s="3347">
        <f>SUM(L829:L830)+DP805</f>
        <v>32</v>
      </c>
      <c r="M831" s="3347">
        <f>SUM(M829:M830)+DQ805</f>
        <v>30</v>
      </c>
      <c r="N831" s="3347">
        <f>SUM(N829:N830)+DR805</f>
        <v>0</v>
      </c>
      <c r="O831" s="3347">
        <f t="shared" si="264"/>
        <v>74</v>
      </c>
      <c r="R831" s="3257"/>
      <c r="S831" s="3257"/>
      <c r="T831" s="3257"/>
      <c r="U831" s="3257"/>
      <c r="V831" s="3257"/>
      <c r="W831" s="3300"/>
      <c r="Z831" s="3111"/>
      <c r="AA831" s="358"/>
      <c r="AB831" s="359"/>
      <c r="AC831" s="359"/>
      <c r="AD831" s="359"/>
      <c r="AE831" s="359"/>
      <c r="AF831" s="359"/>
      <c r="AG831" s="359"/>
      <c r="AH831" s="358"/>
      <c r="AI831" s="3111"/>
      <c r="GT831" s="3306"/>
      <c r="GY831" s="3306"/>
      <c r="GZ831" s="3306"/>
      <c r="HA831" s="3306"/>
      <c r="HB831" s="3306"/>
      <c r="HC831" s="3306"/>
      <c r="HD831" s="3306"/>
      <c r="HE831" s="3306"/>
      <c r="HF831" s="3306"/>
      <c r="HG831" s="3306"/>
      <c r="HH831" s="3306"/>
      <c r="HI831" s="3306"/>
      <c r="HJ831" s="3306"/>
      <c r="HK831" s="3306"/>
      <c r="HL831" s="3306"/>
      <c r="HM831" s="3306"/>
      <c r="HN831" s="3306"/>
      <c r="HO831" s="3306"/>
      <c r="HP831" s="3306"/>
      <c r="HQ831" s="3306"/>
      <c r="HR831" s="3306"/>
      <c r="HS831" s="3306"/>
      <c r="HT831" s="3306"/>
      <c r="HU831" s="3306"/>
      <c r="HV831" s="3306"/>
      <c r="HW831" s="3306"/>
      <c r="HX831" s="3306"/>
      <c r="HY831" s="3306"/>
      <c r="HZ831" s="3306"/>
      <c r="IA831" s="3306"/>
      <c r="IB831" s="3306"/>
      <c r="IC831" s="3306"/>
      <c r="ID831" s="3306"/>
      <c r="IK831" s="3303"/>
      <c r="IL831" s="3303"/>
      <c r="JB831" s="3303"/>
    </row>
    <row r="832" spans="1:262" ht="12" customHeight="1">
      <c r="A832" s="3349"/>
      <c r="B832" s="3349"/>
      <c r="C832" s="3257"/>
      <c r="D832" s="3257"/>
      <c r="E832" s="3312" t="s">
        <v>1113</v>
      </c>
      <c r="F832" s="3111"/>
      <c r="H832" s="358" t="s">
        <v>1111</v>
      </c>
      <c r="J832" s="3347">
        <f>DS805</f>
        <v>0</v>
      </c>
      <c r="K832" s="3347">
        <f>DT805</f>
        <v>0</v>
      </c>
      <c r="L832" s="3347">
        <f>DU805</f>
        <v>0</v>
      </c>
      <c r="M832" s="3347">
        <f>DV805</f>
        <v>0</v>
      </c>
      <c r="N832" s="3347">
        <f>DW805</f>
        <v>0</v>
      </c>
      <c r="O832" s="3347">
        <f t="shared" si="264"/>
        <v>0</v>
      </c>
      <c r="R832" s="3257"/>
      <c r="S832" s="3257"/>
      <c r="T832" s="3257"/>
      <c r="U832" s="3257"/>
      <c r="V832" s="3257"/>
      <c r="W832" s="3111"/>
      <c r="Z832" s="3111"/>
      <c r="AA832" s="358"/>
      <c r="AB832" s="359"/>
      <c r="AC832" s="359"/>
      <c r="AD832" s="359"/>
      <c r="AE832" s="359"/>
      <c r="AF832" s="359"/>
      <c r="AG832" s="359"/>
      <c r="IK832" s="3303"/>
      <c r="IL832" s="3303"/>
      <c r="JB832" s="3303"/>
    </row>
    <row r="833" spans="1:262" ht="12" customHeight="1">
      <c r="A833" s="3349"/>
      <c r="B833" s="3349"/>
      <c r="C833" s="3257"/>
      <c r="D833" s="3257"/>
      <c r="E833" s="3312"/>
      <c r="F833" s="3111"/>
      <c r="H833" s="358" t="s">
        <v>1104</v>
      </c>
      <c r="J833" s="3347">
        <f>DX805</f>
        <v>0</v>
      </c>
      <c r="K833" s="3347">
        <f>DY805</f>
        <v>0</v>
      </c>
      <c r="L833" s="3347">
        <f>DZ805</f>
        <v>0</v>
      </c>
      <c r="M833" s="3347">
        <f>EA805</f>
        <v>0</v>
      </c>
      <c r="N833" s="3347">
        <f>EB805</f>
        <v>0</v>
      </c>
      <c r="O833" s="3347">
        <f t="shared" si="264"/>
        <v>0</v>
      </c>
      <c r="R833" s="3257"/>
      <c r="S833" s="3257"/>
      <c r="T833" s="3257"/>
      <c r="U833" s="3257"/>
      <c r="V833" s="3257"/>
      <c r="W833" s="3111"/>
      <c r="Z833" s="3111"/>
      <c r="AA833" s="358"/>
      <c r="AB833" s="359"/>
      <c r="AC833" s="359"/>
      <c r="AD833" s="359"/>
      <c r="AE833" s="359"/>
      <c r="AF833" s="359"/>
      <c r="AG833" s="359"/>
      <c r="AH833" s="943"/>
      <c r="AI833" s="3111"/>
      <c r="GT833" s="3306"/>
      <c r="GY833" s="3306"/>
      <c r="GZ833" s="3306"/>
      <c r="HA833" s="3306"/>
      <c r="HB833" s="3306"/>
      <c r="HC833" s="3306"/>
      <c r="HD833" s="3306"/>
      <c r="HE833" s="3306"/>
      <c r="HF833" s="3306"/>
      <c r="HG833" s="3306"/>
      <c r="HH833" s="3306"/>
      <c r="HI833" s="3306"/>
      <c r="HJ833" s="3306"/>
      <c r="HK833" s="3306"/>
      <c r="HL833" s="3306"/>
      <c r="HM833" s="3306"/>
      <c r="HN833" s="3306"/>
      <c r="HO833" s="3306"/>
      <c r="HP833" s="3306"/>
      <c r="HQ833" s="3306"/>
      <c r="HR833" s="3306"/>
      <c r="HS833" s="3306"/>
      <c r="HT833" s="3306"/>
      <c r="HU833" s="3306"/>
      <c r="HV833" s="3306"/>
      <c r="HW833" s="3306"/>
      <c r="HX833" s="3306"/>
      <c r="HY833" s="3306"/>
      <c r="HZ833" s="3306"/>
      <c r="IA833" s="3306"/>
      <c r="IB833" s="3306"/>
      <c r="IC833" s="3306"/>
      <c r="ID833" s="3306"/>
      <c r="IK833" s="3303"/>
      <c r="IL833" s="3303"/>
      <c r="JB833" s="3303"/>
    </row>
    <row r="834" spans="1:262" ht="12" customHeight="1">
      <c r="A834" s="3349"/>
      <c r="B834" s="3349"/>
      <c r="C834" s="3257"/>
      <c r="D834" s="3257"/>
      <c r="E834" s="3312"/>
      <c r="F834" s="3111"/>
      <c r="H834" s="358" t="s">
        <v>1112</v>
      </c>
      <c r="J834" s="3347">
        <f>SUM(J832:J833)+EC805</f>
        <v>0</v>
      </c>
      <c r="K834" s="3347">
        <f>SUM(K832:K833)+ED805</f>
        <v>0</v>
      </c>
      <c r="L834" s="3347">
        <f>SUM(L832:L833)+EE805</f>
        <v>0</v>
      </c>
      <c r="M834" s="3347">
        <f>SUM(M832:M833)+EF805</f>
        <v>0</v>
      </c>
      <c r="N834" s="3347">
        <f>SUM(N832:N833)+EG805</f>
        <v>0</v>
      </c>
      <c r="O834" s="3347">
        <f t="shared" si="264"/>
        <v>0</v>
      </c>
      <c r="R834" s="3257"/>
      <c r="S834" s="3257"/>
      <c r="T834" s="3257"/>
      <c r="U834" s="3257"/>
      <c r="V834" s="3257"/>
      <c r="W834" s="3300"/>
      <c r="Z834" s="3111"/>
      <c r="AA834" s="358"/>
      <c r="AB834" s="359"/>
      <c r="AC834" s="359"/>
      <c r="AD834" s="359"/>
      <c r="AE834" s="359"/>
      <c r="AF834" s="359"/>
      <c r="AG834" s="359"/>
      <c r="AH834" s="358"/>
      <c r="AI834" s="3111"/>
      <c r="GT834" s="3306"/>
      <c r="GY834" s="3306"/>
      <c r="GZ834" s="3306"/>
      <c r="HA834" s="3306"/>
      <c r="HB834" s="3306"/>
      <c r="HC834" s="3306"/>
      <c r="HD834" s="3306"/>
      <c r="HE834" s="3306"/>
      <c r="HF834" s="3306"/>
      <c r="HG834" s="3306"/>
      <c r="HH834" s="3306"/>
      <c r="HI834" s="3306"/>
      <c r="HJ834" s="3306"/>
      <c r="HK834" s="3306"/>
      <c r="HL834" s="3306"/>
      <c r="HM834" s="3306"/>
      <c r="HN834" s="3306"/>
      <c r="HO834" s="3306"/>
      <c r="HP834" s="3306"/>
      <c r="HQ834" s="3306"/>
      <c r="HR834" s="3306"/>
      <c r="HS834" s="3306"/>
      <c r="HT834" s="3306"/>
      <c r="HU834" s="3306"/>
      <c r="HV834" s="3306"/>
      <c r="HW834" s="3306"/>
      <c r="HX834" s="3306"/>
      <c r="HY834" s="3306"/>
      <c r="HZ834" s="3306"/>
      <c r="IA834" s="3306"/>
      <c r="IB834" s="3306"/>
      <c r="IC834" s="3306"/>
      <c r="ID834" s="3306"/>
      <c r="IK834" s="3303"/>
      <c r="IL834" s="3303"/>
      <c r="JB834" s="3303"/>
    </row>
    <row r="835" spans="1:262" ht="12" customHeight="1">
      <c r="A835" s="3349"/>
      <c r="B835" s="3349"/>
      <c r="C835" s="1086"/>
      <c r="D835" s="3111"/>
      <c r="E835" s="1086" t="s">
        <v>1114</v>
      </c>
      <c r="F835" s="1086"/>
      <c r="H835" s="358" t="s">
        <v>1111</v>
      </c>
      <c r="J835" s="3347">
        <f>EH805</f>
        <v>0</v>
      </c>
      <c r="K835" s="3347">
        <f>EI805</f>
        <v>0</v>
      </c>
      <c r="L835" s="3347">
        <f>EJ805</f>
        <v>0</v>
      </c>
      <c r="M835" s="3347">
        <f>EK805</f>
        <v>0</v>
      </c>
      <c r="N835" s="3347">
        <f>EL805</f>
        <v>0</v>
      </c>
      <c r="O835" s="3347">
        <f t="shared" si="264"/>
        <v>0</v>
      </c>
      <c r="R835" s="3257"/>
      <c r="S835" s="3257"/>
      <c r="T835" s="3257"/>
      <c r="U835" s="3257"/>
      <c r="V835" s="3257"/>
      <c r="W835" s="3111"/>
      <c r="Z835" s="3111"/>
      <c r="AA835" s="358"/>
      <c r="AB835" s="359"/>
      <c r="AC835" s="359"/>
      <c r="AD835" s="359"/>
      <c r="AE835" s="359"/>
      <c r="AF835" s="359"/>
      <c r="AG835" s="359"/>
      <c r="IK835" s="3303"/>
      <c r="IL835" s="3303"/>
      <c r="JB835" s="3303"/>
    </row>
    <row r="836" spans="1:262" ht="12" customHeight="1">
      <c r="A836" s="3349"/>
      <c r="B836" s="3349"/>
      <c r="C836" s="1086"/>
      <c r="D836" s="3111"/>
      <c r="E836" s="1086"/>
      <c r="F836" s="1086"/>
      <c r="H836" s="358" t="s">
        <v>1104</v>
      </c>
      <c r="J836" s="3347">
        <f>EM805</f>
        <v>0</v>
      </c>
      <c r="K836" s="3347">
        <f>EN805</f>
        <v>0</v>
      </c>
      <c r="L836" s="3347">
        <f>EO805</f>
        <v>0</v>
      </c>
      <c r="M836" s="3347">
        <f>EP805</f>
        <v>0</v>
      </c>
      <c r="N836" s="3347">
        <f>EQ805</f>
        <v>0</v>
      </c>
      <c r="O836" s="3347">
        <f t="shared" si="264"/>
        <v>0</v>
      </c>
      <c r="R836" s="3257"/>
      <c r="S836" s="3257"/>
      <c r="T836" s="3257"/>
      <c r="U836" s="3257"/>
      <c r="V836" s="3257"/>
      <c r="W836" s="3111"/>
      <c r="Z836" s="3111"/>
      <c r="AA836" s="358"/>
      <c r="AB836" s="359"/>
      <c r="AC836" s="359"/>
      <c r="AD836" s="359"/>
      <c r="AE836" s="359"/>
      <c r="AF836" s="359"/>
      <c r="AG836" s="359"/>
      <c r="AH836" s="943"/>
      <c r="AI836" s="3111"/>
      <c r="GT836" s="3306"/>
      <c r="GY836" s="3306"/>
      <c r="GZ836" s="3306"/>
      <c r="HA836" s="3306"/>
      <c r="HB836" s="3306"/>
      <c r="HC836" s="3306"/>
      <c r="HD836" s="3306"/>
      <c r="HE836" s="3306"/>
      <c r="HF836" s="3306"/>
      <c r="HG836" s="3306"/>
      <c r="HH836" s="3306"/>
      <c r="HI836" s="3306"/>
      <c r="HJ836" s="3306"/>
      <c r="HK836" s="3306"/>
      <c r="HL836" s="3306"/>
      <c r="HM836" s="3306"/>
      <c r="HN836" s="3306"/>
      <c r="HO836" s="3306"/>
      <c r="HP836" s="3306"/>
      <c r="HQ836" s="3306"/>
      <c r="HR836" s="3306"/>
      <c r="HS836" s="3306"/>
      <c r="HT836" s="3306"/>
      <c r="HU836" s="3306"/>
      <c r="HV836" s="3306"/>
      <c r="HW836" s="3306"/>
      <c r="HX836" s="3306"/>
      <c r="HY836" s="3306"/>
      <c r="HZ836" s="3306"/>
      <c r="IA836" s="3306"/>
      <c r="IB836" s="3306"/>
      <c r="IC836" s="3306"/>
      <c r="ID836" s="3306"/>
      <c r="IK836" s="3303"/>
      <c r="IL836" s="3303"/>
      <c r="JB836" s="3303"/>
    </row>
    <row r="837" spans="1:262" ht="12" customHeight="1">
      <c r="A837" s="3349"/>
      <c r="B837" s="3349"/>
      <c r="C837" s="1086"/>
      <c r="D837" s="3111"/>
      <c r="E837" s="3312"/>
      <c r="F837" s="3111"/>
      <c r="H837" s="358" t="s">
        <v>1112</v>
      </c>
      <c r="J837" s="3347">
        <f>SUM(J835:J836)+ER805</f>
        <v>0</v>
      </c>
      <c r="K837" s="3347">
        <f>SUM(K835:K836)+ES805</f>
        <v>0</v>
      </c>
      <c r="L837" s="3347">
        <f>SUM(L835:L836)+ET805</f>
        <v>0</v>
      </c>
      <c r="M837" s="3347">
        <f>SUM(M835:M836)+EU805</f>
        <v>0</v>
      </c>
      <c r="N837" s="3347">
        <f>SUM(N835:N836)+EV805</f>
        <v>0</v>
      </c>
      <c r="O837" s="3347">
        <f t="shared" si="264"/>
        <v>0</v>
      </c>
      <c r="R837" s="3257"/>
      <c r="S837" s="3257"/>
      <c r="T837" s="3257"/>
      <c r="U837" s="3257"/>
      <c r="V837" s="3257"/>
      <c r="W837" s="3300"/>
      <c r="Z837" s="3111"/>
      <c r="AA837" s="358"/>
      <c r="AB837" s="359"/>
      <c r="AC837" s="359"/>
      <c r="AD837" s="359"/>
      <c r="AE837" s="359"/>
      <c r="AF837" s="359"/>
      <c r="AG837" s="359"/>
      <c r="AH837" s="358"/>
      <c r="AI837" s="3111"/>
      <c r="GT837" s="3306"/>
      <c r="GY837" s="3306"/>
      <c r="GZ837" s="3306"/>
      <c r="HA837" s="3306"/>
      <c r="HB837" s="3306"/>
      <c r="HC837" s="3306"/>
      <c r="HD837" s="3306"/>
      <c r="HE837" s="3306"/>
      <c r="HF837" s="3306"/>
      <c r="HG837" s="3306"/>
      <c r="HH837" s="3306"/>
      <c r="HI837" s="3306"/>
      <c r="HJ837" s="3306"/>
      <c r="HK837" s="3306"/>
      <c r="HL837" s="3306"/>
      <c r="HM837" s="3306"/>
      <c r="HN837" s="3306"/>
      <c r="HO837" s="3306"/>
      <c r="HP837" s="3306"/>
      <c r="HQ837" s="3306"/>
      <c r="HR837" s="3306"/>
      <c r="HS837" s="3306"/>
      <c r="HT837" s="3306"/>
      <c r="HU837" s="3306"/>
      <c r="HV837" s="3306"/>
      <c r="HW837" s="3306"/>
      <c r="HX837" s="3306"/>
      <c r="HY837" s="3306"/>
      <c r="HZ837" s="3306"/>
      <c r="IA837" s="3306"/>
      <c r="IB837" s="3306"/>
      <c r="IC837" s="3306"/>
      <c r="ID837" s="3306"/>
      <c r="IK837" s="3303"/>
      <c r="IL837" s="3303"/>
      <c r="JB837" s="3303"/>
    </row>
    <row r="838" spans="1:262" ht="12" customHeight="1">
      <c r="A838" s="3349"/>
      <c r="B838" s="3349"/>
      <c r="C838" s="1086"/>
      <c r="D838" s="3111"/>
      <c r="E838" s="3312" t="s">
        <v>1115</v>
      </c>
      <c r="F838" s="3111"/>
      <c r="G838" s="3113"/>
      <c r="J838" s="3347">
        <f>'Part VI-Revenues &amp; Expenses'!J81</f>
        <v>0</v>
      </c>
      <c r="K838" s="3347">
        <f>'Part VI-Revenues &amp; Expenses'!K81</f>
        <v>0</v>
      </c>
      <c r="L838" s="3347">
        <f>'Part VI-Revenues &amp; Expenses'!L81</f>
        <v>0</v>
      </c>
      <c r="M838" s="3347">
        <f>'Part VI-Revenues &amp; Expenses'!M81</f>
        <v>0</v>
      </c>
      <c r="N838" s="3347">
        <f>'Part VI-Revenues &amp; Expenses'!N81</f>
        <v>0</v>
      </c>
      <c r="O838" s="3347">
        <f t="shared" si="264"/>
        <v>0</v>
      </c>
      <c r="R838" s="3257"/>
      <c r="S838" s="3257"/>
      <c r="T838" s="3257"/>
      <c r="U838" s="3257"/>
      <c r="V838" s="3257"/>
      <c r="W838" s="3111"/>
      <c r="Z838" s="3111"/>
      <c r="AA838" s="358"/>
      <c r="AB838" s="359"/>
      <c r="AC838" s="359"/>
      <c r="AD838" s="359"/>
      <c r="AE838" s="359"/>
      <c r="AF838" s="359"/>
      <c r="AG838" s="359"/>
      <c r="AH838" s="943"/>
      <c r="AI838" s="3111"/>
      <c r="GT838" s="3306"/>
      <c r="GY838" s="3306"/>
      <c r="GZ838" s="3306"/>
      <c r="HA838" s="3306"/>
      <c r="HB838" s="3306"/>
      <c r="HC838" s="3306"/>
      <c r="HD838" s="3306"/>
      <c r="HE838" s="3306"/>
      <c r="HF838" s="3306"/>
      <c r="HG838" s="3306"/>
      <c r="HH838" s="3306"/>
      <c r="HI838" s="3306"/>
      <c r="HJ838" s="3306"/>
      <c r="HK838" s="3306"/>
      <c r="HL838" s="3306"/>
      <c r="HM838" s="3306"/>
      <c r="HN838" s="3306"/>
      <c r="HO838" s="3306"/>
      <c r="HP838" s="3306"/>
      <c r="HQ838" s="3306"/>
      <c r="HR838" s="3306"/>
      <c r="HS838" s="3306"/>
      <c r="HT838" s="3306"/>
      <c r="HU838" s="3306"/>
      <c r="HV838" s="3306"/>
      <c r="HW838" s="3306"/>
      <c r="HX838" s="3306"/>
      <c r="HY838" s="3306"/>
      <c r="HZ838" s="3306"/>
      <c r="IA838" s="3306"/>
      <c r="IB838" s="3306"/>
      <c r="IC838" s="3306"/>
      <c r="ID838" s="3306"/>
      <c r="IK838" s="3303"/>
      <c r="IL838" s="3303"/>
      <c r="JB838" s="3303"/>
    </row>
    <row r="839" spans="1:262" ht="12" customHeight="1">
      <c r="A839" s="3352" t="str">
        <f>IF(AND('Part IV-A-Uses of Funds'!$T$165="Yes",'Part IX A-Scoring Criteria'!$O$414&gt;0,O839&lt;1),"SHOW HISTORIC UNITS HERE &gt;&gt;&gt;&gt;","")</f>
        <v/>
      </c>
      <c r="B839" s="3352"/>
      <c r="C839" s="3352"/>
      <c r="D839" s="3352"/>
      <c r="E839" s="3312" t="s">
        <v>4611</v>
      </c>
      <c r="F839" s="3111"/>
      <c r="G839" s="3113"/>
      <c r="J839" s="3347">
        <f>'Part VI-Revenues &amp; Expenses'!J82</f>
        <v>0</v>
      </c>
      <c r="K839" s="3347">
        <f>'Part VI-Revenues &amp; Expenses'!K82</f>
        <v>0</v>
      </c>
      <c r="L839" s="3347">
        <f>'Part VI-Revenues &amp; Expenses'!L82</f>
        <v>0</v>
      </c>
      <c r="M839" s="3347">
        <f>'Part VI-Revenues &amp; Expenses'!M82</f>
        <v>0</v>
      </c>
      <c r="N839" s="3347">
        <f>'Part VI-Revenues &amp; Expenses'!N82</f>
        <v>0</v>
      </c>
      <c r="O839" s="3347">
        <f t="shared" si="264"/>
        <v>0</v>
      </c>
      <c r="R839" s="3257"/>
      <c r="S839" s="3257"/>
      <c r="T839" s="3257"/>
      <c r="U839" s="3257"/>
      <c r="V839" s="3257"/>
      <c r="W839" s="3111"/>
      <c r="Z839" s="3111"/>
      <c r="AA839" s="358"/>
      <c r="AB839" s="359"/>
      <c r="AC839" s="359"/>
      <c r="AD839" s="359"/>
      <c r="AE839" s="359"/>
      <c r="AF839" s="359"/>
      <c r="AG839" s="359"/>
      <c r="AH839" s="943"/>
      <c r="AI839" s="3111"/>
      <c r="GT839" s="3306"/>
      <c r="GY839" s="3306"/>
      <c r="GZ839" s="3306"/>
      <c r="HA839" s="3306"/>
      <c r="HB839" s="3306"/>
      <c r="HC839" s="3306"/>
      <c r="HD839" s="3306"/>
      <c r="HE839" s="3306"/>
      <c r="HF839" s="3306"/>
      <c r="HG839" s="3306"/>
      <c r="HH839" s="3306"/>
      <c r="HI839" s="3306"/>
      <c r="HJ839" s="3306"/>
      <c r="HK839" s="3306"/>
      <c r="HL839" s="3306"/>
      <c r="HM839" s="3306"/>
      <c r="HN839" s="3306"/>
      <c r="HO839" s="3306"/>
      <c r="HP839" s="3306"/>
      <c r="HQ839" s="3306"/>
      <c r="HR839" s="3306"/>
      <c r="HS839" s="3306"/>
      <c r="HT839" s="3306"/>
      <c r="HU839" s="3306"/>
      <c r="HV839" s="3306"/>
      <c r="HW839" s="3306"/>
      <c r="HX839" s="3306"/>
      <c r="HY839" s="3306"/>
      <c r="HZ839" s="3306"/>
      <c r="IA839" s="3306"/>
      <c r="IB839" s="3306"/>
      <c r="IC839" s="3306"/>
      <c r="ID839" s="3306"/>
      <c r="IK839" s="3303"/>
      <c r="IL839" s="3303"/>
      <c r="JB839" s="3303"/>
    </row>
    <row r="840" spans="1:262" ht="9" customHeight="1">
      <c r="A840" s="3353"/>
      <c r="B840" s="3353"/>
      <c r="C840" s="3353"/>
      <c r="D840" s="3353"/>
      <c r="E840" s="3312"/>
      <c r="F840" s="3111"/>
      <c r="G840" s="3113"/>
      <c r="J840" s="358"/>
      <c r="K840" s="358"/>
      <c r="L840" s="358"/>
      <c r="M840" s="358"/>
      <c r="N840" s="358"/>
      <c r="O840" s="358"/>
      <c r="R840" s="3257"/>
      <c r="S840" s="3257"/>
      <c r="T840" s="3257"/>
      <c r="U840" s="3257"/>
      <c r="V840" s="3257"/>
      <c r="W840" s="3111"/>
      <c r="Z840" s="3111"/>
      <c r="AA840" s="358"/>
      <c r="AB840" s="359"/>
      <c r="AC840" s="359"/>
      <c r="AD840" s="359"/>
      <c r="AE840" s="359"/>
      <c r="AF840" s="359"/>
      <c r="AG840" s="359"/>
      <c r="AH840" s="943"/>
      <c r="AI840" s="3111"/>
      <c r="GT840" s="3306"/>
      <c r="GY840" s="3306"/>
      <c r="GZ840" s="3306"/>
      <c r="HA840" s="3306"/>
      <c r="HB840" s="3306"/>
      <c r="HC840" s="3306"/>
      <c r="HD840" s="3306"/>
      <c r="HE840" s="3306"/>
      <c r="HF840" s="3306"/>
      <c r="HG840" s="3306"/>
      <c r="HH840" s="3306"/>
      <c r="HI840" s="3306"/>
      <c r="HJ840" s="3306"/>
      <c r="HK840" s="3306"/>
      <c r="HL840" s="3306"/>
      <c r="HM840" s="3306"/>
      <c r="HN840" s="3306"/>
      <c r="HO840" s="3306"/>
      <c r="HP840" s="3306"/>
      <c r="HQ840" s="3306"/>
      <c r="HR840" s="3306"/>
      <c r="HS840" s="3306"/>
      <c r="HT840" s="3306"/>
      <c r="HU840" s="3306"/>
      <c r="HV840" s="3306"/>
      <c r="HW840" s="3306"/>
      <c r="HX840" s="3306"/>
      <c r="HY840" s="3306"/>
      <c r="HZ840" s="3306"/>
      <c r="IA840" s="3306"/>
      <c r="IB840" s="3306"/>
      <c r="IC840" s="3306"/>
      <c r="ID840" s="3306"/>
      <c r="IK840" s="3303"/>
      <c r="IL840" s="3303"/>
      <c r="JB840" s="3303"/>
    </row>
    <row r="841" spans="1:262" ht="12" customHeight="1">
      <c r="A841" s="3353"/>
      <c r="B841" s="3353"/>
      <c r="C841" s="3353"/>
      <c r="D841" s="3353"/>
      <c r="E841" s="3312" t="s">
        <v>115</v>
      </c>
      <c r="F841" s="3111"/>
      <c r="G841" s="3113"/>
      <c r="J841" s="3347">
        <f>J845+J847+J849+J851+J853+J855+J857+J859</f>
        <v>0</v>
      </c>
      <c r="K841" s="3347">
        <f>K845+K847+K849+K851+K853+K855+K857+K859</f>
        <v>0</v>
      </c>
      <c r="L841" s="3347">
        <f>L845+L847+L849+L851+L853+L855+L857+L859</f>
        <v>0</v>
      </c>
      <c r="M841" s="3347">
        <f>M845+M847+M849+M851+M853+M855+M857+M859</f>
        <v>0</v>
      </c>
      <c r="N841" s="3347">
        <f>N845+N847+N849+N851+N853+N855+N857+N859</f>
        <v>0</v>
      </c>
      <c r="O841" s="3347">
        <f>SUM(J841:N841)</f>
        <v>0</v>
      </c>
      <c r="R841" s="3257"/>
      <c r="S841" s="3257"/>
      <c r="T841" s="3257"/>
      <c r="U841" s="3257"/>
      <c r="V841" s="3257"/>
      <c r="W841" s="3111"/>
      <c r="Z841" s="3111"/>
      <c r="AA841" s="358"/>
      <c r="AB841" s="359"/>
      <c r="AC841" s="359"/>
      <c r="AD841" s="359"/>
      <c r="AE841" s="359"/>
      <c r="AF841" s="359"/>
      <c r="AG841" s="359"/>
      <c r="AH841" s="943"/>
      <c r="AI841" s="3111"/>
      <c r="GT841" s="3306"/>
      <c r="GY841" s="3306"/>
      <c r="GZ841" s="3306"/>
      <c r="HA841" s="3306"/>
      <c r="HB841" s="3306"/>
      <c r="HC841" s="3306"/>
      <c r="HD841" s="3306"/>
      <c r="HE841" s="3306"/>
      <c r="HF841" s="3306"/>
      <c r="HG841" s="3306"/>
      <c r="HH841" s="3306"/>
      <c r="HI841" s="3306"/>
      <c r="HJ841" s="3306"/>
      <c r="HK841" s="3306"/>
      <c r="HL841" s="3306"/>
      <c r="HM841" s="3306"/>
      <c r="HN841" s="3306"/>
      <c r="HO841" s="3306"/>
      <c r="HP841" s="3306"/>
      <c r="HQ841" s="3306"/>
      <c r="HR841" s="3306"/>
      <c r="HS841" s="3306"/>
      <c r="HT841" s="3306"/>
      <c r="HU841" s="3306"/>
      <c r="HV841" s="3306"/>
      <c r="HW841" s="3306"/>
      <c r="HX841" s="3306"/>
      <c r="HY841" s="3306"/>
      <c r="HZ841" s="3306"/>
      <c r="IA841" s="3306"/>
      <c r="IB841" s="3306"/>
      <c r="IC841" s="3306"/>
      <c r="ID841" s="3306"/>
      <c r="IK841" s="3303"/>
      <c r="IL841" s="3303"/>
      <c r="JB841" s="3303"/>
    </row>
    <row r="842" spans="1:262" ht="9.75" customHeight="1">
      <c r="D842" s="3111"/>
      <c r="E842" s="3312"/>
      <c r="F842" s="3111"/>
      <c r="G842" s="3113"/>
      <c r="J842" s="3350"/>
      <c r="K842" s="3350"/>
      <c r="L842" s="3350"/>
      <c r="M842" s="3350"/>
      <c r="N842" s="3350"/>
      <c r="O842" s="3350"/>
      <c r="R842" s="3121" t="str">
        <f>C843</f>
        <v>Building Type: (for Utility Allowance, Monitoring Fees and other purposes)</v>
      </c>
      <c r="T842" s="3351"/>
      <c r="W842" s="3111"/>
      <c r="Z842" s="3111"/>
      <c r="AA842" s="358"/>
      <c r="AB842" s="3111"/>
      <c r="AC842" s="3111"/>
      <c r="AD842" s="3111"/>
      <c r="AE842" s="3111"/>
      <c r="AF842" s="3111"/>
      <c r="AG842" s="3111"/>
      <c r="AI842" s="3111"/>
      <c r="GT842" s="3306"/>
      <c r="GY842" s="3306"/>
      <c r="GZ842" s="3306"/>
      <c r="HA842" s="3306"/>
      <c r="HB842" s="3306"/>
      <c r="HC842" s="3306"/>
      <c r="HD842" s="3306"/>
      <c r="HE842" s="3306"/>
      <c r="HF842" s="3306"/>
      <c r="HG842" s="3306"/>
      <c r="HH842" s="3306"/>
      <c r="HI842" s="3306"/>
      <c r="HJ842" s="3306"/>
      <c r="HK842" s="3306"/>
      <c r="HL842" s="3306"/>
      <c r="HM842" s="3306"/>
      <c r="HN842" s="3306"/>
      <c r="HO842" s="3306"/>
      <c r="HP842" s="3306"/>
      <c r="HQ842" s="3306"/>
      <c r="HR842" s="3306"/>
      <c r="HS842" s="3306"/>
      <c r="HT842" s="3306"/>
      <c r="HU842" s="3306"/>
      <c r="HV842" s="3306"/>
      <c r="HW842" s="3306"/>
      <c r="HX842" s="3306"/>
      <c r="HY842" s="3306"/>
      <c r="HZ842" s="3306"/>
      <c r="IA842" s="3306"/>
      <c r="IB842" s="3306"/>
      <c r="IC842" s="3306"/>
      <c r="ID842" s="3306"/>
      <c r="IK842" s="3303"/>
      <c r="IL842" s="3303"/>
      <c r="JB842" s="3303"/>
    </row>
    <row r="843" spans="1:262" ht="12" customHeight="1">
      <c r="C843" s="3257" t="s">
        <v>4781</v>
      </c>
      <c r="D843" s="3257"/>
      <c r="E843" s="3312" t="s">
        <v>1118</v>
      </c>
      <c r="F843" s="3111"/>
      <c r="G843" s="3113"/>
      <c r="J843" s="3347">
        <f t="shared" ref="J843:O843" si="265">SUM(J844:J851)</f>
        <v>0</v>
      </c>
      <c r="K843" s="3347">
        <f t="shared" si="265"/>
        <v>12</v>
      </c>
      <c r="L843" s="3347">
        <f t="shared" si="265"/>
        <v>32</v>
      </c>
      <c r="M843" s="3347">
        <f t="shared" si="265"/>
        <v>30</v>
      </c>
      <c r="N843" s="3347">
        <f t="shared" si="265"/>
        <v>0</v>
      </c>
      <c r="O843" s="3347">
        <f t="shared" si="265"/>
        <v>74</v>
      </c>
      <c r="R843" s="3257"/>
      <c r="S843" s="3257"/>
      <c r="T843" s="3257"/>
      <c r="U843" s="3257"/>
      <c r="V843" s="3257"/>
      <c r="W843" s="3111"/>
      <c r="Z843" s="3111"/>
      <c r="AA843" s="358"/>
      <c r="AB843" s="359"/>
      <c r="AC843" s="359"/>
      <c r="AD843" s="359"/>
      <c r="AE843" s="359"/>
      <c r="AF843" s="359"/>
      <c r="AG843" s="359"/>
      <c r="IK843" s="3303"/>
      <c r="IL843" s="3303"/>
      <c r="JB843" s="3303"/>
    </row>
    <row r="844" spans="1:262" ht="12" customHeight="1">
      <c r="C844" s="3257"/>
      <c r="D844" s="3257"/>
      <c r="E844" s="3312"/>
      <c r="F844" s="3111"/>
      <c r="H844" s="3354" t="s">
        <v>1119</v>
      </c>
      <c r="J844" s="3347">
        <f>GP805</f>
        <v>0</v>
      </c>
      <c r="K844" s="3347">
        <f>GQ805</f>
        <v>0</v>
      </c>
      <c r="L844" s="3347">
        <f>GR805</f>
        <v>0</v>
      </c>
      <c r="M844" s="3347">
        <f>GS805</f>
        <v>0</v>
      </c>
      <c r="N844" s="3347">
        <f>GT805</f>
        <v>0</v>
      </c>
      <c r="O844" s="3347">
        <f t="shared" ref="O844:O859" si="266">SUM(J844:N844)</f>
        <v>0</v>
      </c>
      <c r="R844" s="3257"/>
      <c r="S844" s="3257"/>
      <c r="T844" s="3257"/>
      <c r="U844" s="3257"/>
      <c r="V844" s="3257"/>
      <c r="W844" s="3111"/>
      <c r="Z844" s="3111"/>
      <c r="AA844" s="358"/>
      <c r="AB844" s="359"/>
      <c r="AC844" s="359"/>
      <c r="AD844" s="359"/>
      <c r="AE844" s="359"/>
      <c r="AF844" s="359"/>
      <c r="AG844" s="359"/>
      <c r="IK844" s="3303"/>
      <c r="IL844" s="3303"/>
      <c r="JB844" s="3303"/>
    </row>
    <row r="845" spans="1:262" ht="12" customHeight="1">
      <c r="C845" s="3257"/>
      <c r="D845" s="3257"/>
      <c r="E845" s="3312"/>
      <c r="F845" s="3111"/>
      <c r="H845" s="3355" t="s">
        <v>115</v>
      </c>
      <c r="J845" s="3347">
        <f>GU805</f>
        <v>0</v>
      </c>
      <c r="K845" s="3347">
        <f>GV805</f>
        <v>0</v>
      </c>
      <c r="L845" s="3347">
        <f>GW805</f>
        <v>0</v>
      </c>
      <c r="M845" s="3347">
        <f>GX805</f>
        <v>0</v>
      </c>
      <c r="N845" s="3347">
        <f>GY805</f>
        <v>0</v>
      </c>
      <c r="O845" s="3347">
        <f t="shared" si="266"/>
        <v>0</v>
      </c>
      <c r="R845" s="3257"/>
      <c r="S845" s="3257"/>
      <c r="T845" s="3257"/>
      <c r="U845" s="3257"/>
      <c r="V845" s="3257"/>
      <c r="W845" s="3111"/>
      <c r="Z845" s="3111"/>
      <c r="AA845" s="358"/>
      <c r="AB845" s="359"/>
      <c r="AC845" s="359"/>
      <c r="AD845" s="359"/>
      <c r="AE845" s="359"/>
      <c r="AF845" s="359"/>
      <c r="AG845" s="359"/>
      <c r="IK845" s="3303"/>
      <c r="IL845" s="3303"/>
      <c r="JB845" s="3303"/>
    </row>
    <row r="846" spans="1:262" ht="12" customHeight="1">
      <c r="C846" s="3257"/>
      <c r="D846" s="3257"/>
      <c r="E846" s="3312"/>
      <c r="F846" s="3111"/>
      <c r="H846" s="3354" t="s">
        <v>1120</v>
      </c>
      <c r="J846" s="3347">
        <f>GZ805</f>
        <v>0</v>
      </c>
      <c r="K846" s="3347">
        <f>HA805</f>
        <v>0</v>
      </c>
      <c r="L846" s="3347">
        <f>HB805</f>
        <v>0</v>
      </c>
      <c r="M846" s="3347">
        <f>HC805</f>
        <v>0</v>
      </c>
      <c r="N846" s="3347">
        <f>HD805</f>
        <v>0</v>
      </c>
      <c r="O846" s="3347">
        <f t="shared" si="266"/>
        <v>0</v>
      </c>
      <c r="R846" s="3257"/>
      <c r="S846" s="3257"/>
      <c r="T846" s="3257"/>
      <c r="U846" s="3257"/>
      <c r="V846" s="3257"/>
      <c r="W846" s="3111"/>
      <c r="Z846" s="3111"/>
      <c r="AA846" s="358"/>
      <c r="AB846" s="359"/>
      <c r="AC846" s="359"/>
      <c r="AD846" s="359"/>
      <c r="AE846" s="359"/>
      <c r="AF846" s="359"/>
      <c r="AG846" s="359"/>
      <c r="IK846" s="3303"/>
      <c r="IL846" s="3303"/>
      <c r="JB846" s="3303"/>
    </row>
    <row r="847" spans="1:262" ht="12" customHeight="1">
      <c r="C847" s="3257"/>
      <c r="D847" s="3257"/>
      <c r="E847" s="3312"/>
      <c r="F847" s="3111"/>
      <c r="H847" s="3355" t="s">
        <v>115</v>
      </c>
      <c r="J847" s="3347">
        <f>HE805</f>
        <v>0</v>
      </c>
      <c r="K847" s="3347">
        <f>HF805</f>
        <v>0</v>
      </c>
      <c r="L847" s="3347">
        <f>HG805</f>
        <v>0</v>
      </c>
      <c r="M847" s="3347">
        <f>HH805</f>
        <v>0</v>
      </c>
      <c r="N847" s="3347">
        <f>HI805</f>
        <v>0</v>
      </c>
      <c r="O847" s="3347">
        <f t="shared" si="266"/>
        <v>0</v>
      </c>
      <c r="R847" s="3257"/>
      <c r="S847" s="3257"/>
      <c r="T847" s="3257"/>
      <c r="U847" s="3257"/>
      <c r="V847" s="3257"/>
      <c r="W847" s="3111"/>
      <c r="Z847" s="3111"/>
      <c r="AA847" s="358"/>
      <c r="AB847" s="359"/>
      <c r="AC847" s="359"/>
      <c r="AD847" s="359"/>
      <c r="AE847" s="359"/>
      <c r="AF847" s="359"/>
      <c r="AG847" s="359"/>
      <c r="IK847" s="3303"/>
      <c r="IL847" s="3303"/>
      <c r="JB847" s="3303"/>
    </row>
    <row r="848" spans="1:262" ht="12" customHeight="1">
      <c r="C848" s="3257"/>
      <c r="D848" s="3257"/>
      <c r="E848" s="3312"/>
      <c r="F848" s="3111"/>
      <c r="H848" s="3354" t="s">
        <v>1121</v>
      </c>
      <c r="J848" s="3347">
        <f>HJ805</f>
        <v>0</v>
      </c>
      <c r="K848" s="3347">
        <f>HK805</f>
        <v>12</v>
      </c>
      <c r="L848" s="3347">
        <f>HL805</f>
        <v>32</v>
      </c>
      <c r="M848" s="3347">
        <f>HM805</f>
        <v>30</v>
      </c>
      <c r="N848" s="3347">
        <f>HN805</f>
        <v>0</v>
      </c>
      <c r="O848" s="3347">
        <f t="shared" si="266"/>
        <v>74</v>
      </c>
      <c r="R848" s="3257"/>
      <c r="S848" s="3257"/>
      <c r="T848" s="3257"/>
      <c r="U848" s="3257"/>
      <c r="V848" s="3257"/>
      <c r="W848" s="3111"/>
      <c r="Z848" s="3111"/>
      <c r="AA848" s="358"/>
      <c r="AB848" s="359"/>
      <c r="AC848" s="359"/>
      <c r="AD848" s="359"/>
      <c r="AE848" s="359"/>
      <c r="AF848" s="359"/>
      <c r="AG848" s="359"/>
      <c r="IK848" s="3303"/>
      <c r="IL848" s="3303"/>
      <c r="JB848" s="3303"/>
    </row>
    <row r="849" spans="3:262" ht="12" customHeight="1">
      <c r="C849" s="3257"/>
      <c r="D849" s="3257"/>
      <c r="E849" s="3312"/>
      <c r="F849" s="3111"/>
      <c r="H849" s="3355" t="s">
        <v>115</v>
      </c>
      <c r="J849" s="3347">
        <f>HO805</f>
        <v>0</v>
      </c>
      <c r="K849" s="3347">
        <f>HP805</f>
        <v>0</v>
      </c>
      <c r="L849" s="3347">
        <f>HQ805</f>
        <v>0</v>
      </c>
      <c r="M849" s="3347">
        <f>HR805</f>
        <v>0</v>
      </c>
      <c r="N849" s="3347">
        <f>HS805</f>
        <v>0</v>
      </c>
      <c r="O849" s="3347">
        <f t="shared" si="266"/>
        <v>0</v>
      </c>
      <c r="R849" s="3257"/>
      <c r="S849" s="3257"/>
      <c r="T849" s="3257"/>
      <c r="U849" s="3257"/>
      <c r="V849" s="3257"/>
      <c r="W849" s="3111"/>
      <c r="Z849" s="3111"/>
      <c r="AA849" s="358"/>
      <c r="AB849" s="359"/>
      <c r="AC849" s="359"/>
      <c r="AD849" s="359"/>
      <c r="AE849" s="359"/>
      <c r="AF849" s="359"/>
      <c r="AG849" s="359"/>
      <c r="IK849" s="3303"/>
      <c r="IL849" s="3303"/>
      <c r="JB849" s="3303"/>
    </row>
    <row r="850" spans="3:262" ht="12" customHeight="1">
      <c r="C850" s="3257"/>
      <c r="D850" s="3257"/>
      <c r="E850" s="3312"/>
      <c r="F850" s="3111"/>
      <c r="H850" s="3354" t="s">
        <v>1122</v>
      </c>
      <c r="J850" s="3347">
        <f>HT805</f>
        <v>0</v>
      </c>
      <c r="K850" s="3347">
        <f>HU805</f>
        <v>0</v>
      </c>
      <c r="L850" s="3347">
        <f>HV805</f>
        <v>0</v>
      </c>
      <c r="M850" s="3347">
        <f>HW805</f>
        <v>0</v>
      </c>
      <c r="N850" s="3347">
        <f>HX805</f>
        <v>0</v>
      </c>
      <c r="O850" s="3347">
        <f t="shared" si="266"/>
        <v>0</v>
      </c>
      <c r="R850" s="3257"/>
      <c r="S850" s="3257"/>
      <c r="T850" s="3257"/>
      <c r="U850" s="3257"/>
      <c r="V850" s="3257"/>
      <c r="W850" s="3111"/>
      <c r="Z850" s="3111"/>
      <c r="AA850" s="358"/>
      <c r="AB850" s="359"/>
      <c r="AC850" s="359"/>
      <c r="AD850" s="359"/>
      <c r="AE850" s="359"/>
      <c r="AF850" s="359"/>
      <c r="AG850" s="359"/>
      <c r="IK850" s="3303"/>
      <c r="IL850" s="3303"/>
      <c r="JB850" s="3303"/>
    </row>
    <row r="851" spans="3:262" ht="12" customHeight="1">
      <c r="C851" s="3257"/>
      <c r="D851" s="3257"/>
      <c r="E851" s="3312"/>
      <c r="F851" s="3111"/>
      <c r="H851" s="3355" t="s">
        <v>115</v>
      </c>
      <c r="J851" s="3347">
        <f>HY805</f>
        <v>0</v>
      </c>
      <c r="K851" s="3347">
        <f>HZ805</f>
        <v>0</v>
      </c>
      <c r="L851" s="3347">
        <f>IA805</f>
        <v>0</v>
      </c>
      <c r="M851" s="3347">
        <f>IB805</f>
        <v>0</v>
      </c>
      <c r="N851" s="3347">
        <f>IC805</f>
        <v>0</v>
      </c>
      <c r="O851" s="3347">
        <f t="shared" si="266"/>
        <v>0</v>
      </c>
      <c r="R851" s="3257"/>
      <c r="S851" s="3257"/>
      <c r="T851" s="3257"/>
      <c r="U851" s="3257"/>
      <c r="V851" s="3257"/>
      <c r="W851" s="3111"/>
      <c r="Z851" s="3111"/>
      <c r="AA851" s="358"/>
      <c r="AB851" s="359"/>
      <c r="AC851" s="359"/>
      <c r="AD851" s="359"/>
      <c r="AE851" s="359"/>
      <c r="AF851" s="359"/>
      <c r="AG851" s="359"/>
      <c r="IK851" s="3303"/>
      <c r="IL851" s="3303"/>
      <c r="JB851" s="3303"/>
    </row>
    <row r="852" spans="3:262" ht="12" customHeight="1">
      <c r="E852" s="3312" t="s">
        <v>1123</v>
      </c>
      <c r="F852" s="3111"/>
      <c r="H852" s="3354"/>
      <c r="J852" s="3347">
        <f>FB805</f>
        <v>0</v>
      </c>
      <c r="K852" s="3347">
        <f>FC805</f>
        <v>0</v>
      </c>
      <c r="L852" s="3347">
        <f>FD805</f>
        <v>0</v>
      </c>
      <c r="M852" s="3347">
        <f>FE805</f>
        <v>0</v>
      </c>
      <c r="N852" s="3347">
        <f>FF805</f>
        <v>0</v>
      </c>
      <c r="O852" s="3347">
        <f t="shared" si="266"/>
        <v>0</v>
      </c>
      <c r="R852" s="3257"/>
      <c r="S852" s="3257"/>
      <c r="T852" s="3257"/>
      <c r="U852" s="3257"/>
      <c r="V852" s="3257"/>
      <c r="W852" s="3111"/>
      <c r="Z852" s="3111"/>
      <c r="AA852" s="358"/>
      <c r="AB852" s="359"/>
      <c r="AC852" s="359"/>
      <c r="AD852" s="359"/>
      <c r="AE852" s="359"/>
      <c r="AF852" s="359"/>
      <c r="AG852" s="359"/>
      <c r="AH852" s="943"/>
      <c r="AI852" s="3111"/>
      <c r="GT852" s="3306"/>
      <c r="GY852" s="3306"/>
      <c r="GZ852" s="3306"/>
      <c r="HA852" s="3306"/>
      <c r="HB852" s="3306"/>
      <c r="HC852" s="3306"/>
      <c r="HD852" s="3306"/>
      <c r="HE852" s="3306"/>
      <c r="HF852" s="3306"/>
      <c r="HG852" s="3306"/>
      <c r="HH852" s="3306"/>
      <c r="HI852" s="3306"/>
      <c r="HJ852" s="3306"/>
      <c r="HK852" s="3306"/>
      <c r="HL852" s="3306"/>
      <c r="HM852" s="3306"/>
      <c r="HN852" s="3306"/>
      <c r="HO852" s="3306"/>
      <c r="HP852" s="3306"/>
      <c r="HQ852" s="3306"/>
      <c r="HR852" s="3306"/>
      <c r="HS852" s="3306"/>
      <c r="HT852" s="3306"/>
      <c r="HU852" s="3306"/>
      <c r="HV852" s="3306"/>
      <c r="HW852" s="3306"/>
      <c r="HX852" s="3306"/>
      <c r="HY852" s="3306"/>
      <c r="HZ852" s="3306"/>
      <c r="IA852" s="3306"/>
      <c r="IB852" s="3306"/>
      <c r="IC852" s="3306"/>
      <c r="ID852" s="3306"/>
      <c r="IK852" s="3303"/>
      <c r="IL852" s="3303"/>
      <c r="JB852" s="3303"/>
    </row>
    <row r="853" spans="3:262" ht="12" customHeight="1">
      <c r="E853" s="3312"/>
      <c r="F853" s="3111"/>
      <c r="H853" s="3355" t="s">
        <v>115</v>
      </c>
      <c r="J853" s="3347">
        <f>FG805</f>
        <v>0</v>
      </c>
      <c r="K853" s="3347">
        <f>FH805</f>
        <v>0</v>
      </c>
      <c r="L853" s="3347">
        <f>FI805</f>
        <v>0</v>
      </c>
      <c r="M853" s="3347">
        <f>FJ805</f>
        <v>0</v>
      </c>
      <c r="N853" s="3347">
        <f>FK805</f>
        <v>0</v>
      </c>
      <c r="O853" s="3347">
        <f t="shared" si="266"/>
        <v>0</v>
      </c>
      <c r="R853" s="3257"/>
      <c r="S853" s="3257"/>
      <c r="T853" s="3257"/>
      <c r="U853" s="3257"/>
      <c r="V853" s="3257"/>
      <c r="W853" s="3111"/>
      <c r="Z853" s="3111"/>
      <c r="AA853" s="358"/>
      <c r="AB853" s="359"/>
      <c r="AC853" s="359"/>
      <c r="AD853" s="359"/>
      <c r="AE853" s="359"/>
      <c r="AF853" s="359"/>
      <c r="AG853" s="359"/>
      <c r="AH853" s="943"/>
      <c r="AI853" s="3111"/>
      <c r="GT853" s="3306"/>
      <c r="GY853" s="3306"/>
      <c r="GZ853" s="3306"/>
      <c r="HA853" s="3306"/>
      <c r="HB853" s="3306"/>
      <c r="HC853" s="3306"/>
      <c r="HD853" s="3306"/>
      <c r="HE853" s="3306"/>
      <c r="HF853" s="3306"/>
      <c r="HG853" s="3306"/>
      <c r="HH853" s="3306"/>
      <c r="HI853" s="3306"/>
      <c r="HJ853" s="3306"/>
      <c r="HK853" s="3306"/>
      <c r="HL853" s="3306"/>
      <c r="HM853" s="3306"/>
      <c r="HN853" s="3306"/>
      <c r="HO853" s="3306"/>
      <c r="HP853" s="3306"/>
      <c r="HQ853" s="3306"/>
      <c r="HR853" s="3306"/>
      <c r="HS853" s="3306"/>
      <c r="HT853" s="3306"/>
      <c r="HU853" s="3306"/>
      <c r="HV853" s="3306"/>
      <c r="HW853" s="3306"/>
      <c r="HX853" s="3306"/>
      <c r="HY853" s="3306"/>
      <c r="HZ853" s="3306"/>
      <c r="IA853" s="3306"/>
      <c r="IB853" s="3306"/>
      <c r="IC853" s="3306"/>
      <c r="ID853" s="3306"/>
      <c r="IK853" s="3303"/>
      <c r="IL853" s="3303"/>
      <c r="JB853" s="3303"/>
    </row>
    <row r="854" spans="3:262" ht="12" customHeight="1">
      <c r="C854" s="3111"/>
      <c r="D854" s="3111"/>
      <c r="E854" s="3312" t="s">
        <v>1124</v>
      </c>
      <c r="F854" s="3111"/>
      <c r="H854" s="3354"/>
      <c r="J854" s="3347">
        <f>GF805</f>
        <v>0</v>
      </c>
      <c r="K854" s="3347">
        <f>GG805</f>
        <v>0</v>
      </c>
      <c r="L854" s="3347">
        <f>GH805</f>
        <v>0</v>
      </c>
      <c r="M854" s="3347">
        <f>GI805</f>
        <v>0</v>
      </c>
      <c r="N854" s="3347">
        <f>GJ805</f>
        <v>0</v>
      </c>
      <c r="O854" s="3347">
        <f t="shared" si="266"/>
        <v>0</v>
      </c>
      <c r="R854" s="3257"/>
      <c r="S854" s="3257"/>
      <c r="T854" s="3257"/>
      <c r="U854" s="3257"/>
      <c r="V854" s="3257"/>
      <c r="W854" s="3111"/>
      <c r="Z854" s="3111"/>
      <c r="AA854" s="358"/>
      <c r="AB854" s="359"/>
      <c r="AC854" s="359"/>
      <c r="AD854" s="359"/>
      <c r="AE854" s="359"/>
      <c r="AF854" s="359"/>
      <c r="AG854" s="359"/>
      <c r="IK854" s="3303"/>
      <c r="IL854" s="3303"/>
      <c r="JB854" s="3303"/>
    </row>
    <row r="855" spans="3:262" ht="12" customHeight="1">
      <c r="C855" s="3111"/>
      <c r="D855" s="3111"/>
      <c r="E855" s="3312"/>
      <c r="F855" s="3111"/>
      <c r="H855" s="3355" t="s">
        <v>115</v>
      </c>
      <c r="J855" s="3347">
        <f>GK805</f>
        <v>0</v>
      </c>
      <c r="K855" s="3347">
        <f>GL805</f>
        <v>0</v>
      </c>
      <c r="L855" s="3347">
        <f>GM805</f>
        <v>0</v>
      </c>
      <c r="M855" s="3347">
        <f>GN805</f>
        <v>0</v>
      </c>
      <c r="N855" s="3347">
        <f>GO805</f>
        <v>0</v>
      </c>
      <c r="O855" s="3347">
        <f t="shared" si="266"/>
        <v>0</v>
      </c>
      <c r="R855" s="3257"/>
      <c r="S855" s="3257"/>
      <c r="T855" s="3257"/>
      <c r="U855" s="3257"/>
      <c r="V855" s="3257"/>
      <c r="W855" s="3111"/>
      <c r="Z855" s="3111"/>
      <c r="AA855" s="358"/>
      <c r="AB855" s="359"/>
      <c r="AC855" s="359"/>
      <c r="AD855" s="359"/>
      <c r="AE855" s="359"/>
      <c r="AF855" s="359"/>
      <c r="AG855" s="359"/>
      <c r="IK855" s="3303"/>
      <c r="IL855" s="3303"/>
      <c r="JB855" s="3303"/>
    </row>
    <row r="856" spans="3:262" ht="12" customHeight="1">
      <c r="C856" s="3111"/>
      <c r="D856" s="3111"/>
      <c r="E856" s="3312" t="s">
        <v>1125</v>
      </c>
      <c r="F856" s="3111"/>
      <c r="H856" s="3354"/>
      <c r="J856" s="3347">
        <f>FV805</f>
        <v>0</v>
      </c>
      <c r="K856" s="3347">
        <f>FW805</f>
        <v>0</v>
      </c>
      <c r="L856" s="3347">
        <f>FX805</f>
        <v>0</v>
      </c>
      <c r="M856" s="3347">
        <f>FY805</f>
        <v>0</v>
      </c>
      <c r="N856" s="3347">
        <f>FZ805</f>
        <v>0</v>
      </c>
      <c r="O856" s="3347">
        <f t="shared" si="266"/>
        <v>0</v>
      </c>
      <c r="R856" s="3257"/>
      <c r="S856" s="3257"/>
      <c r="T856" s="3257"/>
      <c r="U856" s="3257"/>
      <c r="V856" s="3257"/>
      <c r="W856" s="3111"/>
      <c r="Z856" s="3111"/>
      <c r="AA856" s="358"/>
      <c r="AB856" s="359"/>
      <c r="AC856" s="359"/>
      <c r="AD856" s="359"/>
      <c r="AE856" s="359"/>
      <c r="AF856" s="359"/>
      <c r="AG856" s="359"/>
      <c r="AH856" s="943"/>
      <c r="AI856" s="3111"/>
      <c r="GT856" s="3306"/>
      <c r="GY856" s="3306"/>
      <c r="GZ856" s="3306"/>
      <c r="HA856" s="3306"/>
      <c r="HB856" s="3306"/>
      <c r="HC856" s="3306"/>
      <c r="HD856" s="3306"/>
      <c r="HE856" s="3306"/>
      <c r="HF856" s="3306"/>
      <c r="HG856" s="3306"/>
      <c r="HH856" s="3306"/>
      <c r="HI856" s="3306"/>
      <c r="HJ856" s="3306"/>
      <c r="HK856" s="3306"/>
      <c r="HL856" s="3306"/>
      <c r="HM856" s="3306"/>
      <c r="HN856" s="3306"/>
      <c r="HO856" s="3306"/>
      <c r="HP856" s="3306"/>
      <c r="HQ856" s="3306"/>
      <c r="HR856" s="3306"/>
      <c r="HS856" s="3306"/>
      <c r="HT856" s="3306"/>
      <c r="HU856" s="3306"/>
      <c r="HV856" s="3306"/>
      <c r="HW856" s="3306"/>
      <c r="HX856" s="3306"/>
      <c r="HY856" s="3306"/>
      <c r="HZ856" s="3306"/>
      <c r="IA856" s="3306"/>
      <c r="IB856" s="3306"/>
      <c r="IC856" s="3306"/>
      <c r="ID856" s="3306"/>
      <c r="IK856" s="3303"/>
      <c r="IL856" s="3303"/>
      <c r="JB856" s="3303"/>
    </row>
    <row r="857" spans="3:262" ht="12" customHeight="1">
      <c r="C857" s="3111"/>
      <c r="D857" s="3111"/>
      <c r="E857" s="3312"/>
      <c r="F857" s="3111"/>
      <c r="H857" s="3355" t="s">
        <v>115</v>
      </c>
      <c r="J857" s="3347">
        <f>GA805</f>
        <v>0</v>
      </c>
      <c r="K857" s="3347">
        <f>GB805</f>
        <v>0</v>
      </c>
      <c r="L857" s="3347">
        <f>GC805</f>
        <v>0</v>
      </c>
      <c r="M857" s="3347">
        <f>GD805</f>
        <v>0</v>
      </c>
      <c r="N857" s="3347">
        <f>GE805</f>
        <v>0</v>
      </c>
      <c r="O857" s="3347">
        <f t="shared" si="266"/>
        <v>0</v>
      </c>
      <c r="R857" s="3257"/>
      <c r="S857" s="3257"/>
      <c r="T857" s="3257"/>
      <c r="U857" s="3257"/>
      <c r="V857" s="3257"/>
      <c r="W857" s="3111"/>
      <c r="Z857" s="3111"/>
      <c r="AA857" s="358"/>
      <c r="AB857" s="359"/>
      <c r="AC857" s="359"/>
      <c r="AD857" s="359"/>
      <c r="AE857" s="359"/>
      <c r="AF857" s="359"/>
      <c r="AG857" s="359"/>
      <c r="AH857" s="943"/>
      <c r="AI857" s="3111"/>
      <c r="GT857" s="3306"/>
      <c r="GY857" s="3306"/>
      <c r="GZ857" s="3306"/>
      <c r="HA857" s="3306"/>
      <c r="HB857" s="3306"/>
      <c r="HC857" s="3306"/>
      <c r="HD857" s="3306"/>
      <c r="HE857" s="3306"/>
      <c r="HF857" s="3306"/>
      <c r="HG857" s="3306"/>
      <c r="HH857" s="3306"/>
      <c r="HI857" s="3306"/>
      <c r="HJ857" s="3306"/>
      <c r="HK857" s="3306"/>
      <c r="HL857" s="3306"/>
      <c r="HM857" s="3306"/>
      <c r="HN857" s="3306"/>
      <c r="HO857" s="3306"/>
      <c r="HP857" s="3306"/>
      <c r="HQ857" s="3306"/>
      <c r="HR857" s="3306"/>
      <c r="HS857" s="3306"/>
      <c r="HT857" s="3306"/>
      <c r="HU857" s="3306"/>
      <c r="HV857" s="3306"/>
      <c r="HW857" s="3306"/>
      <c r="HX857" s="3306"/>
      <c r="HY857" s="3306"/>
      <c r="HZ857" s="3306"/>
      <c r="IA857" s="3306"/>
      <c r="IB857" s="3306"/>
      <c r="IC857" s="3306"/>
      <c r="ID857" s="3306"/>
      <c r="IK857" s="3303"/>
      <c r="IL857" s="3303"/>
      <c r="JB857" s="3303"/>
    </row>
    <row r="858" spans="3:262" ht="12" customHeight="1">
      <c r="C858" s="3111"/>
      <c r="D858" s="3111"/>
      <c r="E858" s="1087" t="s">
        <v>1126</v>
      </c>
      <c r="F858" s="3111"/>
      <c r="H858" s="3354"/>
      <c r="J858" s="3347">
        <f>FL805</f>
        <v>0</v>
      </c>
      <c r="K858" s="3347">
        <f>FM805</f>
        <v>0</v>
      </c>
      <c r="L858" s="3347">
        <f>FN805</f>
        <v>0</v>
      </c>
      <c r="M858" s="3347">
        <f>FO805</f>
        <v>0</v>
      </c>
      <c r="N858" s="3347">
        <f>FP805</f>
        <v>0</v>
      </c>
      <c r="O858" s="3347">
        <f t="shared" si="266"/>
        <v>0</v>
      </c>
      <c r="R858" s="3257"/>
      <c r="S858" s="3257"/>
      <c r="T858" s="3257"/>
      <c r="U858" s="3257"/>
      <c r="V858" s="3257"/>
      <c r="W858" s="3111"/>
      <c r="Z858" s="3111"/>
      <c r="AA858" s="358"/>
      <c r="AB858" s="359"/>
      <c r="AC858" s="359"/>
      <c r="AD858" s="359"/>
      <c r="AE858" s="359"/>
      <c r="AF858" s="359"/>
      <c r="AG858" s="359"/>
      <c r="IK858" s="3303"/>
      <c r="IL858" s="3303"/>
      <c r="JB858" s="3303"/>
    </row>
    <row r="859" spans="3:262" ht="12" customHeight="1">
      <c r="C859" s="3111"/>
      <c r="D859" s="3111"/>
      <c r="E859" s="1087"/>
      <c r="F859" s="3111"/>
      <c r="H859" s="3355" t="s">
        <v>115</v>
      </c>
      <c r="J859" s="3347">
        <f>FQ805</f>
        <v>0</v>
      </c>
      <c r="K859" s="3347">
        <f>FR805</f>
        <v>0</v>
      </c>
      <c r="L859" s="3347">
        <f>FS805</f>
        <v>0</v>
      </c>
      <c r="M859" s="3347">
        <f>FT805</f>
        <v>0</v>
      </c>
      <c r="N859" s="3347">
        <f>FU805</f>
        <v>0</v>
      </c>
      <c r="O859" s="3347">
        <f t="shared" si="266"/>
        <v>0</v>
      </c>
      <c r="R859" s="3257"/>
      <c r="S859" s="3257"/>
      <c r="T859" s="3257"/>
      <c r="U859" s="3257"/>
      <c r="V859" s="3257"/>
      <c r="W859" s="3111"/>
      <c r="Z859" s="3111"/>
      <c r="AA859" s="358"/>
      <c r="AB859" s="359"/>
      <c r="AC859" s="359"/>
      <c r="AD859" s="359"/>
      <c r="AE859" s="359"/>
      <c r="AF859" s="359"/>
      <c r="AG859" s="359"/>
      <c r="IK859" s="3303"/>
      <c r="IL859" s="3303"/>
      <c r="JB859" s="3303"/>
    </row>
    <row r="860" spans="3:262" ht="10.5" customHeight="1">
      <c r="C860" s="3111"/>
      <c r="H860" s="3356"/>
      <c r="J860" s="3357"/>
      <c r="K860" s="3357"/>
      <c r="L860" s="3357"/>
      <c r="M860" s="3357"/>
      <c r="N860" s="3357"/>
      <c r="O860" s="3357"/>
      <c r="R860" s="3114" t="str">
        <f>C861</f>
        <v>Building Type:
(for Cost Limit purposes only)</v>
      </c>
      <c r="GT860" s="3306"/>
      <c r="GY860" s="3306"/>
      <c r="GZ860" s="3306"/>
      <c r="HA860" s="3306"/>
      <c r="HB860" s="3306"/>
      <c r="HC860" s="3306"/>
      <c r="HD860" s="3306"/>
      <c r="HE860" s="3306"/>
      <c r="HF860" s="3306"/>
      <c r="HG860" s="3306"/>
      <c r="HH860" s="3306"/>
      <c r="HI860" s="3306"/>
      <c r="HJ860" s="3306"/>
      <c r="HK860" s="3306"/>
      <c r="HL860" s="3306"/>
      <c r="HM860" s="3306"/>
      <c r="HN860" s="3306"/>
      <c r="HO860" s="3306"/>
      <c r="HP860" s="3306"/>
      <c r="HQ860" s="3306"/>
      <c r="HR860" s="3306"/>
      <c r="HS860" s="3306"/>
      <c r="HT860" s="3306"/>
      <c r="HU860" s="3306"/>
      <c r="HV860" s="3306"/>
      <c r="HW860" s="3306"/>
      <c r="HX860" s="3306"/>
      <c r="HY860" s="3306"/>
      <c r="HZ860" s="3306"/>
      <c r="IA860" s="3306"/>
      <c r="IB860" s="3306"/>
      <c r="IC860" s="3306"/>
      <c r="ID860" s="3306"/>
      <c r="IK860" s="3303"/>
      <c r="JA860" s="3303"/>
      <c r="JB860" s="3303"/>
    </row>
    <row r="861" spans="3:262" ht="12" customHeight="1">
      <c r="C861" s="3257" t="s">
        <v>4782</v>
      </c>
      <c r="D861" s="3257"/>
      <c r="E861" s="3312" t="s">
        <v>1128</v>
      </c>
      <c r="F861" s="3113"/>
      <c r="H861" s="3354"/>
      <c r="J861" s="3347">
        <f t="shared" ref="J861:N862" si="267">J852+J856+J858</f>
        <v>0</v>
      </c>
      <c r="K861" s="3347">
        <f t="shared" si="267"/>
        <v>0</v>
      </c>
      <c r="L861" s="3347">
        <f t="shared" si="267"/>
        <v>0</v>
      </c>
      <c r="M861" s="3347">
        <f t="shared" si="267"/>
        <v>0</v>
      </c>
      <c r="N861" s="3347">
        <f t="shared" si="267"/>
        <v>0</v>
      </c>
      <c r="O861" s="3347">
        <f t="shared" ref="O861:O868" si="268">SUM(J861:N861)</f>
        <v>0</v>
      </c>
      <c r="R861" s="3257"/>
      <c r="S861" s="3257"/>
      <c r="T861" s="3257"/>
      <c r="U861" s="3257"/>
      <c r="V861" s="3257"/>
      <c r="W861" s="3111"/>
      <c r="Z861" s="3111"/>
      <c r="AA861" s="358"/>
      <c r="AB861" s="359"/>
      <c r="AC861" s="359"/>
      <c r="AD861" s="359"/>
      <c r="AE861" s="359"/>
      <c r="AF861" s="359"/>
      <c r="AG861" s="359"/>
      <c r="IK861" s="3303"/>
      <c r="IL861" s="3303"/>
      <c r="JB861" s="3303"/>
    </row>
    <row r="862" spans="3:262" ht="12" customHeight="1">
      <c r="C862" s="3257"/>
      <c r="D862" s="3257"/>
      <c r="E862" s="3312"/>
      <c r="F862" s="3113"/>
      <c r="H862" s="3355" t="s">
        <v>115</v>
      </c>
      <c r="J862" s="3347">
        <f t="shared" si="267"/>
        <v>0</v>
      </c>
      <c r="K862" s="3347">
        <f t="shared" si="267"/>
        <v>0</v>
      </c>
      <c r="L862" s="3347">
        <f t="shared" si="267"/>
        <v>0</v>
      </c>
      <c r="M862" s="3347">
        <f t="shared" si="267"/>
        <v>0</v>
      </c>
      <c r="N862" s="3347">
        <f t="shared" si="267"/>
        <v>0</v>
      </c>
      <c r="O862" s="3347">
        <f t="shared" si="268"/>
        <v>0</v>
      </c>
      <c r="R862" s="3257"/>
      <c r="S862" s="3257"/>
      <c r="T862" s="3257"/>
      <c r="U862" s="3257"/>
      <c r="V862" s="3257"/>
      <c r="W862" s="3111"/>
      <c r="Z862" s="3111"/>
      <c r="AA862" s="358"/>
      <c r="AB862" s="359"/>
      <c r="AC862" s="359"/>
      <c r="AD862" s="359"/>
      <c r="AE862" s="359"/>
      <c r="AF862" s="359"/>
      <c r="AG862" s="359"/>
      <c r="IK862" s="3303"/>
      <c r="IL862" s="3303"/>
      <c r="JB862" s="3303"/>
    </row>
    <row r="863" spans="3:262" ht="12" customHeight="1">
      <c r="C863" s="3257"/>
      <c r="D863" s="3257"/>
      <c r="E863" s="3312" t="s">
        <v>1129</v>
      </c>
      <c r="F863" s="3113"/>
      <c r="H863" s="3113"/>
      <c r="J863" s="3347">
        <f>J844+J854</f>
        <v>0</v>
      </c>
      <c r="K863" s="3347">
        <f t="shared" ref="K863:N864" si="269">K844+K854</f>
        <v>0</v>
      </c>
      <c r="L863" s="3347">
        <f t="shared" si="269"/>
        <v>0</v>
      </c>
      <c r="M863" s="3347">
        <f t="shared" si="269"/>
        <v>0</v>
      </c>
      <c r="N863" s="3347">
        <f t="shared" si="269"/>
        <v>0</v>
      </c>
      <c r="O863" s="3347">
        <f t="shared" si="268"/>
        <v>0</v>
      </c>
      <c r="R863" s="3257"/>
      <c r="S863" s="3257"/>
      <c r="T863" s="3257"/>
      <c r="U863" s="3257"/>
      <c r="V863" s="3257"/>
      <c r="W863" s="3111"/>
      <c r="Z863" s="3111"/>
      <c r="AA863" s="358"/>
      <c r="AB863" s="359"/>
      <c r="AC863" s="359"/>
      <c r="AD863" s="359"/>
      <c r="AE863" s="359"/>
      <c r="AF863" s="359"/>
      <c r="AG863" s="359"/>
      <c r="IK863" s="3303"/>
      <c r="IL863" s="3303"/>
      <c r="JB863" s="3303"/>
    </row>
    <row r="864" spans="3:262" ht="12" customHeight="1">
      <c r="C864" s="3257"/>
      <c r="D864" s="3257"/>
      <c r="E864" s="3312"/>
      <c r="F864" s="3113"/>
      <c r="H864" s="3355" t="s">
        <v>115</v>
      </c>
      <c r="J864" s="3347">
        <f>J845+J855</f>
        <v>0</v>
      </c>
      <c r="K864" s="3347">
        <f t="shared" si="269"/>
        <v>0</v>
      </c>
      <c r="L864" s="3347">
        <f t="shared" si="269"/>
        <v>0</v>
      </c>
      <c r="M864" s="3347">
        <f t="shared" si="269"/>
        <v>0</v>
      </c>
      <c r="N864" s="3347">
        <f t="shared" si="269"/>
        <v>0</v>
      </c>
      <c r="O864" s="3347">
        <f t="shared" si="268"/>
        <v>0</v>
      </c>
      <c r="R864" s="3257"/>
      <c r="S864" s="3257"/>
      <c r="T864" s="3257"/>
      <c r="U864" s="3257"/>
      <c r="V864" s="3257"/>
      <c r="W864" s="3111"/>
      <c r="Z864" s="3111"/>
      <c r="AA864" s="358"/>
      <c r="AB864" s="359"/>
      <c r="AC864" s="359"/>
      <c r="AD864" s="359"/>
      <c r="AE864" s="359"/>
      <c r="AF864" s="359"/>
      <c r="AG864" s="359"/>
      <c r="IK864" s="3303"/>
      <c r="IL864" s="3303"/>
      <c r="JB864" s="3303"/>
    </row>
    <row r="865" spans="1:263" ht="12" customHeight="1">
      <c r="C865" s="3257"/>
      <c r="D865" s="3257"/>
      <c r="E865" s="3312" t="s">
        <v>1130</v>
      </c>
      <c r="F865" s="3113"/>
      <c r="H865" s="3354"/>
      <c r="J865" s="3347">
        <f>J848</f>
        <v>0</v>
      </c>
      <c r="K865" s="3347">
        <f t="shared" ref="K865:N866" si="270">K848</f>
        <v>12</v>
      </c>
      <c r="L865" s="3347">
        <f t="shared" si="270"/>
        <v>32</v>
      </c>
      <c r="M865" s="3347">
        <f t="shared" si="270"/>
        <v>30</v>
      </c>
      <c r="N865" s="3347">
        <f t="shared" si="270"/>
        <v>0</v>
      </c>
      <c r="O865" s="3347">
        <f t="shared" si="268"/>
        <v>74</v>
      </c>
      <c r="R865" s="3257"/>
      <c r="S865" s="3257"/>
      <c r="T865" s="3257"/>
      <c r="U865" s="3257"/>
      <c r="V865" s="3257"/>
      <c r="W865" s="3111"/>
      <c r="Z865" s="3111"/>
      <c r="AA865" s="358"/>
      <c r="AB865" s="359"/>
      <c r="AC865" s="359"/>
      <c r="AD865" s="359"/>
      <c r="AE865" s="359"/>
      <c r="AF865" s="359"/>
      <c r="AG865" s="359"/>
      <c r="IK865" s="3303"/>
      <c r="IL865" s="3303"/>
      <c r="JB865" s="3303"/>
    </row>
    <row r="866" spans="1:263" ht="12" customHeight="1">
      <c r="C866" s="3257"/>
      <c r="D866" s="3257"/>
      <c r="E866" s="3312"/>
      <c r="F866" s="3113"/>
      <c r="H866" s="3355" t="s">
        <v>115</v>
      </c>
      <c r="J866" s="3347">
        <f>J849</f>
        <v>0</v>
      </c>
      <c r="K866" s="3347">
        <f t="shared" si="270"/>
        <v>0</v>
      </c>
      <c r="L866" s="3347">
        <f t="shared" si="270"/>
        <v>0</v>
      </c>
      <c r="M866" s="3347">
        <f t="shared" si="270"/>
        <v>0</v>
      </c>
      <c r="N866" s="3347">
        <f t="shared" si="270"/>
        <v>0</v>
      </c>
      <c r="O866" s="3347">
        <f t="shared" si="268"/>
        <v>0</v>
      </c>
      <c r="R866" s="3257"/>
      <c r="S866" s="3257"/>
      <c r="T866" s="3257"/>
      <c r="U866" s="3257"/>
      <c r="V866" s="3257"/>
      <c r="W866" s="3111"/>
      <c r="Z866" s="3111"/>
      <c r="AA866" s="358"/>
      <c r="AB866" s="359"/>
      <c r="AC866" s="359"/>
      <c r="AD866" s="359"/>
      <c r="AE866" s="359"/>
      <c r="AF866" s="359"/>
      <c r="AG866" s="359"/>
      <c r="IK866" s="3303"/>
      <c r="IL866" s="3303"/>
      <c r="JB866" s="3303"/>
    </row>
    <row r="867" spans="1:263" ht="12" customHeight="1">
      <c r="C867" s="3257"/>
      <c r="D867" s="3257"/>
      <c r="E867" s="3312" t="s">
        <v>1131</v>
      </c>
      <c r="F867" s="3113"/>
      <c r="H867" s="3354"/>
      <c r="J867" s="3347">
        <f>J846+J850</f>
        <v>0</v>
      </c>
      <c r="K867" s="3347">
        <f t="shared" ref="K867:N868" si="271">K846+K850</f>
        <v>0</v>
      </c>
      <c r="L867" s="3347">
        <f t="shared" si="271"/>
        <v>0</v>
      </c>
      <c r="M867" s="3347">
        <f t="shared" si="271"/>
        <v>0</v>
      </c>
      <c r="N867" s="3347">
        <f t="shared" si="271"/>
        <v>0</v>
      </c>
      <c r="O867" s="3347">
        <f t="shared" si="268"/>
        <v>0</v>
      </c>
      <c r="R867" s="3257"/>
      <c r="S867" s="3257"/>
      <c r="T867" s="3257"/>
      <c r="U867" s="3257"/>
      <c r="V867" s="3257"/>
      <c r="W867" s="3111"/>
      <c r="Z867" s="3111"/>
      <c r="AA867" s="358"/>
      <c r="AB867" s="359"/>
      <c r="AC867" s="359"/>
      <c r="AD867" s="359"/>
      <c r="AE867" s="359"/>
      <c r="AF867" s="359"/>
      <c r="AG867" s="359"/>
      <c r="IK867" s="3303"/>
      <c r="IL867" s="3303"/>
      <c r="JB867" s="3303"/>
    </row>
    <row r="868" spans="1:263" ht="12" customHeight="1">
      <c r="C868" s="3111"/>
      <c r="D868" s="3111"/>
      <c r="E868" s="3358"/>
      <c r="F868" s="3113"/>
      <c r="H868" s="3355" t="s">
        <v>115</v>
      </c>
      <c r="J868" s="3347">
        <f>J847+J851</f>
        <v>0</v>
      </c>
      <c r="K868" s="3347">
        <f t="shared" si="271"/>
        <v>0</v>
      </c>
      <c r="L868" s="3347">
        <f t="shared" si="271"/>
        <v>0</v>
      </c>
      <c r="M868" s="3347">
        <f t="shared" si="271"/>
        <v>0</v>
      </c>
      <c r="N868" s="3347">
        <f t="shared" si="271"/>
        <v>0</v>
      </c>
      <c r="O868" s="3347">
        <f t="shared" si="268"/>
        <v>0</v>
      </c>
      <c r="R868" s="3257"/>
      <c r="S868" s="3257"/>
      <c r="T868" s="3257"/>
      <c r="U868" s="3257"/>
      <c r="V868" s="3257"/>
      <c r="W868" s="3111"/>
      <c r="Z868" s="3111"/>
      <c r="AA868" s="358"/>
      <c r="AB868" s="359"/>
      <c r="AC868" s="359"/>
      <c r="AD868" s="359"/>
      <c r="AE868" s="359"/>
      <c r="AF868" s="359"/>
      <c r="AG868" s="359"/>
      <c r="IK868" s="3303"/>
      <c r="IL868" s="3303"/>
      <c r="JB868" s="3303"/>
    </row>
    <row r="869" spans="1:263" ht="12" customHeight="1">
      <c r="A869" s="3303"/>
      <c r="B869" s="3303" t="s">
        <v>1132</v>
      </c>
      <c r="C869" s="3111"/>
      <c r="D869" s="3111"/>
      <c r="E869" s="3111"/>
      <c r="F869" s="3111"/>
      <c r="H869" s="3354"/>
      <c r="J869" s="3359"/>
      <c r="K869" s="3359"/>
      <c r="L869" s="3359"/>
      <c r="M869" s="3359"/>
      <c r="N869" s="3359"/>
      <c r="O869" s="3359"/>
      <c r="R869" s="3138" t="str">
        <f>B869</f>
        <v>Unit Square Footage:</v>
      </c>
      <c r="S869" s="3138"/>
      <c r="T869" s="3138"/>
      <c r="W869" s="3111"/>
      <c r="Z869" s="3111"/>
      <c r="AA869" s="358"/>
      <c r="AB869" s="3111"/>
      <c r="AC869" s="3111"/>
      <c r="AD869" s="3111"/>
      <c r="AE869" s="3111"/>
      <c r="AF869" s="3111"/>
      <c r="AG869" s="3111"/>
      <c r="AI869" s="3111"/>
      <c r="GT869" s="3306"/>
      <c r="GY869" s="3306"/>
      <c r="GZ869" s="3306"/>
      <c r="HA869" s="3306"/>
      <c r="HB869" s="3306"/>
      <c r="HC869" s="3306"/>
      <c r="HD869" s="3306"/>
      <c r="HE869" s="3306"/>
      <c r="HF869" s="3306"/>
      <c r="HG869" s="3306"/>
      <c r="HH869" s="3306"/>
      <c r="HI869" s="3306"/>
      <c r="HJ869" s="3306"/>
      <c r="HK869" s="3306"/>
      <c r="HL869" s="3306"/>
      <c r="HM869" s="3306"/>
      <c r="HN869" s="3306"/>
      <c r="HO869" s="3306"/>
      <c r="HP869" s="3306"/>
      <c r="HQ869" s="3306"/>
      <c r="HR869" s="3306"/>
      <c r="HS869" s="3306"/>
      <c r="HT869" s="3306"/>
      <c r="HU869" s="3306"/>
      <c r="HV869" s="3306"/>
      <c r="HW869" s="3306"/>
      <c r="HX869" s="3306"/>
      <c r="HY869" s="3306"/>
      <c r="HZ869" s="3306"/>
      <c r="IA869" s="3306"/>
      <c r="IB869" s="3306"/>
      <c r="IC869" s="3306"/>
      <c r="ID869" s="3306"/>
      <c r="IK869" s="3303"/>
      <c r="IL869" s="3303"/>
      <c r="JB869" s="3303"/>
    </row>
    <row r="870" spans="1:263" ht="12" customHeight="1">
      <c r="C870" s="3111" t="s">
        <v>1133</v>
      </c>
      <c r="D870" s="3111"/>
      <c r="E870" s="3111"/>
      <c r="F870" s="3111"/>
      <c r="H870" s="3354" t="s">
        <v>1088</v>
      </c>
      <c r="J870" s="3360">
        <f>BZ805</f>
        <v>0</v>
      </c>
      <c r="K870" s="3360">
        <f>CA805</f>
        <v>7524</v>
      </c>
      <c r="L870" s="3360">
        <f>CB805</f>
        <v>22990</v>
      </c>
      <c r="M870" s="3360">
        <f>CC805</f>
        <v>20774</v>
      </c>
      <c r="N870" s="3360">
        <f>CD805</f>
        <v>0</v>
      </c>
      <c r="O870" s="3360">
        <f t="shared" ref="O870:O876" si="272">SUM(J870:N870)</f>
        <v>51288</v>
      </c>
      <c r="R870" s="3257"/>
      <c r="S870" s="3257"/>
      <c r="T870" s="3257"/>
      <c r="U870" s="3257"/>
      <c r="V870" s="3257"/>
      <c r="W870" s="3111"/>
      <c r="Z870" s="3111"/>
      <c r="AA870" s="358"/>
      <c r="AB870" s="359"/>
      <c r="AC870" s="359"/>
      <c r="AD870" s="359"/>
      <c r="AE870" s="359"/>
      <c r="AF870" s="359"/>
      <c r="AG870" s="359"/>
      <c r="AI870" s="3111"/>
      <c r="GT870" s="3306"/>
      <c r="GY870" s="3306"/>
      <c r="GZ870" s="3306"/>
      <c r="HA870" s="3306"/>
      <c r="HB870" s="3306"/>
      <c r="HC870" s="3306"/>
      <c r="HD870" s="3306"/>
      <c r="HE870" s="3306"/>
      <c r="HF870" s="3306"/>
      <c r="HG870" s="3306"/>
      <c r="HH870" s="3306"/>
      <c r="HI870" s="3306"/>
      <c r="HJ870" s="3306"/>
      <c r="HK870" s="3306"/>
      <c r="HL870" s="3306"/>
      <c r="HM870" s="3306"/>
      <c r="HN870" s="3306"/>
      <c r="HO870" s="3306"/>
      <c r="HP870" s="3306"/>
      <c r="HQ870" s="3306"/>
      <c r="HR870" s="3306"/>
      <c r="HS870" s="3306"/>
      <c r="HT870" s="3306"/>
      <c r="HU870" s="3306"/>
      <c r="HV870" s="3306"/>
      <c r="HW870" s="3306"/>
      <c r="HX870" s="3306"/>
      <c r="HY870" s="3306"/>
      <c r="HZ870" s="3306"/>
      <c r="IA870" s="3306"/>
      <c r="IB870" s="3306"/>
      <c r="IC870" s="3306"/>
      <c r="ID870" s="3306"/>
      <c r="IK870" s="3303"/>
      <c r="IL870" s="3303"/>
      <c r="JB870" s="3303"/>
    </row>
    <row r="871" spans="1:263" ht="12" customHeight="1">
      <c r="C871" s="3300"/>
      <c r="D871" s="3111"/>
      <c r="E871" s="3111"/>
      <c r="F871" s="3111"/>
      <c r="H871" s="3354" t="s">
        <v>1086</v>
      </c>
      <c r="J871" s="3360">
        <f>CE805</f>
        <v>0</v>
      </c>
      <c r="K871" s="3360">
        <f>CF805</f>
        <v>2508</v>
      </c>
      <c r="L871" s="3360">
        <f>CG805</f>
        <v>6270</v>
      </c>
      <c r="M871" s="3360">
        <f>CH805</f>
        <v>7332</v>
      </c>
      <c r="N871" s="3360">
        <f>CI805</f>
        <v>0</v>
      </c>
      <c r="O871" s="3360">
        <f t="shared" si="272"/>
        <v>16110</v>
      </c>
      <c r="R871" s="3257"/>
      <c r="S871" s="3257"/>
      <c r="T871" s="3257"/>
      <c r="U871" s="3257"/>
      <c r="V871" s="3257"/>
      <c r="W871" s="3300"/>
      <c r="Z871" s="3111"/>
      <c r="AA871" s="358"/>
      <c r="AB871" s="359"/>
      <c r="AC871" s="359"/>
      <c r="AD871" s="359"/>
      <c r="AE871" s="359"/>
      <c r="AF871" s="359"/>
      <c r="AG871" s="359"/>
      <c r="AH871" s="3111"/>
      <c r="AI871" s="3111"/>
      <c r="GT871" s="3306"/>
      <c r="GY871" s="3306"/>
      <c r="GZ871" s="3306"/>
      <c r="HA871" s="3306"/>
      <c r="HB871" s="3306"/>
      <c r="HC871" s="3306"/>
      <c r="HD871" s="3306"/>
      <c r="HE871" s="3306"/>
      <c r="HF871" s="3306"/>
      <c r="HG871" s="3306"/>
      <c r="HH871" s="3306"/>
      <c r="HI871" s="3306"/>
      <c r="HJ871" s="3306"/>
      <c r="HK871" s="3306"/>
      <c r="HL871" s="3306"/>
      <c r="HM871" s="3306"/>
      <c r="HN871" s="3306"/>
      <c r="HO871" s="3306"/>
      <c r="HP871" s="3306"/>
      <c r="HQ871" s="3306"/>
      <c r="HR871" s="3306"/>
      <c r="HS871" s="3306"/>
      <c r="HT871" s="3306"/>
      <c r="HU871" s="3306"/>
      <c r="HV871" s="3306"/>
      <c r="HW871" s="3306"/>
      <c r="HX871" s="3306"/>
      <c r="HY871" s="3306"/>
      <c r="HZ871" s="3306"/>
      <c r="IA871" s="3306"/>
      <c r="IB871" s="3306"/>
      <c r="IC871" s="3306"/>
      <c r="ID871" s="3306"/>
      <c r="IK871" s="3303"/>
      <c r="IL871" s="3303"/>
      <c r="JB871" s="3303"/>
    </row>
    <row r="872" spans="1:263" ht="12" customHeight="1">
      <c r="C872" s="3300"/>
      <c r="D872" s="3111"/>
      <c r="E872" s="3111"/>
      <c r="F872" s="3111"/>
      <c r="H872" s="3354" t="s">
        <v>478</v>
      </c>
      <c r="J872" s="3360">
        <f>SUM(J870:J871)</f>
        <v>0</v>
      </c>
      <c r="K872" s="3360">
        <f>SUM(K870:K871)</f>
        <v>10032</v>
      </c>
      <c r="L872" s="3360">
        <f>SUM(L870:L871)</f>
        <v>29260</v>
      </c>
      <c r="M872" s="3360">
        <f>SUM(M870:M871)</f>
        <v>28106</v>
      </c>
      <c r="N872" s="3360">
        <f>SUM(N870:N871)</f>
        <v>0</v>
      </c>
      <c r="O872" s="3360">
        <f t="shared" si="272"/>
        <v>67398</v>
      </c>
      <c r="R872" s="3257"/>
      <c r="S872" s="3257"/>
      <c r="T872" s="3257"/>
      <c r="U872" s="3257"/>
      <c r="V872" s="3257"/>
      <c r="W872" s="3300"/>
      <c r="Z872" s="3111"/>
      <c r="AA872" s="358"/>
      <c r="AB872" s="359"/>
      <c r="AC872" s="359"/>
      <c r="AD872" s="359"/>
      <c r="AE872" s="359"/>
      <c r="AF872" s="359"/>
      <c r="AG872" s="359"/>
      <c r="AH872" s="3111"/>
      <c r="AI872" s="3111"/>
      <c r="GT872" s="3306"/>
      <c r="GY872" s="3306"/>
      <c r="GZ872" s="3306"/>
      <c r="HA872" s="3306"/>
      <c r="HB872" s="3306"/>
      <c r="HC872" s="3306"/>
      <c r="HD872" s="3306"/>
      <c r="HE872" s="3306"/>
      <c r="HF872" s="3306"/>
      <c r="HG872" s="3306"/>
      <c r="HH872" s="3306"/>
      <c r="HI872" s="3306"/>
      <c r="HJ872" s="3306"/>
      <c r="HK872" s="3306"/>
      <c r="HL872" s="3306"/>
      <c r="HM872" s="3306"/>
      <c r="HN872" s="3306"/>
      <c r="HO872" s="3306"/>
      <c r="HP872" s="3306"/>
      <c r="HQ872" s="3306"/>
      <c r="HR872" s="3306"/>
      <c r="HS872" s="3306"/>
      <c r="HT872" s="3306"/>
      <c r="HU872" s="3306"/>
      <c r="HV872" s="3306"/>
      <c r="HW872" s="3306"/>
      <c r="HX872" s="3306"/>
      <c r="HY872" s="3306"/>
      <c r="HZ872" s="3306"/>
      <c r="IA872" s="3306"/>
      <c r="IB872" s="3306"/>
      <c r="IC872" s="3306"/>
      <c r="ID872" s="3306"/>
      <c r="IK872" s="3303"/>
      <c r="IL872" s="3303"/>
      <c r="JB872" s="3303"/>
    </row>
    <row r="873" spans="1:263" ht="12" customHeight="1">
      <c r="C873" s="3111" t="s">
        <v>1104</v>
      </c>
      <c r="D873" s="3111"/>
      <c r="E873" s="3111"/>
      <c r="F873" s="3111"/>
      <c r="G873" s="3111"/>
      <c r="J873" s="3360">
        <f>CO805</f>
        <v>0</v>
      </c>
      <c r="K873" s="3360">
        <f>CP805</f>
        <v>0</v>
      </c>
      <c r="L873" s="3360">
        <f>CQ805</f>
        <v>4180</v>
      </c>
      <c r="M873" s="3360">
        <f>CR805</f>
        <v>6110</v>
      </c>
      <c r="N873" s="3360">
        <f>CS805</f>
        <v>0</v>
      </c>
      <c r="O873" s="3360">
        <f t="shared" si="272"/>
        <v>10290</v>
      </c>
      <c r="R873" s="3257"/>
      <c r="S873" s="3257"/>
      <c r="T873" s="3257"/>
      <c r="U873" s="3257"/>
      <c r="V873" s="3257"/>
      <c r="W873" s="3111"/>
      <c r="Z873" s="3111"/>
      <c r="AA873" s="3111"/>
      <c r="AB873" s="359"/>
      <c r="AC873" s="359"/>
      <c r="AD873" s="359"/>
      <c r="AE873" s="359"/>
      <c r="AF873" s="359"/>
      <c r="AG873" s="359"/>
      <c r="AI873" s="3111"/>
      <c r="GT873" s="3306"/>
      <c r="GY873" s="3306"/>
      <c r="GZ873" s="3306"/>
      <c r="HA873" s="3306"/>
      <c r="HB873" s="3306"/>
      <c r="HC873" s="3306"/>
      <c r="HD873" s="3306"/>
      <c r="HE873" s="3306"/>
      <c r="HF873" s="3306"/>
      <c r="HG873" s="3306"/>
      <c r="HH873" s="3306"/>
      <c r="HI873" s="3306"/>
      <c r="HJ873" s="3306"/>
      <c r="HK873" s="3306"/>
      <c r="HL873" s="3306"/>
      <c r="HM873" s="3306"/>
      <c r="HN873" s="3306"/>
      <c r="HO873" s="3306"/>
      <c r="HP873" s="3306"/>
      <c r="HQ873" s="3306"/>
      <c r="HR873" s="3306"/>
      <c r="HS873" s="3306"/>
      <c r="HT873" s="3306"/>
      <c r="HU873" s="3306"/>
      <c r="HV873" s="3306"/>
      <c r="HW873" s="3306"/>
      <c r="HX873" s="3306"/>
      <c r="HY873" s="3306"/>
      <c r="HZ873" s="3306"/>
      <c r="IA873" s="3306"/>
      <c r="IB873" s="3306"/>
      <c r="IC873" s="3306"/>
      <c r="ID873" s="3306"/>
      <c r="IK873" s="3303"/>
      <c r="IL873" s="3303"/>
      <c r="JB873" s="3303"/>
    </row>
    <row r="874" spans="1:263" ht="12" customHeight="1">
      <c r="C874" s="3111" t="s">
        <v>1105</v>
      </c>
      <c r="D874" s="3111"/>
      <c r="E874" s="3111"/>
      <c r="F874" s="3111"/>
      <c r="G874" s="3111"/>
      <c r="J874" s="3360">
        <f>SUM(J872:J873)</f>
        <v>0</v>
      </c>
      <c r="K874" s="3360">
        <f>SUM(K872:K873)</f>
        <v>10032</v>
      </c>
      <c r="L874" s="3360">
        <f>SUM(L872:L873)</f>
        <v>33440</v>
      </c>
      <c r="M874" s="3360">
        <f>SUM(M872:M873)</f>
        <v>34216</v>
      </c>
      <c r="N874" s="3360">
        <f>SUM(N872:N873)</f>
        <v>0</v>
      </c>
      <c r="O874" s="3360">
        <f t="shared" si="272"/>
        <v>77688</v>
      </c>
      <c r="R874" s="3257"/>
      <c r="S874" s="3257"/>
      <c r="T874" s="3257"/>
      <c r="U874" s="3257"/>
      <c r="V874" s="3257"/>
      <c r="W874" s="3111"/>
      <c r="Z874" s="3111"/>
      <c r="AA874" s="3111"/>
      <c r="AB874" s="359"/>
      <c r="AC874" s="359"/>
      <c r="AD874" s="359"/>
      <c r="AE874" s="359"/>
      <c r="AF874" s="359"/>
      <c r="AG874" s="359"/>
      <c r="AI874" s="3111"/>
      <c r="GT874" s="3306"/>
      <c r="GY874" s="3306"/>
      <c r="GZ874" s="3306"/>
      <c r="HA874" s="3306"/>
      <c r="HB874" s="3306"/>
      <c r="HC874" s="3306"/>
      <c r="HD874" s="3306"/>
      <c r="HE874" s="3306"/>
      <c r="HF874" s="3306"/>
      <c r="HG874" s="3306"/>
      <c r="HH874" s="3306"/>
      <c r="HI874" s="3306"/>
      <c r="HJ874" s="3306"/>
      <c r="HK874" s="3306"/>
      <c r="HL874" s="3306"/>
      <c r="HM874" s="3306"/>
      <c r="HN874" s="3306"/>
      <c r="HO874" s="3306"/>
      <c r="HP874" s="3306"/>
      <c r="HQ874" s="3306"/>
      <c r="HR874" s="3306"/>
      <c r="HS874" s="3306"/>
      <c r="HT874" s="3306"/>
      <c r="HU874" s="3306"/>
      <c r="HV874" s="3306"/>
      <c r="HW874" s="3306"/>
      <c r="HX874" s="3306"/>
      <c r="HY874" s="3306"/>
      <c r="HZ874" s="3306"/>
      <c r="IA874" s="3306"/>
      <c r="IB874" s="3306"/>
      <c r="IC874" s="3306"/>
      <c r="ID874" s="3306"/>
      <c r="IK874" s="3303"/>
      <c r="IL874" s="3303"/>
      <c r="JB874" s="3303"/>
    </row>
    <row r="875" spans="1:263" ht="12" customHeight="1">
      <c r="C875" s="3111" t="s">
        <v>1090</v>
      </c>
      <c r="D875" s="3111"/>
      <c r="E875" s="3111"/>
      <c r="F875" s="3111"/>
      <c r="G875" s="3111"/>
      <c r="J875" s="3360">
        <f>CY805</f>
        <v>0</v>
      </c>
      <c r="K875" s="3360">
        <f>CZ805</f>
        <v>0</v>
      </c>
      <c r="L875" s="3360">
        <f>DA805</f>
        <v>0</v>
      </c>
      <c r="M875" s="3360">
        <f>DB805</f>
        <v>2444</v>
      </c>
      <c r="N875" s="3360">
        <f>DC805</f>
        <v>0</v>
      </c>
      <c r="O875" s="3360">
        <f t="shared" si="272"/>
        <v>2444</v>
      </c>
      <c r="R875" s="3257"/>
      <c r="S875" s="3257"/>
      <c r="T875" s="3257"/>
      <c r="U875" s="3257"/>
      <c r="V875" s="3257"/>
      <c r="W875" s="3111"/>
      <c r="Z875" s="3111"/>
      <c r="AA875" s="3111"/>
      <c r="AB875" s="359"/>
      <c r="AC875" s="359"/>
      <c r="AD875" s="359"/>
      <c r="AE875" s="359"/>
      <c r="AF875" s="359"/>
      <c r="AG875" s="359"/>
      <c r="AI875" s="3111"/>
      <c r="GT875" s="3306"/>
      <c r="GY875" s="3306"/>
      <c r="GZ875" s="3306"/>
      <c r="HA875" s="3306"/>
      <c r="HB875" s="3306"/>
      <c r="HC875" s="3306"/>
      <c r="HD875" s="3306"/>
      <c r="HE875" s="3306"/>
      <c r="HF875" s="3306"/>
      <c r="HG875" s="3306"/>
      <c r="HH875" s="3306"/>
      <c r="HI875" s="3306"/>
      <c r="HJ875" s="3306"/>
      <c r="HK875" s="3306"/>
      <c r="HL875" s="3306"/>
      <c r="HM875" s="3306"/>
      <c r="HN875" s="3306"/>
      <c r="HO875" s="3306"/>
      <c r="HP875" s="3306"/>
      <c r="HQ875" s="3306"/>
      <c r="HR875" s="3306"/>
      <c r="HS875" s="3306"/>
      <c r="HT875" s="3306"/>
      <c r="HU875" s="3306"/>
      <c r="HV875" s="3306"/>
      <c r="HW875" s="3306"/>
      <c r="HX875" s="3306"/>
      <c r="HY875" s="3306"/>
      <c r="HZ875" s="3306"/>
      <c r="IA875" s="3306"/>
      <c r="IB875" s="3306"/>
      <c r="IC875" s="3306"/>
      <c r="ID875" s="3306"/>
      <c r="IK875" s="3303"/>
      <c r="IL875" s="3303"/>
      <c r="JB875" s="3303"/>
    </row>
    <row r="876" spans="1:263" ht="12" customHeight="1">
      <c r="C876" s="3111" t="s">
        <v>478</v>
      </c>
      <c r="D876" s="3111"/>
      <c r="E876" s="3111"/>
      <c r="F876" s="3111"/>
      <c r="G876" s="3111"/>
      <c r="J876" s="3360">
        <f>SUM(J874:J875)</f>
        <v>0</v>
      </c>
      <c r="K876" s="3360">
        <f>SUM(K874:K875)</f>
        <v>10032</v>
      </c>
      <c r="L876" s="3360">
        <f>SUM(L874:L875)</f>
        <v>33440</v>
      </c>
      <c r="M876" s="3360">
        <f>SUM(M874:M875)</f>
        <v>36660</v>
      </c>
      <c r="N876" s="3360">
        <f>SUM(N874:N875)</f>
        <v>0</v>
      </c>
      <c r="O876" s="3360">
        <f t="shared" si="272"/>
        <v>80132</v>
      </c>
      <c r="R876" s="3257"/>
      <c r="S876" s="3257"/>
      <c r="T876" s="3257"/>
      <c r="U876" s="3257"/>
      <c r="V876" s="3257"/>
      <c r="W876" s="3111"/>
      <c r="Z876" s="3111"/>
      <c r="AA876" s="3111"/>
      <c r="AB876" s="359"/>
      <c r="AC876" s="359"/>
      <c r="AD876" s="359"/>
      <c r="AE876" s="359"/>
      <c r="AF876" s="359"/>
      <c r="AG876" s="359"/>
      <c r="AI876" s="3111"/>
      <c r="GT876" s="3306"/>
      <c r="GY876" s="3306"/>
      <c r="GZ876" s="3306"/>
      <c r="HA876" s="3306"/>
      <c r="HB876" s="3306"/>
      <c r="HC876" s="3306"/>
      <c r="HD876" s="3306"/>
      <c r="HE876" s="3306"/>
      <c r="HF876" s="3306"/>
      <c r="HG876" s="3306"/>
      <c r="HH876" s="3306"/>
      <c r="HI876" s="3306"/>
      <c r="HJ876" s="3306"/>
      <c r="HK876" s="3306"/>
      <c r="HL876" s="3306"/>
      <c r="HM876" s="3306"/>
      <c r="HN876" s="3306"/>
      <c r="HO876" s="3306"/>
      <c r="HP876" s="3306"/>
      <c r="HQ876" s="3306"/>
      <c r="HR876" s="3306"/>
      <c r="HS876" s="3306"/>
      <c r="HT876" s="3306"/>
      <c r="HU876" s="3306"/>
      <c r="HV876" s="3306"/>
      <c r="HW876" s="3306"/>
      <c r="HX876" s="3306"/>
      <c r="HY876" s="3306"/>
      <c r="HZ876" s="3306"/>
      <c r="IA876" s="3306"/>
      <c r="IB876" s="3306"/>
      <c r="IC876" s="3306"/>
      <c r="ID876" s="3306"/>
      <c r="IK876" s="3303"/>
      <c r="IL876" s="3303"/>
      <c r="JB876" s="3303"/>
    </row>
    <row r="877" spans="1:263" ht="13.9" customHeight="1">
      <c r="A877" s="3303" t="s">
        <v>31</v>
      </c>
      <c r="B877" s="3303" t="s">
        <v>4783</v>
      </c>
      <c r="R877" s="3303" t="s">
        <v>851</v>
      </c>
      <c r="T877" s="3111"/>
      <c r="GZ877" s="3306"/>
      <c r="HA877" s="3306"/>
      <c r="HB877" s="3306"/>
      <c r="HC877" s="3306"/>
      <c r="HD877" s="3306"/>
      <c r="HE877" s="3306"/>
      <c r="HF877" s="3306"/>
      <c r="HG877" s="3306"/>
      <c r="HH877" s="3306"/>
      <c r="HI877" s="3306"/>
      <c r="HJ877" s="3306"/>
      <c r="HK877" s="3306"/>
      <c r="HL877" s="3306"/>
      <c r="HM877" s="3306"/>
      <c r="HN877" s="3306"/>
      <c r="HO877" s="3306"/>
      <c r="HP877" s="3306"/>
      <c r="HQ877" s="3306"/>
      <c r="HR877" s="3306"/>
      <c r="HS877" s="3306"/>
      <c r="HT877" s="3306"/>
      <c r="HU877" s="3306"/>
      <c r="HV877" s="3306"/>
      <c r="HW877" s="3306"/>
      <c r="HX877" s="3306"/>
      <c r="HY877" s="3306"/>
      <c r="HZ877" s="3306"/>
      <c r="IA877" s="3306"/>
      <c r="IB877" s="3306"/>
      <c r="IC877" s="3306"/>
      <c r="ID877" s="3306"/>
      <c r="IE877" s="3306"/>
      <c r="IL877" s="3303"/>
      <c r="JB877" s="3303"/>
      <c r="JC877" s="3303"/>
    </row>
    <row r="878" spans="1:263" ht="2.25" customHeight="1">
      <c r="P878" s="3111"/>
      <c r="Q878" s="3111"/>
      <c r="GT878" s="3306"/>
      <c r="GY878" s="3306"/>
      <c r="GZ878" s="3306"/>
      <c r="HA878" s="3306"/>
      <c r="HB878" s="3306"/>
      <c r="HC878" s="3306"/>
      <c r="HD878" s="3306"/>
      <c r="HE878" s="3306"/>
      <c r="HF878" s="3306"/>
      <c r="HG878" s="3306"/>
      <c r="HH878" s="3306"/>
      <c r="HI878" s="3306"/>
      <c r="HJ878" s="3306"/>
      <c r="HK878" s="3306"/>
      <c r="HL878" s="3306"/>
      <c r="HM878" s="3306"/>
      <c r="HN878" s="3306"/>
      <c r="HO878" s="3306"/>
      <c r="HP878" s="3306"/>
      <c r="HQ878" s="3306"/>
      <c r="HR878" s="3306"/>
      <c r="HS878" s="3306"/>
      <c r="HT878" s="3306"/>
      <c r="HU878" s="3306"/>
      <c r="HV878" s="3306"/>
      <c r="HW878" s="3306"/>
      <c r="HX878" s="3306"/>
      <c r="HY878" s="3306"/>
      <c r="HZ878" s="3306"/>
      <c r="IA878" s="3306"/>
      <c r="IB878" s="3306"/>
      <c r="IC878" s="3306"/>
      <c r="ID878" s="3306"/>
      <c r="IK878" s="3303"/>
      <c r="JA878" s="3303"/>
      <c r="JB878" s="3303"/>
    </row>
    <row r="879" spans="1:263" ht="11.25" customHeight="1">
      <c r="B879" s="3361" t="s">
        <v>1135</v>
      </c>
      <c r="C879" s="1087"/>
      <c r="D879" s="3312"/>
      <c r="E879" s="1087"/>
      <c r="F879" s="1087"/>
      <c r="G879" s="1087"/>
      <c r="H879" s="3362">
        <f>'Part VI-Revenues &amp; Expenses'!H122</f>
        <v>12817.68</v>
      </c>
      <c r="I879" s="3362">
        <f>'Part VI-Revenues &amp; Expenses'!I122</f>
        <v>0</v>
      </c>
      <c r="J879" s="1087"/>
      <c r="K879" s="3363" t="s">
        <v>4784</v>
      </c>
      <c r="L879" s="1087"/>
      <c r="M879" s="1087"/>
      <c r="N879" s="1087"/>
      <c r="O879" s="3364">
        <f>H879/L806</f>
        <v>0.02</v>
      </c>
      <c r="P879" s="3312"/>
      <c r="Q879" s="3312"/>
      <c r="R879" s="3300" t="str">
        <f>B879</f>
        <v>Ancillary Income</v>
      </c>
      <c r="GT879" s="3306"/>
      <c r="GY879" s="3306"/>
      <c r="GZ879" s="3306"/>
      <c r="HA879" s="3306"/>
      <c r="HB879" s="3306"/>
      <c r="HC879" s="3306"/>
      <c r="HD879" s="3306"/>
      <c r="HE879" s="3306"/>
      <c r="HF879" s="3306"/>
      <c r="HG879" s="3306"/>
      <c r="HH879" s="3306"/>
      <c r="HI879" s="3306"/>
      <c r="HJ879" s="3306"/>
      <c r="HK879" s="3306"/>
      <c r="HL879" s="3306"/>
      <c r="HM879" s="3306"/>
      <c r="HN879" s="3306"/>
      <c r="HO879" s="3306"/>
      <c r="HP879" s="3306"/>
      <c r="HQ879" s="3306"/>
      <c r="HR879" s="3306"/>
      <c r="HS879" s="3306"/>
      <c r="HT879" s="3306"/>
      <c r="HU879" s="3306"/>
      <c r="HV879" s="3306"/>
      <c r="HW879" s="3306"/>
      <c r="HX879" s="3306"/>
      <c r="HY879" s="3306"/>
      <c r="HZ879" s="3306"/>
      <c r="IA879" s="3306"/>
      <c r="IB879" s="3306"/>
      <c r="IC879" s="3306"/>
      <c r="ID879" s="3306"/>
      <c r="IK879" s="3303"/>
      <c r="JA879" s="3303"/>
      <c r="JB879" s="3303"/>
    </row>
    <row r="880" spans="1:263" ht="2.25" customHeight="1">
      <c r="B880" s="3361"/>
      <c r="C880" s="1087"/>
      <c r="D880" s="3312"/>
      <c r="E880" s="3124"/>
      <c r="F880" s="1087"/>
      <c r="G880" s="1087"/>
      <c r="H880" s="1087"/>
      <c r="I880" s="3365"/>
      <c r="J880" s="1087"/>
      <c r="K880" s="1087"/>
      <c r="L880" s="1087"/>
      <c r="M880" s="1087"/>
      <c r="N880" s="1087"/>
      <c r="O880" s="1087"/>
      <c r="P880" s="3312"/>
      <c r="Q880" s="3312"/>
      <c r="GT880" s="3306"/>
      <c r="GY880" s="3306"/>
      <c r="GZ880" s="3306"/>
      <c r="HA880" s="3306"/>
      <c r="HB880" s="3306"/>
      <c r="HC880" s="3306"/>
      <c r="HD880" s="3306"/>
      <c r="HE880" s="3306"/>
      <c r="HF880" s="3306"/>
      <c r="HG880" s="3306"/>
      <c r="HH880" s="3306"/>
      <c r="HI880" s="3306"/>
      <c r="HJ880" s="3306"/>
      <c r="HK880" s="3306"/>
      <c r="HL880" s="3306"/>
      <c r="HM880" s="3306"/>
      <c r="HN880" s="3306"/>
      <c r="HO880" s="3306"/>
      <c r="HP880" s="3306"/>
      <c r="HQ880" s="3306"/>
      <c r="HR880" s="3306"/>
      <c r="HS880" s="3306"/>
      <c r="HT880" s="3306"/>
      <c r="HU880" s="3306"/>
      <c r="HV880" s="3306"/>
      <c r="HW880" s="3306"/>
      <c r="HX880" s="3306"/>
      <c r="HY880" s="3306"/>
      <c r="HZ880" s="3306"/>
      <c r="IA880" s="3306"/>
      <c r="IB880" s="3306"/>
      <c r="IC880" s="3306"/>
      <c r="ID880" s="3306"/>
      <c r="IK880" s="3303"/>
      <c r="JA880" s="3303"/>
      <c r="JB880" s="3303"/>
    </row>
    <row r="881" spans="2:262" ht="11.25" customHeight="1">
      <c r="B881" s="3361" t="s">
        <v>1137</v>
      </c>
      <c r="C881" s="1087"/>
      <c r="D881" s="1087"/>
      <c r="E881" s="1087"/>
      <c r="F881" s="1087"/>
      <c r="G881" s="1087"/>
      <c r="H881" s="1087"/>
      <c r="I881" s="3361"/>
      <c r="J881" s="1087"/>
      <c r="K881" s="3366"/>
      <c r="L881" s="1087"/>
      <c r="M881" s="1087"/>
      <c r="N881" s="1087"/>
      <c r="O881" s="1087"/>
      <c r="P881" s="1087"/>
      <c r="R881" s="3319" t="str">
        <f>B881</f>
        <v>Other Income (OI) by Year:</v>
      </c>
      <c r="GT881" s="3306"/>
      <c r="GY881" s="3306"/>
      <c r="GZ881" s="3306"/>
      <c r="HA881" s="3306"/>
      <c r="HB881" s="3306"/>
      <c r="HC881" s="3306"/>
      <c r="HD881" s="3306"/>
      <c r="HE881" s="3306"/>
      <c r="HF881" s="3306"/>
      <c r="HG881" s="3306"/>
      <c r="HH881" s="3306"/>
      <c r="HI881" s="3306"/>
      <c r="HJ881" s="3306"/>
      <c r="HK881" s="3306"/>
      <c r="HL881" s="3306"/>
      <c r="HM881" s="3306"/>
      <c r="HN881" s="3306"/>
      <c r="HO881" s="3306"/>
      <c r="HP881" s="3306"/>
      <c r="HQ881" s="3306"/>
      <c r="HR881" s="3306"/>
      <c r="HS881" s="3306"/>
      <c r="HT881" s="3306"/>
      <c r="HU881" s="3306"/>
      <c r="HV881" s="3306"/>
      <c r="HW881" s="3306"/>
      <c r="HX881" s="3306"/>
      <c r="HY881" s="3306"/>
      <c r="HZ881" s="3306"/>
      <c r="IA881" s="3306"/>
      <c r="IB881" s="3306"/>
      <c r="IC881" s="3306"/>
      <c r="ID881" s="3306"/>
      <c r="IK881" s="3303"/>
      <c r="JA881" s="3303"/>
      <c r="JB881" s="3303"/>
    </row>
    <row r="882" spans="2:262" ht="11.25" customHeight="1">
      <c r="B882" s="3367" t="s">
        <v>1138</v>
      </c>
      <c r="C882" s="1087"/>
      <c r="D882" s="1087"/>
      <c r="E882" s="1087"/>
      <c r="F882" s="1087"/>
      <c r="G882" s="3368">
        <v>1</v>
      </c>
      <c r="H882" s="3368">
        <v>2</v>
      </c>
      <c r="I882" s="3368">
        <v>3</v>
      </c>
      <c r="J882" s="3368">
        <v>4</v>
      </c>
      <c r="K882" s="3368">
        <v>5</v>
      </c>
      <c r="L882" s="3368">
        <v>6</v>
      </c>
      <c r="M882" s="3368">
        <v>7</v>
      </c>
      <c r="N882" s="3368">
        <v>8</v>
      </c>
      <c r="O882" s="3368">
        <v>9</v>
      </c>
      <c r="P882" s="3368">
        <v>10</v>
      </c>
      <c r="Q882" s="3369"/>
      <c r="R882" s="3111" t="str">
        <f>B882</f>
        <v>Included in Mgt Fee:</v>
      </c>
      <c r="GT882" s="3306"/>
      <c r="GY882" s="3306"/>
      <c r="GZ882" s="3306"/>
      <c r="HA882" s="3306"/>
      <c r="HB882" s="3306"/>
      <c r="HC882" s="3306"/>
      <c r="HD882" s="3306"/>
      <c r="HE882" s="3306"/>
      <c r="HF882" s="3306"/>
      <c r="HG882" s="3306"/>
      <c r="HH882" s="3306"/>
      <c r="HI882" s="3306"/>
      <c r="HJ882" s="3306"/>
      <c r="HK882" s="3306"/>
      <c r="HL882" s="3306"/>
      <c r="HM882" s="3306"/>
      <c r="HN882" s="3306"/>
      <c r="HO882" s="3306"/>
      <c r="HP882" s="3306"/>
      <c r="HQ882" s="3306"/>
      <c r="HR882" s="3306"/>
      <c r="HS882" s="3306"/>
      <c r="HT882" s="3306"/>
      <c r="HU882" s="3306"/>
      <c r="HV882" s="3306"/>
      <c r="HW882" s="3306"/>
      <c r="HX882" s="3306"/>
      <c r="HY882" s="3306"/>
      <c r="HZ882" s="3306"/>
      <c r="IA882" s="3306"/>
      <c r="IB882" s="3306"/>
      <c r="IC882" s="3306"/>
      <c r="ID882" s="3306"/>
      <c r="IK882" s="3303"/>
      <c r="JA882" s="3303"/>
      <c r="JB882" s="3303"/>
    </row>
    <row r="883" spans="2:262" ht="11.25" customHeight="1">
      <c r="B883" s="3312" t="s">
        <v>1139</v>
      </c>
      <c r="C883" s="3312"/>
      <c r="D883" s="3312"/>
      <c r="E883" s="3312"/>
      <c r="F883" s="3312"/>
      <c r="G883" s="3370">
        <f>'Part VI-Revenues &amp; Expenses'!G126</f>
        <v>0</v>
      </c>
      <c r="H883" s="3370">
        <f>'Part VI-Revenues &amp; Expenses'!H126</f>
        <v>0</v>
      </c>
      <c r="I883" s="3370">
        <f>'Part VI-Revenues &amp; Expenses'!I126</f>
        <v>0</v>
      </c>
      <c r="J883" s="3370">
        <f>'Part VI-Revenues &amp; Expenses'!J126</f>
        <v>0</v>
      </c>
      <c r="K883" s="3370">
        <f>'Part VI-Revenues &amp; Expenses'!K126</f>
        <v>0</v>
      </c>
      <c r="L883" s="3370">
        <f>'Part VI-Revenues &amp; Expenses'!L126</f>
        <v>0</v>
      </c>
      <c r="M883" s="3370">
        <f>'Part VI-Revenues &amp; Expenses'!M126</f>
        <v>0</v>
      </c>
      <c r="N883" s="3370">
        <f>'Part VI-Revenues &amp; Expenses'!N126</f>
        <v>0</v>
      </c>
      <c r="O883" s="3370">
        <f>'Part VI-Revenues &amp; Expenses'!O126</f>
        <v>0</v>
      </c>
      <c r="P883" s="3370">
        <f>'Part VI-Revenues &amp; Expenses'!P126</f>
        <v>0</v>
      </c>
      <c r="Q883" s="3371"/>
      <c r="R883" s="3257"/>
      <c r="S883" s="3257"/>
      <c r="T883" s="3257"/>
      <c r="U883" s="3257"/>
      <c r="V883" s="3257"/>
      <c r="GT883" s="3306"/>
      <c r="GY883" s="3306"/>
      <c r="GZ883" s="3306"/>
      <c r="HA883" s="3306"/>
      <c r="HB883" s="3306"/>
      <c r="HC883" s="3306"/>
      <c r="HD883" s="3306"/>
      <c r="HE883" s="3306"/>
      <c r="HF883" s="3306"/>
      <c r="HG883" s="3306"/>
      <c r="HH883" s="3306"/>
      <c r="HI883" s="3306"/>
      <c r="HJ883" s="3306"/>
      <c r="HK883" s="3306"/>
      <c r="HL883" s="3306"/>
      <c r="HM883" s="3306"/>
      <c r="HN883" s="3306"/>
      <c r="HO883" s="3306"/>
      <c r="HP883" s="3306"/>
      <c r="HQ883" s="3306"/>
      <c r="HR883" s="3306"/>
      <c r="HS883" s="3306"/>
      <c r="HT883" s="3306"/>
      <c r="HU883" s="3306"/>
      <c r="HV883" s="3306"/>
      <c r="HW883" s="3306"/>
      <c r="HX883" s="3306"/>
      <c r="HY883" s="3306"/>
      <c r="HZ883" s="3306"/>
      <c r="IA883" s="3306"/>
      <c r="IB883" s="3306"/>
      <c r="IC883" s="3306"/>
      <c r="ID883" s="3306"/>
      <c r="IK883" s="3303"/>
      <c r="JA883" s="3303"/>
      <c r="JB883" s="3303"/>
    </row>
    <row r="884" spans="2:262" ht="11.25" customHeight="1">
      <c r="B884" s="3312" t="s">
        <v>592</v>
      </c>
      <c r="C884" s="3312">
        <f>'Part VI-Revenues &amp; Expenses'!C127</f>
        <v>0</v>
      </c>
      <c r="D884" s="3312">
        <f>'Part VI-Revenues &amp; Expenses'!D127</f>
        <v>0</v>
      </c>
      <c r="E884" s="3312">
        <f>'Part VI-Revenues &amp; Expenses'!E127</f>
        <v>0</v>
      </c>
      <c r="F884" s="3312">
        <f>'Part VI-Revenues &amp; Expenses'!F127</f>
        <v>0</v>
      </c>
      <c r="G884" s="3370">
        <f>'Part VI-Revenues &amp; Expenses'!G127</f>
        <v>0</v>
      </c>
      <c r="H884" s="3370">
        <f>'Part VI-Revenues &amp; Expenses'!H127</f>
        <v>0</v>
      </c>
      <c r="I884" s="3370">
        <f>'Part VI-Revenues &amp; Expenses'!I127</f>
        <v>0</v>
      </c>
      <c r="J884" s="3370">
        <f>'Part VI-Revenues &amp; Expenses'!J127</f>
        <v>0</v>
      </c>
      <c r="K884" s="3370">
        <f>'Part VI-Revenues &amp; Expenses'!K127</f>
        <v>0</v>
      </c>
      <c r="L884" s="3370">
        <f>'Part VI-Revenues &amp; Expenses'!L127</f>
        <v>0</v>
      </c>
      <c r="M884" s="3370">
        <f>'Part VI-Revenues &amp; Expenses'!M127</f>
        <v>0</v>
      </c>
      <c r="N884" s="3370">
        <f>'Part VI-Revenues &amp; Expenses'!N127</f>
        <v>0</v>
      </c>
      <c r="O884" s="3370">
        <f>'Part VI-Revenues &amp; Expenses'!O127</f>
        <v>0</v>
      </c>
      <c r="P884" s="3370">
        <f>'Part VI-Revenues &amp; Expenses'!P127</f>
        <v>0</v>
      </c>
      <c r="Q884" s="3371"/>
      <c r="R884" s="3257"/>
      <c r="S884" s="3257"/>
      <c r="T884" s="3257"/>
      <c r="U884" s="3257"/>
      <c r="V884" s="3257"/>
      <c r="GT884" s="3306"/>
      <c r="GY884" s="3306"/>
      <c r="GZ884" s="3306"/>
      <c r="HA884" s="3306"/>
      <c r="HB884" s="3306"/>
      <c r="HC884" s="3306"/>
      <c r="HD884" s="3306"/>
      <c r="HE884" s="3306"/>
      <c r="HF884" s="3306"/>
      <c r="HG884" s="3306"/>
      <c r="HH884" s="3306"/>
      <c r="HI884" s="3306"/>
      <c r="HJ884" s="3306"/>
      <c r="HK884" s="3306"/>
      <c r="HL884" s="3306"/>
      <c r="HM884" s="3306"/>
      <c r="HN884" s="3306"/>
      <c r="HO884" s="3306"/>
      <c r="HP884" s="3306"/>
      <c r="HQ884" s="3306"/>
      <c r="HR884" s="3306"/>
      <c r="HS884" s="3306"/>
      <c r="HT884" s="3306"/>
      <c r="HU884" s="3306"/>
      <c r="HV884" s="3306"/>
      <c r="HW884" s="3306"/>
      <c r="HX884" s="3306"/>
      <c r="HY884" s="3306"/>
      <c r="HZ884" s="3306"/>
      <c r="IA884" s="3306"/>
      <c r="IB884" s="3306"/>
      <c r="IC884" s="3306"/>
      <c r="ID884" s="3306"/>
      <c r="IK884" s="3303"/>
      <c r="JA884" s="3303"/>
      <c r="JB884" s="3303"/>
    </row>
    <row r="885" spans="2:262" ht="11.25" customHeight="1">
      <c r="B885" s="3312"/>
      <c r="C885" s="3312" t="s">
        <v>1140</v>
      </c>
      <c r="D885" s="3312"/>
      <c r="E885" s="3312"/>
      <c r="F885" s="3312"/>
      <c r="G885" s="3372">
        <f t="shared" ref="G885:P885" si="273">SUM(G883:G884)</f>
        <v>0</v>
      </c>
      <c r="H885" s="3372">
        <f t="shared" si="273"/>
        <v>0</v>
      </c>
      <c r="I885" s="3372">
        <f t="shared" si="273"/>
        <v>0</v>
      </c>
      <c r="J885" s="3372">
        <f t="shared" si="273"/>
        <v>0</v>
      </c>
      <c r="K885" s="3372">
        <f t="shared" si="273"/>
        <v>0</v>
      </c>
      <c r="L885" s="3372">
        <f t="shared" si="273"/>
        <v>0</v>
      </c>
      <c r="M885" s="3372">
        <f t="shared" si="273"/>
        <v>0</v>
      </c>
      <c r="N885" s="3372">
        <f t="shared" si="273"/>
        <v>0</v>
      </c>
      <c r="O885" s="3372">
        <f t="shared" si="273"/>
        <v>0</v>
      </c>
      <c r="P885" s="3372">
        <f t="shared" si="273"/>
        <v>0</v>
      </c>
      <c r="Q885" s="359"/>
      <c r="R885" s="3257"/>
      <c r="S885" s="3257"/>
      <c r="T885" s="3257"/>
      <c r="U885" s="3257"/>
      <c r="V885" s="3257"/>
      <c r="GT885" s="3306"/>
      <c r="GY885" s="3306"/>
      <c r="GZ885" s="3306"/>
      <c r="HA885" s="3306"/>
      <c r="HB885" s="3306"/>
      <c r="HC885" s="3306"/>
      <c r="HD885" s="3306"/>
      <c r="HE885" s="3306"/>
      <c r="HF885" s="3306"/>
      <c r="HG885" s="3306"/>
      <c r="HH885" s="3306"/>
      <c r="HI885" s="3306"/>
      <c r="HJ885" s="3306"/>
      <c r="HK885" s="3306"/>
      <c r="HL885" s="3306"/>
      <c r="HM885" s="3306"/>
      <c r="HN885" s="3306"/>
      <c r="HO885" s="3306"/>
      <c r="HP885" s="3306"/>
      <c r="HQ885" s="3306"/>
      <c r="HR885" s="3306"/>
      <c r="HS885" s="3306"/>
      <c r="HT885" s="3306"/>
      <c r="HU885" s="3306"/>
      <c r="HV885" s="3306"/>
      <c r="HW885" s="3306"/>
      <c r="HX885" s="3306"/>
      <c r="HY885" s="3306"/>
      <c r="HZ885" s="3306"/>
      <c r="IA885" s="3306"/>
      <c r="IB885" s="3306"/>
      <c r="IC885" s="3306"/>
      <c r="ID885" s="3306"/>
      <c r="IK885" s="3303"/>
      <c r="JA885" s="3303"/>
      <c r="JB885" s="3303"/>
    </row>
    <row r="886" spans="2:262" ht="11.25" customHeight="1">
      <c r="B886" s="3367" t="s">
        <v>4785</v>
      </c>
      <c r="C886" s="1087"/>
      <c r="D886" s="1087"/>
      <c r="E886" s="1087"/>
      <c r="F886" s="1087"/>
      <c r="G886" s="3373"/>
      <c r="H886" s="1087"/>
      <c r="I886" s="1087"/>
      <c r="J886" s="1087"/>
      <c r="K886" s="1087"/>
      <c r="L886" s="1087"/>
      <c r="M886" s="1087"/>
      <c r="N886" s="1087"/>
      <c r="O886" s="1087"/>
      <c r="P886" s="1087"/>
      <c r="R886" s="3111" t="str">
        <f>B886</f>
        <v>NOT Included in Mgt Fee:</v>
      </c>
      <c r="GT886" s="3306"/>
      <c r="GY886" s="3306"/>
      <c r="GZ886" s="3306"/>
      <c r="HA886" s="3306"/>
      <c r="HB886" s="3306"/>
      <c r="HC886" s="3306"/>
      <c r="HD886" s="3306"/>
      <c r="HE886" s="3306"/>
      <c r="HF886" s="3306"/>
      <c r="HG886" s="3306"/>
      <c r="HH886" s="3306"/>
      <c r="HI886" s="3306"/>
      <c r="HJ886" s="3306"/>
      <c r="HK886" s="3306"/>
      <c r="HL886" s="3306"/>
      <c r="HM886" s="3306"/>
      <c r="HN886" s="3306"/>
      <c r="HO886" s="3306"/>
      <c r="HP886" s="3306"/>
      <c r="HQ886" s="3306"/>
      <c r="HR886" s="3306"/>
      <c r="HS886" s="3306"/>
      <c r="HT886" s="3306"/>
      <c r="HU886" s="3306"/>
      <c r="HV886" s="3306"/>
      <c r="HW886" s="3306"/>
      <c r="HX886" s="3306"/>
      <c r="HY886" s="3306"/>
      <c r="HZ886" s="3306"/>
      <c r="IA886" s="3306"/>
      <c r="IB886" s="3306"/>
      <c r="IC886" s="3306"/>
      <c r="ID886" s="3306"/>
      <c r="IK886" s="3303"/>
      <c r="JA886" s="3303"/>
      <c r="JB886" s="3303"/>
    </row>
    <row r="887" spans="2:262" ht="11.25" customHeight="1">
      <c r="B887" s="3312" t="s">
        <v>1142</v>
      </c>
      <c r="C887" s="3312"/>
      <c r="D887" s="3312"/>
      <c r="E887" s="3312"/>
      <c r="F887" s="3312"/>
      <c r="G887" s="3370">
        <f>'Part VI-Revenues &amp; Expenses'!G130</f>
        <v>0</v>
      </c>
      <c r="H887" s="3370">
        <f>'Part VI-Revenues &amp; Expenses'!H130</f>
        <v>0</v>
      </c>
      <c r="I887" s="3370">
        <f>'Part VI-Revenues &amp; Expenses'!I130</f>
        <v>0</v>
      </c>
      <c r="J887" s="3370">
        <f>'Part VI-Revenues &amp; Expenses'!J130</f>
        <v>0</v>
      </c>
      <c r="K887" s="3370">
        <f>'Part VI-Revenues &amp; Expenses'!K130</f>
        <v>0</v>
      </c>
      <c r="L887" s="3370">
        <f>'Part VI-Revenues &amp; Expenses'!L130</f>
        <v>0</v>
      </c>
      <c r="M887" s="3370">
        <f>'Part VI-Revenues &amp; Expenses'!M130</f>
        <v>0</v>
      </c>
      <c r="N887" s="3370">
        <f>'Part VI-Revenues &amp; Expenses'!N130</f>
        <v>0</v>
      </c>
      <c r="O887" s="3370">
        <f>'Part VI-Revenues &amp; Expenses'!O130</f>
        <v>0</v>
      </c>
      <c r="P887" s="3370">
        <f>'Part VI-Revenues &amp; Expenses'!P130</f>
        <v>0</v>
      </c>
      <c r="Q887" s="3371"/>
      <c r="R887" s="3257"/>
      <c r="S887" s="3257"/>
      <c r="T887" s="3257"/>
      <c r="U887" s="3257"/>
      <c r="V887" s="3257"/>
      <c r="GT887" s="3306"/>
      <c r="GY887" s="3306"/>
      <c r="GZ887" s="3306"/>
      <c r="HA887" s="3306"/>
      <c r="HB887" s="3306"/>
      <c r="HC887" s="3306"/>
      <c r="HD887" s="3306"/>
      <c r="HE887" s="3306"/>
      <c r="HF887" s="3306"/>
      <c r="HG887" s="3306"/>
      <c r="HH887" s="3306"/>
      <c r="HI887" s="3306"/>
      <c r="HJ887" s="3306"/>
      <c r="HK887" s="3306"/>
      <c r="HL887" s="3306"/>
      <c r="HM887" s="3306"/>
      <c r="HN887" s="3306"/>
      <c r="HO887" s="3306"/>
      <c r="HP887" s="3306"/>
      <c r="HQ887" s="3306"/>
      <c r="HR887" s="3306"/>
      <c r="HS887" s="3306"/>
      <c r="HT887" s="3306"/>
      <c r="HU887" s="3306"/>
      <c r="HV887" s="3306"/>
      <c r="HW887" s="3306"/>
      <c r="HX887" s="3306"/>
      <c r="HY887" s="3306"/>
      <c r="HZ887" s="3306"/>
      <c r="IA887" s="3306"/>
      <c r="IB887" s="3306"/>
      <c r="IC887" s="3306"/>
      <c r="ID887" s="3306"/>
      <c r="IK887" s="3303"/>
      <c r="JA887" s="3303"/>
      <c r="JB887" s="3303"/>
    </row>
    <row r="888" spans="2:262" ht="11.25" customHeight="1">
      <c r="B888" s="3312" t="s">
        <v>592</v>
      </c>
      <c r="C888" s="3312">
        <f>'Part VI-Revenues &amp; Expenses'!C131</f>
        <v>0</v>
      </c>
      <c r="D888" s="3312">
        <f>'Part VI-Revenues &amp; Expenses'!D131</f>
        <v>0</v>
      </c>
      <c r="E888" s="3312">
        <f>'Part VI-Revenues &amp; Expenses'!E131</f>
        <v>0</v>
      </c>
      <c r="F888" s="3312">
        <f>'Part VI-Revenues &amp; Expenses'!F131</f>
        <v>0</v>
      </c>
      <c r="G888" s="3370">
        <f>'Part VI-Revenues &amp; Expenses'!G131</f>
        <v>0</v>
      </c>
      <c r="H888" s="3370">
        <f>'Part VI-Revenues &amp; Expenses'!H131</f>
        <v>0</v>
      </c>
      <c r="I888" s="3370">
        <f>'Part VI-Revenues &amp; Expenses'!I131</f>
        <v>0</v>
      </c>
      <c r="J888" s="3370">
        <f>'Part VI-Revenues &amp; Expenses'!J131</f>
        <v>0</v>
      </c>
      <c r="K888" s="3370">
        <f>'Part VI-Revenues &amp; Expenses'!K131</f>
        <v>0</v>
      </c>
      <c r="L888" s="3370">
        <f>'Part VI-Revenues &amp; Expenses'!L131</f>
        <v>0</v>
      </c>
      <c r="M888" s="3370">
        <f>'Part VI-Revenues &amp; Expenses'!M131</f>
        <v>0</v>
      </c>
      <c r="N888" s="3370">
        <f>'Part VI-Revenues &amp; Expenses'!N131</f>
        <v>0</v>
      </c>
      <c r="O888" s="3370">
        <f>'Part VI-Revenues &amp; Expenses'!O131</f>
        <v>0</v>
      </c>
      <c r="P888" s="3370">
        <f>'Part VI-Revenues &amp; Expenses'!P131</f>
        <v>0</v>
      </c>
      <c r="Q888" s="3371"/>
      <c r="R888" s="3257"/>
      <c r="S888" s="3257"/>
      <c r="T888" s="3257"/>
      <c r="U888" s="3257"/>
      <c r="V888" s="3257"/>
      <c r="GT888" s="3306"/>
      <c r="GY888" s="3306"/>
      <c r="GZ888" s="3306"/>
      <c r="HA888" s="3306"/>
      <c r="HB888" s="3306"/>
      <c r="HC888" s="3306"/>
      <c r="HD888" s="3306"/>
      <c r="HE888" s="3306"/>
      <c r="HF888" s="3306"/>
      <c r="HG888" s="3306"/>
      <c r="HH888" s="3306"/>
      <c r="HI888" s="3306"/>
      <c r="HJ888" s="3306"/>
      <c r="HK888" s="3306"/>
      <c r="HL888" s="3306"/>
      <c r="HM888" s="3306"/>
      <c r="HN888" s="3306"/>
      <c r="HO888" s="3306"/>
      <c r="HP888" s="3306"/>
      <c r="HQ888" s="3306"/>
      <c r="HR888" s="3306"/>
      <c r="HS888" s="3306"/>
      <c r="HT888" s="3306"/>
      <c r="HU888" s="3306"/>
      <c r="HV888" s="3306"/>
      <c r="HW888" s="3306"/>
      <c r="HX888" s="3306"/>
      <c r="HY888" s="3306"/>
      <c r="HZ888" s="3306"/>
      <c r="IA888" s="3306"/>
      <c r="IB888" s="3306"/>
      <c r="IC888" s="3306"/>
      <c r="ID888" s="3306"/>
      <c r="IK888" s="3303"/>
      <c r="JA888" s="3303"/>
      <c r="JB888" s="3303"/>
    </row>
    <row r="889" spans="2:262" ht="11.25" customHeight="1">
      <c r="B889" s="3312"/>
      <c r="C889" s="3312" t="s">
        <v>4786</v>
      </c>
      <c r="D889" s="3312"/>
      <c r="E889" s="3312"/>
      <c r="F889" s="3312"/>
      <c r="G889" s="3372">
        <f t="shared" ref="G889:P889" si="274">SUM(G887:G888)</f>
        <v>0</v>
      </c>
      <c r="H889" s="3372">
        <f t="shared" si="274"/>
        <v>0</v>
      </c>
      <c r="I889" s="3372">
        <f t="shared" si="274"/>
        <v>0</v>
      </c>
      <c r="J889" s="3372">
        <f t="shared" si="274"/>
        <v>0</v>
      </c>
      <c r="K889" s="3372">
        <f t="shared" si="274"/>
        <v>0</v>
      </c>
      <c r="L889" s="3372">
        <f t="shared" si="274"/>
        <v>0</v>
      </c>
      <c r="M889" s="3372">
        <f t="shared" si="274"/>
        <v>0</v>
      </c>
      <c r="N889" s="3372">
        <f t="shared" si="274"/>
        <v>0</v>
      </c>
      <c r="O889" s="3372">
        <f t="shared" si="274"/>
        <v>0</v>
      </c>
      <c r="P889" s="3372">
        <f t="shared" si="274"/>
        <v>0</v>
      </c>
      <c r="Q889" s="359"/>
      <c r="R889" s="3257"/>
      <c r="S889" s="3257"/>
      <c r="T889" s="3257"/>
      <c r="U889" s="3257"/>
      <c r="V889" s="3257"/>
      <c r="GT889" s="3306"/>
      <c r="GY889" s="3306"/>
      <c r="GZ889" s="3306"/>
      <c r="HA889" s="3306"/>
      <c r="HB889" s="3306"/>
      <c r="HC889" s="3306"/>
      <c r="HD889" s="3306"/>
      <c r="HE889" s="3306"/>
      <c r="HF889" s="3306"/>
      <c r="HG889" s="3306"/>
      <c r="HH889" s="3306"/>
      <c r="HI889" s="3306"/>
      <c r="HJ889" s="3306"/>
      <c r="HK889" s="3306"/>
      <c r="HL889" s="3306"/>
      <c r="HM889" s="3306"/>
      <c r="HN889" s="3306"/>
      <c r="HO889" s="3306"/>
      <c r="HP889" s="3306"/>
      <c r="HQ889" s="3306"/>
      <c r="HR889" s="3306"/>
      <c r="HS889" s="3306"/>
      <c r="HT889" s="3306"/>
      <c r="HU889" s="3306"/>
      <c r="HV889" s="3306"/>
      <c r="HW889" s="3306"/>
      <c r="HX889" s="3306"/>
      <c r="HY889" s="3306"/>
      <c r="HZ889" s="3306"/>
      <c r="IA889" s="3306"/>
      <c r="IB889" s="3306"/>
      <c r="IC889" s="3306"/>
      <c r="ID889" s="3306"/>
      <c r="IK889" s="3303"/>
      <c r="JA889" s="3303"/>
      <c r="JB889" s="3303"/>
    </row>
    <row r="890" spans="2:262" ht="3" customHeight="1">
      <c r="B890" s="3361"/>
      <c r="C890" s="1087"/>
      <c r="D890" s="1087"/>
      <c r="E890" s="1087"/>
      <c r="F890" s="1087"/>
      <c r="G890" s="3373"/>
      <c r="H890" s="1087"/>
      <c r="I890" s="1087"/>
      <c r="J890" s="1087"/>
      <c r="K890" s="1087"/>
      <c r="L890" s="1087"/>
      <c r="M890" s="1087"/>
      <c r="N890" s="1087"/>
      <c r="O890" s="1087"/>
      <c r="P890" s="1087"/>
      <c r="GT890" s="3306"/>
      <c r="GY890" s="3306"/>
      <c r="GZ890" s="3306"/>
      <c r="HA890" s="3306"/>
      <c r="HB890" s="3306"/>
      <c r="HC890" s="3306"/>
      <c r="HD890" s="3306"/>
      <c r="HE890" s="3306"/>
      <c r="HF890" s="3306"/>
      <c r="HG890" s="3306"/>
      <c r="HH890" s="3306"/>
      <c r="HI890" s="3306"/>
      <c r="HJ890" s="3306"/>
      <c r="HK890" s="3306"/>
      <c r="HL890" s="3306"/>
      <c r="HM890" s="3306"/>
      <c r="HN890" s="3306"/>
      <c r="HO890" s="3306"/>
      <c r="HP890" s="3306"/>
      <c r="HQ890" s="3306"/>
      <c r="HR890" s="3306"/>
      <c r="HS890" s="3306"/>
      <c r="HT890" s="3306"/>
      <c r="HU890" s="3306"/>
      <c r="HV890" s="3306"/>
      <c r="HW890" s="3306"/>
      <c r="HX890" s="3306"/>
      <c r="HY890" s="3306"/>
      <c r="HZ890" s="3306"/>
      <c r="IA890" s="3306"/>
      <c r="IB890" s="3306"/>
      <c r="IC890" s="3306"/>
      <c r="ID890" s="3306"/>
      <c r="IK890" s="3303"/>
      <c r="JA890" s="3303"/>
      <c r="JB890" s="3303"/>
    </row>
    <row r="891" spans="2:262" ht="11.25" customHeight="1">
      <c r="B891" s="3367" t="s">
        <v>1138</v>
      </c>
      <c r="C891" s="1087"/>
      <c r="D891" s="1087"/>
      <c r="E891" s="1087"/>
      <c r="F891" s="1087"/>
      <c r="G891" s="3368">
        <v>11</v>
      </c>
      <c r="H891" s="3368">
        <v>12</v>
      </c>
      <c r="I891" s="3368">
        <v>13</v>
      </c>
      <c r="J891" s="3368">
        <v>14</v>
      </c>
      <c r="K891" s="3368">
        <v>15</v>
      </c>
      <c r="L891" s="3368">
        <v>16</v>
      </c>
      <c r="M891" s="3368">
        <v>17</v>
      </c>
      <c r="N891" s="3368">
        <v>18</v>
      </c>
      <c r="O891" s="3368">
        <v>19</v>
      </c>
      <c r="P891" s="3368">
        <v>20</v>
      </c>
      <c r="R891" s="3337" t="s">
        <v>1144</v>
      </c>
      <c r="S891" s="3111" t="str">
        <f>B891</f>
        <v>Included in Mgt Fee:</v>
      </c>
      <c r="GT891" s="3306"/>
      <c r="GY891" s="3306"/>
      <c r="GZ891" s="3306"/>
      <c r="HA891" s="3306"/>
      <c r="HB891" s="3306"/>
      <c r="HC891" s="3306"/>
      <c r="HD891" s="3306"/>
      <c r="HE891" s="3306"/>
      <c r="HF891" s="3306"/>
      <c r="HG891" s="3306"/>
      <c r="HH891" s="3306"/>
      <c r="HI891" s="3306"/>
      <c r="HJ891" s="3306"/>
      <c r="HK891" s="3306"/>
      <c r="HL891" s="3306"/>
      <c r="HM891" s="3306"/>
      <c r="HN891" s="3306"/>
      <c r="HO891" s="3306"/>
      <c r="HP891" s="3306"/>
      <c r="HQ891" s="3306"/>
      <c r="HR891" s="3306"/>
      <c r="HS891" s="3306"/>
      <c r="HT891" s="3306"/>
      <c r="HU891" s="3306"/>
      <c r="HV891" s="3306"/>
      <c r="HW891" s="3306"/>
      <c r="HX891" s="3306"/>
      <c r="HY891" s="3306"/>
      <c r="HZ891" s="3306"/>
      <c r="IA891" s="3306"/>
      <c r="IB891" s="3306"/>
      <c r="IC891" s="3306"/>
      <c r="ID891" s="3306"/>
      <c r="IK891" s="3303"/>
      <c r="JA891" s="3303"/>
      <c r="JB891" s="3303"/>
    </row>
    <row r="892" spans="2:262" ht="11.25" customHeight="1">
      <c r="B892" s="3312" t="s">
        <v>1139</v>
      </c>
      <c r="C892" s="3312"/>
      <c r="D892" s="3312"/>
      <c r="E892" s="3312"/>
      <c r="F892" s="3312"/>
      <c r="G892" s="3370">
        <f>'Part VI-Revenues &amp; Expenses'!G135</f>
        <v>0</v>
      </c>
      <c r="H892" s="3370">
        <f>'Part VI-Revenues &amp; Expenses'!H135</f>
        <v>0</v>
      </c>
      <c r="I892" s="3370">
        <f>'Part VI-Revenues &amp; Expenses'!I135</f>
        <v>0</v>
      </c>
      <c r="J892" s="3370">
        <f>'Part VI-Revenues &amp; Expenses'!J135</f>
        <v>0</v>
      </c>
      <c r="K892" s="3370">
        <f>'Part VI-Revenues &amp; Expenses'!K135</f>
        <v>0</v>
      </c>
      <c r="L892" s="3370">
        <f>'Part VI-Revenues &amp; Expenses'!L135</f>
        <v>0</v>
      </c>
      <c r="M892" s="3370">
        <f>'Part VI-Revenues &amp; Expenses'!M135</f>
        <v>0</v>
      </c>
      <c r="N892" s="3370">
        <f>'Part VI-Revenues &amp; Expenses'!N135</f>
        <v>0</v>
      </c>
      <c r="O892" s="3370">
        <f>'Part VI-Revenues &amp; Expenses'!O135</f>
        <v>0</v>
      </c>
      <c r="P892" s="3370">
        <f>'Part VI-Revenues &amp; Expenses'!P135</f>
        <v>0</v>
      </c>
      <c r="Q892" s="3371"/>
      <c r="R892" s="3257"/>
      <c r="S892" s="3257"/>
      <c r="T892" s="3257"/>
      <c r="U892" s="3257"/>
      <c r="V892" s="3257"/>
      <c r="GT892" s="3306"/>
      <c r="GY892" s="3306"/>
      <c r="GZ892" s="3306"/>
      <c r="HA892" s="3306"/>
      <c r="HB892" s="3306"/>
      <c r="HC892" s="3306"/>
      <c r="HD892" s="3306"/>
      <c r="HE892" s="3306"/>
      <c r="HF892" s="3306"/>
      <c r="HG892" s="3306"/>
      <c r="HH892" s="3306"/>
      <c r="HI892" s="3306"/>
      <c r="HJ892" s="3306"/>
      <c r="HK892" s="3306"/>
      <c r="HL892" s="3306"/>
      <c r="HM892" s="3306"/>
      <c r="HN892" s="3306"/>
      <c r="HO892" s="3306"/>
      <c r="HP892" s="3306"/>
      <c r="HQ892" s="3306"/>
      <c r="HR892" s="3306"/>
      <c r="HS892" s="3306"/>
      <c r="HT892" s="3306"/>
      <c r="HU892" s="3306"/>
      <c r="HV892" s="3306"/>
      <c r="HW892" s="3306"/>
      <c r="HX892" s="3306"/>
      <c r="HY892" s="3306"/>
      <c r="HZ892" s="3306"/>
      <c r="IA892" s="3306"/>
      <c r="IB892" s="3306"/>
      <c r="IC892" s="3306"/>
      <c r="ID892" s="3306"/>
      <c r="IK892" s="3303"/>
      <c r="JA892" s="3303"/>
      <c r="JB892" s="3303"/>
    </row>
    <row r="893" spans="2:262" ht="11.25" customHeight="1">
      <c r="B893" s="3312" t="s">
        <v>592</v>
      </c>
      <c r="C893" s="3312">
        <f>'Part VI-Revenues &amp; Expenses'!C136</f>
        <v>0</v>
      </c>
      <c r="D893" s="3312">
        <f>'Part VI-Revenues &amp; Expenses'!D136</f>
        <v>0</v>
      </c>
      <c r="E893" s="3312">
        <f>'Part VI-Revenues &amp; Expenses'!E136</f>
        <v>0</v>
      </c>
      <c r="F893" s="3312">
        <f>'Part VI-Revenues &amp; Expenses'!F136</f>
        <v>0</v>
      </c>
      <c r="G893" s="3370">
        <f>'Part VI-Revenues &amp; Expenses'!G136</f>
        <v>0</v>
      </c>
      <c r="H893" s="3370">
        <f>'Part VI-Revenues &amp; Expenses'!H136</f>
        <v>0</v>
      </c>
      <c r="I893" s="3370">
        <f>'Part VI-Revenues &amp; Expenses'!I136</f>
        <v>0</v>
      </c>
      <c r="J893" s="3370">
        <f>'Part VI-Revenues &amp; Expenses'!J136</f>
        <v>0</v>
      </c>
      <c r="K893" s="3370">
        <f>'Part VI-Revenues &amp; Expenses'!K136</f>
        <v>0</v>
      </c>
      <c r="L893" s="3370">
        <f>'Part VI-Revenues &amp; Expenses'!L136</f>
        <v>0</v>
      </c>
      <c r="M893" s="3370">
        <f>'Part VI-Revenues &amp; Expenses'!M136</f>
        <v>0</v>
      </c>
      <c r="N893" s="3370">
        <f>'Part VI-Revenues &amp; Expenses'!N136</f>
        <v>0</v>
      </c>
      <c r="O893" s="3370">
        <f>'Part VI-Revenues &amp; Expenses'!O136</f>
        <v>0</v>
      </c>
      <c r="P893" s="3370">
        <f>'Part VI-Revenues &amp; Expenses'!P136</f>
        <v>0</v>
      </c>
      <c r="Q893" s="3371"/>
      <c r="R893" s="3257"/>
      <c r="S893" s="3257"/>
      <c r="T893" s="3257"/>
      <c r="U893" s="3257"/>
      <c r="V893" s="3257"/>
      <c r="GT893" s="3306"/>
      <c r="GY893" s="3306"/>
      <c r="GZ893" s="3306"/>
      <c r="HA893" s="3306"/>
      <c r="HB893" s="3306"/>
      <c r="HC893" s="3306"/>
      <c r="HD893" s="3306"/>
      <c r="HE893" s="3306"/>
      <c r="HF893" s="3306"/>
      <c r="HG893" s="3306"/>
      <c r="HH893" s="3306"/>
      <c r="HI893" s="3306"/>
      <c r="HJ893" s="3306"/>
      <c r="HK893" s="3306"/>
      <c r="HL893" s="3306"/>
      <c r="HM893" s="3306"/>
      <c r="HN893" s="3306"/>
      <c r="HO893" s="3306"/>
      <c r="HP893" s="3306"/>
      <c r="HQ893" s="3306"/>
      <c r="HR893" s="3306"/>
      <c r="HS893" s="3306"/>
      <c r="HT893" s="3306"/>
      <c r="HU893" s="3306"/>
      <c r="HV893" s="3306"/>
      <c r="HW893" s="3306"/>
      <c r="HX893" s="3306"/>
      <c r="HY893" s="3306"/>
      <c r="HZ893" s="3306"/>
      <c r="IA893" s="3306"/>
      <c r="IB893" s="3306"/>
      <c r="IC893" s="3306"/>
      <c r="ID893" s="3306"/>
      <c r="IK893" s="3303"/>
      <c r="JA893" s="3303"/>
      <c r="JB893" s="3303"/>
    </row>
    <row r="894" spans="2:262" ht="11.25" customHeight="1">
      <c r="B894" s="3312"/>
      <c r="C894" s="3312" t="s">
        <v>1140</v>
      </c>
      <c r="D894" s="3312"/>
      <c r="E894" s="3312"/>
      <c r="F894" s="3312"/>
      <c r="G894" s="3372">
        <f t="shared" ref="G894:P894" si="275">SUM(G892:G893)</f>
        <v>0</v>
      </c>
      <c r="H894" s="3372">
        <f t="shared" si="275"/>
        <v>0</v>
      </c>
      <c r="I894" s="3372">
        <f t="shared" si="275"/>
        <v>0</v>
      </c>
      <c r="J894" s="3372">
        <f t="shared" si="275"/>
        <v>0</v>
      </c>
      <c r="K894" s="3372">
        <f t="shared" si="275"/>
        <v>0</v>
      </c>
      <c r="L894" s="3372">
        <f t="shared" si="275"/>
        <v>0</v>
      </c>
      <c r="M894" s="3372">
        <f t="shared" si="275"/>
        <v>0</v>
      </c>
      <c r="N894" s="3372">
        <f t="shared" si="275"/>
        <v>0</v>
      </c>
      <c r="O894" s="3372">
        <f t="shared" si="275"/>
        <v>0</v>
      </c>
      <c r="P894" s="3372">
        <f t="shared" si="275"/>
        <v>0</v>
      </c>
      <c r="Q894" s="359"/>
      <c r="R894" s="3257"/>
      <c r="S894" s="3257"/>
      <c r="T894" s="3257"/>
      <c r="U894" s="3257"/>
      <c r="V894" s="3257"/>
      <c r="GT894" s="3306"/>
      <c r="GY894" s="3306"/>
      <c r="GZ894" s="3306"/>
      <c r="HA894" s="3306"/>
      <c r="HB894" s="3306"/>
      <c r="HC894" s="3306"/>
      <c r="HD894" s="3306"/>
      <c r="HE894" s="3306"/>
      <c r="HF894" s="3306"/>
      <c r="HG894" s="3306"/>
      <c r="HH894" s="3306"/>
      <c r="HI894" s="3306"/>
      <c r="HJ894" s="3306"/>
      <c r="HK894" s="3306"/>
      <c r="HL894" s="3306"/>
      <c r="HM894" s="3306"/>
      <c r="HN894" s="3306"/>
      <c r="HO894" s="3306"/>
      <c r="HP894" s="3306"/>
      <c r="HQ894" s="3306"/>
      <c r="HR894" s="3306"/>
      <c r="HS894" s="3306"/>
      <c r="HT894" s="3306"/>
      <c r="HU894" s="3306"/>
      <c r="HV894" s="3306"/>
      <c r="HW894" s="3306"/>
      <c r="HX894" s="3306"/>
      <c r="HY894" s="3306"/>
      <c r="HZ894" s="3306"/>
      <c r="IA894" s="3306"/>
      <c r="IB894" s="3306"/>
      <c r="IC894" s="3306"/>
      <c r="ID894" s="3306"/>
      <c r="IK894" s="3303"/>
      <c r="JA894" s="3303"/>
      <c r="JB894" s="3303"/>
    </row>
    <row r="895" spans="2:262" ht="11.25" customHeight="1">
      <c r="B895" s="3367" t="s">
        <v>4785</v>
      </c>
      <c r="C895" s="1087"/>
      <c r="D895" s="1087"/>
      <c r="E895" s="1087"/>
      <c r="F895" s="1087"/>
      <c r="G895" s="3373"/>
      <c r="H895" s="1087"/>
      <c r="I895" s="1087"/>
      <c r="J895" s="1087"/>
      <c r="K895" s="1087"/>
      <c r="L895" s="1087"/>
      <c r="M895" s="1087"/>
      <c r="N895" s="1087"/>
      <c r="O895" s="1087"/>
      <c r="P895" s="1087"/>
      <c r="R895" s="3111" t="str">
        <f>B895</f>
        <v>NOT Included in Mgt Fee:</v>
      </c>
      <c r="GT895" s="3306"/>
      <c r="GY895" s="3306"/>
      <c r="GZ895" s="3306"/>
      <c r="HA895" s="3306"/>
      <c r="HB895" s="3306"/>
      <c r="HC895" s="3306"/>
      <c r="HD895" s="3306"/>
      <c r="HE895" s="3306"/>
      <c r="HF895" s="3306"/>
      <c r="HG895" s="3306"/>
      <c r="HH895" s="3306"/>
      <c r="HI895" s="3306"/>
      <c r="HJ895" s="3306"/>
      <c r="HK895" s="3306"/>
      <c r="HL895" s="3306"/>
      <c r="HM895" s="3306"/>
      <c r="HN895" s="3306"/>
      <c r="HO895" s="3306"/>
      <c r="HP895" s="3306"/>
      <c r="HQ895" s="3306"/>
      <c r="HR895" s="3306"/>
      <c r="HS895" s="3306"/>
      <c r="HT895" s="3306"/>
      <c r="HU895" s="3306"/>
      <c r="HV895" s="3306"/>
      <c r="HW895" s="3306"/>
      <c r="HX895" s="3306"/>
      <c r="HY895" s="3306"/>
      <c r="HZ895" s="3306"/>
      <c r="IA895" s="3306"/>
      <c r="IB895" s="3306"/>
      <c r="IC895" s="3306"/>
      <c r="ID895" s="3306"/>
      <c r="IK895" s="3303"/>
      <c r="JA895" s="3303"/>
      <c r="JB895" s="3303"/>
    </row>
    <row r="896" spans="2:262" ht="11.25" customHeight="1">
      <c r="B896" s="3312" t="s">
        <v>1142</v>
      </c>
      <c r="C896" s="3312"/>
      <c r="D896" s="3312"/>
      <c r="E896" s="3312"/>
      <c r="F896" s="3312"/>
      <c r="G896" s="3370">
        <f>'Part VI-Revenues &amp; Expenses'!G139</f>
        <v>0</v>
      </c>
      <c r="H896" s="3370">
        <f>'Part VI-Revenues &amp; Expenses'!H139</f>
        <v>0</v>
      </c>
      <c r="I896" s="3370">
        <f>'Part VI-Revenues &amp; Expenses'!I139</f>
        <v>0</v>
      </c>
      <c r="J896" s="3370">
        <f>'Part VI-Revenues &amp; Expenses'!J139</f>
        <v>0</v>
      </c>
      <c r="K896" s="3370">
        <f>'Part VI-Revenues &amp; Expenses'!K139</f>
        <v>0</v>
      </c>
      <c r="L896" s="3370">
        <f>'Part VI-Revenues &amp; Expenses'!L139</f>
        <v>0</v>
      </c>
      <c r="M896" s="3370">
        <f>'Part VI-Revenues &amp; Expenses'!M139</f>
        <v>0</v>
      </c>
      <c r="N896" s="3370">
        <f>'Part VI-Revenues &amp; Expenses'!N139</f>
        <v>0</v>
      </c>
      <c r="O896" s="3370">
        <f>'Part VI-Revenues &amp; Expenses'!O139</f>
        <v>0</v>
      </c>
      <c r="P896" s="3370">
        <f>'Part VI-Revenues &amp; Expenses'!P139</f>
        <v>0</v>
      </c>
      <c r="Q896" s="3371"/>
      <c r="R896" s="3257"/>
      <c r="S896" s="3257"/>
      <c r="T896" s="3257"/>
      <c r="U896" s="3257"/>
      <c r="V896" s="3257"/>
      <c r="GT896" s="3306"/>
      <c r="GY896" s="3306"/>
      <c r="GZ896" s="3306"/>
      <c r="HA896" s="3306"/>
      <c r="HB896" s="3306"/>
      <c r="HC896" s="3306"/>
      <c r="HD896" s="3306"/>
      <c r="HE896" s="3306"/>
      <c r="HF896" s="3306"/>
      <c r="HG896" s="3306"/>
      <c r="HH896" s="3306"/>
      <c r="HI896" s="3306"/>
      <c r="HJ896" s="3306"/>
      <c r="HK896" s="3306"/>
      <c r="HL896" s="3306"/>
      <c r="HM896" s="3306"/>
      <c r="HN896" s="3306"/>
      <c r="HO896" s="3306"/>
      <c r="HP896" s="3306"/>
      <c r="HQ896" s="3306"/>
      <c r="HR896" s="3306"/>
      <c r="HS896" s="3306"/>
      <c r="HT896" s="3306"/>
      <c r="HU896" s="3306"/>
      <c r="HV896" s="3306"/>
      <c r="HW896" s="3306"/>
      <c r="HX896" s="3306"/>
      <c r="HY896" s="3306"/>
      <c r="HZ896" s="3306"/>
      <c r="IA896" s="3306"/>
      <c r="IB896" s="3306"/>
      <c r="IC896" s="3306"/>
      <c r="ID896" s="3306"/>
      <c r="IK896" s="3303"/>
      <c r="JA896" s="3303"/>
      <c r="JB896" s="3303"/>
    </row>
    <row r="897" spans="2:262" ht="11.25" customHeight="1">
      <c r="B897" s="3312" t="s">
        <v>592</v>
      </c>
      <c r="C897" s="3312">
        <f>'Part VI-Revenues &amp; Expenses'!C140</f>
        <v>0</v>
      </c>
      <c r="D897" s="3312">
        <f>'Part VI-Revenues &amp; Expenses'!D140</f>
        <v>0</v>
      </c>
      <c r="E897" s="3312">
        <f>'Part VI-Revenues &amp; Expenses'!E140</f>
        <v>0</v>
      </c>
      <c r="F897" s="3312">
        <f>'Part VI-Revenues &amp; Expenses'!F140</f>
        <v>0</v>
      </c>
      <c r="G897" s="3370">
        <f>'Part VI-Revenues &amp; Expenses'!G140</f>
        <v>0</v>
      </c>
      <c r="H897" s="3370">
        <f>'Part VI-Revenues &amp; Expenses'!H140</f>
        <v>0</v>
      </c>
      <c r="I897" s="3370">
        <f>'Part VI-Revenues &amp; Expenses'!I140</f>
        <v>0</v>
      </c>
      <c r="J897" s="3370">
        <f>'Part VI-Revenues &amp; Expenses'!J140</f>
        <v>0</v>
      </c>
      <c r="K897" s="3370">
        <f>'Part VI-Revenues &amp; Expenses'!K140</f>
        <v>0</v>
      </c>
      <c r="L897" s="3370">
        <f>'Part VI-Revenues &amp; Expenses'!L140</f>
        <v>0</v>
      </c>
      <c r="M897" s="3370">
        <f>'Part VI-Revenues &amp; Expenses'!M140</f>
        <v>0</v>
      </c>
      <c r="N897" s="3370">
        <f>'Part VI-Revenues &amp; Expenses'!N140</f>
        <v>0</v>
      </c>
      <c r="O897" s="3370">
        <f>'Part VI-Revenues &amp; Expenses'!O140</f>
        <v>0</v>
      </c>
      <c r="P897" s="3370">
        <f>'Part VI-Revenues &amp; Expenses'!P140</f>
        <v>0</v>
      </c>
      <c r="Q897" s="3371"/>
      <c r="R897" s="3257"/>
      <c r="S897" s="3257"/>
      <c r="T897" s="3257"/>
      <c r="U897" s="3257"/>
      <c r="V897" s="3257"/>
      <c r="GT897" s="3306"/>
      <c r="GY897" s="3306"/>
      <c r="GZ897" s="3306"/>
      <c r="HA897" s="3306"/>
      <c r="HB897" s="3306"/>
      <c r="HC897" s="3306"/>
      <c r="HD897" s="3306"/>
      <c r="HE897" s="3306"/>
      <c r="HF897" s="3306"/>
      <c r="HG897" s="3306"/>
      <c r="HH897" s="3306"/>
      <c r="HI897" s="3306"/>
      <c r="HJ897" s="3306"/>
      <c r="HK897" s="3306"/>
      <c r="HL897" s="3306"/>
      <c r="HM897" s="3306"/>
      <c r="HN897" s="3306"/>
      <c r="HO897" s="3306"/>
      <c r="HP897" s="3306"/>
      <c r="HQ897" s="3306"/>
      <c r="HR897" s="3306"/>
      <c r="HS897" s="3306"/>
      <c r="HT897" s="3306"/>
      <c r="HU897" s="3306"/>
      <c r="HV897" s="3306"/>
      <c r="HW897" s="3306"/>
      <c r="HX897" s="3306"/>
      <c r="HY897" s="3306"/>
      <c r="HZ897" s="3306"/>
      <c r="IA897" s="3306"/>
      <c r="IB897" s="3306"/>
      <c r="IC897" s="3306"/>
      <c r="ID897" s="3306"/>
      <c r="IK897" s="3303"/>
      <c r="JA897" s="3303"/>
      <c r="JB897" s="3303"/>
    </row>
    <row r="898" spans="2:262" ht="11.25" customHeight="1">
      <c r="B898" s="3312"/>
      <c r="C898" s="3312" t="s">
        <v>4786</v>
      </c>
      <c r="D898" s="3312"/>
      <c r="E898" s="3312"/>
      <c r="F898" s="3312"/>
      <c r="G898" s="3372">
        <f t="shared" ref="G898:P898" si="276">SUM(G896:G897)</f>
        <v>0</v>
      </c>
      <c r="H898" s="3372">
        <f t="shared" si="276"/>
        <v>0</v>
      </c>
      <c r="I898" s="3372">
        <f t="shared" si="276"/>
        <v>0</v>
      </c>
      <c r="J898" s="3372">
        <f t="shared" si="276"/>
        <v>0</v>
      </c>
      <c r="K898" s="3372">
        <f t="shared" si="276"/>
        <v>0</v>
      </c>
      <c r="L898" s="3372">
        <f t="shared" si="276"/>
        <v>0</v>
      </c>
      <c r="M898" s="3372">
        <f t="shared" si="276"/>
        <v>0</v>
      </c>
      <c r="N898" s="3372">
        <f t="shared" si="276"/>
        <v>0</v>
      </c>
      <c r="O898" s="3372">
        <f t="shared" si="276"/>
        <v>0</v>
      </c>
      <c r="P898" s="3372">
        <f t="shared" si="276"/>
        <v>0</v>
      </c>
      <c r="Q898" s="359"/>
      <c r="R898" s="3257"/>
      <c r="S898" s="3257"/>
      <c r="T898" s="3257"/>
      <c r="U898" s="3257"/>
      <c r="V898" s="3257"/>
      <c r="GT898" s="3306"/>
      <c r="GY898" s="3306"/>
      <c r="GZ898" s="3306"/>
      <c r="HA898" s="3306"/>
      <c r="HB898" s="3306"/>
      <c r="HC898" s="3306"/>
      <c r="HD898" s="3306"/>
      <c r="HE898" s="3306"/>
      <c r="HF898" s="3306"/>
      <c r="HG898" s="3306"/>
      <c r="HH898" s="3306"/>
      <c r="HI898" s="3306"/>
      <c r="HJ898" s="3306"/>
      <c r="HK898" s="3306"/>
      <c r="HL898" s="3306"/>
      <c r="HM898" s="3306"/>
      <c r="HN898" s="3306"/>
      <c r="HO898" s="3306"/>
      <c r="HP898" s="3306"/>
      <c r="HQ898" s="3306"/>
      <c r="HR898" s="3306"/>
      <c r="HS898" s="3306"/>
      <c r="HT898" s="3306"/>
      <c r="HU898" s="3306"/>
      <c r="HV898" s="3306"/>
      <c r="HW898" s="3306"/>
      <c r="HX898" s="3306"/>
      <c r="HY898" s="3306"/>
      <c r="HZ898" s="3306"/>
      <c r="IA898" s="3306"/>
      <c r="IB898" s="3306"/>
      <c r="IC898" s="3306"/>
      <c r="ID898" s="3306"/>
      <c r="IK898" s="3303"/>
      <c r="JA898" s="3303"/>
      <c r="JB898" s="3303"/>
    </row>
    <row r="899" spans="2:262" ht="3" customHeight="1">
      <c r="B899" s="3361"/>
      <c r="C899" s="1087"/>
      <c r="D899" s="1087"/>
      <c r="E899" s="1087"/>
      <c r="F899" s="1087"/>
      <c r="G899" s="3373"/>
      <c r="H899" s="1087"/>
      <c r="I899" s="1087"/>
      <c r="J899" s="1087"/>
      <c r="K899" s="1087"/>
      <c r="L899" s="1087"/>
      <c r="M899" s="1087"/>
      <c r="N899" s="1087"/>
      <c r="O899" s="1087"/>
      <c r="P899" s="1087"/>
      <c r="GT899" s="3306"/>
      <c r="GY899" s="3306"/>
      <c r="GZ899" s="3306"/>
      <c r="HA899" s="3306"/>
      <c r="HB899" s="3306"/>
      <c r="HC899" s="3306"/>
      <c r="HD899" s="3306"/>
      <c r="HE899" s="3306"/>
      <c r="HF899" s="3306"/>
      <c r="HG899" s="3306"/>
      <c r="HH899" s="3306"/>
      <c r="HI899" s="3306"/>
      <c r="HJ899" s="3306"/>
      <c r="HK899" s="3306"/>
      <c r="HL899" s="3306"/>
      <c r="HM899" s="3306"/>
      <c r="HN899" s="3306"/>
      <c r="HO899" s="3306"/>
      <c r="HP899" s="3306"/>
      <c r="HQ899" s="3306"/>
      <c r="HR899" s="3306"/>
      <c r="HS899" s="3306"/>
      <c r="HT899" s="3306"/>
      <c r="HU899" s="3306"/>
      <c r="HV899" s="3306"/>
      <c r="HW899" s="3306"/>
      <c r="HX899" s="3306"/>
      <c r="HY899" s="3306"/>
      <c r="HZ899" s="3306"/>
      <c r="IA899" s="3306"/>
      <c r="IB899" s="3306"/>
      <c r="IC899" s="3306"/>
      <c r="ID899" s="3306"/>
      <c r="IK899" s="3303"/>
      <c r="JA899" s="3303"/>
      <c r="JB899" s="3303"/>
    </row>
    <row r="900" spans="2:262" ht="11.25" customHeight="1">
      <c r="B900" s="3367" t="s">
        <v>1138</v>
      </c>
      <c r="C900" s="1087"/>
      <c r="D900" s="1087"/>
      <c r="E900" s="1087"/>
      <c r="F900" s="1087"/>
      <c r="G900" s="3368">
        <v>21</v>
      </c>
      <c r="H900" s="3368">
        <v>22</v>
      </c>
      <c r="I900" s="3368">
        <v>23</v>
      </c>
      <c r="J900" s="3368">
        <v>24</v>
      </c>
      <c r="K900" s="3368">
        <v>25</v>
      </c>
      <c r="L900" s="3368">
        <v>26</v>
      </c>
      <c r="M900" s="3368">
        <v>27</v>
      </c>
      <c r="N900" s="3368">
        <v>28</v>
      </c>
      <c r="O900" s="3368">
        <v>29</v>
      </c>
      <c r="P900" s="3368">
        <v>30</v>
      </c>
      <c r="Q900" s="3369"/>
      <c r="R900" s="3337" t="s">
        <v>1145</v>
      </c>
      <c r="S900" s="3111" t="str">
        <f>B900</f>
        <v>Included in Mgt Fee:</v>
      </c>
      <c r="GT900" s="3306"/>
      <c r="GY900" s="3306"/>
      <c r="GZ900" s="3306"/>
      <c r="HA900" s="3306"/>
      <c r="HB900" s="3306"/>
      <c r="HC900" s="3306"/>
      <c r="HD900" s="3306"/>
      <c r="HE900" s="3306"/>
      <c r="HF900" s="3306"/>
      <c r="HG900" s="3306"/>
      <c r="HH900" s="3306"/>
      <c r="HI900" s="3306"/>
      <c r="HJ900" s="3306"/>
      <c r="HK900" s="3306"/>
      <c r="HL900" s="3306"/>
      <c r="HM900" s="3306"/>
      <c r="HN900" s="3306"/>
      <c r="HO900" s="3306"/>
      <c r="HP900" s="3306"/>
      <c r="HQ900" s="3306"/>
      <c r="HR900" s="3306"/>
      <c r="HS900" s="3306"/>
      <c r="HT900" s="3306"/>
      <c r="HU900" s="3306"/>
      <c r="HV900" s="3306"/>
      <c r="HW900" s="3306"/>
      <c r="HX900" s="3306"/>
      <c r="HY900" s="3306"/>
      <c r="HZ900" s="3306"/>
      <c r="IA900" s="3306"/>
      <c r="IB900" s="3306"/>
      <c r="IC900" s="3306"/>
      <c r="ID900" s="3306"/>
      <c r="IK900" s="3303"/>
      <c r="JA900" s="3303"/>
      <c r="JB900" s="3303"/>
    </row>
    <row r="901" spans="2:262" ht="11.25" customHeight="1">
      <c r="B901" s="3312" t="s">
        <v>1139</v>
      </c>
      <c r="C901" s="3312"/>
      <c r="D901" s="3312"/>
      <c r="E901" s="3312"/>
      <c r="F901" s="3312"/>
      <c r="G901" s="3370">
        <f>'Part VI-Revenues &amp; Expenses'!G144</f>
        <v>0</v>
      </c>
      <c r="H901" s="3370">
        <f>'Part VI-Revenues &amp; Expenses'!H144</f>
        <v>0</v>
      </c>
      <c r="I901" s="3370">
        <f>'Part VI-Revenues &amp; Expenses'!I144</f>
        <v>0</v>
      </c>
      <c r="J901" s="3370">
        <f>'Part VI-Revenues &amp; Expenses'!J144</f>
        <v>0</v>
      </c>
      <c r="K901" s="3370">
        <f>'Part VI-Revenues &amp; Expenses'!K144</f>
        <v>0</v>
      </c>
      <c r="L901" s="3370">
        <f>'Part VI-Revenues &amp; Expenses'!L144</f>
        <v>0</v>
      </c>
      <c r="M901" s="3370">
        <f>'Part VI-Revenues &amp; Expenses'!M144</f>
        <v>0</v>
      </c>
      <c r="N901" s="3370">
        <f>'Part VI-Revenues &amp; Expenses'!N144</f>
        <v>0</v>
      </c>
      <c r="O901" s="3370">
        <f>'Part VI-Revenues &amp; Expenses'!O144</f>
        <v>0</v>
      </c>
      <c r="P901" s="3370">
        <f>'Part VI-Revenues &amp; Expenses'!P144</f>
        <v>0</v>
      </c>
      <c r="Q901" s="3371"/>
      <c r="R901" s="3257"/>
      <c r="S901" s="3257"/>
      <c r="T901" s="3257"/>
      <c r="U901" s="3257"/>
      <c r="V901" s="3257"/>
      <c r="GT901" s="3306"/>
      <c r="GY901" s="3306"/>
      <c r="GZ901" s="3306"/>
      <c r="HA901" s="3306"/>
      <c r="HB901" s="3306"/>
      <c r="HC901" s="3306"/>
      <c r="HD901" s="3306"/>
      <c r="HE901" s="3306"/>
      <c r="HF901" s="3306"/>
      <c r="HG901" s="3306"/>
      <c r="HH901" s="3306"/>
      <c r="HI901" s="3306"/>
      <c r="HJ901" s="3306"/>
      <c r="HK901" s="3306"/>
      <c r="HL901" s="3306"/>
      <c r="HM901" s="3306"/>
      <c r="HN901" s="3306"/>
      <c r="HO901" s="3306"/>
      <c r="HP901" s="3306"/>
      <c r="HQ901" s="3306"/>
      <c r="HR901" s="3306"/>
      <c r="HS901" s="3306"/>
      <c r="HT901" s="3306"/>
      <c r="HU901" s="3306"/>
      <c r="HV901" s="3306"/>
      <c r="HW901" s="3306"/>
      <c r="HX901" s="3306"/>
      <c r="HY901" s="3306"/>
      <c r="HZ901" s="3306"/>
      <c r="IA901" s="3306"/>
      <c r="IB901" s="3306"/>
      <c r="IC901" s="3306"/>
      <c r="ID901" s="3306"/>
      <c r="IK901" s="3303"/>
      <c r="JA901" s="3303"/>
      <c r="JB901" s="3303"/>
    </row>
    <row r="902" spans="2:262" ht="11.25" customHeight="1">
      <c r="B902" s="3312" t="s">
        <v>592</v>
      </c>
      <c r="C902" s="3312">
        <f>'Part VI-Revenues &amp; Expenses'!C145</f>
        <v>0</v>
      </c>
      <c r="D902" s="3312">
        <f>'Part VI-Revenues &amp; Expenses'!D145</f>
        <v>0</v>
      </c>
      <c r="E902" s="3312">
        <f>'Part VI-Revenues &amp; Expenses'!E145</f>
        <v>0</v>
      </c>
      <c r="F902" s="3312">
        <f>'Part VI-Revenues &amp; Expenses'!F145</f>
        <v>0</v>
      </c>
      <c r="G902" s="3370">
        <f>'Part VI-Revenues &amp; Expenses'!G145</f>
        <v>0</v>
      </c>
      <c r="H902" s="3370">
        <f>'Part VI-Revenues &amp; Expenses'!H145</f>
        <v>0</v>
      </c>
      <c r="I902" s="3370">
        <f>'Part VI-Revenues &amp; Expenses'!I145</f>
        <v>0</v>
      </c>
      <c r="J902" s="3370">
        <f>'Part VI-Revenues &amp; Expenses'!J145</f>
        <v>0</v>
      </c>
      <c r="K902" s="3370">
        <f>'Part VI-Revenues &amp; Expenses'!K145</f>
        <v>0</v>
      </c>
      <c r="L902" s="3370">
        <f>'Part VI-Revenues &amp; Expenses'!L145</f>
        <v>0</v>
      </c>
      <c r="M902" s="3370">
        <f>'Part VI-Revenues &amp; Expenses'!M145</f>
        <v>0</v>
      </c>
      <c r="N902" s="3370">
        <f>'Part VI-Revenues &amp; Expenses'!N145</f>
        <v>0</v>
      </c>
      <c r="O902" s="3370">
        <f>'Part VI-Revenues &amp; Expenses'!O145</f>
        <v>0</v>
      </c>
      <c r="P902" s="3370">
        <f>'Part VI-Revenues &amp; Expenses'!P145</f>
        <v>0</v>
      </c>
      <c r="Q902" s="3371"/>
      <c r="R902" s="3257"/>
      <c r="S902" s="3257"/>
      <c r="T902" s="3257"/>
      <c r="U902" s="3257"/>
      <c r="V902" s="3257"/>
      <c r="GT902" s="3306"/>
      <c r="GY902" s="3306"/>
      <c r="GZ902" s="3306"/>
      <c r="HA902" s="3306"/>
      <c r="HB902" s="3306"/>
      <c r="HC902" s="3306"/>
      <c r="HD902" s="3306"/>
      <c r="HE902" s="3306"/>
      <c r="HF902" s="3306"/>
      <c r="HG902" s="3306"/>
      <c r="HH902" s="3306"/>
      <c r="HI902" s="3306"/>
      <c r="HJ902" s="3306"/>
      <c r="HK902" s="3306"/>
      <c r="HL902" s="3306"/>
      <c r="HM902" s="3306"/>
      <c r="HN902" s="3306"/>
      <c r="HO902" s="3306"/>
      <c r="HP902" s="3306"/>
      <c r="HQ902" s="3306"/>
      <c r="HR902" s="3306"/>
      <c r="HS902" s="3306"/>
      <c r="HT902" s="3306"/>
      <c r="HU902" s="3306"/>
      <c r="HV902" s="3306"/>
      <c r="HW902" s="3306"/>
      <c r="HX902" s="3306"/>
      <c r="HY902" s="3306"/>
      <c r="HZ902" s="3306"/>
      <c r="IA902" s="3306"/>
      <c r="IB902" s="3306"/>
      <c r="IC902" s="3306"/>
      <c r="ID902" s="3306"/>
      <c r="IK902" s="3303"/>
      <c r="JA902" s="3303"/>
      <c r="JB902" s="3303"/>
    </row>
    <row r="903" spans="2:262" ht="11.25" customHeight="1">
      <c r="B903" s="3312"/>
      <c r="C903" s="3312" t="s">
        <v>1140</v>
      </c>
      <c r="D903" s="3312"/>
      <c r="E903" s="3312"/>
      <c r="F903" s="3312"/>
      <c r="G903" s="3372">
        <f t="shared" ref="G903:P903" si="277">SUM(G901:G902)</f>
        <v>0</v>
      </c>
      <c r="H903" s="3372">
        <f t="shared" si="277"/>
        <v>0</v>
      </c>
      <c r="I903" s="3372">
        <f t="shared" si="277"/>
        <v>0</v>
      </c>
      <c r="J903" s="3372">
        <f t="shared" si="277"/>
        <v>0</v>
      </c>
      <c r="K903" s="3372">
        <f t="shared" si="277"/>
        <v>0</v>
      </c>
      <c r="L903" s="3372">
        <f t="shared" si="277"/>
        <v>0</v>
      </c>
      <c r="M903" s="3372">
        <f t="shared" si="277"/>
        <v>0</v>
      </c>
      <c r="N903" s="3372">
        <f t="shared" si="277"/>
        <v>0</v>
      </c>
      <c r="O903" s="3372">
        <f t="shared" si="277"/>
        <v>0</v>
      </c>
      <c r="P903" s="3372">
        <f t="shared" si="277"/>
        <v>0</v>
      </c>
      <c r="Q903" s="359"/>
      <c r="R903" s="3257"/>
      <c r="S903" s="3257"/>
      <c r="T903" s="3257"/>
      <c r="U903" s="3257"/>
      <c r="V903" s="3257"/>
      <c r="GT903" s="3306"/>
      <c r="GY903" s="3306"/>
      <c r="GZ903" s="3306"/>
      <c r="HA903" s="3306"/>
      <c r="HB903" s="3306"/>
      <c r="HC903" s="3306"/>
      <c r="HD903" s="3306"/>
      <c r="HE903" s="3306"/>
      <c r="HF903" s="3306"/>
      <c r="HG903" s="3306"/>
      <c r="HH903" s="3306"/>
      <c r="HI903" s="3306"/>
      <c r="HJ903" s="3306"/>
      <c r="HK903" s="3306"/>
      <c r="HL903" s="3306"/>
      <c r="HM903" s="3306"/>
      <c r="HN903" s="3306"/>
      <c r="HO903" s="3306"/>
      <c r="HP903" s="3306"/>
      <c r="HQ903" s="3306"/>
      <c r="HR903" s="3306"/>
      <c r="HS903" s="3306"/>
      <c r="HT903" s="3306"/>
      <c r="HU903" s="3306"/>
      <c r="HV903" s="3306"/>
      <c r="HW903" s="3306"/>
      <c r="HX903" s="3306"/>
      <c r="HY903" s="3306"/>
      <c r="HZ903" s="3306"/>
      <c r="IA903" s="3306"/>
      <c r="IB903" s="3306"/>
      <c r="IC903" s="3306"/>
      <c r="ID903" s="3306"/>
      <c r="IK903" s="3303"/>
      <c r="JA903" s="3303"/>
      <c r="JB903" s="3303"/>
    </row>
    <row r="904" spans="2:262" ht="11.25" customHeight="1">
      <c r="B904" s="3367" t="s">
        <v>4785</v>
      </c>
      <c r="C904" s="1087"/>
      <c r="D904" s="1087"/>
      <c r="E904" s="1087"/>
      <c r="F904" s="1087"/>
      <c r="G904" s="3373"/>
      <c r="H904" s="1087"/>
      <c r="I904" s="1087"/>
      <c r="J904" s="1087"/>
      <c r="K904" s="1087"/>
      <c r="L904" s="1087"/>
      <c r="M904" s="1087"/>
      <c r="N904" s="1087"/>
      <c r="O904" s="1087"/>
      <c r="P904" s="1087"/>
      <c r="R904" s="3111" t="str">
        <f>B904</f>
        <v>NOT Included in Mgt Fee:</v>
      </c>
      <c r="GT904" s="3306"/>
      <c r="GY904" s="3306"/>
      <c r="GZ904" s="3306"/>
      <c r="HA904" s="3306"/>
      <c r="HB904" s="3306"/>
      <c r="HC904" s="3306"/>
      <c r="HD904" s="3306"/>
      <c r="HE904" s="3306"/>
      <c r="HF904" s="3306"/>
      <c r="HG904" s="3306"/>
      <c r="HH904" s="3306"/>
      <c r="HI904" s="3306"/>
      <c r="HJ904" s="3306"/>
      <c r="HK904" s="3306"/>
      <c r="HL904" s="3306"/>
      <c r="HM904" s="3306"/>
      <c r="HN904" s="3306"/>
      <c r="HO904" s="3306"/>
      <c r="HP904" s="3306"/>
      <c r="HQ904" s="3306"/>
      <c r="HR904" s="3306"/>
      <c r="HS904" s="3306"/>
      <c r="HT904" s="3306"/>
      <c r="HU904" s="3306"/>
      <c r="HV904" s="3306"/>
      <c r="HW904" s="3306"/>
      <c r="HX904" s="3306"/>
      <c r="HY904" s="3306"/>
      <c r="HZ904" s="3306"/>
      <c r="IA904" s="3306"/>
      <c r="IB904" s="3306"/>
      <c r="IC904" s="3306"/>
      <c r="ID904" s="3306"/>
      <c r="IK904" s="3303"/>
      <c r="JA904" s="3303"/>
      <c r="JB904" s="3303"/>
    </row>
    <row r="905" spans="2:262" ht="11.25" customHeight="1">
      <c r="B905" s="3312" t="s">
        <v>1142</v>
      </c>
      <c r="C905" s="3312"/>
      <c r="D905" s="3312"/>
      <c r="E905" s="3312"/>
      <c r="F905" s="3312"/>
      <c r="G905" s="3370">
        <f>'Part VI-Revenues &amp; Expenses'!G148</f>
        <v>0</v>
      </c>
      <c r="H905" s="3370">
        <f>'Part VI-Revenues &amp; Expenses'!H148</f>
        <v>0</v>
      </c>
      <c r="I905" s="3370">
        <f>'Part VI-Revenues &amp; Expenses'!I148</f>
        <v>0</v>
      </c>
      <c r="J905" s="3370">
        <f>'Part VI-Revenues &amp; Expenses'!J148</f>
        <v>0</v>
      </c>
      <c r="K905" s="3370">
        <f>'Part VI-Revenues &amp; Expenses'!K148</f>
        <v>0</v>
      </c>
      <c r="L905" s="3370">
        <f>'Part VI-Revenues &amp; Expenses'!L148</f>
        <v>0</v>
      </c>
      <c r="M905" s="3370">
        <f>'Part VI-Revenues &amp; Expenses'!M148</f>
        <v>0</v>
      </c>
      <c r="N905" s="3370">
        <f>'Part VI-Revenues &amp; Expenses'!N148</f>
        <v>0</v>
      </c>
      <c r="O905" s="3370">
        <f>'Part VI-Revenues &amp; Expenses'!O148</f>
        <v>0</v>
      </c>
      <c r="P905" s="3370">
        <f>'Part VI-Revenues &amp; Expenses'!P148</f>
        <v>0</v>
      </c>
      <c r="Q905" s="3371"/>
      <c r="R905" s="3257"/>
      <c r="S905" s="3257"/>
      <c r="T905" s="3257"/>
      <c r="U905" s="3257"/>
      <c r="V905" s="3257"/>
      <c r="GT905" s="3306"/>
      <c r="GY905" s="3306"/>
      <c r="GZ905" s="3306"/>
      <c r="HA905" s="3306"/>
      <c r="HB905" s="3306"/>
      <c r="HC905" s="3306"/>
      <c r="HD905" s="3306"/>
      <c r="HE905" s="3306"/>
      <c r="HF905" s="3306"/>
      <c r="HG905" s="3306"/>
      <c r="HH905" s="3306"/>
      <c r="HI905" s="3306"/>
      <c r="HJ905" s="3306"/>
      <c r="HK905" s="3306"/>
      <c r="HL905" s="3306"/>
      <c r="HM905" s="3306"/>
      <c r="HN905" s="3306"/>
      <c r="HO905" s="3306"/>
      <c r="HP905" s="3306"/>
      <c r="HQ905" s="3306"/>
      <c r="HR905" s="3306"/>
      <c r="HS905" s="3306"/>
      <c r="HT905" s="3306"/>
      <c r="HU905" s="3306"/>
      <c r="HV905" s="3306"/>
      <c r="HW905" s="3306"/>
      <c r="HX905" s="3306"/>
      <c r="HY905" s="3306"/>
      <c r="HZ905" s="3306"/>
      <c r="IA905" s="3306"/>
      <c r="IB905" s="3306"/>
      <c r="IC905" s="3306"/>
      <c r="ID905" s="3306"/>
      <c r="IK905" s="3303"/>
      <c r="JA905" s="3303"/>
      <c r="JB905" s="3303"/>
    </row>
    <row r="906" spans="2:262" ht="11.25" customHeight="1">
      <c r="B906" s="3312" t="s">
        <v>592</v>
      </c>
      <c r="C906" s="3312">
        <f>'Part VI-Revenues &amp; Expenses'!C149</f>
        <v>0</v>
      </c>
      <c r="D906" s="3312">
        <f>'Part VI-Revenues &amp; Expenses'!D149</f>
        <v>0</v>
      </c>
      <c r="E906" s="3312">
        <f>'Part VI-Revenues &amp; Expenses'!E149</f>
        <v>0</v>
      </c>
      <c r="F906" s="3312">
        <f>'Part VI-Revenues &amp; Expenses'!F149</f>
        <v>0</v>
      </c>
      <c r="G906" s="3370">
        <f>'Part VI-Revenues &amp; Expenses'!G149</f>
        <v>0</v>
      </c>
      <c r="H906" s="3370">
        <f>'Part VI-Revenues &amp; Expenses'!H149</f>
        <v>0</v>
      </c>
      <c r="I906" s="3370">
        <f>'Part VI-Revenues &amp; Expenses'!I149</f>
        <v>0</v>
      </c>
      <c r="J906" s="3370">
        <f>'Part VI-Revenues &amp; Expenses'!J149</f>
        <v>0</v>
      </c>
      <c r="K906" s="3370">
        <f>'Part VI-Revenues &amp; Expenses'!K149</f>
        <v>0</v>
      </c>
      <c r="L906" s="3370">
        <f>'Part VI-Revenues &amp; Expenses'!L149</f>
        <v>0</v>
      </c>
      <c r="M906" s="3370">
        <f>'Part VI-Revenues &amp; Expenses'!M149</f>
        <v>0</v>
      </c>
      <c r="N906" s="3370">
        <f>'Part VI-Revenues &amp; Expenses'!N149</f>
        <v>0</v>
      </c>
      <c r="O906" s="3370">
        <f>'Part VI-Revenues &amp; Expenses'!O149</f>
        <v>0</v>
      </c>
      <c r="P906" s="3370">
        <f>'Part VI-Revenues &amp; Expenses'!P149</f>
        <v>0</v>
      </c>
      <c r="Q906" s="3371"/>
      <c r="R906" s="3257"/>
      <c r="S906" s="3257"/>
      <c r="T906" s="3257"/>
      <c r="U906" s="3257"/>
      <c r="V906" s="3257"/>
      <c r="GT906" s="3306"/>
      <c r="GY906" s="3306"/>
      <c r="GZ906" s="3306"/>
      <c r="HA906" s="3306"/>
      <c r="HB906" s="3306"/>
      <c r="HC906" s="3306"/>
      <c r="HD906" s="3306"/>
      <c r="HE906" s="3306"/>
      <c r="HF906" s="3306"/>
      <c r="HG906" s="3306"/>
      <c r="HH906" s="3306"/>
      <c r="HI906" s="3306"/>
      <c r="HJ906" s="3306"/>
      <c r="HK906" s="3306"/>
      <c r="HL906" s="3306"/>
      <c r="HM906" s="3306"/>
      <c r="HN906" s="3306"/>
      <c r="HO906" s="3306"/>
      <c r="HP906" s="3306"/>
      <c r="HQ906" s="3306"/>
      <c r="HR906" s="3306"/>
      <c r="HS906" s="3306"/>
      <c r="HT906" s="3306"/>
      <c r="HU906" s="3306"/>
      <c r="HV906" s="3306"/>
      <c r="HW906" s="3306"/>
      <c r="HX906" s="3306"/>
      <c r="HY906" s="3306"/>
      <c r="HZ906" s="3306"/>
      <c r="IA906" s="3306"/>
      <c r="IB906" s="3306"/>
      <c r="IC906" s="3306"/>
      <c r="ID906" s="3306"/>
      <c r="IK906" s="3303"/>
      <c r="JA906" s="3303"/>
      <c r="JB906" s="3303"/>
    </row>
    <row r="907" spans="2:262" ht="11.25" customHeight="1">
      <c r="B907" s="3312"/>
      <c r="C907" s="3312" t="s">
        <v>4786</v>
      </c>
      <c r="D907" s="3312"/>
      <c r="E907" s="3312"/>
      <c r="F907" s="3312"/>
      <c r="G907" s="3372">
        <f t="shared" ref="G907:P907" si="278">SUM(G905:G906)</f>
        <v>0</v>
      </c>
      <c r="H907" s="3372">
        <f t="shared" si="278"/>
        <v>0</v>
      </c>
      <c r="I907" s="3372">
        <f t="shared" si="278"/>
        <v>0</v>
      </c>
      <c r="J907" s="3372">
        <f t="shared" si="278"/>
        <v>0</v>
      </c>
      <c r="K907" s="3372">
        <f t="shared" si="278"/>
        <v>0</v>
      </c>
      <c r="L907" s="3372">
        <f t="shared" si="278"/>
        <v>0</v>
      </c>
      <c r="M907" s="3372">
        <f t="shared" si="278"/>
        <v>0</v>
      </c>
      <c r="N907" s="3372">
        <f t="shared" si="278"/>
        <v>0</v>
      </c>
      <c r="O907" s="3372">
        <f t="shared" si="278"/>
        <v>0</v>
      </c>
      <c r="P907" s="3372">
        <f t="shared" si="278"/>
        <v>0</v>
      </c>
      <c r="Q907" s="359"/>
      <c r="R907" s="3257"/>
      <c r="S907" s="3257"/>
      <c r="T907" s="3257"/>
      <c r="U907" s="3257"/>
      <c r="V907" s="3257"/>
      <c r="GT907" s="3306"/>
      <c r="GY907" s="3306"/>
      <c r="GZ907" s="3306"/>
      <c r="HA907" s="3306"/>
      <c r="HB907" s="3306"/>
      <c r="HC907" s="3306"/>
      <c r="HD907" s="3306"/>
      <c r="HE907" s="3306"/>
      <c r="HF907" s="3306"/>
      <c r="HG907" s="3306"/>
      <c r="HH907" s="3306"/>
      <c r="HI907" s="3306"/>
      <c r="HJ907" s="3306"/>
      <c r="HK907" s="3306"/>
      <c r="HL907" s="3306"/>
      <c r="HM907" s="3306"/>
      <c r="HN907" s="3306"/>
      <c r="HO907" s="3306"/>
      <c r="HP907" s="3306"/>
      <c r="HQ907" s="3306"/>
      <c r="HR907" s="3306"/>
      <c r="HS907" s="3306"/>
      <c r="HT907" s="3306"/>
      <c r="HU907" s="3306"/>
      <c r="HV907" s="3306"/>
      <c r="HW907" s="3306"/>
      <c r="HX907" s="3306"/>
      <c r="HY907" s="3306"/>
      <c r="HZ907" s="3306"/>
      <c r="IA907" s="3306"/>
      <c r="IB907" s="3306"/>
      <c r="IC907" s="3306"/>
      <c r="ID907" s="3306"/>
      <c r="IK907" s="3303"/>
      <c r="JA907" s="3303"/>
      <c r="JB907" s="3303"/>
    </row>
    <row r="908" spans="2:262" ht="3" customHeight="1">
      <c r="B908" s="3361"/>
      <c r="C908" s="1087"/>
      <c r="D908" s="1087"/>
      <c r="E908" s="1087"/>
      <c r="F908" s="1087"/>
      <c r="G908" s="3373"/>
      <c r="H908" s="1087"/>
      <c r="I908" s="1087"/>
      <c r="J908" s="1087"/>
      <c r="K908" s="1087"/>
      <c r="L908" s="1087"/>
      <c r="M908" s="1087"/>
      <c r="N908" s="1087"/>
      <c r="O908" s="1087"/>
      <c r="P908" s="1087"/>
      <c r="GT908" s="3306"/>
      <c r="GY908" s="3306"/>
      <c r="GZ908" s="3306"/>
      <c r="HA908" s="3306"/>
      <c r="HB908" s="3306"/>
      <c r="HC908" s="3306"/>
      <c r="HD908" s="3306"/>
      <c r="HE908" s="3306"/>
      <c r="HF908" s="3306"/>
      <c r="HG908" s="3306"/>
      <c r="HH908" s="3306"/>
      <c r="HI908" s="3306"/>
      <c r="HJ908" s="3306"/>
      <c r="HK908" s="3306"/>
      <c r="HL908" s="3306"/>
      <c r="HM908" s="3306"/>
      <c r="HN908" s="3306"/>
      <c r="HO908" s="3306"/>
      <c r="HP908" s="3306"/>
      <c r="HQ908" s="3306"/>
      <c r="HR908" s="3306"/>
      <c r="HS908" s="3306"/>
      <c r="HT908" s="3306"/>
      <c r="HU908" s="3306"/>
      <c r="HV908" s="3306"/>
      <c r="HW908" s="3306"/>
      <c r="HX908" s="3306"/>
      <c r="HY908" s="3306"/>
      <c r="HZ908" s="3306"/>
      <c r="IA908" s="3306"/>
      <c r="IB908" s="3306"/>
      <c r="IC908" s="3306"/>
      <c r="ID908" s="3306"/>
      <c r="IK908" s="3303"/>
      <c r="JA908" s="3303"/>
      <c r="JB908" s="3303"/>
    </row>
    <row r="909" spans="2:262" ht="11.25" customHeight="1">
      <c r="B909" s="3367" t="s">
        <v>1138</v>
      </c>
      <c r="C909" s="1087"/>
      <c r="D909" s="1087"/>
      <c r="E909" s="1087"/>
      <c r="F909" s="1087"/>
      <c r="G909" s="3368">
        <v>31</v>
      </c>
      <c r="H909" s="3368">
        <v>32</v>
      </c>
      <c r="I909" s="3368">
        <v>33</v>
      </c>
      <c r="J909" s="3368">
        <v>34</v>
      </c>
      <c r="K909" s="3368">
        <v>35</v>
      </c>
      <c r="L909" s="1087"/>
      <c r="M909" s="1087"/>
      <c r="N909" s="1087"/>
      <c r="O909" s="1087"/>
      <c r="P909" s="1087"/>
      <c r="R909" s="3337" t="s">
        <v>1145</v>
      </c>
      <c r="S909" s="3111" t="str">
        <f>B909</f>
        <v>Included in Mgt Fee:</v>
      </c>
      <c r="GT909" s="3306"/>
      <c r="GY909" s="3306"/>
      <c r="GZ909" s="3306"/>
      <c r="HA909" s="3306"/>
      <c r="HB909" s="3306"/>
      <c r="HC909" s="3306"/>
      <c r="HD909" s="3306"/>
      <c r="HE909" s="3306"/>
      <c r="HF909" s="3306"/>
      <c r="HG909" s="3306"/>
      <c r="HH909" s="3306"/>
      <c r="HI909" s="3306"/>
      <c r="HJ909" s="3306"/>
      <c r="HK909" s="3306"/>
      <c r="HL909" s="3306"/>
      <c r="HM909" s="3306"/>
      <c r="HN909" s="3306"/>
      <c r="HO909" s="3306"/>
      <c r="HP909" s="3306"/>
      <c r="HQ909" s="3306"/>
      <c r="HR909" s="3306"/>
      <c r="HS909" s="3306"/>
      <c r="HT909" s="3306"/>
      <c r="HU909" s="3306"/>
      <c r="HV909" s="3306"/>
      <c r="HW909" s="3306"/>
      <c r="HX909" s="3306"/>
      <c r="HY909" s="3306"/>
      <c r="HZ909" s="3306"/>
      <c r="IA909" s="3306"/>
      <c r="IB909" s="3306"/>
      <c r="IC909" s="3306"/>
      <c r="ID909" s="3306"/>
      <c r="IK909" s="3303"/>
      <c r="JA909" s="3303"/>
      <c r="JB909" s="3303"/>
    </row>
    <row r="910" spans="2:262" ht="11.25" customHeight="1">
      <c r="B910" s="3312" t="s">
        <v>1139</v>
      </c>
      <c r="C910" s="3312"/>
      <c r="D910" s="3312"/>
      <c r="E910" s="3312"/>
      <c r="F910" s="3312"/>
      <c r="G910" s="3370">
        <f>'Part VI-Revenues &amp; Expenses'!G153</f>
        <v>0</v>
      </c>
      <c r="H910" s="3370">
        <f>'Part VI-Revenues &amp; Expenses'!H153</f>
        <v>0</v>
      </c>
      <c r="I910" s="3370">
        <f>'Part VI-Revenues &amp; Expenses'!I153</f>
        <v>0</v>
      </c>
      <c r="J910" s="3370">
        <f>'Part VI-Revenues &amp; Expenses'!J153</f>
        <v>0</v>
      </c>
      <c r="K910" s="3370">
        <f>'Part VI-Revenues &amp; Expenses'!K153</f>
        <v>0</v>
      </c>
      <c r="L910" s="1087"/>
      <c r="M910" s="1087"/>
      <c r="N910" s="1087"/>
      <c r="O910" s="1087"/>
      <c r="P910" s="1087"/>
      <c r="R910" s="3257"/>
      <c r="S910" s="3257"/>
      <c r="T910" s="3257"/>
      <c r="U910" s="3257"/>
      <c r="V910" s="3257"/>
      <c r="GT910" s="3306"/>
      <c r="GY910" s="3306"/>
      <c r="GZ910" s="3306"/>
      <c r="HA910" s="3306"/>
      <c r="HB910" s="3306"/>
      <c r="HC910" s="3306"/>
      <c r="HD910" s="3306"/>
      <c r="HE910" s="3306"/>
      <c r="HF910" s="3306"/>
      <c r="HG910" s="3306"/>
      <c r="HH910" s="3306"/>
      <c r="HI910" s="3306"/>
      <c r="HJ910" s="3306"/>
      <c r="HK910" s="3306"/>
      <c r="HL910" s="3306"/>
      <c r="HM910" s="3306"/>
      <c r="HN910" s="3306"/>
      <c r="HO910" s="3306"/>
      <c r="HP910" s="3306"/>
      <c r="HQ910" s="3306"/>
      <c r="HR910" s="3306"/>
      <c r="HS910" s="3306"/>
      <c r="HT910" s="3306"/>
      <c r="HU910" s="3306"/>
      <c r="HV910" s="3306"/>
      <c r="HW910" s="3306"/>
      <c r="HX910" s="3306"/>
      <c r="HY910" s="3306"/>
      <c r="HZ910" s="3306"/>
      <c r="IA910" s="3306"/>
      <c r="IB910" s="3306"/>
      <c r="IC910" s="3306"/>
      <c r="ID910" s="3306"/>
      <c r="IK910" s="3303"/>
      <c r="JA910" s="3303"/>
      <c r="JB910" s="3303"/>
    </row>
    <row r="911" spans="2:262" ht="11.25" customHeight="1">
      <c r="B911" s="3312" t="s">
        <v>592</v>
      </c>
      <c r="C911" s="3312">
        <f>'Part VI-Revenues &amp; Expenses'!C154</f>
        <v>0</v>
      </c>
      <c r="D911" s="3312">
        <f>'Part VI-Revenues &amp; Expenses'!D154</f>
        <v>0</v>
      </c>
      <c r="E911" s="3312">
        <f>'Part VI-Revenues &amp; Expenses'!E154</f>
        <v>0</v>
      </c>
      <c r="F911" s="3312">
        <f>'Part VI-Revenues &amp; Expenses'!F154</f>
        <v>0</v>
      </c>
      <c r="G911" s="3370">
        <f>'Part VI-Revenues &amp; Expenses'!G154</f>
        <v>0</v>
      </c>
      <c r="H911" s="3370">
        <f>'Part VI-Revenues &amp; Expenses'!H154</f>
        <v>0</v>
      </c>
      <c r="I911" s="3370">
        <f>'Part VI-Revenues &amp; Expenses'!I154</f>
        <v>0</v>
      </c>
      <c r="J911" s="3370">
        <f>'Part VI-Revenues &amp; Expenses'!J154</f>
        <v>0</v>
      </c>
      <c r="K911" s="3370">
        <f>'Part VI-Revenues &amp; Expenses'!K154</f>
        <v>0</v>
      </c>
      <c r="L911" s="1087"/>
      <c r="M911" s="1087"/>
      <c r="N911" s="1087"/>
      <c r="O911" s="1087"/>
      <c r="P911" s="1087"/>
      <c r="R911" s="3257"/>
      <c r="S911" s="3257"/>
      <c r="T911" s="3257"/>
      <c r="U911" s="3257"/>
      <c r="V911" s="3257"/>
      <c r="GT911" s="3306"/>
      <c r="GY911" s="3306"/>
      <c r="GZ911" s="3306"/>
      <c r="HA911" s="3306"/>
      <c r="HB911" s="3306"/>
      <c r="HC911" s="3306"/>
      <c r="HD911" s="3306"/>
      <c r="HE911" s="3306"/>
      <c r="HF911" s="3306"/>
      <c r="HG911" s="3306"/>
      <c r="HH911" s="3306"/>
      <c r="HI911" s="3306"/>
      <c r="HJ911" s="3306"/>
      <c r="HK911" s="3306"/>
      <c r="HL911" s="3306"/>
      <c r="HM911" s="3306"/>
      <c r="HN911" s="3306"/>
      <c r="HO911" s="3306"/>
      <c r="HP911" s="3306"/>
      <c r="HQ911" s="3306"/>
      <c r="HR911" s="3306"/>
      <c r="HS911" s="3306"/>
      <c r="HT911" s="3306"/>
      <c r="HU911" s="3306"/>
      <c r="HV911" s="3306"/>
      <c r="HW911" s="3306"/>
      <c r="HX911" s="3306"/>
      <c r="HY911" s="3306"/>
      <c r="HZ911" s="3306"/>
      <c r="IA911" s="3306"/>
      <c r="IB911" s="3306"/>
      <c r="IC911" s="3306"/>
      <c r="ID911" s="3306"/>
      <c r="IK911" s="3303"/>
      <c r="JA911" s="3303"/>
      <c r="JB911" s="3303"/>
    </row>
    <row r="912" spans="2:262" ht="11.25" customHeight="1">
      <c r="B912" s="3312"/>
      <c r="C912" s="3312" t="s">
        <v>1140</v>
      </c>
      <c r="D912" s="3312"/>
      <c r="E912" s="3312"/>
      <c r="F912" s="3312"/>
      <c r="G912" s="3372">
        <f>SUM(G910:G911)</f>
        <v>0</v>
      </c>
      <c r="H912" s="3372">
        <f>SUM(H910:H911)</f>
        <v>0</v>
      </c>
      <c r="I912" s="3372">
        <f>SUM(I910:I911)</f>
        <v>0</v>
      </c>
      <c r="J912" s="3372">
        <f>SUM(J910:J911)</f>
        <v>0</v>
      </c>
      <c r="K912" s="3372">
        <f>SUM(K910:K911)</f>
        <v>0</v>
      </c>
      <c r="L912" s="1087"/>
      <c r="M912" s="1087"/>
      <c r="N912" s="1087"/>
      <c r="O912" s="1087"/>
      <c r="P912" s="1087"/>
      <c r="R912" s="3257"/>
      <c r="S912" s="3257"/>
      <c r="T912" s="3257"/>
      <c r="U912" s="3257"/>
      <c r="V912" s="3257"/>
      <c r="GT912" s="3306"/>
      <c r="GY912" s="3306"/>
      <c r="GZ912" s="3306"/>
      <c r="HA912" s="3306"/>
      <c r="HB912" s="3306"/>
      <c r="HC912" s="3306"/>
      <c r="HD912" s="3306"/>
      <c r="HE912" s="3306"/>
      <c r="HF912" s="3306"/>
      <c r="HG912" s="3306"/>
      <c r="HH912" s="3306"/>
      <c r="HI912" s="3306"/>
      <c r="HJ912" s="3306"/>
      <c r="HK912" s="3306"/>
      <c r="HL912" s="3306"/>
      <c r="HM912" s="3306"/>
      <c r="HN912" s="3306"/>
      <c r="HO912" s="3306"/>
      <c r="HP912" s="3306"/>
      <c r="HQ912" s="3306"/>
      <c r="HR912" s="3306"/>
      <c r="HS912" s="3306"/>
      <c r="HT912" s="3306"/>
      <c r="HU912" s="3306"/>
      <c r="HV912" s="3306"/>
      <c r="HW912" s="3306"/>
      <c r="HX912" s="3306"/>
      <c r="HY912" s="3306"/>
      <c r="HZ912" s="3306"/>
      <c r="IA912" s="3306"/>
      <c r="IB912" s="3306"/>
      <c r="IC912" s="3306"/>
      <c r="ID912" s="3306"/>
      <c r="IK912" s="3303"/>
      <c r="JA912" s="3303"/>
      <c r="JB912" s="3303"/>
    </row>
    <row r="913" spans="1:262" ht="11.25" customHeight="1">
      <c r="B913" s="3367" t="s">
        <v>4785</v>
      </c>
      <c r="C913" s="1087"/>
      <c r="D913" s="1087"/>
      <c r="E913" s="1087"/>
      <c r="F913" s="1087"/>
      <c r="G913" s="3373"/>
      <c r="H913" s="1087"/>
      <c r="I913" s="1087"/>
      <c r="J913" s="1087"/>
      <c r="K913" s="1087"/>
      <c r="L913" s="1087"/>
      <c r="M913" s="1087"/>
      <c r="N913" s="1087"/>
      <c r="O913" s="1087"/>
      <c r="P913" s="1087"/>
      <c r="R913" s="3111" t="str">
        <f>B913</f>
        <v>NOT Included in Mgt Fee:</v>
      </c>
      <c r="GT913" s="3306"/>
      <c r="GY913" s="3306"/>
      <c r="GZ913" s="3306"/>
      <c r="HA913" s="3306"/>
      <c r="HB913" s="3306"/>
      <c r="HC913" s="3306"/>
      <c r="HD913" s="3306"/>
      <c r="HE913" s="3306"/>
      <c r="HF913" s="3306"/>
      <c r="HG913" s="3306"/>
      <c r="HH913" s="3306"/>
      <c r="HI913" s="3306"/>
      <c r="HJ913" s="3306"/>
      <c r="HK913" s="3306"/>
      <c r="HL913" s="3306"/>
      <c r="HM913" s="3306"/>
      <c r="HN913" s="3306"/>
      <c r="HO913" s="3306"/>
      <c r="HP913" s="3306"/>
      <c r="HQ913" s="3306"/>
      <c r="HR913" s="3306"/>
      <c r="HS913" s="3306"/>
      <c r="HT913" s="3306"/>
      <c r="HU913" s="3306"/>
      <c r="HV913" s="3306"/>
      <c r="HW913" s="3306"/>
      <c r="HX913" s="3306"/>
      <c r="HY913" s="3306"/>
      <c r="HZ913" s="3306"/>
      <c r="IA913" s="3306"/>
      <c r="IB913" s="3306"/>
      <c r="IC913" s="3306"/>
      <c r="ID913" s="3306"/>
      <c r="IK913" s="3303"/>
      <c r="JA913" s="3303"/>
      <c r="JB913" s="3303"/>
    </row>
    <row r="914" spans="1:262" ht="11.25" customHeight="1">
      <c r="B914" s="3312" t="s">
        <v>1142</v>
      </c>
      <c r="C914" s="3312"/>
      <c r="D914" s="3312"/>
      <c r="E914" s="3312"/>
      <c r="F914" s="3312"/>
      <c r="G914" s="3370">
        <f>'Part VI-Revenues &amp; Expenses'!G157</f>
        <v>0</v>
      </c>
      <c r="H914" s="3370">
        <f>'Part VI-Revenues &amp; Expenses'!H157</f>
        <v>0</v>
      </c>
      <c r="I914" s="3370">
        <f>'Part VI-Revenues &amp; Expenses'!I157</f>
        <v>0</v>
      </c>
      <c r="J914" s="3370">
        <f>'Part VI-Revenues &amp; Expenses'!J157</f>
        <v>0</v>
      </c>
      <c r="K914" s="3374">
        <f>'Part VI-Revenues &amp; Expenses'!K157</f>
        <v>0</v>
      </c>
      <c r="L914" s="1087"/>
      <c r="M914" s="1087"/>
      <c r="N914" s="1087"/>
      <c r="O914" s="1087"/>
      <c r="P914" s="1087"/>
      <c r="R914" s="3257"/>
      <c r="S914" s="3257"/>
      <c r="T914" s="3257"/>
      <c r="U914" s="3257"/>
      <c r="V914" s="3257"/>
      <c r="GT914" s="3306"/>
      <c r="GY914" s="3306"/>
      <c r="GZ914" s="3306"/>
      <c r="HA914" s="3306"/>
      <c r="HB914" s="3306"/>
      <c r="HC914" s="3306"/>
      <c r="HD914" s="3306"/>
      <c r="HE914" s="3306"/>
      <c r="HF914" s="3306"/>
      <c r="HG914" s="3306"/>
      <c r="HH914" s="3306"/>
      <c r="HI914" s="3306"/>
      <c r="HJ914" s="3306"/>
      <c r="HK914" s="3306"/>
      <c r="HL914" s="3306"/>
      <c r="HM914" s="3306"/>
      <c r="HN914" s="3306"/>
      <c r="HO914" s="3306"/>
      <c r="HP914" s="3306"/>
      <c r="HQ914" s="3306"/>
      <c r="HR914" s="3306"/>
      <c r="HS914" s="3306"/>
      <c r="HT914" s="3306"/>
      <c r="HU914" s="3306"/>
      <c r="HV914" s="3306"/>
      <c r="HW914" s="3306"/>
      <c r="HX914" s="3306"/>
      <c r="HY914" s="3306"/>
      <c r="HZ914" s="3306"/>
      <c r="IA914" s="3306"/>
      <c r="IB914" s="3306"/>
      <c r="IC914" s="3306"/>
      <c r="ID914" s="3306"/>
      <c r="IK914" s="3303"/>
      <c r="JA914" s="3303"/>
      <c r="JB914" s="3303"/>
    </row>
    <row r="915" spans="1:262" ht="11.25" customHeight="1">
      <c r="B915" s="3312" t="s">
        <v>592</v>
      </c>
      <c r="C915" s="3312">
        <f>'Part VI-Revenues &amp; Expenses'!C158</f>
        <v>0</v>
      </c>
      <c r="D915" s="3312">
        <f>'Part VI-Revenues &amp; Expenses'!D158</f>
        <v>0</v>
      </c>
      <c r="E915" s="3312">
        <f>'Part VI-Revenues &amp; Expenses'!E158</f>
        <v>0</v>
      </c>
      <c r="F915" s="3312">
        <f>'Part VI-Revenues &amp; Expenses'!F158</f>
        <v>0</v>
      </c>
      <c r="G915" s="3370">
        <f>'Part VI-Revenues &amp; Expenses'!G158</f>
        <v>0</v>
      </c>
      <c r="H915" s="3370">
        <f>'Part VI-Revenues &amp; Expenses'!H158</f>
        <v>0</v>
      </c>
      <c r="I915" s="3370">
        <f>'Part VI-Revenues &amp; Expenses'!I158</f>
        <v>0</v>
      </c>
      <c r="J915" s="3370">
        <f>'Part VI-Revenues &amp; Expenses'!J158</f>
        <v>0</v>
      </c>
      <c r="K915" s="3374">
        <f>'Part VI-Revenues &amp; Expenses'!K158</f>
        <v>0</v>
      </c>
      <c r="L915" s="1087"/>
      <c r="M915" s="1087"/>
      <c r="N915" s="1087"/>
      <c r="O915" s="1087"/>
      <c r="P915" s="1087"/>
      <c r="R915" s="3257"/>
      <c r="S915" s="3257"/>
      <c r="T915" s="3257"/>
      <c r="U915" s="3257"/>
      <c r="V915" s="3257"/>
      <c r="GT915" s="3306"/>
      <c r="GY915" s="3306"/>
      <c r="GZ915" s="3306"/>
      <c r="HA915" s="3306"/>
      <c r="HB915" s="3306"/>
      <c r="HC915" s="3306"/>
      <c r="HD915" s="3306"/>
      <c r="HE915" s="3306"/>
      <c r="HF915" s="3306"/>
      <c r="HG915" s="3306"/>
      <c r="HH915" s="3306"/>
      <c r="HI915" s="3306"/>
      <c r="HJ915" s="3306"/>
      <c r="HK915" s="3306"/>
      <c r="HL915" s="3306"/>
      <c r="HM915" s="3306"/>
      <c r="HN915" s="3306"/>
      <c r="HO915" s="3306"/>
      <c r="HP915" s="3306"/>
      <c r="HQ915" s="3306"/>
      <c r="HR915" s="3306"/>
      <c r="HS915" s="3306"/>
      <c r="HT915" s="3306"/>
      <c r="HU915" s="3306"/>
      <c r="HV915" s="3306"/>
      <c r="HW915" s="3306"/>
      <c r="HX915" s="3306"/>
      <c r="HY915" s="3306"/>
      <c r="HZ915" s="3306"/>
      <c r="IA915" s="3306"/>
      <c r="IB915" s="3306"/>
      <c r="IC915" s="3306"/>
      <c r="ID915" s="3306"/>
      <c r="IK915" s="3303"/>
      <c r="JA915" s="3303"/>
      <c r="JB915" s="3303"/>
    </row>
    <row r="916" spans="1:262" ht="11.25" customHeight="1">
      <c r="B916" s="3312"/>
      <c r="C916" s="3312" t="s">
        <v>4786</v>
      </c>
      <c r="D916" s="3312"/>
      <c r="E916" s="3312"/>
      <c r="F916" s="3312"/>
      <c r="G916" s="3372">
        <f>SUM(G914:G915)</f>
        <v>0</v>
      </c>
      <c r="H916" s="3372">
        <f>SUM(H914:H915)</f>
        <v>0</v>
      </c>
      <c r="I916" s="3372">
        <f>SUM(I914:I915)</f>
        <v>0</v>
      </c>
      <c r="J916" s="3372">
        <f>SUM(J914:J915)</f>
        <v>0</v>
      </c>
      <c r="K916" s="3372">
        <f>SUM(K914:K915)</f>
        <v>0</v>
      </c>
      <c r="L916" s="1087"/>
      <c r="M916" s="1087"/>
      <c r="N916" s="1087"/>
      <c r="O916" s="1087"/>
      <c r="P916" s="1087"/>
      <c r="R916" s="3257"/>
      <c r="S916" s="3257"/>
      <c r="T916" s="3257"/>
      <c r="U916" s="3257"/>
      <c r="V916" s="3257"/>
      <c r="GT916" s="3306"/>
      <c r="GY916" s="3306"/>
      <c r="GZ916" s="3306"/>
      <c r="HA916" s="3306"/>
      <c r="HB916" s="3306"/>
      <c r="HC916" s="3306"/>
      <c r="HD916" s="3306"/>
      <c r="HE916" s="3306"/>
      <c r="HF916" s="3306"/>
      <c r="HG916" s="3306"/>
      <c r="HH916" s="3306"/>
      <c r="HI916" s="3306"/>
      <c r="HJ916" s="3306"/>
      <c r="HK916" s="3306"/>
      <c r="HL916" s="3306"/>
      <c r="HM916" s="3306"/>
      <c r="HN916" s="3306"/>
      <c r="HO916" s="3306"/>
      <c r="HP916" s="3306"/>
      <c r="HQ916" s="3306"/>
      <c r="HR916" s="3306"/>
      <c r="HS916" s="3306"/>
      <c r="HT916" s="3306"/>
      <c r="HU916" s="3306"/>
      <c r="HV916" s="3306"/>
      <c r="HW916" s="3306"/>
      <c r="HX916" s="3306"/>
      <c r="HY916" s="3306"/>
      <c r="HZ916" s="3306"/>
      <c r="IA916" s="3306"/>
      <c r="IB916" s="3306"/>
      <c r="IC916" s="3306"/>
      <c r="ID916" s="3306"/>
      <c r="IK916" s="3303"/>
      <c r="JA916" s="3303"/>
      <c r="JB916" s="3303"/>
    </row>
    <row r="917" spans="1:262" ht="2.25" customHeight="1">
      <c r="B917" s="3303"/>
      <c r="F917" s="3375"/>
      <c r="G917" s="3375"/>
      <c r="GT917" s="3306"/>
      <c r="GY917" s="3306"/>
      <c r="GZ917" s="3306"/>
      <c r="HA917" s="3306"/>
      <c r="HB917" s="3306"/>
      <c r="HC917" s="3306"/>
      <c r="HD917" s="3306"/>
      <c r="HE917" s="3306"/>
      <c r="HF917" s="3306"/>
      <c r="HG917" s="3306"/>
      <c r="HH917" s="3306"/>
      <c r="HI917" s="3306"/>
      <c r="HJ917" s="3306"/>
      <c r="HK917" s="3306"/>
      <c r="HL917" s="3306"/>
      <c r="HM917" s="3306"/>
      <c r="HN917" s="3306"/>
      <c r="HO917" s="3306"/>
      <c r="HP917" s="3306"/>
      <c r="HQ917" s="3306"/>
      <c r="HR917" s="3306"/>
      <c r="HS917" s="3306"/>
      <c r="HT917" s="3306"/>
      <c r="HU917" s="3306"/>
      <c r="HV917" s="3306"/>
      <c r="HW917" s="3306"/>
      <c r="HX917" s="3306"/>
      <c r="HY917" s="3306"/>
      <c r="HZ917" s="3306"/>
      <c r="IA917" s="3306"/>
      <c r="IB917" s="3306"/>
      <c r="IC917" s="3306"/>
      <c r="ID917" s="3306"/>
      <c r="IK917" s="3303"/>
      <c r="JA917" s="3303"/>
      <c r="JB917" s="3303"/>
    </row>
    <row r="918" spans="1:262" s="3111" customFormat="1" ht="11.25" customHeight="1">
      <c r="A918" s="3300" t="s">
        <v>57</v>
      </c>
      <c r="B918" s="3301" t="s">
        <v>1146</v>
      </c>
      <c r="C918" s="3301"/>
      <c r="D918" s="3301"/>
      <c r="E918" s="3301"/>
      <c r="F918" s="3301"/>
      <c r="G918" s="3301"/>
      <c r="H918" s="3301"/>
      <c r="I918" s="3301"/>
      <c r="J918" s="3301"/>
      <c r="K918" s="3301"/>
      <c r="M918" s="3342"/>
      <c r="N918" s="3310"/>
      <c r="O918" s="3310"/>
      <c r="R918" s="3300" t="str">
        <f>B918</f>
        <v>ANNUAL OPERATING EXPENSE BUDGET</v>
      </c>
      <c r="S918" s="523"/>
      <c r="W918" s="523"/>
      <c r="GT918" s="3310"/>
      <c r="GY918" s="3310"/>
      <c r="GZ918" s="3310"/>
      <c r="HA918" s="3310"/>
      <c r="HB918" s="3310"/>
      <c r="HC918" s="3310"/>
      <c r="HD918" s="3310"/>
      <c r="HE918" s="3310"/>
      <c r="HF918" s="3310"/>
      <c r="HG918" s="3310"/>
      <c r="HH918" s="3310"/>
      <c r="HI918" s="3310"/>
      <c r="HJ918" s="3310"/>
      <c r="HK918" s="3310"/>
      <c r="HL918" s="3310"/>
      <c r="HM918" s="3310"/>
      <c r="HN918" s="3310"/>
      <c r="HO918" s="3310"/>
      <c r="HP918" s="3310"/>
      <c r="HQ918" s="3310"/>
      <c r="HR918" s="3310"/>
      <c r="HS918" s="3310"/>
      <c r="HT918" s="3310"/>
      <c r="HU918" s="3310"/>
      <c r="HV918" s="3310"/>
      <c r="HW918" s="3310"/>
      <c r="HX918" s="3310"/>
      <c r="HY918" s="3310"/>
      <c r="HZ918" s="3310"/>
      <c r="IA918" s="3310"/>
      <c r="IB918" s="3310"/>
      <c r="IC918" s="3310"/>
      <c r="ID918" s="3310"/>
      <c r="IK918" s="3300"/>
      <c r="JA918" s="3300"/>
      <c r="JB918" s="3300"/>
    </row>
    <row r="919" spans="1:262" s="3111" customFormat="1" ht="9" customHeight="1">
      <c r="B919" s="3301"/>
      <c r="C919" s="3301"/>
      <c r="D919" s="3301"/>
      <c r="E919" s="3301"/>
      <c r="F919" s="3301"/>
      <c r="G919" s="3301"/>
      <c r="H919" s="3301"/>
      <c r="I919" s="3301"/>
      <c r="J919" s="3301"/>
      <c r="R919" s="3376" t="s">
        <v>851</v>
      </c>
      <c r="S919" s="3376"/>
      <c r="GT919" s="3310"/>
      <c r="GY919" s="3310"/>
      <c r="GZ919" s="3310"/>
      <c r="HA919" s="3310"/>
      <c r="HB919" s="3310"/>
      <c r="HC919" s="3310"/>
      <c r="HD919" s="3310"/>
      <c r="HE919" s="3310"/>
      <c r="HF919" s="3310"/>
      <c r="HG919" s="3310"/>
      <c r="HH919" s="3310"/>
      <c r="HI919" s="3310"/>
      <c r="HJ919" s="3310"/>
      <c r="HK919" s="3310"/>
      <c r="HL919" s="3310"/>
      <c r="HM919" s="3310"/>
      <c r="HN919" s="3310"/>
      <c r="HO919" s="3310"/>
      <c r="HP919" s="3310"/>
      <c r="HQ919" s="3310"/>
      <c r="HR919" s="3310"/>
      <c r="HS919" s="3310"/>
      <c r="HT919" s="3310"/>
      <c r="HU919" s="3310"/>
      <c r="HV919" s="3310"/>
      <c r="HW919" s="3310"/>
      <c r="HX919" s="3310"/>
      <c r="HY919" s="3310"/>
      <c r="HZ919" s="3310"/>
      <c r="IA919" s="3310"/>
      <c r="IB919" s="3310"/>
      <c r="IC919" s="3310"/>
      <c r="ID919" s="3310"/>
      <c r="IK919" s="3300"/>
      <c r="JA919" s="3300"/>
      <c r="JB919" s="3300"/>
    </row>
    <row r="920" spans="1:262" s="3111" customFormat="1" ht="13.15" customHeight="1">
      <c r="B920" s="3300" t="s">
        <v>1147</v>
      </c>
      <c r="F920" s="523"/>
      <c r="G920" s="523"/>
      <c r="I920" s="3300" t="s">
        <v>1148</v>
      </c>
      <c r="N920" s="3300" t="s">
        <v>1149</v>
      </c>
      <c r="R920" s="3257"/>
      <c r="S920" s="3257"/>
      <c r="T920" s="3257"/>
      <c r="U920" s="3257"/>
      <c r="V920" s="3257"/>
      <c r="W920" s="523"/>
      <c r="GT920" s="3310"/>
      <c r="GY920" s="3310"/>
      <c r="GZ920" s="3310"/>
      <c r="HA920" s="3310"/>
      <c r="HB920" s="3310"/>
      <c r="HC920" s="3310"/>
      <c r="HD920" s="3310"/>
      <c r="HE920" s="3310"/>
      <c r="HF920" s="3310"/>
      <c r="HG920" s="3310"/>
      <c r="HH920" s="3310"/>
      <c r="HI920" s="3310"/>
      <c r="HJ920" s="3310"/>
      <c r="HK920" s="3310"/>
      <c r="HL920" s="3310"/>
      <c r="HM920" s="3310"/>
      <c r="HN920" s="3310"/>
      <c r="HO920" s="3310"/>
      <c r="HP920" s="3310"/>
      <c r="HQ920" s="3310"/>
      <c r="HR920" s="3310"/>
      <c r="HS920" s="3310"/>
      <c r="HT920" s="3310"/>
      <c r="HU920" s="3310"/>
      <c r="HV920" s="3310"/>
      <c r="HW920" s="3310"/>
      <c r="HX920" s="3310"/>
      <c r="HY920" s="3310"/>
      <c r="HZ920" s="3310"/>
      <c r="IA920" s="3310"/>
      <c r="IB920" s="3310"/>
      <c r="IC920" s="3310"/>
      <c r="ID920" s="3310"/>
      <c r="IK920" s="3300"/>
      <c r="JA920" s="3300"/>
      <c r="JB920" s="3300"/>
    </row>
    <row r="921" spans="1:262" s="3111" customFormat="1" ht="15.6" customHeight="1">
      <c r="B921" s="3111" t="s">
        <v>1150</v>
      </c>
      <c r="F921" s="3360">
        <f>'Part VI-Revenues &amp; Expenses'!F164</f>
        <v>43500</v>
      </c>
      <c r="G921" s="3360">
        <f>'Part VI-Revenues &amp; Expenses'!G164</f>
        <v>0</v>
      </c>
      <c r="I921" s="3111" t="s">
        <v>1151</v>
      </c>
      <c r="K921" s="3360">
        <f>'Part VI-Revenues &amp; Expenses'!K164</f>
        <v>0</v>
      </c>
      <c r="L921" s="3360">
        <f>'Part VI-Revenues &amp; Expenses'!L164</f>
        <v>0</v>
      </c>
      <c r="N921" s="3111" t="s">
        <v>1152</v>
      </c>
      <c r="P921" s="3371">
        <f>'Part VI-Revenues &amp; Expenses'!P164</f>
        <v>115000</v>
      </c>
      <c r="Q921" s="3371"/>
      <c r="R921" s="3257"/>
      <c r="S921" s="3257"/>
      <c r="T921" s="3257"/>
      <c r="U921" s="3257"/>
      <c r="V921" s="3257"/>
      <c r="W921" s="523"/>
      <c r="GT921" s="3310"/>
      <c r="GY921" s="3310"/>
      <c r="GZ921" s="3310"/>
      <c r="HA921" s="3310"/>
      <c r="HB921" s="3310"/>
      <c r="HC921" s="3310"/>
      <c r="HD921" s="3310"/>
      <c r="HE921" s="3310"/>
      <c r="HF921" s="3310"/>
      <c r="HG921" s="3310"/>
      <c r="HH921" s="3310"/>
      <c r="HI921" s="3310"/>
      <c r="HJ921" s="3310"/>
      <c r="HK921" s="3310"/>
      <c r="HL921" s="3310"/>
      <c r="HM921" s="3310"/>
      <c r="HN921" s="3310"/>
      <c r="HO921" s="3310"/>
      <c r="HP921" s="3310"/>
      <c r="HQ921" s="3310"/>
      <c r="HR921" s="3310"/>
      <c r="HS921" s="3310"/>
      <c r="HT921" s="3310"/>
      <c r="HU921" s="3310"/>
      <c r="HV921" s="3310"/>
      <c r="HW921" s="3310"/>
      <c r="HX921" s="3310"/>
      <c r="HY921" s="3310"/>
      <c r="HZ921" s="3310"/>
      <c r="IA921" s="3310"/>
      <c r="IB921" s="3310"/>
      <c r="IC921" s="3310"/>
      <c r="ID921" s="3310"/>
      <c r="IK921" s="3300"/>
      <c r="JA921" s="3300"/>
      <c r="JB921" s="3300"/>
    </row>
    <row r="922" spans="1:262" s="3111" customFormat="1" ht="15.6" customHeight="1">
      <c r="B922" s="3111" t="s">
        <v>1153</v>
      </c>
      <c r="F922" s="3360">
        <f>'Part VI-Revenues &amp; Expenses'!F165</f>
        <v>43500</v>
      </c>
      <c r="G922" s="3360">
        <f>'Part VI-Revenues &amp; Expenses'!G165</f>
        <v>0</v>
      </c>
      <c r="I922" s="3111" t="s">
        <v>1154</v>
      </c>
      <c r="K922" s="3360">
        <f>'Part VI-Revenues &amp; Expenses'!K165</f>
        <v>3800</v>
      </c>
      <c r="L922" s="3360">
        <f>'Part VI-Revenues &amp; Expenses'!L165</f>
        <v>0</v>
      </c>
      <c r="N922" s="3111" t="s">
        <v>1155</v>
      </c>
      <c r="P922" s="3371">
        <f>'Part VI-Revenues &amp; Expenses'!P165</f>
        <v>18200</v>
      </c>
      <c r="Q922" s="3371"/>
      <c r="R922" s="3257"/>
      <c r="S922" s="3257"/>
      <c r="T922" s="3257"/>
      <c r="U922" s="3257"/>
      <c r="V922" s="3257"/>
      <c r="W922" s="523"/>
      <c r="GT922" s="3310"/>
      <c r="GY922" s="3310"/>
      <c r="GZ922" s="3310"/>
      <c r="HA922" s="3310"/>
      <c r="HB922" s="3310"/>
      <c r="HC922" s="3310"/>
      <c r="HD922" s="3310"/>
      <c r="HE922" s="3310"/>
      <c r="HF922" s="3310"/>
      <c r="HG922" s="3310"/>
      <c r="HH922" s="3310"/>
      <c r="HI922" s="3310"/>
      <c r="HJ922" s="3310"/>
      <c r="HK922" s="3310"/>
      <c r="HL922" s="3310"/>
      <c r="HM922" s="3310"/>
      <c r="HN922" s="3310"/>
      <c r="HO922" s="3310"/>
      <c r="HP922" s="3310"/>
      <c r="HQ922" s="3310"/>
      <c r="HR922" s="3310"/>
      <c r="HS922" s="3310"/>
      <c r="HT922" s="3310"/>
      <c r="HU922" s="3310"/>
      <c r="HV922" s="3310"/>
      <c r="HW922" s="3310"/>
      <c r="HX922" s="3310"/>
      <c r="HY922" s="3310"/>
      <c r="HZ922" s="3310"/>
      <c r="IA922" s="3310"/>
      <c r="IB922" s="3310"/>
      <c r="IC922" s="3310"/>
      <c r="ID922" s="3310"/>
      <c r="IK922" s="3300"/>
      <c r="JA922" s="3300"/>
      <c r="JB922" s="3300"/>
    </row>
    <row r="923" spans="1:262" s="3111" customFormat="1" ht="15.6" customHeight="1">
      <c r="B923" s="3111" t="s">
        <v>1156</v>
      </c>
      <c r="F923" s="3360">
        <f>'Part VI-Revenues &amp; Expenses'!F166</f>
        <v>0</v>
      </c>
      <c r="G923" s="3360">
        <f>'Part VI-Revenues &amp; Expenses'!G166</f>
        <v>0</v>
      </c>
      <c r="J923" s="3377" t="s">
        <v>665</v>
      </c>
      <c r="K923" s="3360">
        <f>SUM(K921:L922)</f>
        <v>3800</v>
      </c>
      <c r="L923" s="3360"/>
      <c r="N923" s="3378" t="str">
        <f>'Part VI-Revenues &amp; Expenses'!N166</f>
        <v>Other (describe here)</v>
      </c>
      <c r="O923" s="3378">
        <f>'Part VI-Revenues &amp; Expenses'!O166</f>
        <v>0</v>
      </c>
      <c r="P923" s="3371">
        <f>'Part VI-Revenues &amp; Expenses'!P166</f>
        <v>0</v>
      </c>
      <c r="Q923" s="3371"/>
      <c r="R923" s="3257"/>
      <c r="S923" s="3257"/>
      <c r="T923" s="3257"/>
      <c r="U923" s="3257"/>
      <c r="V923" s="3257"/>
      <c r="W923" s="523"/>
      <c r="GT923" s="3310"/>
      <c r="GY923" s="3310"/>
      <c r="GZ923" s="3310"/>
      <c r="HA923" s="3310"/>
      <c r="HB923" s="3310"/>
      <c r="HC923" s="3310"/>
      <c r="HD923" s="3310"/>
      <c r="HE923" s="3310"/>
      <c r="HF923" s="3310"/>
      <c r="HG923" s="3310"/>
      <c r="HH923" s="3310"/>
      <c r="HI923" s="3310"/>
      <c r="HJ923" s="3310"/>
      <c r="HK923" s="3310"/>
      <c r="HL923" s="3310"/>
      <c r="HM923" s="3310"/>
      <c r="HN923" s="3310"/>
      <c r="HO923" s="3310"/>
      <c r="HP923" s="3310"/>
      <c r="HQ923" s="3310"/>
      <c r="HR923" s="3310"/>
      <c r="HS923" s="3310"/>
      <c r="HT923" s="3310"/>
      <c r="HU923" s="3310"/>
      <c r="HV923" s="3310"/>
      <c r="HW923" s="3310"/>
      <c r="HX923" s="3310"/>
      <c r="HY923" s="3310"/>
      <c r="HZ923" s="3310"/>
      <c r="IA923" s="3310"/>
      <c r="IB923" s="3310"/>
      <c r="IC923" s="3310"/>
      <c r="ID923" s="3310"/>
      <c r="IK923" s="3300"/>
      <c r="JA923" s="3300"/>
      <c r="JB923" s="3300"/>
    </row>
    <row r="924" spans="1:262" s="3111" customFormat="1" ht="15.6" customHeight="1">
      <c r="B924" s="358" t="str">
        <f>'Part VI-Revenues &amp; Expenses'!B167</f>
        <v>Health Services Coordinator</v>
      </c>
      <c r="C924" s="358">
        <f>'Part VI-Revenues &amp; Expenses'!C167</f>
        <v>0</v>
      </c>
      <c r="D924" s="358">
        <f>'Part VI-Revenues &amp; Expenses'!D167</f>
        <v>0</v>
      </c>
      <c r="E924" s="358">
        <f>'Part VI-Revenues &amp; Expenses'!E167</f>
        <v>0</v>
      </c>
      <c r="F924" s="3360">
        <f>'Part VI-Revenues &amp; Expenses'!F167</f>
        <v>23088</v>
      </c>
      <c r="G924" s="3360">
        <f>'Part VI-Revenues &amp; Expenses'!G167</f>
        <v>0</v>
      </c>
      <c r="N924" s="3377" t="s">
        <v>665</v>
      </c>
      <c r="P924" s="3371">
        <f>SUM(P921:P923)</f>
        <v>133200</v>
      </c>
      <c r="Q924" s="3371"/>
      <c r="R924" s="3257"/>
      <c r="S924" s="3257"/>
      <c r="T924" s="3257"/>
      <c r="U924" s="3257"/>
      <c r="V924" s="3257"/>
      <c r="W924" s="523"/>
      <c r="GT924" s="3310"/>
      <c r="GY924" s="3310"/>
      <c r="GZ924" s="3310"/>
      <c r="HA924" s="3310"/>
      <c r="HB924" s="3310"/>
      <c r="HC924" s="3310"/>
      <c r="HD924" s="3310"/>
      <c r="HE924" s="3310"/>
      <c r="HF924" s="3310"/>
      <c r="HG924" s="3310"/>
      <c r="HH924" s="3310"/>
      <c r="HI924" s="3310"/>
      <c r="HJ924" s="3310"/>
      <c r="HK924" s="3310"/>
      <c r="HL924" s="3310"/>
      <c r="HM924" s="3310"/>
      <c r="HN924" s="3310"/>
      <c r="HO924" s="3310"/>
      <c r="HP924" s="3310"/>
      <c r="HQ924" s="3310"/>
      <c r="HR924" s="3310"/>
      <c r="HS924" s="3310"/>
      <c r="HT924" s="3310"/>
      <c r="HU924" s="3310"/>
      <c r="HV924" s="3310"/>
      <c r="HW924" s="3310"/>
      <c r="HX924" s="3310"/>
      <c r="HY924" s="3310"/>
      <c r="HZ924" s="3310"/>
      <c r="IA924" s="3310"/>
      <c r="IB924" s="3310"/>
      <c r="IC924" s="3310"/>
      <c r="ID924" s="3310"/>
      <c r="IK924" s="3300"/>
      <c r="JA924" s="3300"/>
      <c r="JB924" s="3300"/>
    </row>
    <row r="925" spans="1:262" s="3111" customFormat="1" ht="15.6" customHeight="1">
      <c r="C925" s="3377" t="s">
        <v>665</v>
      </c>
      <c r="F925" s="3360">
        <f>SUM(F921:G924)</f>
        <v>110088</v>
      </c>
      <c r="G925" s="3360"/>
      <c r="J925" s="3347"/>
      <c r="R925" s="3257"/>
      <c r="S925" s="3257"/>
      <c r="T925" s="3257"/>
      <c r="U925" s="3257"/>
      <c r="V925" s="3257"/>
      <c r="W925" s="523"/>
      <c r="GT925" s="3310"/>
      <c r="GY925" s="3310"/>
      <c r="GZ925" s="3310"/>
      <c r="HA925" s="3310"/>
      <c r="HB925" s="3310"/>
      <c r="HC925" s="3310"/>
      <c r="HD925" s="3310"/>
      <c r="HE925" s="3310"/>
      <c r="HF925" s="3310"/>
      <c r="HG925" s="3310"/>
      <c r="HH925" s="3310"/>
      <c r="HI925" s="3310"/>
      <c r="HJ925" s="3310"/>
      <c r="HK925" s="3310"/>
      <c r="HL925" s="3310"/>
      <c r="HM925" s="3310"/>
      <c r="HN925" s="3310"/>
      <c r="HO925" s="3310"/>
      <c r="HP925" s="3310"/>
      <c r="HQ925" s="3310"/>
      <c r="HR925" s="3310"/>
      <c r="HS925" s="3310"/>
      <c r="HT925" s="3310"/>
      <c r="HU925" s="3310"/>
      <c r="HV925" s="3310"/>
      <c r="HW925" s="3310"/>
      <c r="HX925" s="3310"/>
      <c r="HY925" s="3310"/>
      <c r="HZ925" s="3310"/>
      <c r="IA925" s="3310"/>
      <c r="IB925" s="3310"/>
      <c r="IC925" s="3310"/>
      <c r="ID925" s="3310"/>
      <c r="IK925" s="3300"/>
      <c r="JA925" s="3300"/>
      <c r="JB925" s="3300"/>
    </row>
    <row r="926" spans="1:262" s="3111" customFormat="1" ht="6" customHeight="1">
      <c r="C926" s="3300"/>
      <c r="D926" s="3377"/>
      <c r="F926" s="3347"/>
      <c r="G926" s="3347"/>
      <c r="J926" s="3347"/>
      <c r="M926" s="3300"/>
      <c r="O926" s="3377"/>
      <c r="R926" s="3257"/>
      <c r="S926" s="3257"/>
      <c r="T926" s="3257"/>
      <c r="U926" s="3257"/>
      <c r="V926" s="3257"/>
      <c r="GT926" s="3310"/>
      <c r="GY926" s="3310"/>
      <c r="GZ926" s="3310"/>
      <c r="HA926" s="3310"/>
      <c r="HB926" s="3310"/>
      <c r="HC926" s="3310"/>
      <c r="HD926" s="3310"/>
      <c r="HE926" s="3310"/>
      <c r="HF926" s="3310"/>
      <c r="HG926" s="3310"/>
      <c r="HH926" s="3310"/>
      <c r="HI926" s="3310"/>
      <c r="HJ926" s="3310"/>
      <c r="HK926" s="3310"/>
      <c r="HL926" s="3310"/>
      <c r="HM926" s="3310"/>
      <c r="HN926" s="3310"/>
      <c r="HO926" s="3310"/>
      <c r="HP926" s="3310"/>
      <c r="HQ926" s="3310"/>
      <c r="HR926" s="3310"/>
      <c r="HS926" s="3310"/>
      <c r="HT926" s="3310"/>
      <c r="HU926" s="3310"/>
      <c r="HV926" s="3310"/>
      <c r="HW926" s="3310"/>
      <c r="HX926" s="3310"/>
      <c r="HY926" s="3310"/>
      <c r="HZ926" s="3310"/>
      <c r="IA926" s="3310"/>
      <c r="IB926" s="3310"/>
      <c r="IC926" s="3310"/>
      <c r="ID926" s="3310"/>
      <c r="IK926" s="3300"/>
      <c r="JA926" s="3300"/>
      <c r="JB926" s="3300"/>
    </row>
    <row r="927" spans="1:262" s="3111" customFormat="1" ht="13.15" customHeight="1">
      <c r="B927" s="3300" t="s">
        <v>1159</v>
      </c>
      <c r="D927" s="3379"/>
      <c r="I927" s="3300" t="s">
        <v>1160</v>
      </c>
      <c r="N927" s="3300" t="s">
        <v>1161</v>
      </c>
      <c r="P927" s="3380">
        <f>IF(OR('Part VII-Pro Forma'!$B$20 = "Choose Mgt Fee",'Part VII-Pro Forma'!$B$20 = "Choose One!"), 0,- 'Part VII-Pro Forma'!$B$20)</f>
        <v>30397</v>
      </c>
      <c r="Q927" s="3380"/>
      <c r="R927" s="3257"/>
      <c r="S927" s="3257"/>
      <c r="T927" s="3257"/>
      <c r="U927" s="3257"/>
      <c r="V927" s="3257"/>
      <c r="W927" s="523"/>
      <c r="GT927" s="3310"/>
      <c r="GY927" s="3310"/>
      <c r="GZ927" s="3310"/>
      <c r="HA927" s="3310"/>
      <c r="HB927" s="3310"/>
      <c r="HC927" s="3310"/>
      <c r="HD927" s="3310"/>
      <c r="HE927" s="3310"/>
      <c r="HF927" s="3310"/>
      <c r="HG927" s="3310"/>
      <c r="HH927" s="3310"/>
      <c r="HI927" s="3310"/>
      <c r="HJ927" s="3310"/>
      <c r="HK927" s="3310"/>
      <c r="HL927" s="3310"/>
      <c r="HM927" s="3310"/>
      <c r="HN927" s="3310"/>
      <c r="HO927" s="3310"/>
      <c r="HP927" s="3310"/>
      <c r="HQ927" s="3310"/>
      <c r="HR927" s="3310"/>
      <c r="HS927" s="3310"/>
      <c r="HT927" s="3310"/>
      <c r="HU927" s="3310"/>
      <c r="HV927" s="3310"/>
      <c r="HW927" s="3310"/>
      <c r="HX927" s="3310"/>
      <c r="HY927" s="3310"/>
      <c r="HZ927" s="3310"/>
      <c r="IA927" s="3310"/>
      <c r="IB927" s="3310"/>
      <c r="IC927" s="3310"/>
      <c r="ID927" s="3310"/>
      <c r="IK927" s="3300"/>
      <c r="JA927" s="3300"/>
      <c r="JB927" s="3300"/>
    </row>
    <row r="928" spans="1:262" s="3111" customFormat="1" ht="15.6" customHeight="1">
      <c r="B928" s="3111" t="s">
        <v>1162</v>
      </c>
      <c r="D928" s="3379"/>
      <c r="F928" s="3360">
        <f>'Part VI-Revenues &amp; Expenses'!F171</f>
        <v>2400</v>
      </c>
      <c r="G928" s="3360">
        <f>'Part VI-Revenues &amp; Expenses'!G171</f>
        <v>0</v>
      </c>
      <c r="I928" s="3111" t="s">
        <v>1163</v>
      </c>
      <c r="K928" s="3371">
        <f>'Part VI-Revenues &amp; Expenses'!K171</f>
        <v>1200</v>
      </c>
      <c r="L928" s="3371">
        <f>'Part VI-Revenues &amp; Expenses'!L171</f>
        <v>0</v>
      </c>
      <c r="N928" s="3381">
        <f>+P927/(O819*0.93)</f>
        <v>441.68846265620454</v>
      </c>
      <c r="O928" s="3382" t="s">
        <v>1164</v>
      </c>
      <c r="R928" s="3257"/>
      <c r="S928" s="3257"/>
      <c r="T928" s="3257"/>
      <c r="U928" s="3257"/>
      <c r="V928" s="3257"/>
      <c r="W928" s="523"/>
      <c r="GT928" s="3310"/>
      <c r="GY928" s="3310"/>
      <c r="GZ928" s="3310"/>
      <c r="HA928" s="3310"/>
      <c r="HB928" s="3310"/>
      <c r="HC928" s="3310"/>
      <c r="HD928" s="3310"/>
      <c r="HE928" s="3310"/>
      <c r="HF928" s="3310"/>
      <c r="HG928" s="3310"/>
      <c r="HH928" s="3310"/>
      <c r="HI928" s="3310"/>
      <c r="HJ928" s="3310"/>
      <c r="HK928" s="3310"/>
      <c r="HL928" s="3310"/>
      <c r="HM928" s="3310"/>
      <c r="HN928" s="3310"/>
      <c r="HO928" s="3310"/>
      <c r="HP928" s="3310"/>
      <c r="HQ928" s="3310"/>
      <c r="HR928" s="3310"/>
      <c r="HS928" s="3310"/>
      <c r="HT928" s="3310"/>
      <c r="HU928" s="3310"/>
      <c r="HV928" s="3310"/>
      <c r="HW928" s="3310"/>
      <c r="HX928" s="3310"/>
      <c r="HY928" s="3310"/>
      <c r="HZ928" s="3310"/>
      <c r="IA928" s="3310"/>
      <c r="IB928" s="3310"/>
      <c r="IC928" s="3310"/>
      <c r="ID928" s="3310"/>
      <c r="IK928" s="3300"/>
      <c r="JA928" s="3300"/>
      <c r="JB928" s="3300"/>
    </row>
    <row r="929" spans="2:262" s="3111" customFormat="1" ht="15.6" customHeight="1">
      <c r="B929" s="3111" t="s">
        <v>1165</v>
      </c>
      <c r="D929" s="3379"/>
      <c r="F929" s="3360">
        <f>'Part VI-Revenues &amp; Expenses'!F172</f>
        <v>4800</v>
      </c>
      <c r="G929" s="3360">
        <f>'Part VI-Revenues &amp; Expenses'!G172</f>
        <v>0</v>
      </c>
      <c r="I929" s="3111" t="s">
        <v>720</v>
      </c>
      <c r="K929" s="3371">
        <f>'Part VI-Revenues &amp; Expenses'!K172</f>
        <v>6000</v>
      </c>
      <c r="L929" s="3371">
        <f>'Part VI-Revenues &amp; Expenses'!L172</f>
        <v>0</v>
      </c>
      <c r="N929" s="3381">
        <f>+P927/(O819*0.93)/12</f>
        <v>36.807371888017045</v>
      </c>
      <c r="O929" s="3382" t="s">
        <v>1166</v>
      </c>
      <c r="R929" s="3257"/>
      <c r="S929" s="3257"/>
      <c r="T929" s="3257"/>
      <c r="U929" s="3257"/>
      <c r="V929" s="3257"/>
      <c r="W929" s="523"/>
      <c r="GT929" s="3310"/>
      <c r="GY929" s="3310"/>
      <c r="GZ929" s="3310"/>
      <c r="HA929" s="3310"/>
      <c r="HB929" s="3310"/>
      <c r="HC929" s="3310"/>
      <c r="HD929" s="3310"/>
      <c r="HE929" s="3310"/>
      <c r="HF929" s="3310"/>
      <c r="HG929" s="3310"/>
      <c r="HH929" s="3310"/>
      <c r="HI929" s="3310"/>
      <c r="HJ929" s="3310"/>
      <c r="HK929" s="3310"/>
      <c r="HL929" s="3310"/>
      <c r="HM929" s="3310"/>
      <c r="HN929" s="3310"/>
      <c r="HO929" s="3310"/>
      <c r="HP929" s="3310"/>
      <c r="HQ929" s="3310"/>
      <c r="HR929" s="3310"/>
      <c r="HS929" s="3310"/>
      <c r="HT929" s="3310"/>
      <c r="HU929" s="3310"/>
      <c r="HV929" s="3310"/>
      <c r="HW929" s="3310"/>
      <c r="HX929" s="3310"/>
      <c r="HY929" s="3310"/>
      <c r="HZ929" s="3310"/>
      <c r="IA929" s="3310"/>
      <c r="IB929" s="3310"/>
      <c r="IC929" s="3310"/>
      <c r="ID929" s="3310"/>
      <c r="IK929" s="3300"/>
      <c r="JA929" s="3300"/>
      <c r="JB929" s="3300"/>
    </row>
    <row r="930" spans="2:262" s="3111" customFormat="1" ht="15.6" customHeight="1">
      <c r="B930" s="3111" t="s">
        <v>1167</v>
      </c>
      <c r="D930" s="3379"/>
      <c r="F930" s="3360">
        <f>'Part VI-Revenues &amp; Expenses'!F173</f>
        <v>1000</v>
      </c>
      <c r="G930" s="3360">
        <f>'Part VI-Revenues &amp; Expenses'!G173</f>
        <v>0</v>
      </c>
      <c r="I930" s="3111" t="s">
        <v>1168</v>
      </c>
      <c r="K930" s="3371">
        <f>'Part VI-Revenues &amp; Expenses'!K173</f>
        <v>1800</v>
      </c>
      <c r="L930" s="3371">
        <f>'Part VI-Revenues &amp; Expenses'!L173</f>
        <v>0</v>
      </c>
      <c r="N930" s="358" t="s">
        <v>1169</v>
      </c>
      <c r="O930" s="3383"/>
      <c r="P930" s="3383"/>
      <c r="Q930" s="3348"/>
      <c r="R930" s="3257"/>
      <c r="S930" s="3257"/>
      <c r="T930" s="3257"/>
      <c r="U930" s="3257"/>
      <c r="V930" s="3257"/>
      <c r="W930" s="523"/>
      <c r="GT930" s="3310"/>
      <c r="GY930" s="3310"/>
      <c r="GZ930" s="3310"/>
      <c r="HA930" s="3310"/>
      <c r="HB930" s="3310"/>
      <c r="HC930" s="3310"/>
      <c r="HD930" s="3310"/>
      <c r="HE930" s="3310"/>
      <c r="HF930" s="3310"/>
      <c r="HG930" s="3310"/>
      <c r="HH930" s="3310"/>
      <c r="HI930" s="3310"/>
      <c r="HJ930" s="3310"/>
      <c r="HK930" s="3310"/>
      <c r="HL930" s="3310"/>
      <c r="HM930" s="3310"/>
      <c r="HN930" s="3310"/>
      <c r="HO930" s="3310"/>
      <c r="HP930" s="3310"/>
      <c r="HQ930" s="3310"/>
      <c r="HR930" s="3310"/>
      <c r="HS930" s="3310"/>
      <c r="HT930" s="3310"/>
      <c r="HU930" s="3310"/>
      <c r="HV930" s="3310"/>
      <c r="HW930" s="3310"/>
      <c r="HX930" s="3310"/>
      <c r="HY930" s="3310"/>
      <c r="HZ930" s="3310"/>
      <c r="IA930" s="3310"/>
      <c r="IB930" s="3310"/>
      <c r="IC930" s="3310"/>
      <c r="ID930" s="3310"/>
      <c r="IK930" s="3300"/>
      <c r="JA930" s="3300"/>
      <c r="JB930" s="3300"/>
    </row>
    <row r="931" spans="2:262" s="3111" customFormat="1" ht="15.6" customHeight="1">
      <c r="B931" s="3111" t="s">
        <v>1170</v>
      </c>
      <c r="D931" s="3379"/>
      <c r="F931" s="3360">
        <f>'Part VI-Revenues &amp; Expenses'!F174</f>
        <v>0</v>
      </c>
      <c r="G931" s="3360">
        <f>'Part VI-Revenues &amp; Expenses'!G174</f>
        <v>0</v>
      </c>
      <c r="I931" s="3378" t="str">
        <f>'Part VI-Revenues &amp; Expenses'!I174</f>
        <v>Other (describe here)</v>
      </c>
      <c r="J931" s="3378">
        <f>'Part VI-Revenues &amp; Expenses'!J174</f>
        <v>0</v>
      </c>
      <c r="K931" s="3371">
        <f>'Part VI-Revenues &amp; Expenses'!K174</f>
        <v>0</v>
      </c>
      <c r="L931" s="3371">
        <f>'Part VI-Revenues &amp; Expenses'!L174</f>
        <v>0</v>
      </c>
      <c r="N931" s="3383"/>
      <c r="O931" s="3383"/>
      <c r="P931" s="3383"/>
      <c r="Q931" s="3348"/>
      <c r="R931" s="3257"/>
      <c r="S931" s="3257"/>
      <c r="T931" s="3257"/>
      <c r="U931" s="3257"/>
      <c r="V931" s="3257"/>
      <c r="W931" s="523"/>
      <c r="GT931" s="3310"/>
      <c r="GY931" s="3310"/>
      <c r="GZ931" s="3310"/>
      <c r="HA931" s="3310"/>
      <c r="HB931" s="3310"/>
      <c r="HC931" s="3310"/>
      <c r="HD931" s="3310"/>
      <c r="HE931" s="3310"/>
      <c r="HF931" s="3310"/>
      <c r="HG931" s="3310"/>
      <c r="HH931" s="3310"/>
      <c r="HI931" s="3310"/>
      <c r="HJ931" s="3310"/>
      <c r="HK931" s="3310"/>
      <c r="HL931" s="3310"/>
      <c r="HM931" s="3310"/>
      <c r="HN931" s="3310"/>
      <c r="HO931" s="3310"/>
      <c r="HP931" s="3310"/>
      <c r="HQ931" s="3310"/>
      <c r="HR931" s="3310"/>
      <c r="HS931" s="3310"/>
      <c r="HT931" s="3310"/>
      <c r="HU931" s="3310"/>
      <c r="HV931" s="3310"/>
      <c r="HW931" s="3310"/>
      <c r="HX931" s="3310"/>
      <c r="HY931" s="3310"/>
      <c r="HZ931" s="3310"/>
      <c r="IA931" s="3310"/>
      <c r="IB931" s="3310"/>
      <c r="IC931" s="3310"/>
      <c r="ID931" s="3310"/>
      <c r="IK931" s="3300"/>
      <c r="JA931" s="3300"/>
      <c r="JB931" s="3300"/>
    </row>
    <row r="932" spans="2:262" s="3111" customFormat="1" ht="15.6" customHeight="1">
      <c r="B932" s="3111" t="s">
        <v>1171</v>
      </c>
      <c r="D932" s="3379"/>
      <c r="F932" s="3360">
        <f>'Part VI-Revenues &amp; Expenses'!F175</f>
        <v>3600</v>
      </c>
      <c r="G932" s="3360">
        <f>'Part VI-Revenues &amp; Expenses'!G175</f>
        <v>0</v>
      </c>
      <c r="I932" s="3300"/>
      <c r="J932" s="3377" t="s">
        <v>665</v>
      </c>
      <c r="K932" s="3371">
        <f>SUM(K928:K931)</f>
        <v>9000</v>
      </c>
      <c r="L932" s="3371"/>
      <c r="M932" s="3384" t="str">
        <f>IF(P934="","",IF(P932&lt;P934, "WARNING! OE below required minimum.",""))</f>
        <v/>
      </c>
      <c r="N932" s="3300" t="s">
        <v>1172</v>
      </c>
      <c r="P932" s="3371">
        <f>F925+F934+F945+K923+K932+K942+P924+P927</f>
        <v>380485</v>
      </c>
      <c r="R932" s="3257"/>
      <c r="S932" s="3257"/>
      <c r="T932" s="3257"/>
      <c r="U932" s="3257"/>
      <c r="V932" s="3257"/>
      <c r="W932" s="523"/>
      <c r="GT932" s="3310"/>
      <c r="GY932" s="3310"/>
      <c r="GZ932" s="3310"/>
      <c r="HA932" s="3310"/>
      <c r="HB932" s="3310"/>
      <c r="HC932" s="3310"/>
      <c r="HD932" s="3310"/>
      <c r="HE932" s="3310"/>
      <c r="HF932" s="3310"/>
      <c r="HG932" s="3310"/>
      <c r="HH932" s="3310"/>
      <c r="HI932" s="3310"/>
      <c r="HJ932" s="3310"/>
      <c r="HK932" s="3310"/>
      <c r="HL932" s="3310"/>
      <c r="HM932" s="3310"/>
      <c r="HN932" s="3310"/>
      <c r="HO932" s="3310"/>
      <c r="HP932" s="3310"/>
      <c r="HQ932" s="3310"/>
      <c r="HR932" s="3310"/>
      <c r="HS932" s="3310"/>
      <c r="HT932" s="3310"/>
      <c r="HU932" s="3310"/>
      <c r="HV932" s="3310"/>
      <c r="HW932" s="3310"/>
      <c r="HX932" s="3310"/>
      <c r="HY932" s="3310"/>
      <c r="HZ932" s="3310"/>
      <c r="IA932" s="3310"/>
      <c r="IB932" s="3310"/>
      <c r="IC932" s="3310"/>
      <c r="ID932" s="3310"/>
      <c r="IK932" s="3300"/>
      <c r="JA932" s="3300"/>
      <c r="JB932" s="3300"/>
    </row>
    <row r="933" spans="2:262" s="3111" customFormat="1" ht="15.6" customHeight="1">
      <c r="B933" s="358" t="str">
        <f>'Part VI-Revenues &amp; Expenses'!B176</f>
        <v>Other (describe here)</v>
      </c>
      <c r="C933" s="358">
        <f>'Part VI-Revenues &amp; Expenses'!C176</f>
        <v>0</v>
      </c>
      <c r="D933" s="358">
        <f>'Part VI-Revenues &amp; Expenses'!D176</f>
        <v>0</v>
      </c>
      <c r="E933" s="358">
        <f>'Part VI-Revenues &amp; Expenses'!E176</f>
        <v>0</v>
      </c>
      <c r="F933" s="3360">
        <f>'Part VI-Revenues &amp; Expenses'!F176</f>
        <v>0</v>
      </c>
      <c r="G933" s="3360">
        <f>'Part VI-Revenues &amp; Expenses'!G176</f>
        <v>0</v>
      </c>
      <c r="J933" s="3347"/>
      <c r="M933" s="3384"/>
      <c r="N933" s="3382" t="s">
        <v>1173</v>
      </c>
      <c r="O933" s="3381">
        <f>+P932/O819</f>
        <v>5141.6891891891892</v>
      </c>
      <c r="Q933" s="3371"/>
      <c r="R933" s="3257"/>
      <c r="S933" s="3257"/>
      <c r="T933" s="3257"/>
      <c r="U933" s="3257"/>
      <c r="V933" s="3257"/>
      <c r="W933" s="523"/>
      <c r="GT933" s="3310"/>
      <c r="GY933" s="3310"/>
      <c r="GZ933" s="3310"/>
      <c r="HA933" s="3310"/>
      <c r="HB933" s="3310"/>
      <c r="HC933" s="3310"/>
      <c r="HD933" s="3310"/>
      <c r="HE933" s="3310"/>
      <c r="HF933" s="3310"/>
      <c r="HG933" s="3310"/>
      <c r="HH933" s="3310"/>
      <c r="HI933" s="3310"/>
      <c r="HJ933" s="3310"/>
      <c r="HK933" s="3310"/>
      <c r="HL933" s="3310"/>
      <c r="HM933" s="3310"/>
      <c r="HN933" s="3310"/>
      <c r="HO933" s="3310"/>
      <c r="HP933" s="3310"/>
      <c r="HQ933" s="3310"/>
      <c r="HR933" s="3310"/>
      <c r="HS933" s="3310"/>
      <c r="HT933" s="3310"/>
      <c r="HU933" s="3310"/>
      <c r="HV933" s="3310"/>
      <c r="HW933" s="3310"/>
      <c r="HX933" s="3310"/>
      <c r="HY933" s="3310"/>
      <c r="HZ933" s="3310"/>
      <c r="IA933" s="3310"/>
      <c r="IB933" s="3310"/>
      <c r="IC933" s="3310"/>
      <c r="ID933" s="3310"/>
      <c r="IK933" s="3300"/>
      <c r="JA933" s="3300"/>
      <c r="JB933" s="3300"/>
    </row>
    <row r="934" spans="2:262" s="3111" customFormat="1" ht="15.6" customHeight="1">
      <c r="C934" s="3377" t="s">
        <v>665</v>
      </c>
      <c r="F934" s="3360">
        <f>SUM(F928:G933)</f>
        <v>11800</v>
      </c>
      <c r="G934" s="3360"/>
      <c r="J934" s="3347"/>
      <c r="M934" s="3384"/>
      <c r="O934" s="3382" t="s">
        <v>1174</v>
      </c>
      <c r="P934" s="3371">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3257"/>
      <c r="S934" s="3257"/>
      <c r="T934" s="3257"/>
      <c r="U934" s="3257"/>
      <c r="V934" s="3257"/>
      <c r="W934" s="523"/>
      <c r="GT934" s="3310"/>
      <c r="GY934" s="3310"/>
      <c r="GZ934" s="3310"/>
      <c r="HA934" s="3310"/>
      <c r="HB934" s="3310"/>
      <c r="HC934" s="3310"/>
      <c r="HD934" s="3310"/>
      <c r="HE934" s="3310"/>
      <c r="HF934" s="3310"/>
      <c r="HG934" s="3310"/>
      <c r="HH934" s="3310"/>
      <c r="HI934" s="3310"/>
      <c r="HJ934" s="3310"/>
      <c r="HK934" s="3310"/>
      <c r="HL934" s="3310"/>
      <c r="HM934" s="3310"/>
      <c r="HN934" s="3310"/>
      <c r="HO934" s="3310"/>
      <c r="HP934" s="3310"/>
      <c r="HQ934" s="3310"/>
      <c r="HR934" s="3310"/>
      <c r="HS934" s="3310"/>
      <c r="HT934" s="3310"/>
      <c r="HU934" s="3310"/>
      <c r="HV934" s="3310"/>
      <c r="HW934" s="3310"/>
      <c r="HX934" s="3310"/>
      <c r="HY934" s="3310"/>
      <c r="HZ934" s="3310"/>
      <c r="IA934" s="3310"/>
      <c r="IB934" s="3310"/>
      <c r="IC934" s="3310"/>
      <c r="ID934" s="3310"/>
      <c r="IK934" s="3300"/>
      <c r="JA934" s="3300"/>
      <c r="JB934" s="3300"/>
    </row>
    <row r="935" spans="2:262" s="3111" customFormat="1" ht="6" customHeight="1">
      <c r="D935" s="3377"/>
      <c r="F935" s="3347"/>
      <c r="G935" s="3347"/>
      <c r="J935" s="3347"/>
      <c r="M935" s="3384"/>
      <c r="R935" s="3257"/>
      <c r="S935" s="3257"/>
      <c r="T935" s="3257"/>
      <c r="U935" s="3257"/>
      <c r="V935" s="3257"/>
      <c r="GT935" s="3310"/>
      <c r="GY935" s="3310"/>
      <c r="GZ935" s="3310"/>
      <c r="HA935" s="3310"/>
      <c r="HB935" s="3310"/>
      <c r="HC935" s="3310"/>
      <c r="HD935" s="3310"/>
      <c r="HE935" s="3310"/>
      <c r="HF935" s="3310"/>
      <c r="HG935" s="3310"/>
      <c r="HH935" s="3310"/>
      <c r="HI935" s="3310"/>
      <c r="HJ935" s="3310"/>
      <c r="HK935" s="3310"/>
      <c r="HL935" s="3310"/>
      <c r="HM935" s="3310"/>
      <c r="HN935" s="3310"/>
      <c r="HO935" s="3310"/>
      <c r="HP935" s="3310"/>
      <c r="HQ935" s="3310"/>
      <c r="HR935" s="3310"/>
      <c r="HS935" s="3310"/>
      <c r="HT935" s="3310"/>
      <c r="HU935" s="3310"/>
      <c r="HV935" s="3310"/>
      <c r="HW935" s="3310"/>
      <c r="HX935" s="3310"/>
      <c r="HY935" s="3310"/>
      <c r="HZ935" s="3310"/>
      <c r="IA935" s="3310"/>
      <c r="IB935" s="3310"/>
      <c r="IC935" s="3310"/>
      <c r="ID935" s="3310"/>
      <c r="IK935" s="3300"/>
      <c r="JA935" s="3300"/>
      <c r="JB935" s="3300"/>
    </row>
    <row r="936" spans="2:262" s="3111" customFormat="1" ht="15.75" customHeight="1">
      <c r="B936" s="3300" t="s">
        <v>1175</v>
      </c>
      <c r="D936" s="3379"/>
      <c r="I936" s="3300" t="s">
        <v>1176</v>
      </c>
      <c r="J936" s="3112" t="s">
        <v>1177</v>
      </c>
      <c r="N936" s="3300" t="s">
        <v>1178</v>
      </c>
      <c r="O936" s="3300"/>
      <c r="P936" s="3385">
        <f>'Part VI-Revenues &amp; Expenses'!P179</f>
        <v>18500</v>
      </c>
      <c r="Q936" s="3380"/>
      <c r="R936" s="3257"/>
      <c r="S936" s="3257"/>
      <c r="T936" s="3257"/>
      <c r="U936" s="3257"/>
      <c r="V936" s="3257"/>
      <c r="W936" s="523"/>
      <c r="GT936" s="3310"/>
      <c r="GY936" s="3310"/>
      <c r="GZ936" s="3310"/>
      <c r="HA936" s="3310"/>
      <c r="HB936" s="3310"/>
      <c r="HC936" s="3310"/>
      <c r="HD936" s="3310"/>
      <c r="HE936" s="3310"/>
      <c r="HF936" s="3310"/>
      <c r="HG936" s="3310"/>
      <c r="HH936" s="3310"/>
      <c r="HI936" s="3310"/>
      <c r="HJ936" s="3310"/>
      <c r="HK936" s="3310"/>
      <c r="HL936" s="3310"/>
      <c r="HM936" s="3310"/>
      <c r="HN936" s="3310"/>
      <c r="HO936" s="3310"/>
      <c r="HP936" s="3310"/>
      <c r="HQ936" s="3310"/>
      <c r="HR936" s="3310"/>
      <c r="HS936" s="3310"/>
      <c r="HT936" s="3310"/>
      <c r="HU936" s="3310"/>
      <c r="HV936" s="3310"/>
      <c r="HW936" s="3310"/>
      <c r="HX936" s="3310"/>
      <c r="HY936" s="3310"/>
      <c r="HZ936" s="3310"/>
      <c r="IA936" s="3310"/>
      <c r="IB936" s="3310"/>
      <c r="IC936" s="3310"/>
      <c r="ID936" s="3310"/>
      <c r="IK936" s="3300"/>
      <c r="JA936" s="3300"/>
      <c r="JB936" s="3300"/>
    </row>
    <row r="937" spans="2:262" s="3111" customFormat="1" ht="15.6" customHeight="1">
      <c r="B937" s="3111" t="s">
        <v>1179</v>
      </c>
      <c r="D937" s="3379"/>
      <c r="F937" s="3360">
        <f>'Part VI-Revenues &amp; Expenses'!F180</f>
        <v>6600</v>
      </c>
      <c r="G937" s="3360">
        <f>'Part VI-Revenues &amp; Expenses'!G180</f>
        <v>0</v>
      </c>
      <c r="I937" s="3111" t="s">
        <v>1180</v>
      </c>
      <c r="J937" s="3173">
        <f>K937/12/O819</f>
        <v>20.27027027027027</v>
      </c>
      <c r="K937" s="3371">
        <f>'Part VI-Revenues &amp; Expenses'!K180</f>
        <v>18000</v>
      </c>
      <c r="L937" s="3371">
        <f>'Part VI-Revenues &amp; Expenses'!L180</f>
        <v>0</v>
      </c>
      <c r="M937" s="3384" t="str">
        <f>IF(P936&lt;P945, "WARNING! RR proposed is below the DCA required minimum.","")</f>
        <v/>
      </c>
      <c r="N937" s="358" t="s">
        <v>1181</v>
      </c>
      <c r="P937" s="3386">
        <f>P936/O945</f>
        <v>250</v>
      </c>
      <c r="Q937" s="3385"/>
      <c r="R937" s="3257"/>
      <c r="S937" s="3257"/>
      <c r="T937" s="3257"/>
      <c r="U937" s="3257"/>
      <c r="V937" s="3257"/>
      <c r="W937" s="523"/>
      <c r="GT937" s="3310"/>
      <c r="GY937" s="3310"/>
      <c r="GZ937" s="3310"/>
      <c r="HA937" s="3310"/>
      <c r="HB937" s="3310"/>
      <c r="HC937" s="3310"/>
      <c r="HD937" s="3310"/>
      <c r="HE937" s="3310"/>
      <c r="HF937" s="3310"/>
      <c r="HG937" s="3310"/>
      <c r="HH937" s="3310"/>
      <c r="HI937" s="3310"/>
      <c r="HJ937" s="3310"/>
      <c r="HK937" s="3310"/>
      <c r="HL937" s="3310"/>
      <c r="HM937" s="3310"/>
      <c r="HN937" s="3310"/>
      <c r="HO937" s="3310"/>
      <c r="HP937" s="3310"/>
      <c r="HQ937" s="3310"/>
      <c r="HR937" s="3310"/>
      <c r="HS937" s="3310"/>
      <c r="HT937" s="3310"/>
      <c r="HU937" s="3310"/>
      <c r="HV937" s="3310"/>
      <c r="HW937" s="3310"/>
      <c r="HX937" s="3310"/>
      <c r="HY937" s="3310"/>
      <c r="HZ937" s="3310"/>
      <c r="IA937" s="3310"/>
      <c r="IB937" s="3310"/>
      <c r="IC937" s="3310"/>
      <c r="ID937" s="3310"/>
      <c r="IK937" s="3300"/>
      <c r="JA937" s="3300"/>
      <c r="JB937" s="3300"/>
    </row>
    <row r="938" spans="2:262" s="3111" customFormat="1" ht="15.6" customHeight="1">
      <c r="B938" s="3111" t="s">
        <v>1182</v>
      </c>
      <c r="D938" s="3379"/>
      <c r="F938" s="3360">
        <f>'Part VI-Revenues &amp; Expenses'!F181</f>
        <v>6600</v>
      </c>
      <c r="G938" s="3360">
        <f>'Part VI-Revenues &amp; Expenses'!G181</f>
        <v>0</v>
      </c>
      <c r="I938" s="3111" t="s">
        <v>1183</v>
      </c>
      <c r="J938" s="3173">
        <f>K938/12/O819</f>
        <v>0</v>
      </c>
      <c r="K938" s="3371">
        <f>'Part VI-Revenues &amp; Expenses'!K181</f>
        <v>0</v>
      </c>
      <c r="L938" s="3371">
        <f>'Part VI-Revenues &amp; Expenses'!L181</f>
        <v>0</v>
      </c>
      <c r="M938" s="3384"/>
      <c r="N938" s="3387" t="s">
        <v>1184</v>
      </c>
      <c r="O938" s="3387"/>
      <c r="P938" s="3387"/>
      <c r="R938" s="3257"/>
      <c r="S938" s="3257"/>
      <c r="T938" s="3257"/>
      <c r="U938" s="3257"/>
      <c r="V938" s="3257"/>
      <c r="W938" s="523"/>
      <c r="GT938" s="3310"/>
      <c r="GY938" s="3310"/>
      <c r="GZ938" s="3310"/>
      <c r="HA938" s="3310"/>
      <c r="HB938" s="3310"/>
      <c r="HC938" s="3310"/>
      <c r="HD938" s="3310"/>
      <c r="HE938" s="3310"/>
      <c r="HF938" s="3310"/>
      <c r="HG938" s="3310"/>
      <c r="HH938" s="3310"/>
      <c r="HI938" s="3310"/>
      <c r="HJ938" s="3310"/>
      <c r="HK938" s="3310"/>
      <c r="HL938" s="3310"/>
      <c r="HM938" s="3310"/>
      <c r="HN938" s="3310"/>
      <c r="HO938" s="3310"/>
      <c r="HP938" s="3310"/>
      <c r="HQ938" s="3310"/>
      <c r="HR938" s="3310"/>
      <c r="HS938" s="3310"/>
      <c r="HT938" s="3310"/>
      <c r="HU938" s="3310"/>
      <c r="HV938" s="3310"/>
      <c r="HW938" s="3310"/>
      <c r="HX938" s="3310"/>
      <c r="HY938" s="3310"/>
      <c r="HZ938" s="3310"/>
      <c r="IA938" s="3310"/>
      <c r="IB938" s="3310"/>
      <c r="IC938" s="3310"/>
      <c r="ID938" s="3310"/>
      <c r="IK938" s="3300"/>
      <c r="JA938" s="3300"/>
      <c r="JB938" s="3300"/>
    </row>
    <row r="939" spans="2:262" s="3111" customFormat="1" ht="15.6" customHeight="1">
      <c r="B939" s="3111" t="s">
        <v>1185</v>
      </c>
      <c r="D939" s="3379"/>
      <c r="F939" s="3360">
        <f>'Part VI-Revenues &amp; Expenses'!F182</f>
        <v>18000</v>
      </c>
      <c r="G939" s="3360">
        <f>'Part VI-Revenues &amp; Expenses'!G182</f>
        <v>0</v>
      </c>
      <c r="I939" s="3111" t="s">
        <v>1186</v>
      </c>
      <c r="J939" s="3173">
        <f>K939/12/O819</f>
        <v>2.7027027027027026</v>
      </c>
      <c r="K939" s="3371">
        <f>'Part VI-Revenues &amp; Expenses'!K182</f>
        <v>2400</v>
      </c>
      <c r="L939" s="3371">
        <f>'Part VI-Revenues &amp; Expenses'!L182</f>
        <v>0</v>
      </c>
      <c r="M939" s="3384"/>
      <c r="N939" s="3388" t="s">
        <v>1187</v>
      </c>
      <c r="O939" s="3389" t="s">
        <v>1188</v>
      </c>
      <c r="P939" s="3389" t="s">
        <v>1189</v>
      </c>
      <c r="Q939" s="3389"/>
      <c r="R939" s="3257"/>
      <c r="S939" s="3257"/>
      <c r="T939" s="3257"/>
      <c r="U939" s="3257"/>
      <c r="V939" s="3257"/>
      <c r="W939" s="523"/>
      <c r="GT939" s="3310"/>
      <c r="GY939" s="3310"/>
      <c r="GZ939" s="3310"/>
      <c r="HA939" s="3310"/>
      <c r="HB939" s="3310"/>
      <c r="HC939" s="3310"/>
      <c r="HD939" s="3310"/>
      <c r="HE939" s="3310"/>
      <c r="HF939" s="3310"/>
      <c r="HG939" s="3310"/>
      <c r="HH939" s="3310"/>
      <c r="HI939" s="3310"/>
      <c r="HJ939" s="3310"/>
      <c r="HK939" s="3310"/>
      <c r="HL939" s="3310"/>
      <c r="HM939" s="3310"/>
      <c r="HN939" s="3310"/>
      <c r="HO939" s="3310"/>
      <c r="HP939" s="3310"/>
      <c r="HQ939" s="3310"/>
      <c r="HR939" s="3310"/>
      <c r="HS939" s="3310"/>
      <c r="HT939" s="3310"/>
      <c r="HU939" s="3310"/>
      <c r="HV939" s="3310"/>
      <c r="HW939" s="3310"/>
      <c r="HX939" s="3310"/>
      <c r="HY939" s="3310"/>
      <c r="HZ939" s="3310"/>
      <c r="IA939" s="3310"/>
      <c r="IB939" s="3310"/>
      <c r="IC939" s="3310"/>
      <c r="ID939" s="3310"/>
      <c r="IK939" s="3300"/>
      <c r="JA939" s="3300"/>
      <c r="JB939" s="3300"/>
    </row>
    <row r="940" spans="2:262" s="3111" customFormat="1" ht="15.6" customHeight="1">
      <c r="B940" s="3111" t="s">
        <v>1190</v>
      </c>
      <c r="D940" s="3379"/>
      <c r="F940" s="3360">
        <f>'Part VI-Revenues &amp; Expenses'!F183</f>
        <v>3600</v>
      </c>
      <c r="G940" s="3360">
        <f>'Part VI-Revenues &amp; Expenses'!G183</f>
        <v>0</v>
      </c>
      <c r="I940" s="3111" t="s">
        <v>1191</v>
      </c>
      <c r="K940" s="3371">
        <f>'Part VI-Revenues &amp; Expenses'!K183</f>
        <v>12000</v>
      </c>
      <c r="L940" s="3371">
        <f>'Part VI-Revenues &amp; Expenses'!L183</f>
        <v>0</v>
      </c>
      <c r="M940" s="3384"/>
      <c r="N940" s="3390" t="s">
        <v>1118</v>
      </c>
      <c r="R940" s="3257"/>
      <c r="S940" s="3257"/>
      <c r="T940" s="3257"/>
      <c r="U940" s="3257"/>
      <c r="V940" s="3257"/>
      <c r="W940" s="523"/>
      <c r="GT940" s="3310"/>
      <c r="GY940" s="3310"/>
      <c r="GZ940" s="3310"/>
      <c r="HA940" s="3310"/>
      <c r="HB940" s="3310"/>
      <c r="HC940" s="3310"/>
      <c r="HD940" s="3310"/>
      <c r="HE940" s="3310"/>
      <c r="HF940" s="3310"/>
      <c r="HG940" s="3310"/>
      <c r="HH940" s="3310"/>
      <c r="HI940" s="3310"/>
      <c r="HJ940" s="3310"/>
      <c r="HK940" s="3310"/>
      <c r="HL940" s="3310"/>
      <c r="HM940" s="3310"/>
      <c r="HN940" s="3310"/>
      <c r="HO940" s="3310"/>
      <c r="HP940" s="3310"/>
      <c r="HQ940" s="3310"/>
      <c r="HR940" s="3310"/>
      <c r="HS940" s="3310"/>
      <c r="HT940" s="3310"/>
      <c r="HU940" s="3310"/>
      <c r="HV940" s="3310"/>
      <c r="HW940" s="3310"/>
      <c r="HX940" s="3310"/>
      <c r="HY940" s="3310"/>
      <c r="HZ940" s="3310"/>
      <c r="IA940" s="3310"/>
      <c r="IB940" s="3310"/>
      <c r="IC940" s="3310"/>
      <c r="ID940" s="3310"/>
      <c r="IK940" s="3300"/>
      <c r="JA940" s="3300"/>
      <c r="JB940" s="3300"/>
    </row>
    <row r="941" spans="2:262" s="3111" customFormat="1" ht="15.6" customHeight="1">
      <c r="B941" s="3111" t="s">
        <v>1192</v>
      </c>
      <c r="D941" s="3379"/>
      <c r="F941" s="3360">
        <f>'Part VI-Revenues &amp; Expenses'!F184</f>
        <v>9000</v>
      </c>
      <c r="G941" s="3360">
        <f>'Part VI-Revenues &amp; Expenses'!G184</f>
        <v>0</v>
      </c>
      <c r="I941" s="3378" t="str">
        <f>'Part VI-Revenues &amp; Expenses'!I184</f>
        <v>Other (describe here)</v>
      </c>
      <c r="J941" s="3378">
        <f>'Part VI-Revenues &amp; Expenses'!J184</f>
        <v>0</v>
      </c>
      <c r="K941" s="3371">
        <f>'Part VI-Revenues &amp; Expenses'!K184</f>
        <v>0</v>
      </c>
      <c r="L941" s="3371">
        <f>'Part VI-Revenues &amp; Expenses'!L184</f>
        <v>0</v>
      </c>
      <c r="M941" s="3384"/>
      <c r="N941" s="3113" t="s">
        <v>1193</v>
      </c>
      <c r="O941" s="3391" t="str">
        <f>CONCATENATE(SUM(JC805:JG805)," units x $",'DCA Underwriting Assumptions'!$Q$65," =")</f>
        <v>0 units x $350 =</v>
      </c>
      <c r="P941" s="3391">
        <f>SUM(JC805:JG805)*'DCA Underwriting Assumptions'!$Q$65</f>
        <v>0</v>
      </c>
      <c r="Q941" s="3391"/>
      <c r="R941" s="3257"/>
      <c r="S941" s="3257"/>
      <c r="T941" s="3257"/>
      <c r="U941" s="3257"/>
      <c r="V941" s="3257"/>
      <c r="W941" s="523"/>
      <c r="GT941" s="3310"/>
      <c r="GY941" s="3310"/>
      <c r="GZ941" s="3310"/>
      <c r="HA941" s="3310"/>
      <c r="HB941" s="3310"/>
      <c r="HC941" s="3310"/>
      <c r="HD941" s="3310"/>
      <c r="HE941" s="3310"/>
      <c r="HF941" s="3310"/>
      <c r="HG941" s="3310"/>
      <c r="HH941" s="3310"/>
      <c r="HI941" s="3310"/>
      <c r="HJ941" s="3310"/>
      <c r="HK941" s="3310"/>
      <c r="HL941" s="3310"/>
      <c r="HM941" s="3310"/>
      <c r="HN941" s="3310"/>
      <c r="HO941" s="3310"/>
      <c r="HP941" s="3310"/>
      <c r="HQ941" s="3310"/>
      <c r="HR941" s="3310"/>
      <c r="HS941" s="3310"/>
      <c r="HT941" s="3310"/>
      <c r="HU941" s="3310"/>
      <c r="HV941" s="3310"/>
      <c r="HW941" s="3310"/>
      <c r="HX941" s="3310"/>
      <c r="HY941" s="3310"/>
      <c r="HZ941" s="3310"/>
      <c r="IA941" s="3310"/>
      <c r="IB941" s="3310"/>
      <c r="IC941" s="3310"/>
      <c r="ID941" s="3310"/>
      <c r="IK941" s="3300"/>
      <c r="JA941" s="3300"/>
      <c r="JB941" s="3300"/>
    </row>
    <row r="942" spans="2:262" s="3111" customFormat="1" ht="15.6" customHeight="1">
      <c r="B942" s="3111" t="s">
        <v>1194</v>
      </c>
      <c r="D942" s="3379"/>
      <c r="F942" s="3360">
        <f>'Part VI-Revenues &amp; Expenses'!F185</f>
        <v>0</v>
      </c>
      <c r="G942" s="3360">
        <f>'Part VI-Revenues &amp; Expenses'!G185</f>
        <v>0</v>
      </c>
      <c r="J942" s="3377" t="s">
        <v>665</v>
      </c>
      <c r="K942" s="3371">
        <f>SUM(K937:K941)</f>
        <v>32400</v>
      </c>
      <c r="L942" s="3371"/>
      <c r="M942" s="3384"/>
      <c r="N942" s="3113" t="s">
        <v>1195</v>
      </c>
      <c r="O942" s="3391" t="str">
        <f>CONCATENATE(SUM(JH805:JL805)," units x $",'DCA Underwriting Assumptions'!$Q$66," =")</f>
        <v>74 units x $250 =</v>
      </c>
      <c r="P942" s="3391">
        <f>SUM(JH805:JL805)*'DCA Underwriting Assumptions'!$Q$66</f>
        <v>18500</v>
      </c>
      <c r="Q942" s="3391"/>
      <c r="R942" s="3257"/>
      <c r="S942" s="3257"/>
      <c r="T942" s="3257"/>
      <c r="U942" s="3257"/>
      <c r="V942" s="3257"/>
      <c r="W942" s="523"/>
      <c r="GT942" s="3310"/>
      <c r="GY942" s="3310"/>
      <c r="GZ942" s="3310"/>
      <c r="HA942" s="3310"/>
      <c r="HB942" s="3310"/>
      <c r="HC942" s="3310"/>
      <c r="HD942" s="3310"/>
      <c r="HE942" s="3310"/>
      <c r="HF942" s="3310"/>
      <c r="HG942" s="3310"/>
      <c r="HH942" s="3310"/>
      <c r="HI942" s="3310"/>
      <c r="HJ942" s="3310"/>
      <c r="HK942" s="3310"/>
      <c r="HL942" s="3310"/>
      <c r="HM942" s="3310"/>
      <c r="HN942" s="3310"/>
      <c r="HO942" s="3310"/>
      <c r="HP942" s="3310"/>
      <c r="HQ942" s="3310"/>
      <c r="HR942" s="3310"/>
      <c r="HS942" s="3310"/>
      <c r="HT942" s="3310"/>
      <c r="HU942" s="3310"/>
      <c r="HV942" s="3310"/>
      <c r="HW942" s="3310"/>
      <c r="HX942" s="3310"/>
      <c r="HY942" s="3310"/>
      <c r="HZ942" s="3310"/>
      <c r="IA942" s="3310"/>
      <c r="IB942" s="3310"/>
      <c r="IC942" s="3310"/>
      <c r="ID942" s="3310"/>
      <c r="IK942" s="3300"/>
      <c r="JA942" s="3300"/>
      <c r="JB942" s="3300"/>
    </row>
    <row r="943" spans="2:262" s="3111" customFormat="1" ht="15.6" customHeight="1">
      <c r="B943" s="3111" t="s">
        <v>1196</v>
      </c>
      <c r="D943" s="3379"/>
      <c r="F943" s="3360">
        <f>'Part VI-Revenues &amp; Expenses'!F186</f>
        <v>6000</v>
      </c>
      <c r="G943" s="3360">
        <f>'Part VI-Revenues &amp; Expenses'!G186</f>
        <v>0</v>
      </c>
      <c r="J943" s="3347"/>
      <c r="M943" s="3384"/>
      <c r="N943" s="3230" t="s">
        <v>1197</v>
      </c>
      <c r="O943" s="3391" t="str">
        <f>CONCATENATE(SUM(JM805:JQ805)," units x $",'DCA Underwriting Assumptions'!$Q$67," =")</f>
        <v>0 units x $420 =</v>
      </c>
      <c r="P943" s="3391">
        <f>SUM(JM805:JQ805)*'DCA Underwriting Assumptions'!$Q$67</f>
        <v>0</v>
      </c>
      <c r="Q943" s="3391"/>
      <c r="R943" s="3257"/>
      <c r="S943" s="3257"/>
      <c r="T943" s="3257"/>
      <c r="U943" s="3257"/>
      <c r="V943" s="3257"/>
      <c r="W943" s="523"/>
      <c r="GT943" s="3310"/>
      <c r="GY943" s="3310"/>
      <c r="GZ943" s="3310"/>
      <c r="HA943" s="3310"/>
      <c r="HB943" s="3310"/>
      <c r="HC943" s="3310"/>
      <c r="HD943" s="3310"/>
      <c r="HE943" s="3310"/>
      <c r="HF943" s="3310"/>
      <c r="HG943" s="3310"/>
      <c r="HH943" s="3310"/>
      <c r="HI943" s="3310"/>
      <c r="HJ943" s="3310"/>
      <c r="HK943" s="3310"/>
      <c r="HL943" s="3310"/>
      <c r="HM943" s="3310"/>
      <c r="HN943" s="3310"/>
      <c r="HO943" s="3310"/>
      <c r="HP943" s="3310"/>
      <c r="HQ943" s="3310"/>
      <c r="HR943" s="3310"/>
      <c r="HS943" s="3310"/>
      <c r="HT943" s="3310"/>
      <c r="HU943" s="3310"/>
      <c r="HV943" s="3310"/>
      <c r="HW943" s="3310"/>
      <c r="HX943" s="3310"/>
      <c r="HY943" s="3310"/>
      <c r="HZ943" s="3310"/>
      <c r="IA943" s="3310"/>
      <c r="IB943" s="3310"/>
      <c r="IC943" s="3310"/>
      <c r="ID943" s="3310"/>
      <c r="IK943" s="3300"/>
      <c r="JA943" s="3300"/>
      <c r="JB943" s="3300"/>
    </row>
    <row r="944" spans="2:262" s="3111" customFormat="1" ht="15.6" customHeight="1">
      <c r="B944" s="358" t="str">
        <f>'Part VI-Revenues &amp; Expenses'!B187</f>
        <v>Other (describe here)</v>
      </c>
      <c r="C944" s="358">
        <f>'Part VI-Revenues &amp; Expenses'!C187</f>
        <v>0</v>
      </c>
      <c r="D944" s="358">
        <f>'Part VI-Revenues &amp; Expenses'!D187</f>
        <v>0</v>
      </c>
      <c r="E944" s="358">
        <f>'Part VI-Revenues &amp; Expenses'!E187</f>
        <v>0</v>
      </c>
      <c r="F944" s="3360">
        <f>'Part VI-Revenues &amp; Expenses'!F187</f>
        <v>0</v>
      </c>
      <c r="G944" s="3360">
        <f>'Part VI-Revenues &amp; Expenses'!G187</f>
        <v>0</v>
      </c>
      <c r="J944" s="3347"/>
      <c r="N944" s="3230" t="s">
        <v>1198</v>
      </c>
      <c r="O944" s="3391" t="str">
        <f>CONCATENATE(O841," units x $",'DCA Underwriting Assumptions'!$Q$67," =")</f>
        <v>0 units x $420 =</v>
      </c>
      <c r="P944" s="3391">
        <f>O841*'DCA Underwriting Assumptions'!$Q$67</f>
        <v>0</v>
      </c>
      <c r="Q944" s="3391"/>
      <c r="R944" s="3257"/>
      <c r="S944" s="3257"/>
      <c r="T944" s="3257"/>
      <c r="U944" s="3257"/>
      <c r="V944" s="3257"/>
      <c r="W944" s="523"/>
      <c r="GT944" s="3310"/>
      <c r="GY944" s="3310"/>
      <c r="GZ944" s="3310"/>
      <c r="HA944" s="3310"/>
      <c r="HB944" s="3310"/>
      <c r="HC944" s="3310"/>
      <c r="HD944" s="3310"/>
      <c r="HE944" s="3310"/>
      <c r="HF944" s="3310"/>
      <c r="HG944" s="3310"/>
      <c r="HH944" s="3310"/>
      <c r="HI944" s="3310"/>
      <c r="HJ944" s="3310"/>
      <c r="HK944" s="3310"/>
      <c r="HL944" s="3310"/>
      <c r="HM944" s="3310"/>
      <c r="HN944" s="3310"/>
      <c r="HO944" s="3310"/>
      <c r="HP944" s="3310"/>
      <c r="HQ944" s="3310"/>
      <c r="HR944" s="3310"/>
      <c r="HS944" s="3310"/>
      <c r="HT944" s="3310"/>
      <c r="HU944" s="3310"/>
      <c r="HV944" s="3310"/>
      <c r="HW944" s="3310"/>
      <c r="HX944" s="3310"/>
      <c r="HY944" s="3310"/>
      <c r="HZ944" s="3310"/>
      <c r="IA944" s="3310"/>
      <c r="IB944" s="3310"/>
      <c r="IC944" s="3310"/>
      <c r="ID944" s="3310"/>
      <c r="IK944" s="3300"/>
      <c r="JA944" s="3300"/>
      <c r="JB944" s="3300"/>
    </row>
    <row r="945" spans="1:262" s="3111" customFormat="1" ht="15.6" customHeight="1">
      <c r="B945" s="3300"/>
      <c r="C945" s="3377" t="s">
        <v>665</v>
      </c>
      <c r="F945" s="3360">
        <f>SUM(F937:G944)</f>
        <v>49800</v>
      </c>
      <c r="G945" s="3360"/>
      <c r="J945" s="3347"/>
      <c r="N945" s="3340" t="s">
        <v>1199</v>
      </c>
      <c r="O945" s="3334">
        <f>SUM(JC805:JG805)+SUM(JH805:JL805)+SUM(JM805:JQ805)+O841</f>
        <v>74</v>
      </c>
      <c r="P945" s="3392">
        <f>SUM(P941:P944)</f>
        <v>18500</v>
      </c>
      <c r="Q945" s="3391"/>
      <c r="R945" s="3257"/>
      <c r="S945" s="3257"/>
      <c r="T945" s="3257"/>
      <c r="U945" s="3257"/>
      <c r="V945" s="3257"/>
      <c r="W945" s="523"/>
      <c r="GT945" s="3310"/>
      <c r="GY945" s="3310"/>
      <c r="GZ945" s="3310"/>
      <c r="HA945" s="3310"/>
      <c r="HB945" s="3310"/>
      <c r="HC945" s="3310"/>
      <c r="HD945" s="3310"/>
      <c r="HE945" s="3310"/>
      <c r="HF945" s="3310"/>
      <c r="HG945" s="3310"/>
      <c r="HH945" s="3310"/>
      <c r="HI945" s="3310"/>
      <c r="HJ945" s="3310"/>
      <c r="HK945" s="3310"/>
      <c r="HL945" s="3310"/>
      <c r="HM945" s="3310"/>
      <c r="HN945" s="3310"/>
      <c r="HO945" s="3310"/>
      <c r="HP945" s="3310"/>
      <c r="HQ945" s="3310"/>
      <c r="HR945" s="3310"/>
      <c r="HS945" s="3310"/>
      <c r="HT945" s="3310"/>
      <c r="HU945" s="3310"/>
      <c r="HV945" s="3310"/>
      <c r="HW945" s="3310"/>
      <c r="HX945" s="3310"/>
      <c r="HY945" s="3310"/>
      <c r="HZ945" s="3310"/>
      <c r="IA945" s="3310"/>
      <c r="IB945" s="3310"/>
      <c r="IC945" s="3310"/>
      <c r="ID945" s="3310"/>
      <c r="IK945" s="3300"/>
      <c r="JA945" s="3300"/>
      <c r="JB945" s="3300"/>
    </row>
    <row r="946" spans="1:262" s="3111" customFormat="1" ht="6" customHeight="1">
      <c r="B946" s="3300"/>
      <c r="C946" s="3377"/>
      <c r="F946" s="3347"/>
      <c r="G946" s="3347"/>
      <c r="J946" s="3347"/>
      <c r="W946" s="523"/>
      <c r="GT946" s="3310"/>
      <c r="GY946" s="3310"/>
      <c r="GZ946" s="3310"/>
      <c r="HA946" s="3310"/>
      <c r="HB946" s="3310"/>
      <c r="HC946" s="3310"/>
      <c r="HD946" s="3310"/>
      <c r="HE946" s="3310"/>
      <c r="HF946" s="3310"/>
      <c r="HG946" s="3310"/>
      <c r="HH946" s="3310"/>
      <c r="HI946" s="3310"/>
      <c r="HJ946" s="3310"/>
      <c r="HK946" s="3310"/>
      <c r="HL946" s="3310"/>
      <c r="HM946" s="3310"/>
      <c r="HN946" s="3310"/>
      <c r="HO946" s="3310"/>
      <c r="HP946" s="3310"/>
      <c r="HQ946" s="3310"/>
      <c r="HR946" s="3310"/>
      <c r="HS946" s="3310"/>
      <c r="HT946" s="3310"/>
      <c r="HU946" s="3310"/>
      <c r="HV946" s="3310"/>
      <c r="HW946" s="3310"/>
      <c r="HX946" s="3310"/>
      <c r="HY946" s="3310"/>
      <c r="HZ946" s="3310"/>
      <c r="IA946" s="3310"/>
      <c r="IB946" s="3310"/>
      <c r="IC946" s="3310"/>
      <c r="ID946" s="3310"/>
      <c r="IK946" s="3300"/>
      <c r="JA946" s="3300"/>
      <c r="JB946" s="3300"/>
    </row>
    <row r="947" spans="1:262" s="3111" customFormat="1" ht="15.6" customHeight="1">
      <c r="B947" s="3300"/>
      <c r="C947" s="3377"/>
      <c r="F947" s="3347"/>
      <c r="G947" s="3347"/>
      <c r="J947" s="3347"/>
      <c r="N947" s="3300" t="s">
        <v>1200</v>
      </c>
      <c r="P947" s="3371">
        <f>P932+P936</f>
        <v>398985</v>
      </c>
      <c r="Q947" s="3371"/>
      <c r="W947" s="523"/>
      <c r="GT947" s="3310"/>
      <c r="GY947" s="3310"/>
      <c r="GZ947" s="3310"/>
      <c r="HA947" s="3310"/>
      <c r="HB947" s="3310"/>
      <c r="HC947" s="3310"/>
      <c r="HD947" s="3310"/>
      <c r="HE947" s="3310"/>
      <c r="HF947" s="3310"/>
      <c r="HG947" s="3310"/>
      <c r="HH947" s="3310"/>
      <c r="HI947" s="3310"/>
      <c r="HJ947" s="3310"/>
      <c r="HK947" s="3310"/>
      <c r="HL947" s="3310"/>
      <c r="HM947" s="3310"/>
      <c r="HN947" s="3310"/>
      <c r="HO947" s="3310"/>
      <c r="HP947" s="3310"/>
      <c r="HQ947" s="3310"/>
      <c r="HR947" s="3310"/>
      <c r="HS947" s="3310"/>
      <c r="HT947" s="3310"/>
      <c r="HU947" s="3310"/>
      <c r="HV947" s="3310"/>
      <c r="HW947" s="3310"/>
      <c r="HX947" s="3310"/>
      <c r="HY947" s="3310"/>
      <c r="HZ947" s="3310"/>
      <c r="IA947" s="3310"/>
      <c r="IB947" s="3310"/>
      <c r="IC947" s="3310"/>
      <c r="ID947" s="3310"/>
      <c r="IK947" s="3300"/>
      <c r="JA947" s="3300"/>
      <c r="JB947" s="3300"/>
    </row>
    <row r="948" spans="1:262" s="3111" customFormat="1" ht="8.25" customHeight="1">
      <c r="B948" s="3300"/>
      <c r="C948" s="3377"/>
      <c r="F948" s="3347"/>
      <c r="G948" s="3347"/>
      <c r="J948" s="3347"/>
      <c r="N948" s="3300"/>
      <c r="P948" s="3371"/>
      <c r="Q948" s="3371"/>
      <c r="W948" s="523"/>
      <c r="GT948" s="3310"/>
      <c r="GY948" s="3310"/>
      <c r="GZ948" s="3310"/>
      <c r="HA948" s="3310"/>
      <c r="HB948" s="3310"/>
      <c r="HC948" s="3310"/>
      <c r="HD948" s="3310"/>
      <c r="HE948" s="3310"/>
      <c r="HF948" s="3310"/>
      <c r="HG948" s="3310"/>
      <c r="HH948" s="3310"/>
      <c r="HI948" s="3310"/>
      <c r="HJ948" s="3310"/>
      <c r="HK948" s="3310"/>
      <c r="HL948" s="3310"/>
      <c r="HM948" s="3310"/>
      <c r="HN948" s="3310"/>
      <c r="HO948" s="3310"/>
      <c r="HP948" s="3310"/>
      <c r="HQ948" s="3310"/>
      <c r="HR948" s="3310"/>
      <c r="HS948" s="3310"/>
      <c r="HT948" s="3310"/>
      <c r="HU948" s="3310"/>
      <c r="HV948" s="3310"/>
      <c r="HW948" s="3310"/>
      <c r="HX948" s="3310"/>
      <c r="HY948" s="3310"/>
      <c r="HZ948" s="3310"/>
      <c r="IA948" s="3310"/>
      <c r="IB948" s="3310"/>
      <c r="IC948" s="3310"/>
      <c r="ID948" s="3310"/>
      <c r="IK948" s="3300"/>
      <c r="JA948" s="3300"/>
      <c r="JB948" s="3300"/>
    </row>
    <row r="949" spans="1:262" ht="12" customHeight="1">
      <c r="A949" s="3303" t="s">
        <v>108</v>
      </c>
      <c r="B949" s="3303" t="s">
        <v>259</v>
      </c>
      <c r="M949" s="3303" t="s">
        <v>1201</v>
      </c>
      <c r="N949" s="3303"/>
      <c r="GT949" s="3306"/>
      <c r="GY949" s="3306"/>
      <c r="GZ949" s="3306"/>
      <c r="HA949" s="3306"/>
      <c r="HB949" s="3306"/>
      <c r="HC949" s="3306"/>
      <c r="HD949" s="3306"/>
      <c r="HE949" s="3306"/>
      <c r="HF949" s="3306"/>
      <c r="HG949" s="3306"/>
      <c r="HH949" s="3306"/>
      <c r="HI949" s="3306"/>
      <c r="HJ949" s="3306"/>
      <c r="HK949" s="3306"/>
      <c r="HL949" s="3306"/>
      <c r="HM949" s="3306"/>
      <c r="HN949" s="3306"/>
      <c r="HO949" s="3306"/>
      <c r="HP949" s="3306"/>
      <c r="HQ949" s="3306"/>
      <c r="HR949" s="3306"/>
      <c r="HS949" s="3306"/>
      <c r="HT949" s="3306"/>
      <c r="HU949" s="3306"/>
      <c r="HV949" s="3306"/>
      <c r="HW949" s="3306"/>
      <c r="HX949" s="3306"/>
      <c r="HY949" s="3306"/>
      <c r="HZ949" s="3306"/>
      <c r="IA949" s="3306"/>
      <c r="IB949" s="3306"/>
      <c r="IC949" s="3306"/>
      <c r="ID949" s="3306"/>
      <c r="IK949" s="3303"/>
      <c r="JA949" s="3303"/>
      <c r="JB949" s="3303"/>
    </row>
    <row r="950" spans="1:262" ht="186.75" customHeight="1">
      <c r="A950" s="3179" t="str">
        <f>'Part VI-Revenues &amp; Expenses'!A193</f>
        <v>See Tab 1 for documentation relating to our insurance and real estate tax calculations.  The insurance estimate is from our current provider who handles approximately 50 properties comprising approximately 2400 units in our existing portfolio.  Real estate tax estimates are from extensive research with our property tax consultant, Cherokee County appraiser's office and other tax credit developments in the County.
Project operations are based on our management companies vast experience with rural properties approximating the size of the proposed development.
Rent is not being shown on the common space units because these two units are for management or maintenance, and security officer.</v>
      </c>
      <c r="B950" s="3179">
        <f>'Part VI-Revenues &amp; Expenses'!B193</f>
        <v>0</v>
      </c>
      <c r="C950" s="3179">
        <f>'Part VI-Revenues &amp; Expenses'!C193</f>
        <v>0</v>
      </c>
      <c r="D950" s="3179">
        <f>'Part VI-Revenues &amp; Expenses'!D193</f>
        <v>0</v>
      </c>
      <c r="E950" s="3179">
        <f>'Part VI-Revenues &amp; Expenses'!E193</f>
        <v>0</v>
      </c>
      <c r="F950" s="3179">
        <f>'Part VI-Revenues &amp; Expenses'!F193</f>
        <v>0</v>
      </c>
      <c r="G950" s="3179">
        <f>'Part VI-Revenues &amp; Expenses'!G193</f>
        <v>0</v>
      </c>
      <c r="H950" s="3179">
        <f>'Part VI-Revenues &amp; Expenses'!H193</f>
        <v>0</v>
      </c>
      <c r="I950" s="3179">
        <f>'Part VI-Revenues &amp; Expenses'!I193</f>
        <v>0</v>
      </c>
      <c r="J950" s="3179">
        <f>'Part VI-Revenues &amp; Expenses'!J193</f>
        <v>0</v>
      </c>
      <c r="K950" s="3179">
        <f>'Part VI-Revenues &amp; Expenses'!K193</f>
        <v>0</v>
      </c>
      <c r="L950" s="3179">
        <f>'Part VI-Revenues &amp; Expenses'!L193</f>
        <v>0</v>
      </c>
      <c r="M950" s="3179">
        <f>'Part VI-Revenues &amp; Expenses'!M193</f>
        <v>0</v>
      </c>
      <c r="N950" s="3179">
        <f>'Part VI-Revenues &amp; Expenses'!N193</f>
        <v>0</v>
      </c>
      <c r="O950" s="3179">
        <f>'Part VI-Revenues &amp; Expenses'!O193</f>
        <v>0</v>
      </c>
      <c r="P950" s="3179">
        <f>'Part VI-Revenues &amp; Expenses'!P193</f>
        <v>0</v>
      </c>
      <c r="Q950" s="3281" t="s">
        <v>1202</v>
      </c>
      <c r="R950" s="3281"/>
      <c r="S950" s="3281"/>
      <c r="T950" s="3281"/>
      <c r="GT950" s="3306"/>
      <c r="GY950" s="3306"/>
      <c r="GZ950" s="3306"/>
      <c r="HA950" s="3306"/>
      <c r="HB950" s="3306"/>
      <c r="HC950" s="3306"/>
      <c r="HD950" s="3306"/>
      <c r="HE950" s="3306"/>
      <c r="HF950" s="3306"/>
      <c r="HG950" s="3306"/>
      <c r="HH950" s="3306"/>
      <c r="HI950" s="3306"/>
      <c r="HJ950" s="3306"/>
      <c r="HK950" s="3306"/>
      <c r="HL950" s="3306"/>
      <c r="HM950" s="3306"/>
      <c r="HN950" s="3306"/>
      <c r="HO950" s="3306"/>
      <c r="HP950" s="3306"/>
      <c r="HQ950" s="3306"/>
      <c r="HR950" s="3306"/>
      <c r="HS950" s="3306"/>
      <c r="HT950" s="3306"/>
      <c r="HU950" s="3306"/>
      <c r="HV950" s="3306"/>
      <c r="HW950" s="3306"/>
      <c r="HX950" s="3306"/>
      <c r="HY950" s="3306"/>
      <c r="HZ950" s="3306"/>
      <c r="IA950" s="3306"/>
      <c r="IB950" s="3306"/>
      <c r="IC950" s="3306"/>
      <c r="ID950" s="3306"/>
      <c r="IK950" s="3303"/>
      <c r="JA950" s="3303"/>
      <c r="JB950" s="3303"/>
    </row>
    <row r="957" spans="1:262">
      <c r="A957" s="3300" t="str">
        <f>CONCATENATE("PART SEVEN - OPERATING PRO FORMA","  -  ",'Part I-Project Information'!$O$6," ",'Part I-Project Information'!$F$34,", ",'Part I-Project Information'!F994,", ",'Part I-Project Information'!J995," County")</f>
        <v>PART SEVEN - OPERATING PRO FORMA  -  2018-008 Mill at Stone Valley, ,  County</v>
      </c>
      <c r="B957" s="3198"/>
      <c r="C957" s="3198"/>
      <c r="D957" s="3198"/>
      <c r="E957" s="3198"/>
      <c r="F957" s="3198"/>
      <c r="G957" s="3198"/>
      <c r="H957" s="3198"/>
      <c r="I957" s="3198"/>
      <c r="J957" s="3198"/>
      <c r="K957" s="3198"/>
    </row>
    <row r="958" spans="1:262">
      <c r="A958" s="3307"/>
      <c r="B958" s="3307"/>
      <c r="C958" s="3307"/>
      <c r="D958" s="3307"/>
      <c r="E958" s="3307"/>
      <c r="F958" s="3307"/>
      <c r="G958" s="3307"/>
      <c r="H958" s="3307"/>
      <c r="I958" s="3307"/>
      <c r="J958" s="3307"/>
      <c r="K958" s="3307"/>
    </row>
    <row r="959" spans="1:262" ht="13.5">
      <c r="A959" s="3303" t="s">
        <v>1203</v>
      </c>
      <c r="D959" s="3303" t="s">
        <v>1204</v>
      </c>
      <c r="E959" s="3319"/>
      <c r="F959" s="3109" t="s">
        <v>4787</v>
      </c>
    </row>
    <row r="961" spans="1:19" ht="12.75" customHeight="1">
      <c r="A961" s="523" t="s">
        <v>1206</v>
      </c>
      <c r="B961" s="3393">
        <v>0.02</v>
      </c>
      <c r="D961" s="3257" t="s">
        <v>4788</v>
      </c>
      <c r="E961" s="3257"/>
      <c r="F961" s="3257"/>
      <c r="G961" s="3394">
        <f>'Part VII-Pro Forma'!G5</f>
        <v>20000</v>
      </c>
      <c r="H961" s="3356" t="s">
        <v>1208</v>
      </c>
      <c r="K961" s="3395" t="e">
        <f>IF(($B$14+$B$15+$B$16+$B$17)=0,"",B984/($B$14+$B$15+$B$16+$B$17))</f>
        <v>#VALUE!</v>
      </c>
    </row>
    <row r="962" spans="1:19">
      <c r="A962" s="523" t="s">
        <v>1209</v>
      </c>
      <c r="B962" s="3393">
        <v>0.03</v>
      </c>
      <c r="D962" s="3257"/>
      <c r="E962" s="3257"/>
      <c r="F962" s="3257"/>
      <c r="G962" s="3396">
        <f>IF(OR('Part III-Sources of Funds'!B967="Yes",'Part III-Sources of Funds'!E967&gt;0),'DCA Underwriting Assumptions'!$Q$95,0)</f>
        <v>0</v>
      </c>
    </row>
    <row r="963" spans="1:19">
      <c r="A963" s="523" t="s">
        <v>1210</v>
      </c>
      <c r="B963" s="3393">
        <v>0.03</v>
      </c>
      <c r="D963" s="3111" t="s">
        <v>1211</v>
      </c>
      <c r="G963" s="3397"/>
      <c r="H963" s="3356" t="s">
        <v>1212</v>
      </c>
      <c r="K963" s="3395" t="e">
        <f>IF(($B$14+$B$15+$B$16+$B$17)=0,"",-B976/($B$14+$B$15+$B$16+$B$17))</f>
        <v>#VALUE!</v>
      </c>
    </row>
    <row r="964" spans="1:19">
      <c r="A964" s="523" t="s">
        <v>1213</v>
      </c>
      <c r="B964" s="3393">
        <f>'Part VII-Pro Forma'!B8</f>
        <v>7.0000000000000007E-2</v>
      </c>
      <c r="D964" s="3111" t="s">
        <v>1214</v>
      </c>
      <c r="G964" s="3398" t="str">
        <f>'Part VII-Pro Forma'!G8</f>
        <v>No</v>
      </c>
      <c r="H964" s="3399" t="s">
        <v>1215</v>
      </c>
      <c r="K964" s="3400">
        <f>'Part VII-Pro Forma'!K8</f>
        <v>0</v>
      </c>
    </row>
    <row r="965" spans="1:19">
      <c r="A965" s="523" t="s">
        <v>1216</v>
      </c>
      <c r="B965" s="3393">
        <v>0.02</v>
      </c>
      <c r="D965" s="3111" t="s">
        <v>1217</v>
      </c>
      <c r="G965" s="3398" t="str">
        <f>'Part VII-Pro Forma'!G9</f>
        <v>Yes</v>
      </c>
      <c r="H965" s="3399" t="s">
        <v>1218</v>
      </c>
      <c r="K965" s="3401">
        <f>'Part VII-Pro Forma'!K9</f>
        <v>0.05</v>
      </c>
    </row>
    <row r="967" spans="1:19">
      <c r="A967" s="3303" t="s">
        <v>1219</v>
      </c>
      <c r="D967" s="3301"/>
    </row>
    <row r="969" spans="1:19">
      <c r="A969" s="3303" t="s">
        <v>627</v>
      </c>
      <c r="B969" s="3303">
        <v>1</v>
      </c>
      <c r="C969" s="3303">
        <f t="shared" ref="C969:K969" si="279">B969+1</f>
        <v>2</v>
      </c>
      <c r="D969" s="3303">
        <f t="shared" si="279"/>
        <v>3</v>
      </c>
      <c r="E969" s="3303">
        <f t="shared" si="279"/>
        <v>4</v>
      </c>
      <c r="F969" s="3303">
        <f t="shared" si="279"/>
        <v>5</v>
      </c>
      <c r="G969" s="3303">
        <f t="shared" si="279"/>
        <v>6</v>
      </c>
      <c r="H969" s="3303">
        <f t="shared" si="279"/>
        <v>7</v>
      </c>
      <c r="I969" s="3303">
        <f t="shared" si="279"/>
        <v>8</v>
      </c>
      <c r="J969" s="3303">
        <f t="shared" si="279"/>
        <v>9</v>
      </c>
      <c r="K969" s="3303">
        <f t="shared" si="279"/>
        <v>10</v>
      </c>
    </row>
    <row r="970" spans="1:19">
      <c r="A970" s="523" t="s">
        <v>1221</v>
      </c>
      <c r="B970" s="3402">
        <f>'Part VI-Revenues &amp; Expenses'!$L$49</f>
        <v>640884</v>
      </c>
      <c r="C970" s="3402">
        <f t="shared" ref="C970:K970" si="280">$B$14*(1+$B$5)^(C969-1)</f>
        <v>0</v>
      </c>
      <c r="D970" s="3402">
        <f t="shared" si="280"/>
        <v>0</v>
      </c>
      <c r="E970" s="3402">
        <f t="shared" si="280"/>
        <v>0</v>
      </c>
      <c r="F970" s="3402">
        <f t="shared" si="280"/>
        <v>0</v>
      </c>
      <c r="G970" s="3402">
        <f t="shared" si="280"/>
        <v>0</v>
      </c>
      <c r="H970" s="3402">
        <f t="shared" si="280"/>
        <v>0</v>
      </c>
      <c r="I970" s="3402">
        <f t="shared" si="280"/>
        <v>0</v>
      </c>
      <c r="J970" s="3402">
        <f t="shared" si="280"/>
        <v>0</v>
      </c>
      <c r="K970" s="3402">
        <f t="shared" si="280"/>
        <v>0</v>
      </c>
      <c r="S970" s="523" t="s">
        <v>1222</v>
      </c>
    </row>
    <row r="971" spans="1:19">
      <c r="A971" s="523" t="s">
        <v>1135</v>
      </c>
      <c r="B971" s="3402">
        <f>MIN(B970*B965,'Part VI-Revenues &amp; Expenses'!$H$122)</f>
        <v>12817.68</v>
      </c>
      <c r="C971" s="3402">
        <f t="shared" ref="C971:K971" si="281">$B$15*(1+$B$5)^(C969-1)</f>
        <v>0</v>
      </c>
      <c r="D971" s="3402">
        <f t="shared" si="281"/>
        <v>0</v>
      </c>
      <c r="E971" s="3402">
        <f t="shared" si="281"/>
        <v>0</v>
      </c>
      <c r="F971" s="3402">
        <f t="shared" si="281"/>
        <v>0</v>
      </c>
      <c r="G971" s="3402">
        <f t="shared" si="281"/>
        <v>0</v>
      </c>
      <c r="H971" s="3402">
        <f t="shared" si="281"/>
        <v>0</v>
      </c>
      <c r="I971" s="3402">
        <f t="shared" si="281"/>
        <v>0</v>
      </c>
      <c r="J971" s="3402">
        <f t="shared" si="281"/>
        <v>0</v>
      </c>
      <c r="K971" s="3402">
        <f t="shared" si="281"/>
        <v>0</v>
      </c>
    </row>
    <row r="972" spans="1:19">
      <c r="A972" s="523" t="s">
        <v>1223</v>
      </c>
      <c r="B972" s="3402">
        <f t="shared" ref="B972:K972" si="282">-(B970+B971)*$B$8</f>
        <v>0</v>
      </c>
      <c r="C972" s="3402">
        <f t="shared" si="282"/>
        <v>0</v>
      </c>
      <c r="D972" s="3402">
        <f t="shared" si="282"/>
        <v>0</v>
      </c>
      <c r="E972" s="3402">
        <f t="shared" si="282"/>
        <v>0</v>
      </c>
      <c r="F972" s="3402">
        <f t="shared" si="282"/>
        <v>0</v>
      </c>
      <c r="G972" s="3402">
        <f t="shared" si="282"/>
        <v>0</v>
      </c>
      <c r="H972" s="3402">
        <f t="shared" si="282"/>
        <v>0</v>
      </c>
      <c r="I972" s="3402">
        <f t="shared" si="282"/>
        <v>0</v>
      </c>
      <c r="J972" s="3402">
        <f t="shared" si="282"/>
        <v>0</v>
      </c>
      <c r="K972" s="3402">
        <f t="shared" si="282"/>
        <v>0</v>
      </c>
      <c r="Q972" s="523" t="s">
        <v>1224</v>
      </c>
      <c r="R972" s="523" t="s">
        <v>1225</v>
      </c>
    </row>
    <row r="973" spans="1:19">
      <c r="A973" s="523" t="s">
        <v>1226</v>
      </c>
      <c r="B973" s="3402">
        <f>+'Part VI-Revenues &amp; Expenses'!G1084</f>
        <v>0</v>
      </c>
      <c r="C973" s="3402">
        <f>+'Part VI-Revenues &amp; Expenses'!H1084</f>
        <v>0</v>
      </c>
      <c r="D973" s="3402">
        <f>+'Part VI-Revenues &amp; Expenses'!I1084</f>
        <v>0</v>
      </c>
      <c r="E973" s="3402">
        <f>+'Part VI-Revenues &amp; Expenses'!J1084</f>
        <v>0</v>
      </c>
      <c r="F973" s="3402">
        <f>+'Part VI-Revenues &amp; Expenses'!K1084</f>
        <v>0</v>
      </c>
      <c r="G973" s="3402">
        <f>+'Part VI-Revenues &amp; Expenses'!L1084</f>
        <v>0</v>
      </c>
      <c r="H973" s="3402">
        <f>+'Part VI-Revenues &amp; Expenses'!M1084</f>
        <v>0</v>
      </c>
      <c r="I973" s="3402">
        <f>+'Part VI-Revenues &amp; Expenses'!N1084</f>
        <v>0</v>
      </c>
      <c r="J973" s="3402">
        <f>+'Part VI-Revenues &amp; Expenses'!O1084</f>
        <v>0</v>
      </c>
      <c r="K973" s="3402">
        <f>+'Part VI-Revenues &amp; Expenses'!P1084</f>
        <v>0</v>
      </c>
    </row>
    <row r="974" spans="1:19">
      <c r="A974" s="523" t="s">
        <v>1227</v>
      </c>
      <c r="B974" s="3402">
        <f>'Part VI-Revenues &amp; Expenses'!G1088</f>
        <v>0</v>
      </c>
      <c r="C974" s="3402">
        <f>'Part VI-Revenues &amp; Expenses'!H1088</f>
        <v>0</v>
      </c>
      <c r="D974" s="3402">
        <f>'Part VI-Revenues &amp; Expenses'!I1088</f>
        <v>0</v>
      </c>
      <c r="E974" s="3402">
        <f>'Part VI-Revenues &amp; Expenses'!J1088</f>
        <v>0</v>
      </c>
      <c r="F974" s="3402">
        <f>'Part VI-Revenues &amp; Expenses'!K1088</f>
        <v>0</v>
      </c>
      <c r="G974" s="3402">
        <f>'Part VI-Revenues &amp; Expenses'!L1088</f>
        <v>0</v>
      </c>
      <c r="H974" s="3402">
        <f>'Part VI-Revenues &amp; Expenses'!M1088</f>
        <v>0</v>
      </c>
      <c r="I974" s="3402">
        <f>'Part VI-Revenues &amp; Expenses'!N1088</f>
        <v>0</v>
      </c>
      <c r="J974" s="3402">
        <f>'Part VI-Revenues &amp; Expenses'!O1088</f>
        <v>0</v>
      </c>
      <c r="K974" s="3402">
        <f>'Part VI-Revenues &amp; Expenses'!P1088</f>
        <v>0</v>
      </c>
    </row>
    <row r="975" spans="1:19">
      <c r="A975" s="523" t="s">
        <v>1228</v>
      </c>
      <c r="B975" s="3402">
        <f>-('Part VI-Revenues &amp; Expenses'!$P$175-'Part VI-Revenues &amp; Expenses'!$P$170)</f>
        <v>-350088</v>
      </c>
      <c r="C975" s="3402">
        <f t="shared" ref="C975:K975" si="283">$B$19*(1+$B$6)^(C969-1)</f>
        <v>0</v>
      </c>
      <c r="D975" s="3402">
        <f t="shared" si="283"/>
        <v>0</v>
      </c>
      <c r="E975" s="3402">
        <f t="shared" si="283"/>
        <v>0</v>
      </c>
      <c r="F975" s="3402">
        <f t="shared" si="283"/>
        <v>0</v>
      </c>
      <c r="G975" s="3402">
        <f t="shared" si="283"/>
        <v>0</v>
      </c>
      <c r="H975" s="3402">
        <f t="shared" si="283"/>
        <v>0</v>
      </c>
      <c r="I975" s="3402">
        <f t="shared" si="283"/>
        <v>0</v>
      </c>
      <c r="J975" s="3402">
        <f t="shared" si="283"/>
        <v>0</v>
      </c>
      <c r="K975" s="3402">
        <f t="shared" si="283"/>
        <v>0</v>
      </c>
      <c r="Q975" s="523">
        <v>1</v>
      </c>
      <c r="R975" s="523">
        <v>30317</v>
      </c>
      <c r="S975" s="523">
        <v>30316.795145011391</v>
      </c>
    </row>
    <row r="976" spans="1:19">
      <c r="A976" s="523" t="s">
        <v>1229</v>
      </c>
      <c r="B976" s="3402">
        <f>IF(AND('Part VII-Pro Forma'!$G$8="Yes",'Part VII-Pro Forma'!$G$9="Yes"),"Choose One!",IF('Part VII-Pro Forma'!$G$8="Yes",ROUND((-$K$8*(1+'Part VII-Pro Forma'!$B$6)^('Part VII-Pro Forma'!B969-1)),),IF('Part VII-Pro Forma'!$G$9="Yes",ROUND((-(SUM(B970:B973)*'Part VII-Pro Forma'!$K$9)),),"Choose mgt fee")))</f>
        <v>-32685</v>
      </c>
      <c r="C976" s="3402">
        <f>IF(AND('Part VII-Pro Forma'!$G$8="Yes",'Part VII-Pro Forma'!$G$9="Yes"),"Choose One!",IF('Part VII-Pro Forma'!$G$8="Yes",ROUND((-$K$8*(1+'Part VII-Pro Forma'!$B$6)^('Part VII-Pro Forma'!C969-1)),),IF('Part VII-Pro Forma'!$G$9="Yes",ROUND((-(SUM(C970:C973)*'Part VII-Pro Forma'!$K$9)),),"Choose mgt fee")))</f>
        <v>0</v>
      </c>
      <c r="D976" s="3402">
        <f>IF(AND('Part VII-Pro Forma'!$G$8="Yes",'Part VII-Pro Forma'!$G$9="Yes"),"Choose One!",IF('Part VII-Pro Forma'!$G$8="Yes",ROUND((-$K$8*(1+'Part VII-Pro Forma'!$B$6)^('Part VII-Pro Forma'!D969-1)),),IF('Part VII-Pro Forma'!$G$9="Yes",ROUND((-(SUM(D970:D973)*'Part VII-Pro Forma'!$K$9)),),"Choose mgt fee")))</f>
        <v>0</v>
      </c>
      <c r="E976" s="3402">
        <f>IF(AND('Part VII-Pro Forma'!$G$8="Yes",'Part VII-Pro Forma'!$G$9="Yes"),"Choose One!",IF('Part VII-Pro Forma'!$G$8="Yes",ROUND((-$K$8*(1+'Part VII-Pro Forma'!$B$6)^('Part VII-Pro Forma'!E969-1)),),IF('Part VII-Pro Forma'!$G$9="Yes",ROUND((-(SUM(E970:E973)*'Part VII-Pro Forma'!$K$9)),),"Choose mgt fee")))</f>
        <v>0</v>
      </c>
      <c r="F976" s="3402">
        <f>IF(AND('Part VII-Pro Forma'!$G$8="Yes",'Part VII-Pro Forma'!$G$9="Yes"),"Choose One!",IF('Part VII-Pro Forma'!$G$8="Yes",ROUND((-$K$8*(1+'Part VII-Pro Forma'!$B$6)^('Part VII-Pro Forma'!F969-1)),),IF('Part VII-Pro Forma'!$G$9="Yes",ROUND((-(SUM(F970:F973)*'Part VII-Pro Forma'!$K$9)),),"Choose mgt fee")))</f>
        <v>0</v>
      </c>
      <c r="G976" s="3402">
        <f>IF(AND('Part VII-Pro Forma'!$G$8="Yes",'Part VII-Pro Forma'!$G$9="Yes"),"Choose One!",IF('Part VII-Pro Forma'!$G$8="Yes",ROUND((-$K$8*(1+'Part VII-Pro Forma'!$B$6)^('Part VII-Pro Forma'!G969-1)),),IF('Part VII-Pro Forma'!$G$9="Yes",ROUND((-(SUM(G970:G973)*'Part VII-Pro Forma'!$K$9)),),"Choose mgt fee")))</f>
        <v>0</v>
      </c>
      <c r="H976" s="3402">
        <f>IF(AND('Part VII-Pro Forma'!$G$8="Yes",'Part VII-Pro Forma'!$G$9="Yes"),"Choose One!",IF('Part VII-Pro Forma'!$G$8="Yes",ROUND((-$K$8*(1+'Part VII-Pro Forma'!$B$6)^('Part VII-Pro Forma'!H969-1)),),IF('Part VII-Pro Forma'!$G$9="Yes",ROUND((-(SUM(H970:H973)*'Part VII-Pro Forma'!$K$9)),),"Choose mgt fee")))</f>
        <v>0</v>
      </c>
      <c r="I976" s="3402">
        <f>IF(AND('Part VII-Pro Forma'!$G$8="Yes",'Part VII-Pro Forma'!$G$9="Yes"),"Choose One!",IF('Part VII-Pro Forma'!$G$8="Yes",ROUND((-$K$8*(1+'Part VII-Pro Forma'!$B$6)^('Part VII-Pro Forma'!I969-1)),),IF('Part VII-Pro Forma'!$G$9="Yes",ROUND((-(SUM(I970:I973)*'Part VII-Pro Forma'!$K$9)),),"Choose mgt fee")))</f>
        <v>0</v>
      </c>
      <c r="J976" s="3402">
        <f>IF(AND('Part VII-Pro Forma'!$G$8="Yes",'Part VII-Pro Forma'!$G$9="Yes"),"Choose One!",IF('Part VII-Pro Forma'!$G$8="Yes",ROUND((-$K$8*(1+'Part VII-Pro Forma'!$B$6)^('Part VII-Pro Forma'!J969-1)),),IF('Part VII-Pro Forma'!$G$9="Yes",ROUND((-(SUM(J970:J973)*'Part VII-Pro Forma'!$K$9)),),"Choose mgt fee")))</f>
        <v>0</v>
      </c>
      <c r="K976" s="3402">
        <f>IF(AND('Part VII-Pro Forma'!$G$8="Yes",'Part VII-Pro Forma'!$G$9="Yes"),"Choose One!",IF('Part VII-Pro Forma'!$G$8="Yes",ROUND((-$K$8*(1+'Part VII-Pro Forma'!$B$6)^('Part VII-Pro Forma'!K969-1)),),IF('Part VII-Pro Forma'!$G$9="Yes",ROUND((-(SUM(K970:K973)*'Part VII-Pro Forma'!$K$9)),),"Choose mgt fee")))</f>
        <v>0</v>
      </c>
      <c r="Q976" s="523">
        <v>2</v>
      </c>
      <c r="R976" s="523">
        <v>61127</v>
      </c>
      <c r="S976" s="523">
        <v>61126.801538022701</v>
      </c>
    </row>
    <row r="977" spans="1:19">
      <c r="A977" s="523" t="s">
        <v>1230</v>
      </c>
      <c r="B977" s="3402">
        <f>-('Part VI-Revenues &amp; Expenses'!$P$179)</f>
        <v>-18500</v>
      </c>
      <c r="C977" s="3402">
        <f t="shared" ref="C977:K977" si="284">$B$21*(1+$B$7)^(C969-1)</f>
        <v>0</v>
      </c>
      <c r="D977" s="3402">
        <f t="shared" si="284"/>
        <v>0</v>
      </c>
      <c r="E977" s="3402">
        <f t="shared" si="284"/>
        <v>0</v>
      </c>
      <c r="F977" s="3402">
        <f t="shared" si="284"/>
        <v>0</v>
      </c>
      <c r="G977" s="3402">
        <f t="shared" si="284"/>
        <v>0</v>
      </c>
      <c r="H977" s="3402">
        <f t="shared" si="284"/>
        <v>0</v>
      </c>
      <c r="I977" s="3402">
        <f t="shared" si="284"/>
        <v>0</v>
      </c>
      <c r="J977" s="3402">
        <f t="shared" si="284"/>
        <v>0</v>
      </c>
      <c r="K977" s="3402">
        <f t="shared" si="284"/>
        <v>0</v>
      </c>
      <c r="Q977" s="523">
        <v>3</v>
      </c>
      <c r="R977" s="523">
        <v>92330</v>
      </c>
      <c r="S977" s="523">
        <v>92329.467003994127</v>
      </c>
    </row>
    <row r="978" spans="1:19">
      <c r="A978" s="523" t="s">
        <v>1231</v>
      </c>
      <c r="B978" s="3402">
        <f t="shared" ref="B978:K978" si="285">SUM(B970:B977)</f>
        <v>252428.68000000005</v>
      </c>
      <c r="C978" s="3402">
        <f t="shared" si="285"/>
        <v>0</v>
      </c>
      <c r="D978" s="3402">
        <f t="shared" si="285"/>
        <v>0</v>
      </c>
      <c r="E978" s="3402">
        <f t="shared" si="285"/>
        <v>0</v>
      </c>
      <c r="F978" s="3402">
        <f t="shared" si="285"/>
        <v>0</v>
      </c>
      <c r="G978" s="3402">
        <f t="shared" si="285"/>
        <v>0</v>
      </c>
      <c r="H978" s="3402">
        <f t="shared" si="285"/>
        <v>0</v>
      </c>
      <c r="I978" s="3402">
        <f t="shared" si="285"/>
        <v>0</v>
      </c>
      <c r="J978" s="3402">
        <f t="shared" si="285"/>
        <v>0</v>
      </c>
      <c r="K978" s="3402">
        <f t="shared" si="285"/>
        <v>0</v>
      </c>
      <c r="Q978" s="523">
        <v>4</v>
      </c>
      <c r="R978" s="523">
        <v>100091</v>
      </c>
      <c r="S978" s="523">
        <v>123818.15103238463</v>
      </c>
    </row>
    <row r="979" spans="1:19">
      <c r="A979" s="523" t="s">
        <v>567</v>
      </c>
      <c r="B979" s="3402">
        <f>'Part VII-Pro Forma'!B23</f>
        <v>-158640.76725498866</v>
      </c>
      <c r="C979" s="3402">
        <f>'Part VII-Pro Forma'!C23</f>
        <v>-158640.76725498866</v>
      </c>
      <c r="D979" s="3402">
        <f>'Part VII-Pro Forma'!D23</f>
        <v>-158640.76725498866</v>
      </c>
      <c r="E979" s="3402">
        <f>'Part VII-Pro Forma'!E23</f>
        <v>-158640.76725498866</v>
      </c>
      <c r="F979" s="3402">
        <f>'Part VII-Pro Forma'!F23</f>
        <v>-158640.76725498866</v>
      </c>
      <c r="G979" s="3402">
        <f>'Part VII-Pro Forma'!G23</f>
        <v>-158640.76725498866</v>
      </c>
      <c r="H979" s="3402">
        <f>'Part VII-Pro Forma'!H23</f>
        <v>-158640.76725498866</v>
      </c>
      <c r="I979" s="3402">
        <f>'Part VII-Pro Forma'!I23</f>
        <v>-158640.76725498866</v>
      </c>
      <c r="J979" s="3402">
        <f>'Part VII-Pro Forma'!J23</f>
        <v>-158640.76725498866</v>
      </c>
      <c r="K979" s="3402">
        <f>'Part VII-Pro Forma'!K23</f>
        <v>-158640.76725498866</v>
      </c>
      <c r="Q979" s="523">
        <v>5</v>
      </c>
      <c r="R979" s="523">
        <v>100091</v>
      </c>
      <c r="S979" s="523">
        <v>155481.92349168277</v>
      </c>
    </row>
    <row r="980" spans="1:19">
      <c r="A980" s="523" t="s">
        <v>568</v>
      </c>
      <c r="B980" s="3402">
        <f>'Part VII-Pro Forma'!B24</f>
        <v>0</v>
      </c>
      <c r="C980" s="3402">
        <f>'Part VII-Pro Forma'!C24</f>
        <v>0</v>
      </c>
      <c r="D980" s="3402">
        <f>'Part VII-Pro Forma'!D24</f>
        <v>0</v>
      </c>
      <c r="E980" s="3402">
        <f>'Part VII-Pro Forma'!E24</f>
        <v>0</v>
      </c>
      <c r="F980" s="3402">
        <f>'Part VII-Pro Forma'!F24</f>
        <v>0</v>
      </c>
      <c r="G980" s="3402">
        <f>'Part VII-Pro Forma'!G24</f>
        <v>0</v>
      </c>
      <c r="H980" s="3402">
        <f>'Part VII-Pro Forma'!H24</f>
        <v>0</v>
      </c>
      <c r="I980" s="3402">
        <f>'Part VII-Pro Forma'!I24</f>
        <v>0</v>
      </c>
      <c r="J980" s="3402">
        <f>'Part VII-Pro Forma'!J24</f>
        <v>0</v>
      </c>
      <c r="K980" s="3402">
        <f>'Part VII-Pro Forma'!K24</f>
        <v>0</v>
      </c>
      <c r="Q980" s="523">
        <v>6</v>
      </c>
      <c r="R980" s="523">
        <v>100091</v>
      </c>
      <c r="S980" s="523">
        <v>187203.35633266388</v>
      </c>
    </row>
    <row r="981" spans="1:19">
      <c r="A981" s="523" t="s">
        <v>569</v>
      </c>
      <c r="B981" s="3402">
        <f>'Part VII-Pro Forma'!B25</f>
        <v>0</v>
      </c>
      <c r="C981" s="3402">
        <f>'Part VII-Pro Forma'!C25</f>
        <v>0</v>
      </c>
      <c r="D981" s="3402">
        <f>'Part VII-Pro Forma'!D25</f>
        <v>0</v>
      </c>
      <c r="E981" s="3402">
        <f>'Part VII-Pro Forma'!E25</f>
        <v>0</v>
      </c>
      <c r="F981" s="3402">
        <f>'Part VII-Pro Forma'!F25</f>
        <v>0</v>
      </c>
      <c r="G981" s="3402">
        <f>'Part VII-Pro Forma'!G25</f>
        <v>0</v>
      </c>
      <c r="H981" s="3402">
        <f>'Part VII-Pro Forma'!H25</f>
        <v>0</v>
      </c>
      <c r="I981" s="3402">
        <f>'Part VII-Pro Forma'!I25</f>
        <v>0</v>
      </c>
      <c r="J981" s="3402">
        <f>'Part VII-Pro Forma'!J25</f>
        <v>0</v>
      </c>
      <c r="K981" s="3402">
        <f>'Part VII-Pro Forma'!K25</f>
        <v>0</v>
      </c>
      <c r="Q981" s="523">
        <v>7</v>
      </c>
      <c r="R981" s="523">
        <v>100091</v>
      </c>
      <c r="S981" s="523">
        <v>218859.30805058347</v>
      </c>
    </row>
    <row r="982" spans="1:19">
      <c r="A982" s="523" t="s">
        <v>1232</v>
      </c>
      <c r="B982" s="3402">
        <f>'Part VII-Pro Forma'!B26</f>
        <v>0</v>
      </c>
      <c r="C982" s="3402">
        <f>'Part VII-Pro Forma'!C26</f>
        <v>0</v>
      </c>
      <c r="D982" s="3402">
        <f>'Part VII-Pro Forma'!D26</f>
        <v>0</v>
      </c>
      <c r="E982" s="3402">
        <f>'Part VII-Pro Forma'!E26</f>
        <v>0</v>
      </c>
      <c r="F982" s="3402">
        <f>'Part VII-Pro Forma'!F26</f>
        <v>0</v>
      </c>
      <c r="G982" s="3402">
        <f>'Part VII-Pro Forma'!G26</f>
        <v>0</v>
      </c>
      <c r="H982" s="3402">
        <f>'Part VII-Pro Forma'!H26</f>
        <v>0</v>
      </c>
      <c r="I982" s="3402">
        <f>'Part VII-Pro Forma'!I26</f>
        <v>0</v>
      </c>
      <c r="J982" s="3402">
        <f>'Part VII-Pro Forma'!J26</f>
        <v>0</v>
      </c>
      <c r="K982" s="3402">
        <f>'Part VII-Pro Forma'!K26</f>
        <v>0</v>
      </c>
      <c r="Q982" s="523">
        <v>8</v>
      </c>
      <c r="R982" s="523">
        <v>100091</v>
      </c>
      <c r="S982" s="523">
        <v>250319.70066923084</v>
      </c>
    </row>
    <row r="983" spans="1:19">
      <c r="A983" s="523" t="s">
        <v>1233</v>
      </c>
      <c r="B983" s="3402">
        <f>'Part VII-Pro Forma'!B27</f>
        <v>0</v>
      </c>
      <c r="C983" s="3402">
        <f>'Part VII-Pro Forma'!C27</f>
        <v>0</v>
      </c>
      <c r="D983" s="3402">
        <f>'Part VII-Pro Forma'!D27</f>
        <v>0</v>
      </c>
      <c r="E983" s="3402">
        <f>'Part VII-Pro Forma'!E27</f>
        <v>0</v>
      </c>
      <c r="F983" s="3402">
        <f>'Part VII-Pro Forma'!F27</f>
        <v>0</v>
      </c>
      <c r="G983" s="3402">
        <f>'Part VII-Pro Forma'!G27</f>
        <v>0</v>
      </c>
      <c r="H983" s="3402">
        <f>'Part VII-Pro Forma'!H27</f>
        <v>0</v>
      </c>
      <c r="I983" s="3402">
        <f>'Part VII-Pro Forma'!I27</f>
        <v>0</v>
      </c>
      <c r="J983" s="3402">
        <f>'Part VII-Pro Forma'!J27</f>
        <v>0</v>
      </c>
      <c r="K983" s="3402">
        <f>'Part VII-Pro Forma'!K27</f>
        <v>0</v>
      </c>
      <c r="Q983" s="523">
        <v>9</v>
      </c>
      <c r="R983" s="523">
        <v>100091</v>
      </c>
      <c r="S983" s="523">
        <v>281449.28900225874</v>
      </c>
    </row>
    <row r="984" spans="1:19">
      <c r="A984" s="523" t="s">
        <v>1234</v>
      </c>
      <c r="B984" s="3402">
        <f>'Part VII-Pro Forma'!B28</f>
        <v>-20000</v>
      </c>
      <c r="C984" s="3402">
        <f>'Part VII-Pro Forma'!C28</f>
        <v>-20000</v>
      </c>
      <c r="D984" s="3402">
        <f>'Part VII-Pro Forma'!D28</f>
        <v>-20000</v>
      </c>
      <c r="E984" s="3402">
        <f>'Part VII-Pro Forma'!E28</f>
        <v>-20000</v>
      </c>
      <c r="F984" s="3402">
        <f>'Part VII-Pro Forma'!F28</f>
        <v>-20000</v>
      </c>
      <c r="G984" s="3402">
        <f>'Part VII-Pro Forma'!G28</f>
        <v>-20000</v>
      </c>
      <c r="H984" s="3402">
        <f>'Part VII-Pro Forma'!H28</f>
        <v>-20000</v>
      </c>
      <c r="I984" s="3402">
        <f>'Part VII-Pro Forma'!I28</f>
        <v>-20000</v>
      </c>
      <c r="J984" s="3402">
        <f>'Part VII-Pro Forma'!J28</f>
        <v>-20000</v>
      </c>
      <c r="K984" s="3402">
        <f>'Part VII-Pro Forma'!K28</f>
        <v>-20000</v>
      </c>
      <c r="Q984" s="523">
        <v>10</v>
      </c>
      <c r="R984" s="523">
        <v>100091</v>
      </c>
      <c r="S984" s="523">
        <v>312105.42193946196</v>
      </c>
    </row>
    <row r="985" spans="1:19">
      <c r="A985" s="523" t="s">
        <v>1235</v>
      </c>
      <c r="B985" s="3402">
        <f>'Part VII-Pro Forma'!B29</f>
        <v>-30317</v>
      </c>
      <c r="C985" s="3402">
        <f>'Part VII-Pro Forma'!C29</f>
        <v>-30810</v>
      </c>
      <c r="D985" s="3402">
        <f>'Part VII-Pro Forma'!D29</f>
        <v>-31203</v>
      </c>
      <c r="E985" s="3402">
        <f>'Part VII-Pro Forma'!E29</f>
        <v>-7761</v>
      </c>
      <c r="F985" s="3402">
        <f>'Part VII-Pro Forma'!F29</f>
        <v>0</v>
      </c>
      <c r="G985" s="3402">
        <f>'Part VII-Pro Forma'!G29</f>
        <v>0</v>
      </c>
      <c r="H985" s="3402">
        <f>'Part VII-Pro Forma'!H29</f>
        <v>0</v>
      </c>
      <c r="I985" s="3402">
        <f>'Part VII-Pro Forma'!I29</f>
        <v>0</v>
      </c>
      <c r="J985" s="3402">
        <f>'Part VII-Pro Forma'!J29</f>
        <v>0</v>
      </c>
      <c r="K985" s="3402">
        <f>'Part VII-Pro Forma'!K29</f>
        <v>0</v>
      </c>
      <c r="Q985" s="523">
        <v>11</v>
      </c>
      <c r="R985" s="523">
        <v>100091</v>
      </c>
      <c r="S985" s="523">
        <v>342137.79549769661</v>
      </c>
    </row>
    <row r="986" spans="1:19">
      <c r="A986" s="523" t="s">
        <v>595</v>
      </c>
      <c r="B986" s="3402">
        <f>SUM(B978:B985)</f>
        <v>43470.912745011388</v>
      </c>
      <c r="C986" s="3402">
        <f t="shared" ref="C986:K986" si="286">SUM(C978:C985)</f>
        <v>-209450.76725498866</v>
      </c>
      <c r="D986" s="3402">
        <f t="shared" si="286"/>
        <v>-209843.76725498866</v>
      </c>
      <c r="E986" s="3402">
        <f t="shared" si="286"/>
        <v>-186401.76725498866</v>
      </c>
      <c r="F986" s="3402">
        <f t="shared" si="286"/>
        <v>-178640.76725498866</v>
      </c>
      <c r="G986" s="3402">
        <f t="shared" si="286"/>
        <v>-178640.76725498866</v>
      </c>
      <c r="H986" s="3402">
        <f t="shared" si="286"/>
        <v>-178640.76725498866</v>
      </c>
      <c r="I986" s="3402">
        <f t="shared" si="286"/>
        <v>-178640.76725498866</v>
      </c>
      <c r="J986" s="3402">
        <f t="shared" si="286"/>
        <v>-178640.76725498866</v>
      </c>
      <c r="K986" s="3402">
        <f t="shared" si="286"/>
        <v>-178640.76725498866</v>
      </c>
      <c r="Q986" s="523">
        <v>12</v>
      </c>
      <c r="R986" s="523">
        <v>100091</v>
      </c>
      <c r="S986" s="523">
        <v>371390.19736789865</v>
      </c>
    </row>
    <row r="987" spans="1:19">
      <c r="A987" s="523" t="str">
        <f>IF('Part III-Sources of Funds'!$E$37 = "Neither", "", "DCR Mortgage A")</f>
        <v>DCR Mortgage A</v>
      </c>
      <c r="B987" s="3403">
        <f t="shared" ref="B987:K987" si="287">IF(B979=0,"",-B978/B979)</f>
        <v>1.5911967923999188</v>
      </c>
      <c r="C987" s="3403">
        <f t="shared" si="287"/>
        <v>0</v>
      </c>
      <c r="D987" s="3403">
        <f t="shared" si="287"/>
        <v>0</v>
      </c>
      <c r="E987" s="3403">
        <f t="shared" si="287"/>
        <v>0</v>
      </c>
      <c r="F987" s="3403">
        <f t="shared" si="287"/>
        <v>0</v>
      </c>
      <c r="G987" s="3403">
        <f t="shared" si="287"/>
        <v>0</v>
      </c>
      <c r="H987" s="3403">
        <f t="shared" si="287"/>
        <v>0</v>
      </c>
      <c r="I987" s="3403">
        <f t="shared" si="287"/>
        <v>0</v>
      </c>
      <c r="J987" s="3403">
        <f t="shared" si="287"/>
        <v>0</v>
      </c>
      <c r="K987" s="3403">
        <f t="shared" si="287"/>
        <v>0</v>
      </c>
      <c r="Q987" s="523">
        <v>13</v>
      </c>
      <c r="R987" s="523">
        <v>100091</v>
      </c>
      <c r="S987" s="523">
        <v>399698.24268117885</v>
      </c>
    </row>
    <row r="988" spans="1:19">
      <c r="A988" s="523" t="str">
        <f>IF('Part III-Sources of Funds'!$E$37 = "Neither", "", "DCR Mortgage B")</f>
        <v>DCR Mortgage B</v>
      </c>
      <c r="B988" s="3403" t="str">
        <f t="shared" ref="B988:K988" si="288">IF(B980=0,"",-(B978+B979)/B980)</f>
        <v/>
      </c>
      <c r="C988" s="3403" t="str">
        <f t="shared" si="288"/>
        <v/>
      </c>
      <c r="D988" s="3403" t="str">
        <f t="shared" si="288"/>
        <v/>
      </c>
      <c r="E988" s="3403" t="str">
        <f t="shared" si="288"/>
        <v/>
      </c>
      <c r="F988" s="3403" t="str">
        <f t="shared" si="288"/>
        <v/>
      </c>
      <c r="G988" s="3403" t="str">
        <f t="shared" si="288"/>
        <v/>
      </c>
      <c r="H988" s="3403" t="str">
        <f t="shared" si="288"/>
        <v/>
      </c>
      <c r="I988" s="3403" t="str">
        <f t="shared" si="288"/>
        <v/>
      </c>
      <c r="J988" s="3403" t="str">
        <f t="shared" si="288"/>
        <v/>
      </c>
      <c r="K988" s="3403" t="str">
        <f t="shared" si="288"/>
        <v/>
      </c>
      <c r="Q988" s="523">
        <v>14</v>
      </c>
      <c r="R988" s="523">
        <v>100091</v>
      </c>
      <c r="S988" s="523">
        <v>426890.10070821573</v>
      </c>
    </row>
    <row r="989" spans="1:19">
      <c r="A989" s="523" t="str">
        <f>IF('Part III-Sources of Funds'!$E$37 = "Neither", "DCR First Mortgage", "DCR Mortgage C")</f>
        <v>DCR Mortgage C</v>
      </c>
      <c r="B989" s="3403" t="str">
        <f t="shared" ref="B989:K989" si="289">IF(B981=0,"",-(B978+B979+B980)/B981)</f>
        <v/>
      </c>
      <c r="C989" s="3403" t="str">
        <f t="shared" si="289"/>
        <v/>
      </c>
      <c r="D989" s="3403" t="str">
        <f t="shared" si="289"/>
        <v/>
      </c>
      <c r="E989" s="3403" t="str">
        <f t="shared" si="289"/>
        <v/>
      </c>
      <c r="F989" s="3403" t="str">
        <f t="shared" si="289"/>
        <v/>
      </c>
      <c r="G989" s="3403" t="str">
        <f t="shared" si="289"/>
        <v/>
      </c>
      <c r="H989" s="3403" t="str">
        <f t="shared" si="289"/>
        <v/>
      </c>
      <c r="I989" s="3403" t="str">
        <f t="shared" si="289"/>
        <v/>
      </c>
      <c r="J989" s="3403" t="str">
        <f t="shared" si="289"/>
        <v/>
      </c>
      <c r="K989" s="3403" t="str">
        <f t="shared" si="289"/>
        <v/>
      </c>
      <c r="Q989" s="523">
        <v>15</v>
      </c>
      <c r="R989" s="523">
        <v>100091</v>
      </c>
      <c r="S989" s="523">
        <v>452786.21219715651</v>
      </c>
    </row>
    <row r="990" spans="1:19">
      <c r="A990" s="523" t="s">
        <v>1236</v>
      </c>
      <c r="B990" s="3403" t="str">
        <f t="shared" ref="B990:K990" si="290">IF(B982=0,"",-(B978+B979+B980+B981)/B982)</f>
        <v/>
      </c>
      <c r="C990" s="3403" t="str">
        <f t="shared" si="290"/>
        <v/>
      </c>
      <c r="D990" s="3403" t="str">
        <f t="shared" si="290"/>
        <v/>
      </c>
      <c r="E990" s="3403" t="str">
        <f t="shared" si="290"/>
        <v/>
      </c>
      <c r="F990" s="3403" t="str">
        <f t="shared" si="290"/>
        <v/>
      </c>
      <c r="G990" s="3403" t="str">
        <f t="shared" si="290"/>
        <v/>
      </c>
      <c r="H990" s="3403" t="str">
        <f t="shared" si="290"/>
        <v/>
      </c>
      <c r="I990" s="3403" t="str">
        <f t="shared" si="290"/>
        <v/>
      </c>
      <c r="J990" s="3403" t="str">
        <f t="shared" si="290"/>
        <v/>
      </c>
      <c r="K990" s="3403" t="str">
        <f t="shared" si="290"/>
        <v/>
      </c>
      <c r="Q990" s="523">
        <v>16</v>
      </c>
      <c r="R990" s="523">
        <v>100091</v>
      </c>
      <c r="S990" s="523">
        <v>477196.99704592652</v>
      </c>
    </row>
    <row r="991" spans="1:19">
      <c r="A991" s="523" t="s">
        <v>1237</v>
      </c>
      <c r="B991" s="3403">
        <f t="shared" ref="B991:K991" si="291">IF(AND(B979=0,B980=0,B981=0,B982=0),"",-B978/(B979+B980+B981+B982))</f>
        <v>1.5911967923999188</v>
      </c>
      <c r="C991" s="3403">
        <f t="shared" si="291"/>
        <v>0</v>
      </c>
      <c r="D991" s="3403">
        <f t="shared" si="291"/>
        <v>0</v>
      </c>
      <c r="E991" s="3403">
        <f t="shared" si="291"/>
        <v>0</v>
      </c>
      <c r="F991" s="3403">
        <f t="shared" si="291"/>
        <v>0</v>
      </c>
      <c r="G991" s="3403">
        <f t="shared" si="291"/>
        <v>0</v>
      </c>
      <c r="H991" s="3403">
        <f t="shared" si="291"/>
        <v>0</v>
      </c>
      <c r="I991" s="3403">
        <f t="shared" si="291"/>
        <v>0</v>
      </c>
      <c r="J991" s="3403">
        <f t="shared" si="291"/>
        <v>0</v>
      </c>
      <c r="K991" s="3403">
        <f t="shared" si="291"/>
        <v>0</v>
      </c>
      <c r="Q991" s="523">
        <v>17</v>
      </c>
      <c r="R991" s="523">
        <v>100091</v>
      </c>
      <c r="S991" s="523">
        <v>499926.55199527147</v>
      </c>
    </row>
    <row r="992" spans="1:19">
      <c r="A992" s="523" t="s">
        <v>1238</v>
      </c>
      <c r="B992" s="3404">
        <f t="shared" ref="B992:K992" si="292">IF(OR(B976="Choose mgt fee",B976="Choose One!"),"",(B970+B971+B972+B973+B974) / -(B975+B976+B977))</f>
        <v>1.6290696857251799</v>
      </c>
      <c r="C992" s="3404" t="e">
        <f t="shared" si="292"/>
        <v>#DIV/0!</v>
      </c>
      <c r="D992" s="3404" t="e">
        <f t="shared" si="292"/>
        <v>#DIV/0!</v>
      </c>
      <c r="E992" s="3404" t="e">
        <f t="shared" si="292"/>
        <v>#DIV/0!</v>
      </c>
      <c r="F992" s="3404" t="e">
        <f t="shared" si="292"/>
        <v>#DIV/0!</v>
      </c>
      <c r="G992" s="3404" t="e">
        <f t="shared" si="292"/>
        <v>#DIV/0!</v>
      </c>
      <c r="H992" s="3404" t="e">
        <f t="shared" si="292"/>
        <v>#DIV/0!</v>
      </c>
      <c r="I992" s="3404" t="e">
        <f t="shared" si="292"/>
        <v>#DIV/0!</v>
      </c>
      <c r="J992" s="3404" t="e">
        <f t="shared" si="292"/>
        <v>#DIV/0!</v>
      </c>
      <c r="K992" s="3404" t="e">
        <f t="shared" si="292"/>
        <v>#DIV/0!</v>
      </c>
      <c r="Q992" s="523">
        <v>18</v>
      </c>
      <c r="R992" s="523">
        <v>100091</v>
      </c>
      <c r="S992" s="523">
        <v>520769.33801895787</v>
      </c>
    </row>
    <row r="993" spans="1:19">
      <c r="A993" s="523" t="s">
        <v>1239</v>
      </c>
      <c r="B993" s="3402">
        <f>'Part VII-Pro Forma'!B37</f>
        <v>2630007.7184017655</v>
      </c>
      <c r="C993" s="3402">
        <f>'Part VII-Pro Forma'!C37</f>
        <v>2608940.2141791913</v>
      </c>
      <c r="D993" s="3402">
        <f>'Part VII-Pro Forma'!D37</f>
        <v>2586739.6598308883</v>
      </c>
      <c r="E993" s="3402">
        <f>'Part VII-Pro Forma'!E37</f>
        <v>2563345.1177833378</v>
      </c>
      <c r="F993" s="3402">
        <f>'Part VII-Pro Forma'!F37</f>
        <v>2538692.3731253454</v>
      </c>
      <c r="G993" s="3402">
        <f>'Part VII-Pro Forma'!G37</f>
        <v>2512713.7573466357</v>
      </c>
      <c r="H993" s="3402">
        <f>'Part VII-Pro Forma'!H37</f>
        <v>2485337.9625967792</v>
      </c>
      <c r="I993" s="3402">
        <f>'Part VII-Pro Forma'!I37</f>
        <v>2456489.8459546114</v>
      </c>
      <c r="J993" s="3402">
        <f>'Part VII-Pro Forma'!J37</f>
        <v>2426090.2231708942</v>
      </c>
      <c r="K993" s="3402">
        <f>'Part VII-Pro Forma'!K37</f>
        <v>2394055.6513180654</v>
      </c>
      <c r="Q993" s="523">
        <v>19</v>
      </c>
      <c r="R993" s="523">
        <v>100091</v>
      </c>
      <c r="S993" s="523">
        <v>539508.85707737971</v>
      </c>
    </row>
    <row r="994" spans="1:19">
      <c r="A994" s="523" t="s">
        <v>1240</v>
      </c>
      <c r="B994" s="3402" t="str">
        <f>'Part VII-Pro Forma'!B38</f>
        <v/>
      </c>
      <c r="C994" s="3402" t="str">
        <f>'Part VII-Pro Forma'!C38</f>
        <v/>
      </c>
      <c r="D994" s="3402" t="str">
        <f>'Part VII-Pro Forma'!D38</f>
        <v/>
      </c>
      <c r="E994" s="3402" t="str">
        <f>'Part VII-Pro Forma'!E38</f>
        <v/>
      </c>
      <c r="F994" s="3402" t="str">
        <f>'Part VII-Pro Forma'!F38</f>
        <v/>
      </c>
      <c r="G994" s="3402" t="str">
        <f>'Part VII-Pro Forma'!G38</f>
        <v/>
      </c>
      <c r="H994" s="3402" t="str">
        <f>'Part VII-Pro Forma'!H38</f>
        <v/>
      </c>
      <c r="I994" s="3402" t="str">
        <f>'Part VII-Pro Forma'!I38</f>
        <v/>
      </c>
      <c r="J994" s="3402" t="str">
        <f>'Part VII-Pro Forma'!J38</f>
        <v/>
      </c>
      <c r="K994" s="3402" t="str">
        <f>'Part VII-Pro Forma'!K38</f>
        <v/>
      </c>
      <c r="Q994" s="523">
        <v>20</v>
      </c>
      <c r="R994" s="523">
        <v>100091</v>
      </c>
      <c r="S994" s="523">
        <v>555921.31789030693</v>
      </c>
    </row>
    <row r="995" spans="1:19">
      <c r="A995" s="523" t="s">
        <v>1241</v>
      </c>
      <c r="B995" s="3402" t="str">
        <f>'Part VII-Pro Forma'!B39</f>
        <v/>
      </c>
      <c r="C995" s="3402" t="str">
        <f>'Part VII-Pro Forma'!C39</f>
        <v/>
      </c>
      <c r="D995" s="3402" t="str">
        <f>'Part VII-Pro Forma'!D39</f>
        <v/>
      </c>
      <c r="E995" s="3402" t="str">
        <f>'Part VII-Pro Forma'!E39</f>
        <v/>
      </c>
      <c r="F995" s="3402" t="str">
        <f>'Part VII-Pro Forma'!F39</f>
        <v/>
      </c>
      <c r="G995" s="3402" t="str">
        <f>'Part VII-Pro Forma'!G39</f>
        <v/>
      </c>
      <c r="H995" s="3402" t="str">
        <f>'Part VII-Pro Forma'!H39</f>
        <v/>
      </c>
      <c r="I995" s="3402" t="str">
        <f>'Part VII-Pro Forma'!I39</f>
        <v/>
      </c>
      <c r="J995" s="3402" t="str">
        <f>'Part VII-Pro Forma'!J39</f>
        <v/>
      </c>
      <c r="K995" s="3402" t="str">
        <f>'Part VII-Pro Forma'!K39</f>
        <v/>
      </c>
    </row>
    <row r="996" spans="1:19">
      <c r="A996" s="523" t="s">
        <v>1242</v>
      </c>
      <c r="B996" s="3402" t="str">
        <f>'Part VII-Pro Forma'!B40</f>
        <v/>
      </c>
      <c r="C996" s="3402" t="str">
        <f>'Part VII-Pro Forma'!C40</f>
        <v/>
      </c>
      <c r="D996" s="3402" t="str">
        <f>'Part VII-Pro Forma'!D40</f>
        <v/>
      </c>
      <c r="E996" s="3402" t="str">
        <f>'Part VII-Pro Forma'!E40</f>
        <v/>
      </c>
      <c r="F996" s="3402" t="str">
        <f>'Part VII-Pro Forma'!F40</f>
        <v/>
      </c>
      <c r="G996" s="3402" t="str">
        <f>'Part VII-Pro Forma'!G40</f>
        <v/>
      </c>
      <c r="H996" s="3402" t="str">
        <f>'Part VII-Pro Forma'!H40</f>
        <v/>
      </c>
      <c r="I996" s="3402" t="str">
        <f>'Part VII-Pro Forma'!I40</f>
        <v/>
      </c>
      <c r="J996" s="3402" t="str">
        <f>'Part VII-Pro Forma'!J40</f>
        <v/>
      </c>
      <c r="K996" s="3402" t="str">
        <f>'Part VII-Pro Forma'!K40</f>
        <v/>
      </c>
    </row>
    <row r="997" spans="1:19">
      <c r="A997" s="523" t="s">
        <v>1243</v>
      </c>
      <c r="B997" s="3402">
        <f>'Part VII-Pro Forma'!B41</f>
        <v>69774</v>
      </c>
      <c r="C997" s="3402">
        <f>'Part VII-Pro Forma'!C41</f>
        <v>38964</v>
      </c>
      <c r="D997" s="3402">
        <f>'Part VII-Pro Forma'!D41</f>
        <v>7761</v>
      </c>
      <c r="E997" s="3402">
        <f>'Part VII-Pro Forma'!E41</f>
        <v>0</v>
      </c>
      <c r="F997" s="3402">
        <f>'Part VII-Pro Forma'!F41</f>
        <v>0</v>
      </c>
      <c r="G997" s="3402">
        <f>'Part VII-Pro Forma'!G41</f>
        <v>0</v>
      </c>
      <c r="H997" s="3402">
        <f>'Part VII-Pro Forma'!H41</f>
        <v>0</v>
      </c>
      <c r="I997" s="3402">
        <f>'Part VII-Pro Forma'!I41</f>
        <v>0</v>
      </c>
      <c r="J997" s="3402">
        <f>'Part VII-Pro Forma'!J41</f>
        <v>0</v>
      </c>
      <c r="K997" s="3402">
        <f>'Part VII-Pro Forma'!K41</f>
        <v>0</v>
      </c>
    </row>
    <row r="998" spans="1:19">
      <c r="B998" s="3402"/>
      <c r="C998" s="3402"/>
      <c r="D998" s="3402"/>
      <c r="E998" s="3402"/>
      <c r="F998" s="3402"/>
      <c r="G998" s="3402"/>
      <c r="H998" s="3402"/>
      <c r="I998" s="3402"/>
      <c r="J998" s="3402"/>
      <c r="K998" s="3402"/>
    </row>
    <row r="999" spans="1:19">
      <c r="A999" s="3303" t="s">
        <v>627</v>
      </c>
      <c r="B999" s="3405">
        <f>K969+1</f>
        <v>11</v>
      </c>
      <c r="C999" s="3405">
        <f t="shared" ref="C999:K999" si="293">B999+1</f>
        <v>12</v>
      </c>
      <c r="D999" s="3405">
        <f t="shared" si="293"/>
        <v>13</v>
      </c>
      <c r="E999" s="3405">
        <f t="shared" si="293"/>
        <v>14</v>
      </c>
      <c r="F999" s="3405">
        <f t="shared" si="293"/>
        <v>15</v>
      </c>
      <c r="G999" s="3405">
        <f t="shared" si="293"/>
        <v>16</v>
      </c>
      <c r="H999" s="3405">
        <f t="shared" si="293"/>
        <v>17</v>
      </c>
      <c r="I999" s="3405">
        <f t="shared" si="293"/>
        <v>18</v>
      </c>
      <c r="J999" s="3405">
        <f t="shared" si="293"/>
        <v>19</v>
      </c>
      <c r="K999" s="3405">
        <f t="shared" si="293"/>
        <v>20</v>
      </c>
    </row>
    <row r="1000" spans="1:19">
      <c r="A1000" s="523" t="s">
        <v>1221</v>
      </c>
      <c r="B1000" s="3402">
        <f t="shared" ref="B1000:K1000" si="294">$B$14*(1+$B$5)^(B999-1)</f>
        <v>0</v>
      </c>
      <c r="C1000" s="3402">
        <f t="shared" si="294"/>
        <v>0</v>
      </c>
      <c r="D1000" s="3402">
        <f t="shared" si="294"/>
        <v>0</v>
      </c>
      <c r="E1000" s="3402">
        <f t="shared" si="294"/>
        <v>0</v>
      </c>
      <c r="F1000" s="3402">
        <f t="shared" si="294"/>
        <v>0</v>
      </c>
      <c r="G1000" s="3402">
        <f t="shared" si="294"/>
        <v>0</v>
      </c>
      <c r="H1000" s="3402">
        <f t="shared" si="294"/>
        <v>0</v>
      </c>
      <c r="I1000" s="3402">
        <f t="shared" si="294"/>
        <v>0</v>
      </c>
      <c r="J1000" s="3402">
        <f t="shared" si="294"/>
        <v>0</v>
      </c>
      <c r="K1000" s="3402">
        <f t="shared" si="294"/>
        <v>0</v>
      </c>
    </row>
    <row r="1001" spans="1:19">
      <c r="A1001" s="523" t="s">
        <v>1135</v>
      </c>
      <c r="B1001" s="3402">
        <f t="shared" ref="B1001:K1001" si="295">$B$15*(1+$B$5)^(B999-1)</f>
        <v>0</v>
      </c>
      <c r="C1001" s="3402">
        <f t="shared" si="295"/>
        <v>0</v>
      </c>
      <c r="D1001" s="3402">
        <f t="shared" si="295"/>
        <v>0</v>
      </c>
      <c r="E1001" s="3402">
        <f t="shared" si="295"/>
        <v>0</v>
      </c>
      <c r="F1001" s="3402">
        <f t="shared" si="295"/>
        <v>0</v>
      </c>
      <c r="G1001" s="3402">
        <f t="shared" si="295"/>
        <v>0</v>
      </c>
      <c r="H1001" s="3402">
        <f t="shared" si="295"/>
        <v>0</v>
      </c>
      <c r="I1001" s="3402">
        <f t="shared" si="295"/>
        <v>0</v>
      </c>
      <c r="J1001" s="3402">
        <f t="shared" si="295"/>
        <v>0</v>
      </c>
      <c r="K1001" s="3402">
        <f t="shared" si="295"/>
        <v>0</v>
      </c>
    </row>
    <row r="1002" spans="1:19">
      <c r="A1002" s="523" t="s">
        <v>1223</v>
      </c>
      <c r="B1002" s="3402">
        <f t="shared" ref="B1002:K1002" si="296">-(B1000+B1001)*$B$8</f>
        <v>0</v>
      </c>
      <c r="C1002" s="3402">
        <f t="shared" si="296"/>
        <v>0</v>
      </c>
      <c r="D1002" s="3402">
        <f t="shared" si="296"/>
        <v>0</v>
      </c>
      <c r="E1002" s="3402">
        <f t="shared" si="296"/>
        <v>0</v>
      </c>
      <c r="F1002" s="3402">
        <f t="shared" si="296"/>
        <v>0</v>
      </c>
      <c r="G1002" s="3402">
        <f t="shared" si="296"/>
        <v>0</v>
      </c>
      <c r="H1002" s="3402">
        <f t="shared" si="296"/>
        <v>0</v>
      </c>
      <c r="I1002" s="3402">
        <f t="shared" si="296"/>
        <v>0</v>
      </c>
      <c r="J1002" s="3402">
        <f t="shared" si="296"/>
        <v>0</v>
      </c>
      <c r="K1002" s="3402">
        <f t="shared" si="296"/>
        <v>0</v>
      </c>
    </row>
    <row r="1003" spans="1:19">
      <c r="A1003" s="523" t="s">
        <v>1226</v>
      </c>
      <c r="B1003" s="3402">
        <f>'Part VI-Revenues &amp; Expenses'!G1093</f>
        <v>0</v>
      </c>
      <c r="C1003" s="3402">
        <f>'Part VI-Revenues &amp; Expenses'!H1093</f>
        <v>0</v>
      </c>
      <c r="D1003" s="3402">
        <f>'Part VI-Revenues &amp; Expenses'!I1093</f>
        <v>0</v>
      </c>
      <c r="E1003" s="3402">
        <f>'Part VI-Revenues &amp; Expenses'!J1093</f>
        <v>0</v>
      </c>
      <c r="F1003" s="3402">
        <f>'Part VI-Revenues &amp; Expenses'!K1093</f>
        <v>0</v>
      </c>
      <c r="G1003" s="3402">
        <f>'Part VI-Revenues &amp; Expenses'!L1093</f>
        <v>0</v>
      </c>
      <c r="H1003" s="3402">
        <f>'Part VI-Revenues &amp; Expenses'!M1093</f>
        <v>0</v>
      </c>
      <c r="I1003" s="3402">
        <f>'Part VI-Revenues &amp; Expenses'!N1093</f>
        <v>0</v>
      </c>
      <c r="J1003" s="3402">
        <f>'Part VI-Revenues &amp; Expenses'!O1093</f>
        <v>0</v>
      </c>
      <c r="K1003" s="3402">
        <f>'Part VI-Revenues &amp; Expenses'!P1093</f>
        <v>0</v>
      </c>
    </row>
    <row r="1004" spans="1:19">
      <c r="A1004" s="523" t="s">
        <v>1227</v>
      </c>
      <c r="B1004" s="3402">
        <f>'Part VI-Revenues &amp; Expenses'!G1097</f>
        <v>0</v>
      </c>
      <c r="C1004" s="3402">
        <f>'Part VI-Revenues &amp; Expenses'!H1097</f>
        <v>0</v>
      </c>
      <c r="D1004" s="3402">
        <f>'Part VI-Revenues &amp; Expenses'!I1097</f>
        <v>0</v>
      </c>
      <c r="E1004" s="3402">
        <f>'Part VI-Revenues &amp; Expenses'!J1097</f>
        <v>0</v>
      </c>
      <c r="F1004" s="3402">
        <f>'Part VI-Revenues &amp; Expenses'!K1097</f>
        <v>0</v>
      </c>
      <c r="G1004" s="3402">
        <f>'Part VI-Revenues &amp; Expenses'!L1097</f>
        <v>0</v>
      </c>
      <c r="H1004" s="3402">
        <f>'Part VI-Revenues &amp; Expenses'!M1097</f>
        <v>0</v>
      </c>
      <c r="I1004" s="3402">
        <f>'Part VI-Revenues &amp; Expenses'!N1097</f>
        <v>0</v>
      </c>
      <c r="J1004" s="3402">
        <f>'Part VI-Revenues &amp; Expenses'!O1097</f>
        <v>0</v>
      </c>
      <c r="K1004" s="3402">
        <f>'Part VI-Revenues &amp; Expenses'!P1097</f>
        <v>0</v>
      </c>
    </row>
    <row r="1005" spans="1:19">
      <c r="A1005" s="523" t="s">
        <v>1228</v>
      </c>
      <c r="B1005" s="3402">
        <f t="shared" ref="B1005:K1005" si="297">$B$19*(1+$B$6)^(B999-1)</f>
        <v>0</v>
      </c>
      <c r="C1005" s="3402">
        <f t="shared" si="297"/>
        <v>0</v>
      </c>
      <c r="D1005" s="3402">
        <f t="shared" si="297"/>
        <v>0</v>
      </c>
      <c r="E1005" s="3402">
        <f t="shared" si="297"/>
        <v>0</v>
      </c>
      <c r="F1005" s="3402">
        <f t="shared" si="297"/>
        <v>0</v>
      </c>
      <c r="G1005" s="3402">
        <f t="shared" si="297"/>
        <v>0</v>
      </c>
      <c r="H1005" s="3402">
        <f t="shared" si="297"/>
        <v>0</v>
      </c>
      <c r="I1005" s="3402">
        <f t="shared" si="297"/>
        <v>0</v>
      </c>
      <c r="J1005" s="3402">
        <f t="shared" si="297"/>
        <v>0</v>
      </c>
      <c r="K1005" s="3402">
        <f t="shared" si="297"/>
        <v>0</v>
      </c>
    </row>
    <row r="1006" spans="1:19">
      <c r="A1006" s="523" t="s">
        <v>1229</v>
      </c>
      <c r="B1006" s="3402">
        <f>IF(AND('Part VII-Pro Forma'!$G$8="Yes",'Part VII-Pro Forma'!$G$9="Yes"),"Choose One!",IF('Part VII-Pro Forma'!$G$8="Yes",ROUND((-$K$8*(1+'Part VII-Pro Forma'!$B$6)^('Part VII-Pro Forma'!B999-1)),),IF('Part VII-Pro Forma'!$G$9="Yes",ROUND((-(SUM(B1000:B1003)*'Part VII-Pro Forma'!$K$9)),),"Choose mgt fee")))</f>
        <v>0</v>
      </c>
      <c r="C1006" s="3402">
        <f>IF(AND('Part VII-Pro Forma'!$G$8="Yes",'Part VII-Pro Forma'!$G$9="Yes"),"Choose One!",IF('Part VII-Pro Forma'!$G$8="Yes",ROUND((-$K$8*(1+'Part VII-Pro Forma'!$B$6)^('Part VII-Pro Forma'!C999-1)),),IF('Part VII-Pro Forma'!$G$9="Yes",ROUND((-(SUM(C1000:C1003)*'Part VII-Pro Forma'!$K$9)),),"Choose mgt fee")))</f>
        <v>0</v>
      </c>
      <c r="D1006" s="3402">
        <f>IF(AND('Part VII-Pro Forma'!$G$8="Yes",'Part VII-Pro Forma'!$G$9="Yes"),"Choose One!",IF('Part VII-Pro Forma'!$G$8="Yes",ROUND((-$K$8*(1+'Part VII-Pro Forma'!$B$6)^('Part VII-Pro Forma'!D999-1)),),IF('Part VII-Pro Forma'!$G$9="Yes",ROUND((-(SUM(D1000:D1003)*'Part VII-Pro Forma'!$K$9)),),"Choose mgt fee")))</f>
        <v>0</v>
      </c>
      <c r="E1006" s="3402">
        <f>IF(AND('Part VII-Pro Forma'!$G$8="Yes",'Part VII-Pro Forma'!$G$9="Yes"),"Choose One!",IF('Part VII-Pro Forma'!$G$8="Yes",ROUND((-$K$8*(1+'Part VII-Pro Forma'!$B$6)^('Part VII-Pro Forma'!E999-1)),),IF('Part VII-Pro Forma'!$G$9="Yes",ROUND((-(SUM(E1000:E1003)*'Part VII-Pro Forma'!$K$9)),),"Choose mgt fee")))</f>
        <v>0</v>
      </c>
      <c r="F1006" s="3402">
        <f>IF(AND('Part VII-Pro Forma'!$G$8="Yes",'Part VII-Pro Forma'!$G$9="Yes"),"Choose One!",IF('Part VII-Pro Forma'!$G$8="Yes",ROUND((-$K$8*(1+'Part VII-Pro Forma'!$B$6)^('Part VII-Pro Forma'!F999-1)),),IF('Part VII-Pro Forma'!$G$9="Yes",ROUND((-(SUM(F1000:F1003)*'Part VII-Pro Forma'!$K$9)),),"Choose mgt fee")))</f>
        <v>0</v>
      </c>
      <c r="G1006" s="3402">
        <f>IF(AND('Part VII-Pro Forma'!$G$8="Yes",'Part VII-Pro Forma'!$G$9="Yes"),"Choose One!",IF('Part VII-Pro Forma'!$G$8="Yes",ROUND((-$K$8*(1+'Part VII-Pro Forma'!$B$6)^('Part VII-Pro Forma'!G999-1)),),IF('Part VII-Pro Forma'!$G$9="Yes",ROUND((-(SUM(G1000:G1003)*'Part VII-Pro Forma'!$K$9)),),"Choose mgt fee")))</f>
        <v>0</v>
      </c>
      <c r="H1006" s="3402">
        <f>IF(AND('Part VII-Pro Forma'!$G$8="Yes",'Part VII-Pro Forma'!$G$9="Yes"),"Choose One!",IF('Part VII-Pro Forma'!$G$8="Yes",ROUND((-$K$8*(1+'Part VII-Pro Forma'!$B$6)^('Part VII-Pro Forma'!H999-1)),),IF('Part VII-Pro Forma'!$G$9="Yes",ROUND((-(SUM(H1000:H1003)*'Part VII-Pro Forma'!$K$9)),),"Choose mgt fee")))</f>
        <v>0</v>
      </c>
      <c r="I1006" s="3402">
        <f>IF(AND('Part VII-Pro Forma'!$G$8="Yes",'Part VII-Pro Forma'!$G$9="Yes"),"Choose One!",IF('Part VII-Pro Forma'!$G$8="Yes",ROUND((-$K$8*(1+'Part VII-Pro Forma'!$B$6)^('Part VII-Pro Forma'!I999-1)),),IF('Part VII-Pro Forma'!$G$9="Yes",ROUND((-(SUM(I1000:I1003)*'Part VII-Pro Forma'!$K$9)),),"Choose mgt fee")))</f>
        <v>0</v>
      </c>
      <c r="J1006" s="3402">
        <f>IF(AND('Part VII-Pro Forma'!$G$8="Yes",'Part VII-Pro Forma'!$G$9="Yes"),"Choose One!",IF('Part VII-Pro Forma'!$G$8="Yes",ROUND((-$K$8*(1+'Part VII-Pro Forma'!$B$6)^('Part VII-Pro Forma'!J999-1)),),IF('Part VII-Pro Forma'!$G$9="Yes",ROUND((-(SUM(J1000:J1003)*'Part VII-Pro Forma'!$K$9)),),"Choose mgt fee")))</f>
        <v>0</v>
      </c>
      <c r="K1006" s="3402">
        <f>IF(AND('Part VII-Pro Forma'!$G$8="Yes",'Part VII-Pro Forma'!$G$9="Yes"),"Choose One!",IF('Part VII-Pro Forma'!$G$8="Yes",ROUND((-$K$8*(1+'Part VII-Pro Forma'!$B$6)^('Part VII-Pro Forma'!K999-1)),),IF('Part VII-Pro Forma'!$G$9="Yes",ROUND((-(SUM(K1000:K1003)*'Part VII-Pro Forma'!$K$9)),),"Choose mgt fee")))</f>
        <v>0</v>
      </c>
    </row>
    <row r="1007" spans="1:19">
      <c r="A1007" s="523" t="s">
        <v>1230</v>
      </c>
      <c r="B1007" s="3402">
        <f t="shared" ref="B1007:K1007" si="298">$B$21*(1+$B$7)^(B999-1)</f>
        <v>0</v>
      </c>
      <c r="C1007" s="3402">
        <f t="shared" si="298"/>
        <v>0</v>
      </c>
      <c r="D1007" s="3402">
        <f t="shared" si="298"/>
        <v>0</v>
      </c>
      <c r="E1007" s="3402">
        <f t="shared" si="298"/>
        <v>0</v>
      </c>
      <c r="F1007" s="3402">
        <f t="shared" si="298"/>
        <v>0</v>
      </c>
      <c r="G1007" s="3402">
        <f t="shared" si="298"/>
        <v>0</v>
      </c>
      <c r="H1007" s="3402">
        <f t="shared" si="298"/>
        <v>0</v>
      </c>
      <c r="I1007" s="3402">
        <f t="shared" si="298"/>
        <v>0</v>
      </c>
      <c r="J1007" s="3402">
        <f t="shared" si="298"/>
        <v>0</v>
      </c>
      <c r="K1007" s="3402">
        <f t="shared" si="298"/>
        <v>0</v>
      </c>
    </row>
    <row r="1008" spans="1:19">
      <c r="A1008" s="523" t="s">
        <v>1231</v>
      </c>
      <c r="B1008" s="3402">
        <f t="shared" ref="B1008:K1008" si="299">SUM(B1000:B1007)</f>
        <v>0</v>
      </c>
      <c r="C1008" s="3402">
        <f t="shared" si="299"/>
        <v>0</v>
      </c>
      <c r="D1008" s="3402">
        <f t="shared" si="299"/>
        <v>0</v>
      </c>
      <c r="E1008" s="3402">
        <f t="shared" si="299"/>
        <v>0</v>
      </c>
      <c r="F1008" s="3402">
        <f t="shared" si="299"/>
        <v>0</v>
      </c>
      <c r="G1008" s="3402">
        <f t="shared" si="299"/>
        <v>0</v>
      </c>
      <c r="H1008" s="3402">
        <f t="shared" si="299"/>
        <v>0</v>
      </c>
      <c r="I1008" s="3402">
        <f t="shared" si="299"/>
        <v>0</v>
      </c>
      <c r="J1008" s="3402">
        <f t="shared" si="299"/>
        <v>0</v>
      </c>
      <c r="K1008" s="3402">
        <f t="shared" si="299"/>
        <v>0</v>
      </c>
    </row>
    <row r="1009" spans="1:11">
      <c r="A1009" s="523" t="str">
        <f>$A979</f>
        <v>Mortgage A</v>
      </c>
      <c r="B1009" s="3402">
        <f>'Part VII-Pro Forma'!B53</f>
        <v>-158640.76725498866</v>
      </c>
      <c r="C1009" s="3402">
        <f>'Part VII-Pro Forma'!C53</f>
        <v>-158640.76725498866</v>
      </c>
      <c r="D1009" s="3402">
        <f>'Part VII-Pro Forma'!D53</f>
        <v>-158640.76725498866</v>
      </c>
      <c r="E1009" s="3402">
        <f>'Part VII-Pro Forma'!E53</f>
        <v>-158640.76725498866</v>
      </c>
      <c r="F1009" s="3402">
        <f>'Part VII-Pro Forma'!F53</f>
        <v>-158640.76725498866</v>
      </c>
      <c r="G1009" s="3402">
        <f>'Part VII-Pro Forma'!G53</f>
        <v>-158640.76725498866</v>
      </c>
      <c r="H1009" s="3402">
        <f>'Part VII-Pro Forma'!H53</f>
        <v>-158640.76725498866</v>
      </c>
      <c r="I1009" s="3402">
        <f>'Part VII-Pro Forma'!I53</f>
        <v>-158640.76725498866</v>
      </c>
      <c r="J1009" s="3402">
        <f>'Part VII-Pro Forma'!J53</f>
        <v>-158640.76725498866</v>
      </c>
      <c r="K1009" s="3402">
        <f>'Part VII-Pro Forma'!K53</f>
        <v>-158640.76725498866</v>
      </c>
    </row>
    <row r="1010" spans="1:11">
      <c r="A1010" s="523" t="str">
        <f>$A980</f>
        <v>Mortgage B</v>
      </c>
      <c r="B1010" s="3402">
        <f>'Part VII-Pro Forma'!B54</f>
        <v>0</v>
      </c>
      <c r="C1010" s="3402">
        <f>'Part VII-Pro Forma'!C54</f>
        <v>0</v>
      </c>
      <c r="D1010" s="3402">
        <f>'Part VII-Pro Forma'!D54</f>
        <v>0</v>
      </c>
      <c r="E1010" s="3402">
        <f>'Part VII-Pro Forma'!E54</f>
        <v>0</v>
      </c>
      <c r="F1010" s="3402">
        <f>'Part VII-Pro Forma'!F54</f>
        <v>0</v>
      </c>
      <c r="G1010" s="3402">
        <f>'Part VII-Pro Forma'!G54</f>
        <v>0</v>
      </c>
      <c r="H1010" s="3402">
        <f>'Part VII-Pro Forma'!H54</f>
        <v>0</v>
      </c>
      <c r="I1010" s="3402">
        <f>'Part VII-Pro Forma'!I54</f>
        <v>0</v>
      </c>
      <c r="J1010" s="3402">
        <f>'Part VII-Pro Forma'!J54</f>
        <v>0</v>
      </c>
      <c r="K1010" s="3402">
        <f>'Part VII-Pro Forma'!K54</f>
        <v>0</v>
      </c>
    </row>
    <row r="1011" spans="1:11">
      <c r="A1011" s="523" t="str">
        <f>$A981</f>
        <v>Mortgage C</v>
      </c>
      <c r="B1011" s="3402">
        <f>'Part VII-Pro Forma'!B55</f>
        <v>0</v>
      </c>
      <c r="C1011" s="3402">
        <f>'Part VII-Pro Forma'!C55</f>
        <v>0</v>
      </c>
      <c r="D1011" s="3402">
        <f>'Part VII-Pro Forma'!D55</f>
        <v>0</v>
      </c>
      <c r="E1011" s="3402">
        <f>'Part VII-Pro Forma'!E55</f>
        <v>0</v>
      </c>
      <c r="F1011" s="3402">
        <f>'Part VII-Pro Forma'!F55</f>
        <v>0</v>
      </c>
      <c r="G1011" s="3402">
        <f>'Part VII-Pro Forma'!G55</f>
        <v>0</v>
      </c>
      <c r="H1011" s="3402">
        <f>'Part VII-Pro Forma'!H55</f>
        <v>0</v>
      </c>
      <c r="I1011" s="3402">
        <f>'Part VII-Pro Forma'!I55</f>
        <v>0</v>
      </c>
      <c r="J1011" s="3402">
        <f>'Part VII-Pro Forma'!J55</f>
        <v>0</v>
      </c>
      <c r="K1011" s="3402">
        <f>'Part VII-Pro Forma'!K55</f>
        <v>0</v>
      </c>
    </row>
    <row r="1012" spans="1:11">
      <c r="A1012" s="523" t="str">
        <f>$A982</f>
        <v>D/S Other Source,not DDF</v>
      </c>
      <c r="B1012" s="3402">
        <f>'Part VII-Pro Forma'!B56</f>
        <v>0</v>
      </c>
      <c r="C1012" s="3402">
        <f>'Part VII-Pro Forma'!C56</f>
        <v>0</v>
      </c>
      <c r="D1012" s="3402">
        <f>'Part VII-Pro Forma'!D56</f>
        <v>0</v>
      </c>
      <c r="E1012" s="3402">
        <f>'Part VII-Pro Forma'!E56</f>
        <v>0</v>
      </c>
      <c r="F1012" s="3402">
        <f>'Part VII-Pro Forma'!F56</f>
        <v>0</v>
      </c>
      <c r="G1012" s="3402">
        <f>'Part VII-Pro Forma'!G56</f>
        <v>0</v>
      </c>
      <c r="H1012" s="3402">
        <f>'Part VII-Pro Forma'!H56</f>
        <v>0</v>
      </c>
      <c r="I1012" s="3402">
        <f>'Part VII-Pro Forma'!I56</f>
        <v>0</v>
      </c>
      <c r="J1012" s="3402">
        <f>'Part VII-Pro Forma'!J56</f>
        <v>0</v>
      </c>
      <c r="K1012" s="3402">
        <f>'Part VII-Pro Forma'!K56</f>
        <v>0</v>
      </c>
    </row>
    <row r="1013" spans="1:11">
      <c r="A1013" s="523" t="s">
        <v>1233</v>
      </c>
      <c r="B1013" s="3402">
        <f>'Part VII-Pro Forma'!B57</f>
        <v>0</v>
      </c>
      <c r="C1013" s="3402">
        <f>'Part VII-Pro Forma'!C57</f>
        <v>0</v>
      </c>
      <c r="D1013" s="3402">
        <f>'Part VII-Pro Forma'!D57</f>
        <v>0</v>
      </c>
      <c r="E1013" s="3402">
        <f>'Part VII-Pro Forma'!E57</f>
        <v>0</v>
      </c>
      <c r="F1013" s="3402">
        <f>'Part VII-Pro Forma'!F57</f>
        <v>0</v>
      </c>
      <c r="G1013" s="3402">
        <f>'Part VII-Pro Forma'!G57</f>
        <v>0</v>
      </c>
      <c r="H1013" s="3402">
        <f>'Part VII-Pro Forma'!H57</f>
        <v>0</v>
      </c>
      <c r="I1013" s="3402">
        <f>'Part VII-Pro Forma'!I57</f>
        <v>0</v>
      </c>
      <c r="J1013" s="3402">
        <f>'Part VII-Pro Forma'!J57</f>
        <v>0</v>
      </c>
      <c r="K1013" s="3402">
        <f>'Part VII-Pro Forma'!K57</f>
        <v>0</v>
      </c>
    </row>
    <row r="1014" spans="1:11">
      <c r="A1014" s="523" t="s">
        <v>1234</v>
      </c>
      <c r="B1014" s="3402">
        <f>'Part VII-Pro Forma'!B58</f>
        <v>-20000</v>
      </c>
      <c r="C1014" s="3402">
        <f>'Part VII-Pro Forma'!C58</f>
        <v>-20000</v>
      </c>
      <c r="D1014" s="3402">
        <f>'Part VII-Pro Forma'!D58</f>
        <v>-20000</v>
      </c>
      <c r="E1014" s="3402">
        <f>'Part VII-Pro Forma'!E58</f>
        <v>-20000</v>
      </c>
      <c r="F1014" s="3402">
        <f>'Part VII-Pro Forma'!F58</f>
        <v>-20000</v>
      </c>
      <c r="G1014" s="3402">
        <f>'Part VII-Pro Forma'!G58</f>
        <v>-20000</v>
      </c>
      <c r="H1014" s="3402">
        <f>'Part VII-Pro Forma'!H58</f>
        <v>-20000</v>
      </c>
      <c r="I1014" s="3402">
        <f>'Part VII-Pro Forma'!I58</f>
        <v>-20000</v>
      </c>
      <c r="J1014" s="3402">
        <f>'Part VII-Pro Forma'!J58</f>
        <v>-20000</v>
      </c>
      <c r="K1014" s="3402">
        <f>'Part VII-Pro Forma'!K58</f>
        <v>-20000</v>
      </c>
    </row>
    <row r="1015" spans="1:11">
      <c r="A1015" s="523" t="s">
        <v>1235</v>
      </c>
      <c r="B1015" s="3402">
        <f>'Part VII-Pro Forma'!B59</f>
        <v>0</v>
      </c>
      <c r="C1015" s="3402">
        <f>'Part VII-Pro Forma'!C59</f>
        <v>0</v>
      </c>
      <c r="D1015" s="3402">
        <f>'Part VII-Pro Forma'!D59</f>
        <v>0</v>
      </c>
      <c r="E1015" s="3402">
        <f>'Part VII-Pro Forma'!E59</f>
        <v>0</v>
      </c>
      <c r="F1015" s="3402">
        <f>'Part VII-Pro Forma'!F59</f>
        <v>0</v>
      </c>
      <c r="G1015" s="3402">
        <f>'Part VII-Pro Forma'!G59</f>
        <v>0</v>
      </c>
      <c r="H1015" s="3402">
        <f>'Part VII-Pro Forma'!H59</f>
        <v>0</v>
      </c>
      <c r="I1015" s="3402">
        <f>'Part VII-Pro Forma'!I59</f>
        <v>0</v>
      </c>
      <c r="J1015" s="3402">
        <f>'Part VII-Pro Forma'!J59</f>
        <v>0</v>
      </c>
      <c r="K1015" s="3402">
        <f>'Part VII-Pro Forma'!K59</f>
        <v>0</v>
      </c>
    </row>
    <row r="1016" spans="1:11">
      <c r="A1016" s="523" t="s">
        <v>595</v>
      </c>
      <c r="B1016" s="3402">
        <f>SUM(B1008:B1015)</f>
        <v>-178640.76725498866</v>
      </c>
      <c r="C1016" s="3402">
        <f t="shared" ref="C1016:K1016" si="300">SUM(C1008:C1015)</f>
        <v>-178640.76725498866</v>
      </c>
      <c r="D1016" s="3402">
        <f t="shared" si="300"/>
        <v>-178640.76725498866</v>
      </c>
      <c r="E1016" s="3402">
        <f t="shared" si="300"/>
        <v>-178640.76725498866</v>
      </c>
      <c r="F1016" s="3402">
        <f t="shared" si="300"/>
        <v>-178640.76725498866</v>
      </c>
      <c r="G1016" s="3402">
        <f t="shared" si="300"/>
        <v>-178640.76725498866</v>
      </c>
      <c r="H1016" s="3402">
        <f t="shared" si="300"/>
        <v>-178640.76725498866</v>
      </c>
      <c r="I1016" s="3402">
        <f t="shared" si="300"/>
        <v>-178640.76725498866</v>
      </c>
      <c r="J1016" s="3402">
        <f t="shared" si="300"/>
        <v>-178640.76725498866</v>
      </c>
      <c r="K1016" s="3402">
        <f t="shared" si="300"/>
        <v>-178640.76725498866</v>
      </c>
    </row>
    <row r="1017" spans="1:11">
      <c r="A1017" s="523" t="str">
        <f>$A987</f>
        <v>DCR Mortgage A</v>
      </c>
      <c r="B1017" s="3403">
        <f t="shared" ref="B1017:K1017" si="301">IF(B1009=0,"",-B1008/B1009)</f>
        <v>0</v>
      </c>
      <c r="C1017" s="3403">
        <f t="shared" si="301"/>
        <v>0</v>
      </c>
      <c r="D1017" s="3403">
        <f t="shared" si="301"/>
        <v>0</v>
      </c>
      <c r="E1017" s="3403">
        <f t="shared" si="301"/>
        <v>0</v>
      </c>
      <c r="F1017" s="3403">
        <f t="shared" si="301"/>
        <v>0</v>
      </c>
      <c r="G1017" s="3403">
        <f t="shared" si="301"/>
        <v>0</v>
      </c>
      <c r="H1017" s="3403">
        <f t="shared" si="301"/>
        <v>0</v>
      </c>
      <c r="I1017" s="3403">
        <f t="shared" si="301"/>
        <v>0</v>
      </c>
      <c r="J1017" s="3403">
        <f t="shared" si="301"/>
        <v>0</v>
      </c>
      <c r="K1017" s="3403">
        <f t="shared" si="301"/>
        <v>0</v>
      </c>
    </row>
    <row r="1018" spans="1:11">
      <c r="A1018" s="523" t="str">
        <f>$A988</f>
        <v>DCR Mortgage B</v>
      </c>
      <c r="B1018" s="3403" t="str">
        <f t="shared" ref="B1018:K1018" si="302">IF(B1010=0,"",-(B1008+B1009)/B1010)</f>
        <v/>
      </c>
      <c r="C1018" s="3403" t="str">
        <f t="shared" si="302"/>
        <v/>
      </c>
      <c r="D1018" s="3403" t="str">
        <f t="shared" si="302"/>
        <v/>
      </c>
      <c r="E1018" s="3403" t="str">
        <f t="shared" si="302"/>
        <v/>
      </c>
      <c r="F1018" s="3403" t="str">
        <f t="shared" si="302"/>
        <v/>
      </c>
      <c r="G1018" s="3403" t="str">
        <f t="shared" si="302"/>
        <v/>
      </c>
      <c r="H1018" s="3403" t="str">
        <f t="shared" si="302"/>
        <v/>
      </c>
      <c r="I1018" s="3403" t="str">
        <f t="shared" si="302"/>
        <v/>
      </c>
      <c r="J1018" s="3403" t="str">
        <f t="shared" si="302"/>
        <v/>
      </c>
      <c r="K1018" s="3403" t="str">
        <f t="shared" si="302"/>
        <v/>
      </c>
    </row>
    <row r="1019" spans="1:11">
      <c r="A1019" s="523" t="str">
        <f>$A989</f>
        <v>DCR Mortgage C</v>
      </c>
      <c r="B1019" s="3403" t="str">
        <f t="shared" ref="B1019:K1019" si="303">IF(B1011=0,"",-(B1008+B1009+B1010)/B1011)</f>
        <v/>
      </c>
      <c r="C1019" s="3403" t="str">
        <f t="shared" si="303"/>
        <v/>
      </c>
      <c r="D1019" s="3403" t="str">
        <f t="shared" si="303"/>
        <v/>
      </c>
      <c r="E1019" s="3403" t="str">
        <f t="shared" si="303"/>
        <v/>
      </c>
      <c r="F1019" s="3403" t="str">
        <f t="shared" si="303"/>
        <v/>
      </c>
      <c r="G1019" s="3403" t="str">
        <f t="shared" si="303"/>
        <v/>
      </c>
      <c r="H1019" s="3403" t="str">
        <f t="shared" si="303"/>
        <v/>
      </c>
      <c r="I1019" s="3403" t="str">
        <f t="shared" si="303"/>
        <v/>
      </c>
      <c r="J1019" s="3403" t="str">
        <f t="shared" si="303"/>
        <v/>
      </c>
      <c r="K1019" s="3403" t="str">
        <f t="shared" si="303"/>
        <v/>
      </c>
    </row>
    <row r="1020" spans="1:11">
      <c r="A1020" s="523" t="str">
        <f>$A990</f>
        <v>DCR Other Source</v>
      </c>
      <c r="B1020" s="3403" t="str">
        <f t="shared" ref="B1020:K1020" si="304">IF(B1012=0,"",-(B1008+B1009+B1010+B1011)/B1012)</f>
        <v/>
      </c>
      <c r="C1020" s="3403" t="str">
        <f t="shared" si="304"/>
        <v/>
      </c>
      <c r="D1020" s="3403" t="str">
        <f t="shared" si="304"/>
        <v/>
      </c>
      <c r="E1020" s="3403" t="str">
        <f t="shared" si="304"/>
        <v/>
      </c>
      <c r="F1020" s="3403" t="str">
        <f t="shared" si="304"/>
        <v/>
      </c>
      <c r="G1020" s="3403" t="str">
        <f t="shared" si="304"/>
        <v/>
      </c>
      <c r="H1020" s="3403" t="str">
        <f t="shared" si="304"/>
        <v/>
      </c>
      <c r="I1020" s="3403" t="str">
        <f t="shared" si="304"/>
        <v/>
      </c>
      <c r="J1020" s="3403" t="str">
        <f t="shared" si="304"/>
        <v/>
      </c>
      <c r="K1020" s="3403" t="str">
        <f t="shared" si="304"/>
        <v/>
      </c>
    </row>
    <row r="1021" spans="1:11">
      <c r="A1021" s="523" t="s">
        <v>1237</v>
      </c>
      <c r="B1021" s="3403">
        <f t="shared" ref="B1021:K1021" si="305">IF(AND(B1009=0,B1010=0,B1011=0,B1012=0),"",-B1008/(B1009+B1010+B1011+B1012))</f>
        <v>0</v>
      </c>
      <c r="C1021" s="3403">
        <f t="shared" si="305"/>
        <v>0</v>
      </c>
      <c r="D1021" s="3403">
        <f t="shared" si="305"/>
        <v>0</v>
      </c>
      <c r="E1021" s="3403">
        <f t="shared" si="305"/>
        <v>0</v>
      </c>
      <c r="F1021" s="3403">
        <f t="shared" si="305"/>
        <v>0</v>
      </c>
      <c r="G1021" s="3403">
        <f t="shared" si="305"/>
        <v>0</v>
      </c>
      <c r="H1021" s="3403">
        <f t="shared" si="305"/>
        <v>0</v>
      </c>
      <c r="I1021" s="3403">
        <f t="shared" si="305"/>
        <v>0</v>
      </c>
      <c r="J1021" s="3403">
        <f t="shared" si="305"/>
        <v>0</v>
      </c>
      <c r="K1021" s="3403">
        <f t="shared" si="305"/>
        <v>0</v>
      </c>
    </row>
    <row r="1022" spans="1:11">
      <c r="A1022" s="523" t="s">
        <v>1238</v>
      </c>
      <c r="B1022" s="3404" t="e">
        <f t="shared" ref="B1022:K1022" si="306">IF(OR(B1006="Choose mgt fee",B1006="Choose One!"),"",(B1000+B1001+B1002+B1003+B1004) / -(B1005+B1006+B1007))</f>
        <v>#DIV/0!</v>
      </c>
      <c r="C1022" s="3404" t="e">
        <f t="shared" si="306"/>
        <v>#DIV/0!</v>
      </c>
      <c r="D1022" s="3404" t="e">
        <f t="shared" si="306"/>
        <v>#DIV/0!</v>
      </c>
      <c r="E1022" s="3404" t="e">
        <f t="shared" si="306"/>
        <v>#DIV/0!</v>
      </c>
      <c r="F1022" s="3404" t="e">
        <f t="shared" si="306"/>
        <v>#DIV/0!</v>
      </c>
      <c r="G1022" s="3404" t="e">
        <f t="shared" si="306"/>
        <v>#DIV/0!</v>
      </c>
      <c r="H1022" s="3404" t="e">
        <f t="shared" si="306"/>
        <v>#DIV/0!</v>
      </c>
      <c r="I1022" s="3404" t="e">
        <f t="shared" si="306"/>
        <v>#DIV/0!</v>
      </c>
      <c r="J1022" s="3404" t="e">
        <f t="shared" si="306"/>
        <v>#DIV/0!</v>
      </c>
      <c r="K1022" s="3404" t="e">
        <f t="shared" si="306"/>
        <v>#DIV/0!</v>
      </c>
    </row>
    <row r="1023" spans="1:11">
      <c r="A1023" s="523" t="s">
        <v>1239</v>
      </c>
      <c r="B1023" s="3402">
        <f>'Part VII-Pro Forma'!B67</f>
        <v>2360298.1997504849</v>
      </c>
      <c r="C1023" s="3402">
        <f>'Part VII-Pro Forma'!C67</f>
        <v>2324725.2087464891</v>
      </c>
      <c r="D1023" s="3402">
        <f>'Part VII-Pro Forma'!D67</f>
        <v>2287239.0351697593</v>
      </c>
      <c r="E1023" s="3402">
        <f>'Part VII-Pro Forma'!E67</f>
        <v>2247736.78445188</v>
      </c>
      <c r="F1023" s="3402">
        <f>'Part VII-Pro Forma'!F67</f>
        <v>2206110.0281604119</v>
      </c>
      <c r="G1023" s="3402">
        <f>'Part VII-Pro Forma'!G67</f>
        <v>2162244.5063772444</v>
      </c>
      <c r="H1023" s="3402">
        <f>'Part VII-Pro Forma'!H67</f>
        <v>2116019.8140702937</v>
      </c>
      <c r="I1023" s="3402">
        <f>'Part VII-Pro Forma'!I67</f>
        <v>2067309.0705976782</v>
      </c>
      <c r="J1023" s="3402">
        <f>'Part VII-Pro Forma'!J67</f>
        <v>2015978.5714372082</v>
      </c>
      <c r="K1023" s="3402">
        <f>'Part VII-Pro Forma'!K67</f>
        <v>1961887.4211852259</v>
      </c>
    </row>
    <row r="1024" spans="1:11">
      <c r="A1024" s="523" t="s">
        <v>1240</v>
      </c>
      <c r="B1024" s="3402" t="str">
        <f>'Part VII-Pro Forma'!B68</f>
        <v/>
      </c>
      <c r="C1024" s="3402" t="str">
        <f>'Part VII-Pro Forma'!C68</f>
        <v/>
      </c>
      <c r="D1024" s="3402" t="str">
        <f>'Part VII-Pro Forma'!D68</f>
        <v/>
      </c>
      <c r="E1024" s="3402" t="str">
        <f>'Part VII-Pro Forma'!E68</f>
        <v/>
      </c>
      <c r="F1024" s="3402" t="str">
        <f>'Part VII-Pro Forma'!F68</f>
        <v/>
      </c>
      <c r="G1024" s="3402" t="str">
        <f>'Part VII-Pro Forma'!G68</f>
        <v/>
      </c>
      <c r="H1024" s="3402" t="str">
        <f>'Part VII-Pro Forma'!H68</f>
        <v/>
      </c>
      <c r="I1024" s="3402" t="str">
        <f>'Part VII-Pro Forma'!I68</f>
        <v/>
      </c>
      <c r="J1024" s="3402" t="str">
        <f>'Part VII-Pro Forma'!J68</f>
        <v/>
      </c>
      <c r="K1024" s="3402" t="str">
        <f>'Part VII-Pro Forma'!K68</f>
        <v/>
      </c>
    </row>
    <row r="1025" spans="1:11">
      <c r="A1025" s="523" t="s">
        <v>1241</v>
      </c>
      <c r="B1025" s="3402" t="str">
        <f>'Part VII-Pro Forma'!B69</f>
        <v/>
      </c>
      <c r="C1025" s="3402" t="str">
        <f>'Part VII-Pro Forma'!C69</f>
        <v/>
      </c>
      <c r="D1025" s="3402" t="str">
        <f>'Part VII-Pro Forma'!D69</f>
        <v/>
      </c>
      <c r="E1025" s="3402" t="str">
        <f>'Part VII-Pro Forma'!E69</f>
        <v/>
      </c>
      <c r="F1025" s="3402" t="str">
        <f>'Part VII-Pro Forma'!F69</f>
        <v/>
      </c>
      <c r="G1025" s="3402" t="str">
        <f>'Part VII-Pro Forma'!G69</f>
        <v/>
      </c>
      <c r="H1025" s="3402" t="str">
        <f>'Part VII-Pro Forma'!H69</f>
        <v/>
      </c>
      <c r="I1025" s="3402" t="str">
        <f>'Part VII-Pro Forma'!I69</f>
        <v/>
      </c>
      <c r="J1025" s="3402" t="str">
        <f>'Part VII-Pro Forma'!J69</f>
        <v/>
      </c>
      <c r="K1025" s="3402" t="str">
        <f>'Part VII-Pro Forma'!K69</f>
        <v/>
      </c>
    </row>
    <row r="1026" spans="1:11">
      <c r="A1026" s="523" t="s">
        <v>1242</v>
      </c>
      <c r="B1026" s="3402" t="str">
        <f>'Part VII-Pro Forma'!B70</f>
        <v/>
      </c>
      <c r="C1026" s="3402" t="str">
        <f>'Part VII-Pro Forma'!C70</f>
        <v/>
      </c>
      <c r="D1026" s="3402" t="str">
        <f>'Part VII-Pro Forma'!D70</f>
        <v/>
      </c>
      <c r="E1026" s="3402" t="str">
        <f>'Part VII-Pro Forma'!E70</f>
        <v/>
      </c>
      <c r="F1026" s="3402" t="str">
        <f>'Part VII-Pro Forma'!F70</f>
        <v/>
      </c>
      <c r="G1026" s="3402" t="str">
        <f>'Part VII-Pro Forma'!G70</f>
        <v/>
      </c>
      <c r="H1026" s="3402" t="str">
        <f>'Part VII-Pro Forma'!H70</f>
        <v/>
      </c>
      <c r="I1026" s="3402" t="str">
        <f>'Part VII-Pro Forma'!I70</f>
        <v/>
      </c>
      <c r="J1026" s="3402" t="str">
        <f>'Part VII-Pro Forma'!J70</f>
        <v/>
      </c>
      <c r="K1026" s="3402" t="str">
        <f>'Part VII-Pro Forma'!K70</f>
        <v/>
      </c>
    </row>
    <row r="1027" spans="1:11">
      <c r="A1027" s="523" t="s">
        <v>1243</v>
      </c>
      <c r="B1027" s="3402">
        <f>'Part VII-Pro Forma'!B71</f>
        <v>0</v>
      </c>
      <c r="C1027" s="3402">
        <f>'Part VII-Pro Forma'!C71</f>
        <v>0</v>
      </c>
      <c r="D1027" s="3402">
        <f>'Part VII-Pro Forma'!D71</f>
        <v>0</v>
      </c>
      <c r="E1027" s="3402">
        <f>'Part VII-Pro Forma'!E71</f>
        <v>0</v>
      </c>
      <c r="F1027" s="3402">
        <f>'Part VII-Pro Forma'!F71</f>
        <v>0</v>
      </c>
      <c r="G1027" s="3402">
        <f>'Part VII-Pro Forma'!G71</f>
        <v>0</v>
      </c>
      <c r="H1027" s="3402" t="str">
        <f>'Part VII-Pro Forma'!H71</f>
        <v/>
      </c>
      <c r="I1027" s="3402" t="str">
        <f>'Part VII-Pro Forma'!I71</f>
        <v/>
      </c>
      <c r="J1027" s="3402" t="str">
        <f>'Part VII-Pro Forma'!J71</f>
        <v/>
      </c>
      <c r="K1027" s="3402" t="str">
        <f>'Part VII-Pro Forma'!K71</f>
        <v/>
      </c>
    </row>
    <row r="1028" spans="1:11">
      <c r="B1028" s="3402"/>
      <c r="C1028" s="3402"/>
      <c r="D1028" s="3402"/>
      <c r="E1028" s="3402"/>
      <c r="F1028" s="3402"/>
      <c r="G1028" s="3402"/>
      <c r="H1028" s="3402"/>
      <c r="I1028" s="3402"/>
      <c r="J1028" s="3402"/>
      <c r="K1028" s="3402"/>
    </row>
    <row r="1029" spans="1:11">
      <c r="A1029" s="3303" t="s">
        <v>627</v>
      </c>
      <c r="B1029" s="3405">
        <f>K999+1</f>
        <v>21</v>
      </c>
      <c r="C1029" s="3405">
        <f t="shared" ref="C1029:K1029" si="307">B1029+1</f>
        <v>22</v>
      </c>
      <c r="D1029" s="3405">
        <f t="shared" si="307"/>
        <v>23</v>
      </c>
      <c r="E1029" s="3405">
        <f t="shared" si="307"/>
        <v>24</v>
      </c>
      <c r="F1029" s="3405">
        <f t="shared" si="307"/>
        <v>25</v>
      </c>
      <c r="G1029" s="3405">
        <f t="shared" si="307"/>
        <v>26</v>
      </c>
      <c r="H1029" s="3405">
        <f t="shared" si="307"/>
        <v>27</v>
      </c>
      <c r="I1029" s="3405">
        <f t="shared" si="307"/>
        <v>28</v>
      </c>
      <c r="J1029" s="3405">
        <f t="shared" si="307"/>
        <v>29</v>
      </c>
      <c r="K1029" s="3405">
        <f t="shared" si="307"/>
        <v>30</v>
      </c>
    </row>
    <row r="1030" spans="1:11">
      <c r="A1030" s="523" t="s">
        <v>1221</v>
      </c>
      <c r="B1030" s="3402">
        <f t="shared" ref="B1030:K1030" si="308">$B$14*(1+$B$5)^(B1029-1)</f>
        <v>0</v>
      </c>
      <c r="C1030" s="3402">
        <f t="shared" si="308"/>
        <v>0</v>
      </c>
      <c r="D1030" s="3402">
        <f t="shared" si="308"/>
        <v>0</v>
      </c>
      <c r="E1030" s="3402">
        <f t="shared" si="308"/>
        <v>0</v>
      </c>
      <c r="F1030" s="3402">
        <f t="shared" si="308"/>
        <v>0</v>
      </c>
      <c r="G1030" s="3402">
        <f t="shared" si="308"/>
        <v>0</v>
      </c>
      <c r="H1030" s="3402">
        <f t="shared" si="308"/>
        <v>0</v>
      </c>
      <c r="I1030" s="3402">
        <f t="shared" si="308"/>
        <v>0</v>
      </c>
      <c r="J1030" s="3402">
        <f t="shared" si="308"/>
        <v>0</v>
      </c>
      <c r="K1030" s="3402">
        <f t="shared" si="308"/>
        <v>0</v>
      </c>
    </row>
    <row r="1031" spans="1:11">
      <c r="A1031" s="523" t="s">
        <v>1135</v>
      </c>
      <c r="B1031" s="3402">
        <f t="shared" ref="B1031:K1031" si="309">$B$15*(1+$B$5)^(B1029-1)</f>
        <v>0</v>
      </c>
      <c r="C1031" s="3402">
        <f t="shared" si="309"/>
        <v>0</v>
      </c>
      <c r="D1031" s="3402">
        <f t="shared" si="309"/>
        <v>0</v>
      </c>
      <c r="E1031" s="3402">
        <f t="shared" si="309"/>
        <v>0</v>
      </c>
      <c r="F1031" s="3402">
        <f t="shared" si="309"/>
        <v>0</v>
      </c>
      <c r="G1031" s="3402">
        <f t="shared" si="309"/>
        <v>0</v>
      </c>
      <c r="H1031" s="3402">
        <f t="shared" si="309"/>
        <v>0</v>
      </c>
      <c r="I1031" s="3402">
        <f t="shared" si="309"/>
        <v>0</v>
      </c>
      <c r="J1031" s="3402">
        <f t="shared" si="309"/>
        <v>0</v>
      </c>
      <c r="K1031" s="3402">
        <f t="shared" si="309"/>
        <v>0</v>
      </c>
    </row>
    <row r="1032" spans="1:11">
      <c r="A1032" s="523" t="s">
        <v>1223</v>
      </c>
      <c r="B1032" s="3402">
        <f t="shared" ref="B1032:K1032" si="310">-(B1030+B1031)*$B$8</f>
        <v>0</v>
      </c>
      <c r="C1032" s="3402">
        <f t="shared" si="310"/>
        <v>0</v>
      </c>
      <c r="D1032" s="3402">
        <f t="shared" si="310"/>
        <v>0</v>
      </c>
      <c r="E1032" s="3402">
        <f t="shared" si="310"/>
        <v>0</v>
      </c>
      <c r="F1032" s="3402">
        <f t="shared" si="310"/>
        <v>0</v>
      </c>
      <c r="G1032" s="3402">
        <f t="shared" si="310"/>
        <v>0</v>
      </c>
      <c r="H1032" s="3402">
        <f t="shared" si="310"/>
        <v>0</v>
      </c>
      <c r="I1032" s="3402">
        <f t="shared" si="310"/>
        <v>0</v>
      </c>
      <c r="J1032" s="3402">
        <f t="shared" si="310"/>
        <v>0</v>
      </c>
      <c r="K1032" s="3402">
        <f t="shared" si="310"/>
        <v>0</v>
      </c>
    </row>
    <row r="1033" spans="1:11">
      <c r="A1033" s="523" t="s">
        <v>1226</v>
      </c>
      <c r="B1033" s="3402">
        <f>'Part VI-Revenues &amp; Expenses'!G1102</f>
        <v>0</v>
      </c>
      <c r="C1033" s="3402">
        <f>'Part VI-Revenues &amp; Expenses'!H1102</f>
        <v>0</v>
      </c>
      <c r="D1033" s="3402">
        <f>'Part VI-Revenues &amp; Expenses'!I1102</f>
        <v>0</v>
      </c>
      <c r="E1033" s="3402">
        <f>'Part VI-Revenues &amp; Expenses'!J1102</f>
        <v>0</v>
      </c>
      <c r="F1033" s="3402">
        <f>'Part VI-Revenues &amp; Expenses'!K1102</f>
        <v>0</v>
      </c>
      <c r="G1033" s="3402">
        <f>'Part VI-Revenues &amp; Expenses'!L1102</f>
        <v>0</v>
      </c>
      <c r="H1033" s="3402">
        <f>'Part VI-Revenues &amp; Expenses'!M1102</f>
        <v>0</v>
      </c>
      <c r="I1033" s="3402">
        <f>'Part VI-Revenues &amp; Expenses'!N1102</f>
        <v>0</v>
      </c>
      <c r="J1033" s="3402">
        <f>'Part VI-Revenues &amp; Expenses'!O1102</f>
        <v>0</v>
      </c>
      <c r="K1033" s="3402">
        <f>'Part VI-Revenues &amp; Expenses'!P1102</f>
        <v>0</v>
      </c>
    </row>
    <row r="1034" spans="1:11">
      <c r="A1034" s="523" t="s">
        <v>1227</v>
      </c>
      <c r="B1034" s="3402">
        <f>'Part VI-Revenues &amp; Expenses'!G1106</f>
        <v>0</v>
      </c>
      <c r="C1034" s="3402">
        <f>'Part VI-Revenues &amp; Expenses'!H1106</f>
        <v>0</v>
      </c>
      <c r="D1034" s="3402">
        <f>'Part VI-Revenues &amp; Expenses'!I1106</f>
        <v>0</v>
      </c>
      <c r="E1034" s="3402">
        <f>'Part VI-Revenues &amp; Expenses'!J1106</f>
        <v>0</v>
      </c>
      <c r="F1034" s="3402">
        <f>'Part VI-Revenues &amp; Expenses'!K1106</f>
        <v>0</v>
      </c>
      <c r="G1034" s="3402">
        <f>'Part VI-Revenues &amp; Expenses'!L1106</f>
        <v>0</v>
      </c>
      <c r="H1034" s="3402">
        <f>'Part VI-Revenues &amp; Expenses'!M1106</f>
        <v>0</v>
      </c>
      <c r="I1034" s="3402">
        <f>'Part VI-Revenues &amp; Expenses'!N1106</f>
        <v>0</v>
      </c>
      <c r="J1034" s="3402">
        <f>'Part VI-Revenues &amp; Expenses'!O1106</f>
        <v>0</v>
      </c>
      <c r="K1034" s="3402">
        <f>'Part VI-Revenues &amp; Expenses'!P1106</f>
        <v>0</v>
      </c>
    </row>
    <row r="1035" spans="1:11">
      <c r="A1035" s="523" t="s">
        <v>1228</v>
      </c>
      <c r="B1035" s="3402">
        <f t="shared" ref="B1035:K1035" si="311">$B$19*(1+$B$6)^(B1029-1)</f>
        <v>0</v>
      </c>
      <c r="C1035" s="3402">
        <f t="shared" si="311"/>
        <v>0</v>
      </c>
      <c r="D1035" s="3402">
        <f t="shared" si="311"/>
        <v>0</v>
      </c>
      <c r="E1035" s="3402">
        <f t="shared" si="311"/>
        <v>0</v>
      </c>
      <c r="F1035" s="3402">
        <f t="shared" si="311"/>
        <v>0</v>
      </c>
      <c r="G1035" s="3402">
        <f t="shared" si="311"/>
        <v>0</v>
      </c>
      <c r="H1035" s="3402">
        <f t="shared" si="311"/>
        <v>0</v>
      </c>
      <c r="I1035" s="3402">
        <f t="shared" si="311"/>
        <v>0</v>
      </c>
      <c r="J1035" s="3402">
        <f t="shared" si="311"/>
        <v>0</v>
      </c>
      <c r="K1035" s="3402">
        <f t="shared" si="311"/>
        <v>0</v>
      </c>
    </row>
    <row r="1036" spans="1:11">
      <c r="A1036" s="523" t="s">
        <v>1229</v>
      </c>
      <c r="B1036" s="3402">
        <f>IF(AND('Part VII-Pro Forma'!$G$8="Yes",'Part VII-Pro Forma'!$G$9="Yes"),"Choose One!",IF('Part VII-Pro Forma'!$G$8="Yes",ROUND((-$K$8*(1+'Part VII-Pro Forma'!$B$6)^('Part VII-Pro Forma'!B1029-1)),),IF('Part VII-Pro Forma'!$G$9="Yes",ROUND((-(SUM(B1030:B1033)*'Part VII-Pro Forma'!$K$9)),),"Choose mgt fee")))</f>
        <v>0</v>
      </c>
      <c r="C1036" s="3402">
        <f>IF(AND('Part VII-Pro Forma'!$G$8="Yes",'Part VII-Pro Forma'!$G$9="Yes"),"Choose One!",IF('Part VII-Pro Forma'!$G$8="Yes",ROUND((-$K$8*(1+'Part VII-Pro Forma'!$B$6)^('Part VII-Pro Forma'!C1029-1)),),IF('Part VII-Pro Forma'!$G$9="Yes",ROUND((-(SUM(C1030:C1033)*'Part VII-Pro Forma'!$K$9)),),"Choose mgt fee")))</f>
        <v>0</v>
      </c>
      <c r="D1036" s="3402">
        <f>IF(AND('Part VII-Pro Forma'!$G$8="Yes",'Part VII-Pro Forma'!$G$9="Yes"),"Choose One!",IF('Part VII-Pro Forma'!$G$8="Yes",ROUND((-$K$8*(1+'Part VII-Pro Forma'!$B$6)^('Part VII-Pro Forma'!D1029-1)),),IF('Part VII-Pro Forma'!$G$9="Yes",ROUND((-(SUM(D1030:D1033)*'Part VII-Pro Forma'!$K$9)),),"Choose mgt fee")))</f>
        <v>0</v>
      </c>
      <c r="E1036" s="3402">
        <f>IF(AND('Part VII-Pro Forma'!$G$8="Yes",'Part VII-Pro Forma'!$G$9="Yes"),"Choose One!",IF('Part VII-Pro Forma'!$G$8="Yes",ROUND((-$K$8*(1+'Part VII-Pro Forma'!$B$6)^('Part VII-Pro Forma'!E1029-1)),),IF('Part VII-Pro Forma'!$G$9="Yes",ROUND((-(SUM(E1030:E1033)*'Part VII-Pro Forma'!$K$9)),),"Choose mgt fee")))</f>
        <v>0</v>
      </c>
      <c r="F1036" s="3402">
        <f>IF(AND('Part VII-Pro Forma'!$G$8="Yes",'Part VII-Pro Forma'!$G$9="Yes"),"Choose One!",IF('Part VII-Pro Forma'!$G$8="Yes",ROUND((-$K$8*(1+'Part VII-Pro Forma'!$B$6)^('Part VII-Pro Forma'!F1029-1)),),IF('Part VII-Pro Forma'!$G$9="Yes",ROUND((-(SUM(F1030:F1033)*'Part VII-Pro Forma'!$K$9)),),"Choose mgt fee")))</f>
        <v>0</v>
      </c>
      <c r="G1036" s="3402">
        <f>IF(AND('Part VII-Pro Forma'!$G$8="Yes",'Part VII-Pro Forma'!$G$9="Yes"),"Choose One!",IF('Part VII-Pro Forma'!$G$8="Yes",ROUND((-$K$8*(1+'Part VII-Pro Forma'!$B$6)^('Part VII-Pro Forma'!G1029-1)),),IF('Part VII-Pro Forma'!$G$9="Yes",ROUND((-(SUM(G1030:G1033)*'Part VII-Pro Forma'!$K$9)),),"Choose mgt fee")))</f>
        <v>0</v>
      </c>
      <c r="H1036" s="3402">
        <f>IF(AND('Part VII-Pro Forma'!$G$8="Yes",'Part VII-Pro Forma'!$G$9="Yes"),"Choose One!",IF('Part VII-Pro Forma'!$G$8="Yes",ROUND((-$K$8*(1+'Part VII-Pro Forma'!$B$6)^('Part VII-Pro Forma'!H1029-1)),),IF('Part VII-Pro Forma'!$G$9="Yes",ROUND((-(SUM(H1030:H1033)*'Part VII-Pro Forma'!$K$9)),),"Choose mgt fee")))</f>
        <v>0</v>
      </c>
      <c r="I1036" s="3402">
        <f>IF(AND('Part VII-Pro Forma'!$G$8="Yes",'Part VII-Pro Forma'!$G$9="Yes"),"Choose One!",IF('Part VII-Pro Forma'!$G$8="Yes",ROUND((-$K$8*(1+'Part VII-Pro Forma'!$B$6)^('Part VII-Pro Forma'!I1029-1)),),IF('Part VII-Pro Forma'!$G$9="Yes",ROUND((-(SUM(I1030:I1033)*'Part VII-Pro Forma'!$K$9)),),"Choose mgt fee")))</f>
        <v>0</v>
      </c>
      <c r="J1036" s="3402">
        <f>IF(AND('Part VII-Pro Forma'!$G$8="Yes",'Part VII-Pro Forma'!$G$9="Yes"),"Choose One!",IF('Part VII-Pro Forma'!$G$8="Yes",ROUND((-$K$8*(1+'Part VII-Pro Forma'!$B$6)^('Part VII-Pro Forma'!J1029-1)),),IF('Part VII-Pro Forma'!$G$9="Yes",ROUND((-(SUM(J1030:J1033)*'Part VII-Pro Forma'!$K$9)),),"Choose mgt fee")))</f>
        <v>0</v>
      </c>
      <c r="K1036" s="3402">
        <f>IF(AND('Part VII-Pro Forma'!$G$8="Yes",'Part VII-Pro Forma'!$G$9="Yes"),"Choose One!",IF('Part VII-Pro Forma'!$G$8="Yes",ROUND((-$K$8*(1+'Part VII-Pro Forma'!$B$6)^('Part VII-Pro Forma'!K1029-1)),),IF('Part VII-Pro Forma'!$G$9="Yes",ROUND((-(SUM(K1030:K1033)*'Part VII-Pro Forma'!$K$9)),),"Choose mgt fee")))</f>
        <v>0</v>
      </c>
    </row>
    <row r="1037" spans="1:11">
      <c r="A1037" s="523" t="s">
        <v>1230</v>
      </c>
      <c r="B1037" s="3402">
        <f t="shared" ref="B1037:K1037" si="312">$B$21*(1+$B$7)^(B1029-1)</f>
        <v>0</v>
      </c>
      <c r="C1037" s="3402">
        <f t="shared" si="312"/>
        <v>0</v>
      </c>
      <c r="D1037" s="3402">
        <f t="shared" si="312"/>
        <v>0</v>
      </c>
      <c r="E1037" s="3402">
        <f t="shared" si="312"/>
        <v>0</v>
      </c>
      <c r="F1037" s="3402">
        <f t="shared" si="312"/>
        <v>0</v>
      </c>
      <c r="G1037" s="3402">
        <f t="shared" si="312"/>
        <v>0</v>
      </c>
      <c r="H1037" s="3402">
        <f t="shared" si="312"/>
        <v>0</v>
      </c>
      <c r="I1037" s="3402">
        <f t="shared" si="312"/>
        <v>0</v>
      </c>
      <c r="J1037" s="3402">
        <f t="shared" si="312"/>
        <v>0</v>
      </c>
      <c r="K1037" s="3402">
        <f t="shared" si="312"/>
        <v>0</v>
      </c>
    </row>
    <row r="1038" spans="1:11">
      <c r="A1038" s="523" t="s">
        <v>1231</v>
      </c>
      <c r="B1038" s="3402">
        <f t="shared" ref="B1038:K1038" si="313">SUM(B1030:B1037)</f>
        <v>0</v>
      </c>
      <c r="C1038" s="3402">
        <f t="shared" si="313"/>
        <v>0</v>
      </c>
      <c r="D1038" s="3402">
        <f t="shared" si="313"/>
        <v>0</v>
      </c>
      <c r="E1038" s="3402">
        <f t="shared" si="313"/>
        <v>0</v>
      </c>
      <c r="F1038" s="3402">
        <f t="shared" si="313"/>
        <v>0</v>
      </c>
      <c r="G1038" s="3402">
        <f t="shared" si="313"/>
        <v>0</v>
      </c>
      <c r="H1038" s="3402">
        <f t="shared" si="313"/>
        <v>0</v>
      </c>
      <c r="I1038" s="3402">
        <f t="shared" si="313"/>
        <v>0</v>
      </c>
      <c r="J1038" s="3402">
        <f t="shared" si="313"/>
        <v>0</v>
      </c>
      <c r="K1038" s="3402">
        <f t="shared" si="313"/>
        <v>0</v>
      </c>
    </row>
    <row r="1039" spans="1:11">
      <c r="A1039" s="523" t="str">
        <f>$A1009</f>
        <v>Mortgage A</v>
      </c>
      <c r="B1039" s="3402">
        <f>'Part VII-Pro Forma'!B83</f>
        <v>-158640.76725498866</v>
      </c>
      <c r="C1039" s="3402">
        <f>'Part VII-Pro Forma'!C83</f>
        <v>-158640.76725498866</v>
      </c>
      <c r="D1039" s="3402">
        <f>'Part VII-Pro Forma'!D83</f>
        <v>-158640.76725498866</v>
      </c>
      <c r="E1039" s="3402">
        <f>'Part VII-Pro Forma'!E83</f>
        <v>-158640.76725498866</v>
      </c>
      <c r="F1039" s="3402">
        <f>'Part VII-Pro Forma'!F83</f>
        <v>-158640.76725498866</v>
      </c>
      <c r="G1039" s="3402">
        <f>'Part VII-Pro Forma'!G83</f>
        <v>-158640.76725498866</v>
      </c>
      <c r="H1039" s="3402">
        <f>'Part VII-Pro Forma'!H83</f>
        <v>-158640.76725498866</v>
      </c>
      <c r="I1039" s="3402">
        <f>'Part VII-Pro Forma'!I83</f>
        <v>-158640.76725498866</v>
      </c>
      <c r="J1039" s="3402">
        <f>'Part VII-Pro Forma'!J83</f>
        <v>-158640.76725498866</v>
      </c>
      <c r="K1039" s="3402">
        <f>'Part VII-Pro Forma'!K83</f>
        <v>-158640.76725498866</v>
      </c>
    </row>
    <row r="1040" spans="1:11">
      <c r="A1040" s="523" t="str">
        <f>$A1010</f>
        <v>Mortgage B</v>
      </c>
      <c r="B1040" s="3402">
        <f>'Part VII-Pro Forma'!B84</f>
        <v>0</v>
      </c>
      <c r="C1040" s="3402">
        <f>'Part VII-Pro Forma'!C84</f>
        <v>0</v>
      </c>
      <c r="D1040" s="3402">
        <f>'Part VII-Pro Forma'!D84</f>
        <v>0</v>
      </c>
      <c r="E1040" s="3402">
        <f>'Part VII-Pro Forma'!E84</f>
        <v>0</v>
      </c>
      <c r="F1040" s="3402">
        <f>'Part VII-Pro Forma'!F84</f>
        <v>0</v>
      </c>
      <c r="G1040" s="3402">
        <f>'Part VII-Pro Forma'!G84</f>
        <v>0</v>
      </c>
      <c r="H1040" s="3402">
        <f>'Part VII-Pro Forma'!H84</f>
        <v>0</v>
      </c>
      <c r="I1040" s="3402">
        <f>'Part VII-Pro Forma'!I84</f>
        <v>0</v>
      </c>
      <c r="J1040" s="3402">
        <f>'Part VII-Pro Forma'!J84</f>
        <v>0</v>
      </c>
      <c r="K1040" s="3402">
        <f>'Part VII-Pro Forma'!K84</f>
        <v>0</v>
      </c>
    </row>
    <row r="1041" spans="1:11">
      <c r="A1041" s="523" t="str">
        <f>$A1011</f>
        <v>Mortgage C</v>
      </c>
      <c r="B1041" s="3402">
        <f>'Part VII-Pro Forma'!B85</f>
        <v>0</v>
      </c>
      <c r="C1041" s="3402">
        <f>'Part VII-Pro Forma'!C85</f>
        <v>0</v>
      </c>
      <c r="D1041" s="3402">
        <f>'Part VII-Pro Forma'!D85</f>
        <v>0</v>
      </c>
      <c r="E1041" s="3402">
        <f>'Part VII-Pro Forma'!E85</f>
        <v>0</v>
      </c>
      <c r="F1041" s="3402">
        <f>'Part VII-Pro Forma'!F85</f>
        <v>0</v>
      </c>
      <c r="G1041" s="3402">
        <f>'Part VII-Pro Forma'!G85</f>
        <v>0</v>
      </c>
      <c r="H1041" s="3402">
        <f>'Part VII-Pro Forma'!H85</f>
        <v>0</v>
      </c>
      <c r="I1041" s="3402">
        <f>'Part VII-Pro Forma'!I85</f>
        <v>0</v>
      </c>
      <c r="J1041" s="3402">
        <f>'Part VII-Pro Forma'!J85</f>
        <v>0</v>
      </c>
      <c r="K1041" s="3402">
        <f>'Part VII-Pro Forma'!K85</f>
        <v>0</v>
      </c>
    </row>
    <row r="1042" spans="1:11">
      <c r="A1042" s="523" t="str">
        <f>$A1012</f>
        <v>D/S Other Source,not DDF</v>
      </c>
      <c r="B1042" s="3402">
        <f>'Part VII-Pro Forma'!B86</f>
        <v>0</v>
      </c>
      <c r="C1042" s="3402">
        <f>'Part VII-Pro Forma'!C86</f>
        <v>0</v>
      </c>
      <c r="D1042" s="3402">
        <f>'Part VII-Pro Forma'!D86</f>
        <v>0</v>
      </c>
      <c r="E1042" s="3402">
        <f>'Part VII-Pro Forma'!E86</f>
        <v>0</v>
      </c>
      <c r="F1042" s="3402">
        <f>'Part VII-Pro Forma'!F86</f>
        <v>0</v>
      </c>
      <c r="G1042" s="3402">
        <f>'Part VII-Pro Forma'!G86</f>
        <v>0</v>
      </c>
      <c r="H1042" s="3402">
        <f>'Part VII-Pro Forma'!H86</f>
        <v>0</v>
      </c>
      <c r="I1042" s="3402">
        <f>'Part VII-Pro Forma'!I86</f>
        <v>0</v>
      </c>
      <c r="J1042" s="3402">
        <f>'Part VII-Pro Forma'!J86</f>
        <v>0</v>
      </c>
      <c r="K1042" s="3402">
        <f>'Part VII-Pro Forma'!K86</f>
        <v>0</v>
      </c>
    </row>
    <row r="1043" spans="1:11">
      <c r="A1043" s="523" t="s">
        <v>1233</v>
      </c>
      <c r="B1043" s="3402">
        <f>'Part VII-Pro Forma'!B87</f>
        <v>0</v>
      </c>
      <c r="C1043" s="3402">
        <f>'Part VII-Pro Forma'!C87</f>
        <v>0</v>
      </c>
      <c r="D1043" s="3402">
        <f>'Part VII-Pro Forma'!D87</f>
        <v>0</v>
      </c>
      <c r="E1043" s="3402">
        <f>'Part VII-Pro Forma'!E87</f>
        <v>0</v>
      </c>
      <c r="F1043" s="3402">
        <f>'Part VII-Pro Forma'!F87</f>
        <v>0</v>
      </c>
      <c r="G1043" s="3402">
        <f>'Part VII-Pro Forma'!G87</f>
        <v>0</v>
      </c>
      <c r="H1043" s="3402">
        <f>'Part VII-Pro Forma'!H87</f>
        <v>0</v>
      </c>
      <c r="I1043" s="3402">
        <f>'Part VII-Pro Forma'!I87</f>
        <v>0</v>
      </c>
      <c r="J1043" s="3402">
        <f>'Part VII-Pro Forma'!J87</f>
        <v>0</v>
      </c>
      <c r="K1043" s="3402">
        <f>'Part VII-Pro Forma'!K87</f>
        <v>0</v>
      </c>
    </row>
    <row r="1044" spans="1:11">
      <c r="A1044" s="523" t="s">
        <v>1234</v>
      </c>
      <c r="B1044" s="3402">
        <f>'Part VII-Pro Forma'!B88</f>
        <v>-20000</v>
      </c>
      <c r="C1044" s="3402">
        <f>'Part VII-Pro Forma'!C88</f>
        <v>-20000</v>
      </c>
      <c r="D1044" s="3402">
        <f>'Part VII-Pro Forma'!D88</f>
        <v>-20000</v>
      </c>
      <c r="E1044" s="3402">
        <f>'Part VII-Pro Forma'!E88</f>
        <v>-20000</v>
      </c>
      <c r="F1044" s="3402">
        <f>'Part VII-Pro Forma'!F88</f>
        <v>-20000</v>
      </c>
      <c r="G1044" s="3402">
        <f>'Part VII-Pro Forma'!G88</f>
        <v>-20000</v>
      </c>
      <c r="H1044" s="3402">
        <f>'Part VII-Pro Forma'!H88</f>
        <v>-20000</v>
      </c>
      <c r="I1044" s="3402">
        <f>'Part VII-Pro Forma'!I88</f>
        <v>-20000</v>
      </c>
      <c r="J1044" s="3402">
        <f>'Part VII-Pro Forma'!J88</f>
        <v>-20000</v>
      </c>
      <c r="K1044" s="3402">
        <f>'Part VII-Pro Forma'!K88</f>
        <v>-20000</v>
      </c>
    </row>
    <row r="1045" spans="1:11">
      <c r="A1045" s="523" t="s">
        <v>595</v>
      </c>
      <c r="B1045" s="3402">
        <f t="shared" ref="B1045:K1045" si="314">SUM(B1038:B1044)</f>
        <v>-178640.76725498866</v>
      </c>
      <c r="C1045" s="3402">
        <f t="shared" si="314"/>
        <v>-178640.76725498866</v>
      </c>
      <c r="D1045" s="3402">
        <f t="shared" si="314"/>
        <v>-178640.76725498866</v>
      </c>
      <c r="E1045" s="3402">
        <f t="shared" si="314"/>
        <v>-178640.76725498866</v>
      </c>
      <c r="F1045" s="3402">
        <f t="shared" si="314"/>
        <v>-178640.76725498866</v>
      </c>
      <c r="G1045" s="3402">
        <f t="shared" si="314"/>
        <v>-178640.76725498866</v>
      </c>
      <c r="H1045" s="3402">
        <f t="shared" si="314"/>
        <v>-178640.76725498866</v>
      </c>
      <c r="I1045" s="3402">
        <f t="shared" si="314"/>
        <v>-178640.76725498866</v>
      </c>
      <c r="J1045" s="3402">
        <f t="shared" si="314"/>
        <v>-178640.76725498866</v>
      </c>
      <c r="K1045" s="3402">
        <f t="shared" si="314"/>
        <v>-178640.76725498866</v>
      </c>
    </row>
    <row r="1046" spans="1:11">
      <c r="A1046" s="523" t="str">
        <f>$A1017</f>
        <v>DCR Mortgage A</v>
      </c>
      <c r="B1046" s="3403">
        <f>IF(B1039=0,"",-B1038/B1039)</f>
        <v>0</v>
      </c>
      <c r="C1046" s="3403">
        <f t="shared" ref="C1046:K1046" si="315">IF(C1039=0,"",-C1038/C1039)</f>
        <v>0</v>
      </c>
      <c r="D1046" s="3403">
        <f t="shared" si="315"/>
        <v>0</v>
      </c>
      <c r="E1046" s="3403">
        <f t="shared" si="315"/>
        <v>0</v>
      </c>
      <c r="F1046" s="3403">
        <f t="shared" si="315"/>
        <v>0</v>
      </c>
      <c r="G1046" s="3403">
        <f t="shared" si="315"/>
        <v>0</v>
      </c>
      <c r="H1046" s="3403">
        <f t="shared" si="315"/>
        <v>0</v>
      </c>
      <c r="I1046" s="3403">
        <f t="shared" si="315"/>
        <v>0</v>
      </c>
      <c r="J1046" s="3403">
        <f t="shared" si="315"/>
        <v>0</v>
      </c>
      <c r="K1046" s="3403">
        <f t="shared" si="315"/>
        <v>0</v>
      </c>
    </row>
    <row r="1047" spans="1:11">
      <c r="A1047" s="523" t="str">
        <f>$A1018</f>
        <v>DCR Mortgage B</v>
      </c>
      <c r="B1047" s="3403" t="str">
        <f>IF(B1040=0,"",-(B1038+B1039)/B1040)</f>
        <v/>
      </c>
      <c r="C1047" s="3403" t="str">
        <f t="shared" ref="C1047:K1047" si="316">IF(C1040=0,"",-(C1038+C1039)/C1040)</f>
        <v/>
      </c>
      <c r="D1047" s="3403" t="str">
        <f t="shared" si="316"/>
        <v/>
      </c>
      <c r="E1047" s="3403" t="str">
        <f t="shared" si="316"/>
        <v/>
      </c>
      <c r="F1047" s="3403" t="str">
        <f t="shared" si="316"/>
        <v/>
      </c>
      <c r="G1047" s="3403" t="str">
        <f t="shared" si="316"/>
        <v/>
      </c>
      <c r="H1047" s="3403" t="str">
        <f t="shared" si="316"/>
        <v/>
      </c>
      <c r="I1047" s="3403" t="str">
        <f t="shared" si="316"/>
        <v/>
      </c>
      <c r="J1047" s="3403" t="str">
        <f t="shared" si="316"/>
        <v/>
      </c>
      <c r="K1047" s="3403" t="str">
        <f t="shared" si="316"/>
        <v/>
      </c>
    </row>
    <row r="1048" spans="1:11">
      <c r="A1048" s="523" t="str">
        <f>$A1019</f>
        <v>DCR Mortgage C</v>
      </c>
      <c r="B1048" s="3403" t="str">
        <f>IF(B1041=0,"",-(B1038+B1039+B1040)/B1041)</f>
        <v/>
      </c>
      <c r="C1048" s="3403" t="str">
        <f t="shared" ref="C1048:K1048" si="317">IF(C1041=0,"",-(C1038+C1039+C1040)/C1041)</f>
        <v/>
      </c>
      <c r="D1048" s="3403" t="str">
        <f t="shared" si="317"/>
        <v/>
      </c>
      <c r="E1048" s="3403" t="str">
        <f t="shared" si="317"/>
        <v/>
      </c>
      <c r="F1048" s="3403" t="str">
        <f t="shared" si="317"/>
        <v/>
      </c>
      <c r="G1048" s="3403" t="str">
        <f t="shared" si="317"/>
        <v/>
      </c>
      <c r="H1048" s="3403" t="str">
        <f t="shared" si="317"/>
        <v/>
      </c>
      <c r="I1048" s="3403" t="str">
        <f t="shared" si="317"/>
        <v/>
      </c>
      <c r="J1048" s="3403" t="str">
        <f t="shared" si="317"/>
        <v/>
      </c>
      <c r="K1048" s="3403" t="str">
        <f t="shared" si="317"/>
        <v/>
      </c>
    </row>
    <row r="1049" spans="1:11">
      <c r="A1049" s="523" t="str">
        <f>$A1020</f>
        <v>DCR Other Source</v>
      </c>
      <c r="B1049" s="3403" t="str">
        <f>IF(B1042=0,"",-(B1038+B1039+B1040+B1041)/B1042)</f>
        <v/>
      </c>
      <c r="C1049" s="3403" t="str">
        <f t="shared" ref="C1049:K1049" si="318">IF(C1042=0,"",-(C1038+C1039+C1040+C1041)/C1042)</f>
        <v/>
      </c>
      <c r="D1049" s="3403" t="str">
        <f t="shared" si="318"/>
        <v/>
      </c>
      <c r="E1049" s="3403" t="str">
        <f t="shared" si="318"/>
        <v/>
      </c>
      <c r="F1049" s="3403" t="str">
        <f t="shared" si="318"/>
        <v/>
      </c>
      <c r="G1049" s="3403" t="str">
        <f t="shared" si="318"/>
        <v/>
      </c>
      <c r="H1049" s="3403" t="str">
        <f t="shared" si="318"/>
        <v/>
      </c>
      <c r="I1049" s="3403" t="str">
        <f t="shared" si="318"/>
        <v/>
      </c>
      <c r="J1049" s="3403" t="str">
        <f t="shared" si="318"/>
        <v/>
      </c>
      <c r="K1049" s="3403" t="str">
        <f t="shared" si="318"/>
        <v/>
      </c>
    </row>
    <row r="1050" spans="1:11">
      <c r="A1050" s="523" t="s">
        <v>1237</v>
      </c>
      <c r="B1050" s="3403">
        <f>IF(AND(B1039=0,B1040=0,B1041=0,B1042=0),"",-B1038/(B1039+B1040+B1041+B1042))</f>
        <v>0</v>
      </c>
      <c r="C1050" s="3403">
        <f t="shared" ref="C1050:K1050" si="319">IF(AND(C1039=0,C1040=0,C1041=0,C1042=0),"",-C1038/(C1039+C1040+C1041+C1042))</f>
        <v>0</v>
      </c>
      <c r="D1050" s="3403">
        <f t="shared" si="319"/>
        <v>0</v>
      </c>
      <c r="E1050" s="3403">
        <f t="shared" si="319"/>
        <v>0</v>
      </c>
      <c r="F1050" s="3403">
        <f t="shared" si="319"/>
        <v>0</v>
      </c>
      <c r="G1050" s="3403">
        <f t="shared" si="319"/>
        <v>0</v>
      </c>
      <c r="H1050" s="3403">
        <f t="shared" si="319"/>
        <v>0</v>
      </c>
      <c r="I1050" s="3403">
        <f t="shared" si="319"/>
        <v>0</v>
      </c>
      <c r="J1050" s="3403">
        <f t="shared" si="319"/>
        <v>0</v>
      </c>
      <c r="K1050" s="3403">
        <f t="shared" si="319"/>
        <v>0</v>
      </c>
    </row>
    <row r="1051" spans="1:11">
      <c r="A1051" s="523" t="s">
        <v>1238</v>
      </c>
      <c r="B1051" s="3404" t="e">
        <f>IF(OR(B1036="Choose mgt fee",B1036="Choose One!"),"",(B1030+B1031+B1032+B1033+B1034) / -(B1035+B1036+B1037))</f>
        <v>#DIV/0!</v>
      </c>
      <c r="C1051" s="3404" t="e">
        <f t="shared" ref="C1051:K1051" si="320">IF(OR(C1036="Choose mgt fee",C1036="Choose One!"),"",(C1030+C1031+C1032+C1033+C1034) / -(C1035+C1036+C1037))</f>
        <v>#DIV/0!</v>
      </c>
      <c r="D1051" s="3404" t="e">
        <f t="shared" si="320"/>
        <v>#DIV/0!</v>
      </c>
      <c r="E1051" s="3404" t="e">
        <f t="shared" si="320"/>
        <v>#DIV/0!</v>
      </c>
      <c r="F1051" s="3404" t="e">
        <f t="shared" si="320"/>
        <v>#DIV/0!</v>
      </c>
      <c r="G1051" s="3404" t="e">
        <f t="shared" si="320"/>
        <v>#DIV/0!</v>
      </c>
      <c r="H1051" s="3404" t="e">
        <f t="shared" si="320"/>
        <v>#DIV/0!</v>
      </c>
      <c r="I1051" s="3404" t="e">
        <f t="shared" si="320"/>
        <v>#DIV/0!</v>
      </c>
      <c r="J1051" s="3404" t="e">
        <f t="shared" si="320"/>
        <v>#DIV/0!</v>
      </c>
      <c r="K1051" s="3404" t="e">
        <f t="shared" si="320"/>
        <v>#DIV/0!</v>
      </c>
    </row>
    <row r="1052" spans="1:11">
      <c r="A1052" s="523" t="s">
        <v>1239</v>
      </c>
      <c r="B1052" s="3402">
        <f>'Part VII-Pro Forma'!B96</f>
        <v>1904887.1468174332</v>
      </c>
      <c r="C1052" s="3402">
        <f>'Part VII-Pro Forma'!C96</f>
        <v>1844821.2901501576</v>
      </c>
      <c r="D1052" s="3402">
        <f>'Part VII-Pro Forma'!D96</f>
        <v>1781524.9783834147</v>
      </c>
      <c r="E1052" s="3402">
        <f>'Part VII-Pro Forma'!E96</f>
        <v>1714824.4715469666</v>
      </c>
      <c r="F1052" s="3402">
        <f>'Part VII-Pro Forma'!F96</f>
        <v>1644536.6856071763</v>
      </c>
      <c r="G1052" s="3402">
        <f>'Part VII-Pro Forma'!G96</f>
        <v>1570468.689925648</v>
      </c>
      <c r="H1052" s="3402">
        <f>'Part VII-Pro Forma'!H96</f>
        <v>1492417.1776902457</v>
      </c>
      <c r="I1052" s="3402">
        <f>'Part VII-Pro Forma'!I96</f>
        <v>1410167.9078648919</v>
      </c>
      <c r="J1052" s="3402">
        <f>'Part VII-Pro Forma'!J96</f>
        <v>1323495.1171263745</v>
      </c>
      <c r="K1052" s="3402">
        <f>'Part VII-Pro Forma'!K96</f>
        <v>1232160.900174005</v>
      </c>
    </row>
    <row r="1053" spans="1:11">
      <c r="A1053" s="523" t="s">
        <v>1240</v>
      </c>
      <c r="B1053" s="3402" t="str">
        <f>'Part VII-Pro Forma'!B97</f>
        <v/>
      </c>
      <c r="C1053" s="3402" t="str">
        <f>'Part VII-Pro Forma'!C97</f>
        <v/>
      </c>
      <c r="D1053" s="3402" t="str">
        <f>'Part VII-Pro Forma'!D97</f>
        <v/>
      </c>
      <c r="E1053" s="3402" t="str">
        <f>'Part VII-Pro Forma'!E97</f>
        <v/>
      </c>
      <c r="F1053" s="3402" t="str">
        <f>'Part VII-Pro Forma'!F97</f>
        <v/>
      </c>
      <c r="G1053" s="3402" t="str">
        <f>'Part VII-Pro Forma'!G97</f>
        <v/>
      </c>
      <c r="H1053" s="3402" t="str">
        <f>'Part VII-Pro Forma'!H97</f>
        <v/>
      </c>
      <c r="I1053" s="3402" t="str">
        <f>'Part VII-Pro Forma'!I97</f>
        <v/>
      </c>
      <c r="J1053" s="3402" t="str">
        <f>'Part VII-Pro Forma'!J97</f>
        <v/>
      </c>
      <c r="K1053" s="3402" t="str">
        <f>'Part VII-Pro Forma'!K97</f>
        <v/>
      </c>
    </row>
    <row r="1054" spans="1:11">
      <c r="A1054" s="523" t="s">
        <v>1241</v>
      </c>
      <c r="B1054" s="3402" t="str">
        <f>'Part VII-Pro Forma'!B98</f>
        <v/>
      </c>
      <c r="C1054" s="3402" t="str">
        <f>'Part VII-Pro Forma'!C98</f>
        <v/>
      </c>
      <c r="D1054" s="3402" t="str">
        <f>'Part VII-Pro Forma'!D98</f>
        <v/>
      </c>
      <c r="E1054" s="3402" t="str">
        <f>'Part VII-Pro Forma'!E98</f>
        <v/>
      </c>
      <c r="F1054" s="3402" t="str">
        <f>'Part VII-Pro Forma'!F98</f>
        <v/>
      </c>
      <c r="G1054" s="3402" t="str">
        <f>'Part VII-Pro Forma'!G98</f>
        <v/>
      </c>
      <c r="H1054" s="3402" t="str">
        <f>'Part VII-Pro Forma'!H98</f>
        <v/>
      </c>
      <c r="I1054" s="3402" t="str">
        <f>'Part VII-Pro Forma'!I98</f>
        <v/>
      </c>
      <c r="J1054" s="3402" t="str">
        <f>'Part VII-Pro Forma'!J98</f>
        <v/>
      </c>
      <c r="K1054" s="3402" t="str">
        <f>'Part VII-Pro Forma'!K98</f>
        <v/>
      </c>
    </row>
    <row r="1055" spans="1:11">
      <c r="A1055" s="523" t="s">
        <v>1242</v>
      </c>
      <c r="B1055" s="3402" t="str">
        <f>'Part VII-Pro Forma'!B99</f>
        <v/>
      </c>
      <c r="C1055" s="3402" t="str">
        <f>'Part VII-Pro Forma'!C99</f>
        <v/>
      </c>
      <c r="D1055" s="3402" t="str">
        <f>'Part VII-Pro Forma'!D99</f>
        <v/>
      </c>
      <c r="E1055" s="3402" t="str">
        <f>'Part VII-Pro Forma'!E99</f>
        <v/>
      </c>
      <c r="F1055" s="3402" t="str">
        <f>'Part VII-Pro Forma'!F99</f>
        <v/>
      </c>
      <c r="G1055" s="3402" t="str">
        <f>'Part VII-Pro Forma'!G99</f>
        <v/>
      </c>
      <c r="H1055" s="3402" t="str">
        <f>'Part VII-Pro Forma'!H99</f>
        <v/>
      </c>
      <c r="I1055" s="3402" t="str">
        <f>'Part VII-Pro Forma'!I99</f>
        <v/>
      </c>
      <c r="J1055" s="3402" t="str">
        <f>'Part VII-Pro Forma'!J99</f>
        <v/>
      </c>
      <c r="K1055" s="3402" t="str">
        <f>'Part VII-Pro Forma'!K99</f>
        <v/>
      </c>
    </row>
    <row r="1056" spans="1:11">
      <c r="B1056" s="3402"/>
      <c r="C1056" s="3402"/>
      <c r="D1056" s="3402"/>
      <c r="E1056" s="3402"/>
      <c r="F1056" s="3402"/>
      <c r="G1056" s="3402"/>
      <c r="H1056" s="3402"/>
      <c r="I1056" s="3402"/>
      <c r="J1056" s="3402"/>
      <c r="K1056" s="3402"/>
    </row>
    <row r="1057" spans="1:11">
      <c r="A1057" s="3303" t="s">
        <v>627</v>
      </c>
      <c r="B1057" s="3405">
        <f>K1029+1</f>
        <v>31</v>
      </c>
      <c r="C1057" s="3405">
        <f>B1057+1</f>
        <v>32</v>
      </c>
      <c r="D1057" s="3405">
        <f>C1057+1</f>
        <v>33</v>
      </c>
      <c r="E1057" s="3405">
        <f>D1057+1</f>
        <v>34</v>
      </c>
      <c r="F1057" s="3405">
        <f>E1057+1</f>
        <v>35</v>
      </c>
      <c r="G1057" s="3402"/>
      <c r="H1057" s="3402"/>
      <c r="I1057" s="3402"/>
      <c r="J1057" s="3402"/>
      <c r="K1057" s="3402"/>
    </row>
    <row r="1058" spans="1:11">
      <c r="A1058" s="523" t="s">
        <v>1221</v>
      </c>
      <c r="B1058" s="3402">
        <f>$B$14*(1+$B$5)^(B1057-1)</f>
        <v>0</v>
      </c>
      <c r="C1058" s="3402">
        <f>$B$14*(1+$B$5)^(C1057-1)</f>
        <v>0</v>
      </c>
      <c r="D1058" s="3402">
        <f>$B$14*(1+$B$5)^(D1057-1)</f>
        <v>0</v>
      </c>
      <c r="E1058" s="3402">
        <f>$B$14*(1+$B$5)^(E1057-1)</f>
        <v>0</v>
      </c>
      <c r="F1058" s="3402">
        <f>$B$14*(1+$B$5)^(F1057-1)</f>
        <v>0</v>
      </c>
      <c r="G1058" s="3402"/>
      <c r="H1058" s="3402"/>
      <c r="I1058" s="3402"/>
      <c r="J1058" s="3402"/>
      <c r="K1058" s="3402"/>
    </row>
    <row r="1059" spans="1:11">
      <c r="A1059" s="523" t="s">
        <v>1135</v>
      </c>
      <c r="B1059" s="3402">
        <f>$B$15*(1+$B$5)^(B1057-1)</f>
        <v>0</v>
      </c>
      <c r="C1059" s="3402">
        <f>$B$15*(1+$B$5)^(C1057-1)</f>
        <v>0</v>
      </c>
      <c r="D1059" s="3402">
        <f>$B$15*(1+$B$5)^(D1057-1)</f>
        <v>0</v>
      </c>
      <c r="E1059" s="3402">
        <f>$B$15*(1+$B$5)^(E1057-1)</f>
        <v>0</v>
      </c>
      <c r="F1059" s="3402">
        <f>$B$15*(1+$B$5)^(F1057-1)</f>
        <v>0</v>
      </c>
      <c r="G1059" s="3402"/>
      <c r="H1059" s="3402"/>
      <c r="I1059" s="3402"/>
      <c r="J1059" s="3402"/>
      <c r="K1059" s="3402"/>
    </row>
    <row r="1060" spans="1:11">
      <c r="A1060" s="523" t="s">
        <v>1223</v>
      </c>
      <c r="B1060" s="3402">
        <f>-(B1058+B1059)*$B$8</f>
        <v>0</v>
      </c>
      <c r="C1060" s="3402">
        <f>-(C1058+C1059)*$B$8</f>
        <v>0</v>
      </c>
      <c r="D1060" s="3402">
        <f>-(D1058+D1059)*$B$8</f>
        <v>0</v>
      </c>
      <c r="E1060" s="3402">
        <f>-(E1058+E1059)*$B$8</f>
        <v>0</v>
      </c>
      <c r="F1060" s="3402">
        <f>-(F1058+F1059)*$B$8</f>
        <v>0</v>
      </c>
      <c r="G1060" s="3402"/>
      <c r="H1060" s="3402"/>
      <c r="I1060" s="3402"/>
      <c r="J1060" s="3402"/>
      <c r="K1060" s="3402"/>
    </row>
    <row r="1061" spans="1:11">
      <c r="A1061" s="523" t="s">
        <v>1226</v>
      </c>
      <c r="B1061" s="3402">
        <f>'Part VI-Revenues &amp; Expenses'!G1111</f>
        <v>0</v>
      </c>
      <c r="C1061" s="3402">
        <f>'Part VI-Revenues &amp; Expenses'!H1111</f>
        <v>0</v>
      </c>
      <c r="D1061" s="3402">
        <f>'Part VI-Revenues &amp; Expenses'!I1111</f>
        <v>0</v>
      </c>
      <c r="E1061" s="3402">
        <f>'Part VI-Revenues &amp; Expenses'!J1111</f>
        <v>0</v>
      </c>
      <c r="F1061" s="3402">
        <f>'Part VI-Revenues &amp; Expenses'!K1111</f>
        <v>0</v>
      </c>
      <c r="G1061" s="3402"/>
      <c r="H1061" s="3402"/>
      <c r="I1061" s="3402"/>
      <c r="J1061" s="3402"/>
      <c r="K1061" s="3402"/>
    </row>
    <row r="1062" spans="1:11">
      <c r="A1062" s="523" t="s">
        <v>1227</v>
      </c>
      <c r="B1062" s="3402">
        <f>'Part VI-Revenues &amp; Expenses'!G1115</f>
        <v>0</v>
      </c>
      <c r="C1062" s="3402">
        <f>'Part VI-Revenues &amp; Expenses'!H1115</f>
        <v>0</v>
      </c>
      <c r="D1062" s="3402">
        <f>'Part VI-Revenues &amp; Expenses'!I1115</f>
        <v>0</v>
      </c>
      <c r="E1062" s="3402">
        <f>'Part VI-Revenues &amp; Expenses'!J1115</f>
        <v>0</v>
      </c>
      <c r="F1062" s="3402">
        <f>'Part VI-Revenues &amp; Expenses'!K1115</f>
        <v>0</v>
      </c>
      <c r="G1062" s="3402"/>
      <c r="H1062" s="3402"/>
      <c r="I1062" s="3402"/>
      <c r="J1062" s="3402"/>
      <c r="K1062" s="3402"/>
    </row>
    <row r="1063" spans="1:11">
      <c r="A1063" s="523" t="s">
        <v>1228</v>
      </c>
      <c r="B1063" s="3402">
        <f>$B$19*(1+$B$6)^(B1057-1)</f>
        <v>0</v>
      </c>
      <c r="C1063" s="3402">
        <f>$B$19*(1+$B$6)^(C1057-1)</f>
        <v>0</v>
      </c>
      <c r="D1063" s="3402">
        <f>$B$19*(1+$B$6)^(D1057-1)</f>
        <v>0</v>
      </c>
      <c r="E1063" s="3402">
        <f>$B$19*(1+$B$6)^(E1057-1)</f>
        <v>0</v>
      </c>
      <c r="F1063" s="3402">
        <f>$B$19*(1+$B$6)^(F1057-1)</f>
        <v>0</v>
      </c>
      <c r="G1063" s="3402"/>
      <c r="H1063" s="3402"/>
      <c r="I1063" s="3402"/>
      <c r="J1063" s="3402"/>
      <c r="K1063" s="3402"/>
    </row>
    <row r="1064" spans="1:11">
      <c r="A1064" s="523" t="s">
        <v>1229</v>
      </c>
      <c r="B1064" s="3402">
        <f>IF(AND('Part VII-Pro Forma'!$G$8="Yes",'Part VII-Pro Forma'!$G$9="Yes"),"Choose One!",IF('Part VII-Pro Forma'!$G$8="Yes",ROUND((-$K$8*(1+'Part VII-Pro Forma'!$B$6)^('Part VII-Pro Forma'!B1057-1)),),IF('Part VII-Pro Forma'!$G$9="Yes",ROUND((-(SUM(B1058:B1061)*'Part VII-Pro Forma'!$K$9)),),"Choose mgt fee")))</f>
        <v>0</v>
      </c>
      <c r="C1064" s="3402">
        <f>IF(AND('Part VII-Pro Forma'!$G$8="Yes",'Part VII-Pro Forma'!$G$9="Yes"),"Choose One!",IF('Part VII-Pro Forma'!$G$8="Yes",ROUND((-$K$8*(1+'Part VII-Pro Forma'!$B$6)^('Part VII-Pro Forma'!C1057-1)),),IF('Part VII-Pro Forma'!$G$9="Yes",ROUND((-(SUM(C1058:C1061)*'Part VII-Pro Forma'!$K$9)),),"Choose mgt fee")))</f>
        <v>0</v>
      </c>
      <c r="D1064" s="3402">
        <f>IF(AND('Part VII-Pro Forma'!$G$8="Yes",'Part VII-Pro Forma'!$G$9="Yes"),"Choose One!",IF('Part VII-Pro Forma'!$G$8="Yes",ROUND((-$K$8*(1+'Part VII-Pro Forma'!$B$6)^('Part VII-Pro Forma'!D1057-1)),),IF('Part VII-Pro Forma'!$G$9="Yes",ROUND((-(SUM(D1058:D1061)*'Part VII-Pro Forma'!$K$9)),),"Choose mgt fee")))</f>
        <v>0</v>
      </c>
      <c r="E1064" s="3402">
        <f>IF(AND('Part VII-Pro Forma'!$G$8="Yes",'Part VII-Pro Forma'!$G$9="Yes"),"Choose One!",IF('Part VII-Pro Forma'!$G$8="Yes",ROUND((-$K$8*(1+'Part VII-Pro Forma'!$B$6)^('Part VII-Pro Forma'!E1057-1)),),IF('Part VII-Pro Forma'!$G$9="Yes",ROUND((-(SUM(E1058:E1061)*'Part VII-Pro Forma'!$K$9)),),"Choose mgt fee")))</f>
        <v>0</v>
      </c>
      <c r="F1064" s="3402">
        <f>IF(AND('Part VII-Pro Forma'!$G$8="Yes",'Part VII-Pro Forma'!$G$9="Yes"),"Choose One!",IF('Part VII-Pro Forma'!$G$8="Yes",ROUND((-$K$8*(1+'Part VII-Pro Forma'!$B$6)^('Part VII-Pro Forma'!F1057-1)),),IF('Part VII-Pro Forma'!$G$9="Yes",ROUND((-(SUM(F1058:F1061)*'Part VII-Pro Forma'!$K$9)),),"Choose mgt fee")))</f>
        <v>0</v>
      </c>
      <c r="G1064" s="3402"/>
      <c r="H1064" s="3402"/>
      <c r="I1064" s="3402"/>
      <c r="J1064" s="3402"/>
      <c r="K1064" s="3402"/>
    </row>
    <row r="1065" spans="1:11">
      <c r="A1065" s="523" t="s">
        <v>1230</v>
      </c>
      <c r="B1065" s="3402">
        <f>$B$21*(1+$B$7)^(B1057-1)</f>
        <v>0</v>
      </c>
      <c r="C1065" s="3402">
        <f>$B$21*(1+$B$7)^(C1057-1)</f>
        <v>0</v>
      </c>
      <c r="D1065" s="3402">
        <f>$B$21*(1+$B$7)^(D1057-1)</f>
        <v>0</v>
      </c>
      <c r="E1065" s="3402">
        <f>$B$21*(1+$B$7)^(E1057-1)</f>
        <v>0</v>
      </c>
      <c r="F1065" s="3402">
        <f>$B$21*(1+$B$7)^(F1057-1)</f>
        <v>0</v>
      </c>
      <c r="G1065" s="3402"/>
      <c r="H1065" s="3402"/>
      <c r="I1065" s="3402"/>
      <c r="J1065" s="3402"/>
      <c r="K1065" s="3402"/>
    </row>
    <row r="1066" spans="1:11">
      <c r="A1066" s="523" t="s">
        <v>1231</v>
      </c>
      <c r="B1066" s="3402">
        <f>SUM(B1058:B1065)</f>
        <v>0</v>
      </c>
      <c r="C1066" s="3402">
        <f>SUM(C1058:C1065)</f>
        <v>0</v>
      </c>
      <c r="D1066" s="3402">
        <f>SUM(D1058:D1065)</f>
        <v>0</v>
      </c>
      <c r="E1066" s="3402">
        <f>SUM(E1058:E1065)</f>
        <v>0</v>
      </c>
      <c r="F1066" s="3402">
        <f>SUM(F1058:F1065)</f>
        <v>0</v>
      </c>
      <c r="G1066" s="3402"/>
      <c r="H1066" s="3402"/>
      <c r="I1066" s="3402"/>
      <c r="J1066" s="3402"/>
      <c r="K1066" s="3402"/>
    </row>
    <row r="1067" spans="1:11">
      <c r="A1067" s="523" t="str">
        <f>$A1039</f>
        <v>Mortgage A</v>
      </c>
      <c r="B1067" s="3402">
        <f>'Part VII-Pro Forma'!B111</f>
        <v>-158640.76725498866</v>
      </c>
      <c r="C1067" s="3402">
        <f>'Part VII-Pro Forma'!C111</f>
        <v>-158640.76725498866</v>
      </c>
      <c r="D1067" s="3402">
        <f>'Part VII-Pro Forma'!D111</f>
        <v>-158640.76725498866</v>
      </c>
      <c r="E1067" s="3402">
        <f>'Part VII-Pro Forma'!E111</f>
        <v>-158640.76725498866</v>
      </c>
      <c r="F1067" s="3402">
        <f>'Part VII-Pro Forma'!F111</f>
        <v>-158640.76725498866</v>
      </c>
      <c r="G1067" s="3402"/>
      <c r="H1067" s="3402"/>
      <c r="I1067" s="3402"/>
      <c r="J1067" s="3402"/>
      <c r="K1067" s="3402"/>
    </row>
    <row r="1068" spans="1:11">
      <c r="A1068" s="523" t="str">
        <f>$A1040</f>
        <v>Mortgage B</v>
      </c>
      <c r="B1068" s="3402">
        <f>'Part VII-Pro Forma'!B112</f>
        <v>0</v>
      </c>
      <c r="C1068" s="3402">
        <f>'Part VII-Pro Forma'!C112</f>
        <v>0</v>
      </c>
      <c r="D1068" s="3402">
        <f>'Part VII-Pro Forma'!D112</f>
        <v>0</v>
      </c>
      <c r="E1068" s="3402">
        <f>'Part VII-Pro Forma'!E112</f>
        <v>0</v>
      </c>
      <c r="F1068" s="3402">
        <f>'Part VII-Pro Forma'!F112</f>
        <v>0</v>
      </c>
      <c r="G1068" s="3402"/>
      <c r="H1068" s="3402"/>
      <c r="I1068" s="3402"/>
      <c r="J1068" s="3402"/>
      <c r="K1068" s="3402"/>
    </row>
    <row r="1069" spans="1:11">
      <c r="A1069" s="523" t="str">
        <f>$A1041</f>
        <v>Mortgage C</v>
      </c>
      <c r="B1069" s="3402">
        <f>'Part VII-Pro Forma'!B113</f>
        <v>0</v>
      </c>
      <c r="C1069" s="3402">
        <f>'Part VII-Pro Forma'!C113</f>
        <v>0</v>
      </c>
      <c r="D1069" s="3402">
        <f>'Part VII-Pro Forma'!D113</f>
        <v>0</v>
      </c>
      <c r="E1069" s="3402">
        <f>'Part VII-Pro Forma'!E113</f>
        <v>0</v>
      </c>
      <c r="F1069" s="3402">
        <f>'Part VII-Pro Forma'!F113</f>
        <v>0</v>
      </c>
      <c r="G1069" s="3402"/>
      <c r="H1069" s="3402"/>
      <c r="I1069" s="3402"/>
      <c r="J1069" s="3402"/>
      <c r="K1069" s="3402"/>
    </row>
    <row r="1070" spans="1:11">
      <c r="A1070" s="523" t="str">
        <f>$A1042</f>
        <v>D/S Other Source,not DDF</v>
      </c>
      <c r="B1070" s="3402">
        <f>'Part VII-Pro Forma'!B114</f>
        <v>0</v>
      </c>
      <c r="C1070" s="3402">
        <f>'Part VII-Pro Forma'!C114</f>
        <v>0</v>
      </c>
      <c r="D1070" s="3402">
        <f>'Part VII-Pro Forma'!D114</f>
        <v>0</v>
      </c>
      <c r="E1070" s="3402">
        <f>'Part VII-Pro Forma'!E114</f>
        <v>0</v>
      </c>
      <c r="F1070" s="3402">
        <f>'Part VII-Pro Forma'!F114</f>
        <v>0</v>
      </c>
      <c r="G1070" s="3402"/>
      <c r="H1070" s="3402"/>
      <c r="I1070" s="3402"/>
      <c r="J1070" s="3402"/>
      <c r="K1070" s="3402"/>
    </row>
    <row r="1071" spans="1:11">
      <c r="A1071" s="523" t="s">
        <v>1233</v>
      </c>
      <c r="B1071" s="3402">
        <f>'Part VII-Pro Forma'!B115</f>
        <v>0</v>
      </c>
      <c r="C1071" s="3402">
        <f>'Part VII-Pro Forma'!C115</f>
        <v>0</v>
      </c>
      <c r="D1071" s="3402">
        <f>'Part VII-Pro Forma'!D115</f>
        <v>0</v>
      </c>
      <c r="E1071" s="3402">
        <f>'Part VII-Pro Forma'!E115</f>
        <v>0</v>
      </c>
      <c r="F1071" s="3402">
        <f>'Part VII-Pro Forma'!F115</f>
        <v>0</v>
      </c>
      <c r="G1071" s="3402"/>
      <c r="H1071" s="3402"/>
      <c r="I1071" s="3402"/>
      <c r="J1071" s="3402"/>
      <c r="K1071" s="3402"/>
    </row>
    <row r="1072" spans="1:11">
      <c r="A1072" s="523" t="s">
        <v>1234</v>
      </c>
      <c r="B1072" s="3402">
        <f>'Part VII-Pro Forma'!B116</f>
        <v>-20000</v>
      </c>
      <c r="C1072" s="3402">
        <f>'Part VII-Pro Forma'!C116</f>
        <v>-20000</v>
      </c>
      <c r="D1072" s="3402">
        <f>'Part VII-Pro Forma'!D116</f>
        <v>-20000</v>
      </c>
      <c r="E1072" s="3402">
        <f>'Part VII-Pro Forma'!E116</f>
        <v>-20000</v>
      </c>
      <c r="F1072" s="3402">
        <f>'Part VII-Pro Forma'!F116</f>
        <v>-20000</v>
      </c>
      <c r="G1072" s="3402"/>
      <c r="H1072" s="3402"/>
      <c r="I1072" s="3402"/>
      <c r="J1072" s="3402"/>
      <c r="K1072" s="3402"/>
    </row>
    <row r="1073" spans="1:11">
      <c r="A1073" s="523" t="s">
        <v>595</v>
      </c>
      <c r="B1073" s="3402">
        <f>SUM(B1066:B1072)</f>
        <v>-178640.76725498866</v>
      </c>
      <c r="C1073" s="3402">
        <f>SUM(C1066:C1072)</f>
        <v>-178640.76725498866</v>
      </c>
      <c r="D1073" s="3402">
        <f>SUM(D1066:D1072)</f>
        <v>-178640.76725498866</v>
      </c>
      <c r="E1073" s="3402">
        <f>SUM(E1066:E1072)</f>
        <v>-178640.76725498866</v>
      </c>
      <c r="F1073" s="3402">
        <f>SUM(F1066:F1072)</f>
        <v>-178640.76725498866</v>
      </c>
      <c r="G1073" s="3402"/>
      <c r="H1073" s="3402"/>
      <c r="I1073" s="3402"/>
      <c r="J1073" s="3402"/>
      <c r="K1073" s="3402"/>
    </row>
    <row r="1074" spans="1:11">
      <c r="A1074" s="523" t="str">
        <f>$A1046</f>
        <v>DCR Mortgage A</v>
      </c>
      <c r="B1074" s="3403">
        <f>IF(B1067=0,"",-B1066/B1067)</f>
        <v>0</v>
      </c>
      <c r="C1074" s="3403">
        <f>IF(C1067=0,"",-C1066/C1067)</f>
        <v>0</v>
      </c>
      <c r="D1074" s="3403">
        <f>IF(D1067=0,"",-D1066/D1067)</f>
        <v>0</v>
      </c>
      <c r="E1074" s="3403">
        <f>IF(E1067=0,"",-E1066/E1067)</f>
        <v>0</v>
      </c>
      <c r="F1074" s="3403">
        <f>IF(F1067=0,"",-F1066/F1067)</f>
        <v>0</v>
      </c>
      <c r="G1074" s="3402"/>
      <c r="H1074" s="3402"/>
      <c r="I1074" s="3402"/>
      <c r="J1074" s="3402"/>
      <c r="K1074" s="3402"/>
    </row>
    <row r="1075" spans="1:11">
      <c r="A1075" s="523" t="str">
        <f>$A1047</f>
        <v>DCR Mortgage B</v>
      </c>
      <c r="B1075" s="3403" t="str">
        <f>IF(B1068=0,"",-(B1066+B1067)/B1068)</f>
        <v/>
      </c>
      <c r="C1075" s="3403" t="str">
        <f>IF(C1068=0,"",-(C1066+C1067)/C1068)</f>
        <v/>
      </c>
      <c r="D1075" s="3403" t="str">
        <f>IF(D1068=0,"",-(D1066+D1067)/D1068)</f>
        <v/>
      </c>
      <c r="E1075" s="3403" t="str">
        <f>IF(E1068=0,"",-(E1066+E1067)/E1068)</f>
        <v/>
      </c>
      <c r="F1075" s="3403" t="str">
        <f>IF(F1068=0,"",-(F1066+F1067)/F1068)</f>
        <v/>
      </c>
      <c r="G1075" s="3402"/>
      <c r="H1075" s="3402"/>
      <c r="I1075" s="3402"/>
      <c r="J1075" s="3402"/>
      <c r="K1075" s="3402"/>
    </row>
    <row r="1076" spans="1:11">
      <c r="A1076" s="523" t="str">
        <f>$A1048</f>
        <v>DCR Mortgage C</v>
      </c>
      <c r="B1076" s="3403" t="str">
        <f>IF(B1069=0,"",-(B1066+B1067+B1068)/B1069)</f>
        <v/>
      </c>
      <c r="C1076" s="3403" t="str">
        <f>IF(C1069=0,"",-(C1066+C1067+C1068)/C1069)</f>
        <v/>
      </c>
      <c r="D1076" s="3403" t="str">
        <f>IF(D1069=0,"",-(D1066+D1067+D1068)/D1069)</f>
        <v/>
      </c>
      <c r="E1076" s="3403" t="str">
        <f>IF(E1069=0,"",-(E1066+E1067+E1068)/E1069)</f>
        <v/>
      </c>
      <c r="F1076" s="3403" t="str">
        <f>IF(F1069=0,"",-(F1066+F1067+F1068)/F1069)</f>
        <v/>
      </c>
      <c r="G1076" s="3402"/>
      <c r="H1076" s="3402"/>
      <c r="I1076" s="3402"/>
      <c r="J1076" s="3402"/>
      <c r="K1076" s="3402"/>
    </row>
    <row r="1077" spans="1:11">
      <c r="A1077" s="523" t="str">
        <f>$A1049</f>
        <v>DCR Other Source</v>
      </c>
      <c r="B1077" s="3403" t="str">
        <f>IF(B1070=0,"",-(B1066+B1067+B1068+B1069)/B1070)</f>
        <v/>
      </c>
      <c r="C1077" s="3403" t="str">
        <f>IF(C1070=0,"",-(C1066+C1067+C1068+C1069)/C1070)</f>
        <v/>
      </c>
      <c r="D1077" s="3403" t="str">
        <f>IF(D1070=0,"",-(D1066+D1067+D1068+D1069)/D1070)</f>
        <v/>
      </c>
      <c r="E1077" s="3403" t="str">
        <f>IF(E1070=0,"",-(E1066+E1067+E1068+E1069)/E1070)</f>
        <v/>
      </c>
      <c r="F1077" s="3403" t="str">
        <f>IF(F1070=0,"",-(F1066+F1067+F1068+F1069)/F1070)</f>
        <v/>
      </c>
      <c r="G1077" s="3402"/>
      <c r="H1077" s="3402"/>
      <c r="I1077" s="3402"/>
      <c r="J1077" s="3402"/>
      <c r="K1077" s="3402"/>
    </row>
    <row r="1078" spans="1:11">
      <c r="A1078" s="523" t="s">
        <v>1237</v>
      </c>
      <c r="B1078" s="3403">
        <f>IF(AND(B1067=0,B1068=0,B1069=0,B1070=0),"",-B1066/(B1067+B1068+B1069+B1070))</f>
        <v>0</v>
      </c>
      <c r="C1078" s="3403">
        <f>IF(AND(C1067=0,C1068=0,C1069=0,C1070=0),"",-C1066/(C1067+C1068+C1069+C1070))</f>
        <v>0</v>
      </c>
      <c r="D1078" s="3403">
        <f>IF(AND(D1067=0,D1068=0,D1069=0,D1070=0),"",-D1066/(D1067+D1068+D1069+D1070))</f>
        <v>0</v>
      </c>
      <c r="E1078" s="3403">
        <f>IF(AND(E1067=0,E1068=0,E1069=0,E1070=0),"",-E1066/(E1067+E1068+E1069+E1070))</f>
        <v>0</v>
      </c>
      <c r="F1078" s="3403">
        <f>IF(AND(F1067=0,F1068=0,F1069=0,F1070=0),"",-F1066/(F1067+F1068+F1069+F1070))</f>
        <v>0</v>
      </c>
      <c r="G1078" s="3402"/>
      <c r="H1078" s="3402"/>
      <c r="I1078" s="3402"/>
      <c r="J1078" s="3402"/>
      <c r="K1078" s="3402"/>
    </row>
    <row r="1079" spans="1:11">
      <c r="A1079" s="523" t="s">
        <v>1238</v>
      </c>
      <c r="B1079" s="3404" t="e">
        <f>IF(OR(B1064="Choose mgt fee",B1064="Choose One!"),"",(B1058+B1059+B1060+B1061+B1062) / -(B1063+B1064+B1065))</f>
        <v>#DIV/0!</v>
      </c>
      <c r="C1079" s="3404" t="e">
        <f>IF(OR(C1064="Choose mgt fee",C1064="Choose One!"),"",(C1058+C1059+C1060+C1061+C1062) / -(C1063+C1064+C1065))</f>
        <v>#DIV/0!</v>
      </c>
      <c r="D1079" s="3404" t="e">
        <f>IF(OR(D1064="Choose mgt fee",D1064="Choose One!"),"",(D1058+D1059+D1060+D1061+D1062) / -(D1063+D1064+D1065))</f>
        <v>#DIV/0!</v>
      </c>
      <c r="E1079" s="3404" t="e">
        <f>IF(OR(E1064="Choose mgt fee",E1064="Choose One!"),"",(E1058+E1059+E1060+E1061+E1062) / -(E1063+E1064+E1065))</f>
        <v>#DIV/0!</v>
      </c>
      <c r="F1079" s="3404" t="e">
        <f>IF(OR(F1064="Choose mgt fee",F1064="Choose One!"),"",(F1058+F1059+F1060+F1061+F1062) / -(F1063+F1064+F1065))</f>
        <v>#DIV/0!</v>
      </c>
      <c r="G1079" s="3402"/>
      <c r="H1079" s="3402"/>
      <c r="I1079" s="3402"/>
      <c r="J1079" s="3402"/>
      <c r="K1079" s="3402"/>
    </row>
    <row r="1080" spans="1:11">
      <c r="A1080" s="523" t="s">
        <v>1239</v>
      </c>
      <c r="B1080" s="3402">
        <f>'Part VII-Pro Forma'!B124</f>
        <v>1135914.5567111617</v>
      </c>
      <c r="C1080" s="3402">
        <f>'Part VII-Pro Forma'!C124</f>
        <v>1034491.9033062675</v>
      </c>
      <c r="D1080" s="3402">
        <f>'Part VII-Pro Forma'!D124</f>
        <v>927614.54824435245</v>
      </c>
      <c r="E1080" s="3402">
        <f>'Part VII-Pro Forma'!E124</f>
        <v>814989.12737876689</v>
      </c>
      <c r="F1080" s="3402">
        <f>'Part VII-Pro Forma'!F124</f>
        <v>696306.49888555566</v>
      </c>
      <c r="G1080" s="3402"/>
      <c r="H1080" s="3402"/>
      <c r="I1080" s="3402"/>
      <c r="J1080" s="3402"/>
      <c r="K1080" s="3402"/>
    </row>
    <row r="1081" spans="1:11">
      <c r="A1081" s="523" t="s">
        <v>1240</v>
      </c>
      <c r="B1081" s="3402" t="str">
        <f>'Part VII-Pro Forma'!B125</f>
        <v/>
      </c>
      <c r="C1081" s="3402" t="str">
        <f>'Part VII-Pro Forma'!C125</f>
        <v/>
      </c>
      <c r="D1081" s="3402" t="str">
        <f>'Part VII-Pro Forma'!D125</f>
        <v/>
      </c>
      <c r="E1081" s="3402" t="str">
        <f>'Part VII-Pro Forma'!E125</f>
        <v/>
      </c>
      <c r="F1081" s="3402" t="str">
        <f>'Part VII-Pro Forma'!F125</f>
        <v/>
      </c>
      <c r="G1081" s="3402"/>
      <c r="H1081" s="3402"/>
      <c r="I1081" s="3402"/>
      <c r="J1081" s="3402"/>
      <c r="K1081" s="3402"/>
    </row>
    <row r="1082" spans="1:11">
      <c r="A1082" s="523" t="s">
        <v>1241</v>
      </c>
      <c r="B1082" s="3402" t="str">
        <f>'Part VII-Pro Forma'!B126</f>
        <v/>
      </c>
      <c r="C1082" s="3402" t="str">
        <f>'Part VII-Pro Forma'!C126</f>
        <v/>
      </c>
      <c r="D1082" s="3402" t="str">
        <f>'Part VII-Pro Forma'!D126</f>
        <v/>
      </c>
      <c r="E1082" s="3402" t="str">
        <f>'Part VII-Pro Forma'!E126</f>
        <v/>
      </c>
      <c r="F1082" s="3402" t="str">
        <f>'Part VII-Pro Forma'!F126</f>
        <v/>
      </c>
      <c r="G1082" s="3402"/>
      <c r="H1082" s="3402"/>
      <c r="I1082" s="3402"/>
      <c r="J1082" s="3402"/>
      <c r="K1082" s="3402"/>
    </row>
    <row r="1083" spans="1:11">
      <c r="A1083" s="523" t="s">
        <v>1242</v>
      </c>
      <c r="B1083" s="3402" t="str">
        <f>'Part VII-Pro Forma'!B127</f>
        <v/>
      </c>
      <c r="C1083" s="3402" t="str">
        <f>'Part VII-Pro Forma'!C127</f>
        <v/>
      </c>
      <c r="D1083" s="3402" t="str">
        <f>'Part VII-Pro Forma'!D127</f>
        <v/>
      </c>
      <c r="E1083" s="3402" t="str">
        <f>'Part VII-Pro Forma'!E127</f>
        <v/>
      </c>
      <c r="F1083" s="3402" t="str">
        <f>'Part VII-Pro Forma'!F127</f>
        <v/>
      </c>
      <c r="G1083" s="3402"/>
      <c r="H1083" s="3402"/>
      <c r="I1083" s="3402"/>
      <c r="J1083" s="3402"/>
      <c r="K1083" s="3402"/>
    </row>
    <row r="1085" spans="1:11">
      <c r="A1085" s="3303" t="s">
        <v>1245</v>
      </c>
      <c r="B1085" s="3303"/>
      <c r="G1085" s="3303" t="s">
        <v>1246</v>
      </c>
    </row>
    <row r="1086" spans="1:11">
      <c r="B1086" s="3307"/>
    </row>
    <row r="1087" spans="1:11" ht="12.75" customHeight="1">
      <c r="A1087" s="3179" t="str">
        <f>'Part VII-Pro Forma'!A131</f>
        <v>The annual Asset Management Fee of $20,000 shown above is the total of that paid to Stratford Capital, the federal tax credit investor ($10,000) and TSR SI LLC ($10,000), as stipulated in their respective commitment letters located in Tab 1.</v>
      </c>
      <c r="B1087" s="3179">
        <f>'Part VII-Pro Forma'!B131</f>
        <v>0</v>
      </c>
      <c r="C1087" s="3179">
        <f>'Part VII-Pro Forma'!C131</f>
        <v>0</v>
      </c>
      <c r="D1087" s="3179">
        <f>'Part VII-Pro Forma'!D131</f>
        <v>0</v>
      </c>
      <c r="E1087" s="3179">
        <f>'Part VII-Pro Forma'!E131</f>
        <v>0</v>
      </c>
      <c r="F1087" s="3179">
        <f>'Part VII-Pro Forma'!F131</f>
        <v>0</v>
      </c>
      <c r="G1087" s="3179">
        <f>'Part VII-Pro Forma'!G131</f>
        <v>0</v>
      </c>
      <c r="H1087" s="3179">
        <f>'Part VII-Pro Forma'!H131</f>
        <v>0</v>
      </c>
      <c r="I1087" s="3179">
        <f>'Part VII-Pro Forma'!I131</f>
        <v>0</v>
      </c>
      <c r="J1087" s="3179">
        <f>'Part VII-Pro Forma'!J131</f>
        <v>0</v>
      </c>
      <c r="K1087" s="3179">
        <f>'Part VII-Pro Forma'!K131</f>
        <v>0</v>
      </c>
    </row>
    <row r="1095" spans="1:17">
      <c r="A1095" s="3300" t="str">
        <f>CONCATENATE("PART EIGHT - THRESHOLD CRITERIA","  -  ",'Part I-Project Information'!$O$6," ",'Part I-Project Information'!$F$34,", ",'Part I-Project Information'!F1132,", ",'Part I-Project Information'!J1133," County")</f>
        <v>PART EIGHT - THRESHOLD CRITERIA  -  2018-008 Mill at Stone Valley, ,  County</v>
      </c>
      <c r="B1095" s="3300"/>
      <c r="C1095" s="3300"/>
      <c r="D1095" s="3300"/>
      <c r="E1095" s="3300"/>
      <c r="F1095" s="3300"/>
      <c r="G1095" s="3300"/>
      <c r="H1095" s="3300"/>
      <c r="I1095" s="3300"/>
      <c r="J1095" s="3300"/>
      <c r="K1095" s="3300"/>
      <c r="L1095" s="3300"/>
      <c r="M1095" s="3300"/>
      <c r="N1095" s="3300"/>
      <c r="O1095" s="3300"/>
      <c r="P1095" s="3300"/>
      <c r="Q1095" s="3300"/>
    </row>
    <row r="1097" spans="1:17" ht="20.25" customHeight="1">
      <c r="A1097" s="3406"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3406"/>
      <c r="C1097" s="3406"/>
      <c r="D1097" s="3406"/>
      <c r="E1097" s="3406"/>
      <c r="F1097" s="3406"/>
      <c r="G1097" s="3406"/>
      <c r="H1097" s="3406"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3406"/>
      <c r="J1097" s="3406"/>
      <c r="K1097" s="3406"/>
      <c r="L1097" s="3406"/>
      <c r="M1097" s="3406"/>
      <c r="N1097" s="3406"/>
      <c r="O1097" s="3323" t="s">
        <v>1247</v>
      </c>
      <c r="P1097" s="3323"/>
      <c r="Q1097" s="3324" t="s">
        <v>1248</v>
      </c>
    </row>
    <row r="1098" spans="1:17">
      <c r="A1098" s="3318"/>
      <c r="B1098" s="3407"/>
      <c r="C1098" s="3407"/>
      <c r="D1098" s="3407"/>
      <c r="E1098" s="3318"/>
      <c r="F1098" s="3318"/>
      <c r="G1098" s="3318"/>
      <c r="H1098" s="3318"/>
      <c r="I1098" s="3318"/>
      <c r="J1098" s="3318"/>
      <c r="K1098" s="3318"/>
      <c r="L1098" s="3318"/>
      <c r="M1098" s="3318"/>
      <c r="N1098" s="3318"/>
      <c r="P1098" s="3318"/>
      <c r="Q1098" s="3318"/>
    </row>
    <row r="1099" spans="1:17">
      <c r="A1099" s="3318"/>
      <c r="B1099" s="3318"/>
      <c r="C1099" s="3318"/>
      <c r="D1099" s="3318"/>
      <c r="E1099" s="3318"/>
      <c r="F1099" s="3318"/>
      <c r="G1099" s="3318"/>
      <c r="H1099" s="3318"/>
      <c r="I1099" s="3318"/>
      <c r="J1099" s="3318"/>
      <c r="K1099" s="3318"/>
      <c r="L1099" s="3318"/>
      <c r="M1099" s="3318"/>
      <c r="N1099" s="3318"/>
      <c r="P1099" s="3318"/>
      <c r="Q1099" s="3318"/>
    </row>
    <row r="1100" spans="1:17" ht="18" customHeight="1">
      <c r="A1100" s="3408" t="s">
        <v>1249</v>
      </c>
      <c r="J1100" s="3409" t="s">
        <v>4789</v>
      </c>
      <c r="K1100" s="3409"/>
      <c r="L1100" s="3409"/>
      <c r="M1100" s="3409"/>
      <c r="N1100" s="3409"/>
      <c r="O1100" s="3409"/>
      <c r="P1100" s="3410">
        <f>'Part VIII-Threshold Criteria'!P6</f>
        <v>0</v>
      </c>
      <c r="Q1100" s="3410">
        <f>'Part VIII-Threshold Criteria'!Q6</f>
        <v>0</v>
      </c>
    </row>
    <row r="1101" spans="1:17">
      <c r="A1101" s="3411" t="s">
        <v>1251</v>
      </c>
      <c r="H1101" s="3111"/>
      <c r="I1101" s="3111"/>
      <c r="J1101" s="3111"/>
      <c r="K1101" s="3111"/>
      <c r="L1101" s="3111"/>
      <c r="M1101" s="3318"/>
      <c r="N1101" s="3318"/>
    </row>
    <row r="1102" spans="1:17">
      <c r="A1102" s="3189" t="str">
        <f>'Part VIII-Threshold Criteria'!A8</f>
        <v xml:space="preserve">1.) </v>
      </c>
      <c r="B1102" s="3189">
        <f>'Part VIII-Threshold Criteria'!B8</f>
        <v>0</v>
      </c>
      <c r="C1102" s="3189">
        <f>'Part VIII-Threshold Criteria'!C8</f>
        <v>0</v>
      </c>
      <c r="D1102" s="3189">
        <f>'Part VIII-Threshold Criteria'!D8</f>
        <v>0</v>
      </c>
      <c r="E1102" s="3189">
        <f>'Part VIII-Threshold Criteria'!E8</f>
        <v>0</v>
      </c>
      <c r="F1102" s="3189">
        <f>'Part VIII-Threshold Criteria'!F8</f>
        <v>0</v>
      </c>
      <c r="G1102" s="3189">
        <f>'Part VIII-Threshold Criteria'!G8</f>
        <v>0</v>
      </c>
      <c r="H1102" s="3189">
        <f>'Part VIII-Threshold Criteria'!H8</f>
        <v>0</v>
      </c>
      <c r="I1102" s="3189">
        <f>'Part VIII-Threshold Criteria'!I8</f>
        <v>0</v>
      </c>
      <c r="J1102" s="3189">
        <f>'Part VIII-Threshold Criteria'!J8</f>
        <v>0</v>
      </c>
      <c r="K1102" s="3189">
        <f>'Part VIII-Threshold Criteria'!K8</f>
        <v>0</v>
      </c>
      <c r="L1102" s="3189">
        <f>'Part VIII-Threshold Criteria'!L8</f>
        <v>0</v>
      </c>
      <c r="M1102" s="3189">
        <f>'Part VIII-Threshold Criteria'!M8</f>
        <v>0</v>
      </c>
      <c r="N1102" s="3189">
        <f>'Part VIII-Threshold Criteria'!N8</f>
        <v>0</v>
      </c>
      <c r="O1102" s="3189">
        <f>'Part VIII-Threshold Criteria'!O8</f>
        <v>0</v>
      </c>
      <c r="P1102" s="3189">
        <f>'Part VIII-Threshold Criteria'!P8</f>
        <v>0</v>
      </c>
      <c r="Q1102" s="3189">
        <f>'Part VIII-Threshold Criteria'!Q8</f>
        <v>0</v>
      </c>
    </row>
    <row r="1103" spans="1:17">
      <c r="A1103" s="3189" t="str">
        <f>'Part VIII-Threshold Criteria'!A9</f>
        <v>2.)</v>
      </c>
      <c r="B1103" s="3189">
        <f>'Part VIII-Threshold Criteria'!B9</f>
        <v>0</v>
      </c>
      <c r="C1103" s="3189">
        <f>'Part VIII-Threshold Criteria'!C9</f>
        <v>0</v>
      </c>
      <c r="D1103" s="3189">
        <f>'Part VIII-Threshold Criteria'!D9</f>
        <v>0</v>
      </c>
      <c r="E1103" s="3189">
        <f>'Part VIII-Threshold Criteria'!E9</f>
        <v>0</v>
      </c>
      <c r="F1103" s="3189">
        <f>'Part VIII-Threshold Criteria'!F9</f>
        <v>0</v>
      </c>
      <c r="G1103" s="3189">
        <f>'Part VIII-Threshold Criteria'!G9</f>
        <v>0</v>
      </c>
      <c r="H1103" s="3189">
        <f>'Part VIII-Threshold Criteria'!H9</f>
        <v>0</v>
      </c>
      <c r="I1103" s="3189">
        <f>'Part VIII-Threshold Criteria'!I9</f>
        <v>0</v>
      </c>
      <c r="J1103" s="3189">
        <f>'Part VIII-Threshold Criteria'!J9</f>
        <v>0</v>
      </c>
      <c r="K1103" s="3189">
        <f>'Part VIII-Threshold Criteria'!K9</f>
        <v>0</v>
      </c>
      <c r="L1103" s="3189">
        <f>'Part VIII-Threshold Criteria'!L9</f>
        <v>0</v>
      </c>
      <c r="M1103" s="3189">
        <f>'Part VIII-Threshold Criteria'!M9</f>
        <v>0</v>
      </c>
      <c r="N1103" s="3189">
        <f>'Part VIII-Threshold Criteria'!N9</f>
        <v>0</v>
      </c>
      <c r="O1103" s="3189">
        <f>'Part VIII-Threshold Criteria'!O9</f>
        <v>0</v>
      </c>
      <c r="P1103" s="3189">
        <f>'Part VIII-Threshold Criteria'!P9</f>
        <v>0</v>
      </c>
      <c r="Q1103" s="3189">
        <f>'Part VIII-Threshold Criteria'!Q9</f>
        <v>0</v>
      </c>
    </row>
    <row r="1104" spans="1:17">
      <c r="A1104" s="3189" t="str">
        <f>'Part VIII-Threshold Criteria'!A10</f>
        <v>3.)</v>
      </c>
      <c r="B1104" s="3189">
        <f>'Part VIII-Threshold Criteria'!B10</f>
        <v>0</v>
      </c>
      <c r="C1104" s="3189">
        <f>'Part VIII-Threshold Criteria'!C10</f>
        <v>0</v>
      </c>
      <c r="D1104" s="3189">
        <f>'Part VIII-Threshold Criteria'!D10</f>
        <v>0</v>
      </c>
      <c r="E1104" s="3189">
        <f>'Part VIII-Threshold Criteria'!E10</f>
        <v>0</v>
      </c>
      <c r="F1104" s="3189">
        <f>'Part VIII-Threshold Criteria'!F10</f>
        <v>0</v>
      </c>
      <c r="G1104" s="3189">
        <f>'Part VIII-Threshold Criteria'!G10</f>
        <v>0</v>
      </c>
      <c r="H1104" s="3189">
        <f>'Part VIII-Threshold Criteria'!H10</f>
        <v>0</v>
      </c>
      <c r="I1104" s="3189">
        <f>'Part VIII-Threshold Criteria'!I10</f>
        <v>0</v>
      </c>
      <c r="J1104" s="3189">
        <f>'Part VIII-Threshold Criteria'!J10</f>
        <v>0</v>
      </c>
      <c r="K1104" s="3189">
        <f>'Part VIII-Threshold Criteria'!K10</f>
        <v>0</v>
      </c>
      <c r="L1104" s="3189">
        <f>'Part VIII-Threshold Criteria'!L10</f>
        <v>0</v>
      </c>
      <c r="M1104" s="3189">
        <f>'Part VIII-Threshold Criteria'!M10</f>
        <v>0</v>
      </c>
      <c r="N1104" s="3189">
        <f>'Part VIII-Threshold Criteria'!N10</f>
        <v>0</v>
      </c>
      <c r="O1104" s="3189">
        <f>'Part VIII-Threshold Criteria'!O10</f>
        <v>0</v>
      </c>
      <c r="P1104" s="3189">
        <f>'Part VIII-Threshold Criteria'!P10</f>
        <v>0</v>
      </c>
      <c r="Q1104" s="3189">
        <f>'Part VIII-Threshold Criteria'!Q10</f>
        <v>0</v>
      </c>
    </row>
    <row r="1105" spans="1:17">
      <c r="A1105" s="3189" t="str">
        <f>'Part VIII-Threshold Criteria'!A11</f>
        <v>4.)</v>
      </c>
      <c r="B1105" s="3189">
        <f>'Part VIII-Threshold Criteria'!B11</f>
        <v>0</v>
      </c>
      <c r="C1105" s="3189">
        <f>'Part VIII-Threshold Criteria'!C11</f>
        <v>0</v>
      </c>
      <c r="D1105" s="3189">
        <f>'Part VIII-Threshold Criteria'!D11</f>
        <v>0</v>
      </c>
      <c r="E1105" s="3189">
        <f>'Part VIII-Threshold Criteria'!E11</f>
        <v>0</v>
      </c>
      <c r="F1105" s="3189">
        <f>'Part VIII-Threshold Criteria'!F11</f>
        <v>0</v>
      </c>
      <c r="G1105" s="3189">
        <f>'Part VIII-Threshold Criteria'!G11</f>
        <v>0</v>
      </c>
      <c r="H1105" s="3189">
        <f>'Part VIII-Threshold Criteria'!H11</f>
        <v>0</v>
      </c>
      <c r="I1105" s="3189">
        <f>'Part VIII-Threshold Criteria'!I11</f>
        <v>0</v>
      </c>
      <c r="J1105" s="3189">
        <f>'Part VIII-Threshold Criteria'!J11</f>
        <v>0</v>
      </c>
      <c r="K1105" s="3189">
        <f>'Part VIII-Threshold Criteria'!K11</f>
        <v>0</v>
      </c>
      <c r="L1105" s="3189">
        <f>'Part VIII-Threshold Criteria'!L11</f>
        <v>0</v>
      </c>
      <c r="M1105" s="3189">
        <f>'Part VIII-Threshold Criteria'!M11</f>
        <v>0</v>
      </c>
      <c r="N1105" s="3189">
        <f>'Part VIII-Threshold Criteria'!N11</f>
        <v>0</v>
      </c>
      <c r="O1105" s="3189">
        <f>'Part VIII-Threshold Criteria'!O11</f>
        <v>0</v>
      </c>
      <c r="P1105" s="3189">
        <f>'Part VIII-Threshold Criteria'!P11</f>
        <v>0</v>
      </c>
      <c r="Q1105" s="3189">
        <f>'Part VIII-Threshold Criteria'!Q11</f>
        <v>0</v>
      </c>
    </row>
    <row r="1106" spans="1:17">
      <c r="A1106" s="3189" t="str">
        <f>'Part VIII-Threshold Criteria'!A12</f>
        <v>5.)</v>
      </c>
      <c r="B1106" s="3189">
        <f>'Part VIII-Threshold Criteria'!B12</f>
        <v>0</v>
      </c>
      <c r="C1106" s="3189">
        <f>'Part VIII-Threshold Criteria'!C12</f>
        <v>0</v>
      </c>
      <c r="D1106" s="3189">
        <f>'Part VIII-Threshold Criteria'!D12</f>
        <v>0</v>
      </c>
      <c r="E1106" s="3189">
        <f>'Part VIII-Threshold Criteria'!E12</f>
        <v>0</v>
      </c>
      <c r="F1106" s="3189">
        <f>'Part VIII-Threshold Criteria'!F12</f>
        <v>0</v>
      </c>
      <c r="G1106" s="3189">
        <f>'Part VIII-Threshold Criteria'!G12</f>
        <v>0</v>
      </c>
      <c r="H1106" s="3189">
        <f>'Part VIII-Threshold Criteria'!H12</f>
        <v>0</v>
      </c>
      <c r="I1106" s="3189">
        <f>'Part VIII-Threshold Criteria'!I12</f>
        <v>0</v>
      </c>
      <c r="J1106" s="3189">
        <f>'Part VIII-Threshold Criteria'!J12</f>
        <v>0</v>
      </c>
      <c r="K1106" s="3189">
        <f>'Part VIII-Threshold Criteria'!K12</f>
        <v>0</v>
      </c>
      <c r="L1106" s="3189">
        <f>'Part VIII-Threshold Criteria'!L12</f>
        <v>0</v>
      </c>
      <c r="M1106" s="3189">
        <f>'Part VIII-Threshold Criteria'!M12</f>
        <v>0</v>
      </c>
      <c r="N1106" s="3189">
        <f>'Part VIII-Threshold Criteria'!N12</f>
        <v>0</v>
      </c>
      <c r="O1106" s="3189">
        <f>'Part VIII-Threshold Criteria'!O12</f>
        <v>0</v>
      </c>
      <c r="P1106" s="3189">
        <f>'Part VIII-Threshold Criteria'!P12</f>
        <v>0</v>
      </c>
      <c r="Q1106" s="3189">
        <f>'Part VIII-Threshold Criteria'!Q12</f>
        <v>0</v>
      </c>
    </row>
    <row r="1107" spans="1:17">
      <c r="A1107" s="3189" t="str">
        <f>'Part VIII-Threshold Criteria'!A13</f>
        <v>6.)</v>
      </c>
      <c r="B1107" s="3189">
        <f>'Part VIII-Threshold Criteria'!B13</f>
        <v>0</v>
      </c>
      <c r="C1107" s="3189">
        <f>'Part VIII-Threshold Criteria'!C13</f>
        <v>0</v>
      </c>
      <c r="D1107" s="3189">
        <f>'Part VIII-Threshold Criteria'!D13</f>
        <v>0</v>
      </c>
      <c r="E1107" s="3189">
        <f>'Part VIII-Threshold Criteria'!E13</f>
        <v>0</v>
      </c>
      <c r="F1107" s="3189">
        <f>'Part VIII-Threshold Criteria'!F13</f>
        <v>0</v>
      </c>
      <c r="G1107" s="3189">
        <f>'Part VIII-Threshold Criteria'!G13</f>
        <v>0</v>
      </c>
      <c r="H1107" s="3189">
        <f>'Part VIII-Threshold Criteria'!H13</f>
        <v>0</v>
      </c>
      <c r="I1107" s="3189">
        <f>'Part VIII-Threshold Criteria'!I13</f>
        <v>0</v>
      </c>
      <c r="J1107" s="3189">
        <f>'Part VIII-Threshold Criteria'!J13</f>
        <v>0</v>
      </c>
      <c r="K1107" s="3189">
        <f>'Part VIII-Threshold Criteria'!K13</f>
        <v>0</v>
      </c>
      <c r="L1107" s="3189">
        <f>'Part VIII-Threshold Criteria'!L13</f>
        <v>0</v>
      </c>
      <c r="M1107" s="3189">
        <f>'Part VIII-Threshold Criteria'!M13</f>
        <v>0</v>
      </c>
      <c r="N1107" s="3189">
        <f>'Part VIII-Threshold Criteria'!N13</f>
        <v>0</v>
      </c>
      <c r="O1107" s="3189">
        <f>'Part VIII-Threshold Criteria'!O13</f>
        <v>0</v>
      </c>
      <c r="P1107" s="3189">
        <f>'Part VIII-Threshold Criteria'!P13</f>
        <v>0</v>
      </c>
      <c r="Q1107" s="3189">
        <f>'Part VIII-Threshold Criteria'!Q13</f>
        <v>0</v>
      </c>
    </row>
    <row r="1108" spans="1:17">
      <c r="A1108" s="3189" t="str">
        <f>'Part VIII-Threshold Criteria'!A14</f>
        <v>7.)</v>
      </c>
      <c r="B1108" s="3189">
        <f>'Part VIII-Threshold Criteria'!B14</f>
        <v>0</v>
      </c>
      <c r="C1108" s="3189">
        <f>'Part VIII-Threshold Criteria'!C14</f>
        <v>0</v>
      </c>
      <c r="D1108" s="3189">
        <f>'Part VIII-Threshold Criteria'!D14</f>
        <v>0</v>
      </c>
      <c r="E1108" s="3189">
        <f>'Part VIII-Threshold Criteria'!E14</f>
        <v>0</v>
      </c>
      <c r="F1108" s="3189">
        <f>'Part VIII-Threshold Criteria'!F14</f>
        <v>0</v>
      </c>
      <c r="G1108" s="3189">
        <f>'Part VIII-Threshold Criteria'!G14</f>
        <v>0</v>
      </c>
      <c r="H1108" s="3189">
        <f>'Part VIII-Threshold Criteria'!H14</f>
        <v>0</v>
      </c>
      <c r="I1108" s="3189">
        <f>'Part VIII-Threshold Criteria'!I14</f>
        <v>0</v>
      </c>
      <c r="J1108" s="3189">
        <f>'Part VIII-Threshold Criteria'!J14</f>
        <v>0</v>
      </c>
      <c r="K1108" s="3189">
        <f>'Part VIII-Threshold Criteria'!K14</f>
        <v>0</v>
      </c>
      <c r="L1108" s="3189">
        <f>'Part VIII-Threshold Criteria'!L14</f>
        <v>0</v>
      </c>
      <c r="M1108" s="3189">
        <f>'Part VIII-Threshold Criteria'!M14</f>
        <v>0</v>
      </c>
      <c r="N1108" s="3189">
        <f>'Part VIII-Threshold Criteria'!N14</f>
        <v>0</v>
      </c>
      <c r="O1108" s="3189">
        <f>'Part VIII-Threshold Criteria'!O14</f>
        <v>0</v>
      </c>
      <c r="P1108" s="3189">
        <f>'Part VIII-Threshold Criteria'!P14</f>
        <v>0</v>
      </c>
      <c r="Q1108" s="3189">
        <f>'Part VIII-Threshold Criteria'!Q14</f>
        <v>0</v>
      </c>
    </row>
    <row r="1109" spans="1:17">
      <c r="A1109" s="3189" t="str">
        <f>'Part VIII-Threshold Criteria'!A15</f>
        <v xml:space="preserve">8.) </v>
      </c>
      <c r="B1109" s="3189">
        <f>'Part VIII-Threshold Criteria'!B15</f>
        <v>0</v>
      </c>
      <c r="C1109" s="3189">
        <f>'Part VIII-Threshold Criteria'!C15</f>
        <v>0</v>
      </c>
      <c r="D1109" s="3189">
        <f>'Part VIII-Threshold Criteria'!D15</f>
        <v>0</v>
      </c>
      <c r="E1109" s="3189">
        <f>'Part VIII-Threshold Criteria'!E15</f>
        <v>0</v>
      </c>
      <c r="F1109" s="3189">
        <f>'Part VIII-Threshold Criteria'!F15</f>
        <v>0</v>
      </c>
      <c r="G1109" s="3189">
        <f>'Part VIII-Threshold Criteria'!G15</f>
        <v>0</v>
      </c>
      <c r="H1109" s="3189">
        <f>'Part VIII-Threshold Criteria'!H15</f>
        <v>0</v>
      </c>
      <c r="I1109" s="3189">
        <f>'Part VIII-Threshold Criteria'!I15</f>
        <v>0</v>
      </c>
      <c r="J1109" s="3189">
        <f>'Part VIII-Threshold Criteria'!J15</f>
        <v>0</v>
      </c>
      <c r="K1109" s="3189">
        <f>'Part VIII-Threshold Criteria'!K15</f>
        <v>0</v>
      </c>
      <c r="L1109" s="3189">
        <f>'Part VIII-Threshold Criteria'!L15</f>
        <v>0</v>
      </c>
      <c r="M1109" s="3189">
        <f>'Part VIII-Threshold Criteria'!M15</f>
        <v>0</v>
      </c>
      <c r="N1109" s="3189">
        <f>'Part VIII-Threshold Criteria'!N15</f>
        <v>0</v>
      </c>
      <c r="O1109" s="3189">
        <f>'Part VIII-Threshold Criteria'!O15</f>
        <v>0</v>
      </c>
      <c r="P1109" s="3189">
        <f>'Part VIII-Threshold Criteria'!P15</f>
        <v>0</v>
      </c>
      <c r="Q1109" s="3189">
        <f>'Part VIII-Threshold Criteria'!Q15</f>
        <v>0</v>
      </c>
    </row>
    <row r="1110" spans="1:17">
      <c r="A1110" s="3189" t="str">
        <f>'Part VIII-Threshold Criteria'!A16</f>
        <v>9.)</v>
      </c>
      <c r="B1110" s="3189">
        <f>'Part VIII-Threshold Criteria'!B16</f>
        <v>0</v>
      </c>
      <c r="C1110" s="3189">
        <f>'Part VIII-Threshold Criteria'!C16</f>
        <v>0</v>
      </c>
      <c r="D1110" s="3189">
        <f>'Part VIII-Threshold Criteria'!D16</f>
        <v>0</v>
      </c>
      <c r="E1110" s="3189">
        <f>'Part VIII-Threshold Criteria'!E16</f>
        <v>0</v>
      </c>
      <c r="F1110" s="3189">
        <f>'Part VIII-Threshold Criteria'!F16</f>
        <v>0</v>
      </c>
      <c r="G1110" s="3189">
        <f>'Part VIII-Threshold Criteria'!G16</f>
        <v>0</v>
      </c>
      <c r="H1110" s="3189">
        <f>'Part VIII-Threshold Criteria'!H16</f>
        <v>0</v>
      </c>
      <c r="I1110" s="3189">
        <f>'Part VIII-Threshold Criteria'!I16</f>
        <v>0</v>
      </c>
      <c r="J1110" s="3189">
        <f>'Part VIII-Threshold Criteria'!J16</f>
        <v>0</v>
      </c>
      <c r="K1110" s="3189">
        <f>'Part VIII-Threshold Criteria'!K16</f>
        <v>0</v>
      </c>
      <c r="L1110" s="3189">
        <f>'Part VIII-Threshold Criteria'!L16</f>
        <v>0</v>
      </c>
      <c r="M1110" s="3189">
        <f>'Part VIII-Threshold Criteria'!M16</f>
        <v>0</v>
      </c>
      <c r="N1110" s="3189">
        <f>'Part VIII-Threshold Criteria'!N16</f>
        <v>0</v>
      </c>
      <c r="O1110" s="3189">
        <f>'Part VIII-Threshold Criteria'!O16</f>
        <v>0</v>
      </c>
      <c r="P1110" s="3189">
        <f>'Part VIII-Threshold Criteria'!P16</f>
        <v>0</v>
      </c>
      <c r="Q1110" s="3189">
        <f>'Part VIII-Threshold Criteria'!Q16</f>
        <v>0</v>
      </c>
    </row>
    <row r="1111" spans="1:17">
      <c r="A1111" s="3189" t="str">
        <f>'Part VIII-Threshold Criteria'!A17</f>
        <v>10.)</v>
      </c>
      <c r="B1111" s="3189">
        <f>'Part VIII-Threshold Criteria'!B17</f>
        <v>0</v>
      </c>
      <c r="C1111" s="3189">
        <f>'Part VIII-Threshold Criteria'!C17</f>
        <v>0</v>
      </c>
      <c r="D1111" s="3189">
        <f>'Part VIII-Threshold Criteria'!D17</f>
        <v>0</v>
      </c>
      <c r="E1111" s="3189">
        <f>'Part VIII-Threshold Criteria'!E17</f>
        <v>0</v>
      </c>
      <c r="F1111" s="3189">
        <f>'Part VIII-Threshold Criteria'!F17</f>
        <v>0</v>
      </c>
      <c r="G1111" s="3189">
        <f>'Part VIII-Threshold Criteria'!G17</f>
        <v>0</v>
      </c>
      <c r="H1111" s="3189">
        <f>'Part VIII-Threshold Criteria'!H17</f>
        <v>0</v>
      </c>
      <c r="I1111" s="3189">
        <f>'Part VIII-Threshold Criteria'!I17</f>
        <v>0</v>
      </c>
      <c r="J1111" s="3189">
        <f>'Part VIII-Threshold Criteria'!J17</f>
        <v>0</v>
      </c>
      <c r="K1111" s="3189">
        <f>'Part VIII-Threshold Criteria'!K17</f>
        <v>0</v>
      </c>
      <c r="L1111" s="3189">
        <f>'Part VIII-Threshold Criteria'!L17</f>
        <v>0</v>
      </c>
      <c r="M1111" s="3189">
        <f>'Part VIII-Threshold Criteria'!M17</f>
        <v>0</v>
      </c>
      <c r="N1111" s="3189">
        <f>'Part VIII-Threshold Criteria'!N17</f>
        <v>0</v>
      </c>
      <c r="O1111" s="3189">
        <f>'Part VIII-Threshold Criteria'!O17</f>
        <v>0</v>
      </c>
      <c r="P1111" s="3189">
        <f>'Part VIII-Threshold Criteria'!P17</f>
        <v>0</v>
      </c>
      <c r="Q1111" s="3189">
        <f>'Part VIII-Threshold Criteria'!Q17</f>
        <v>0</v>
      </c>
    </row>
    <row r="1112" spans="1:17">
      <c r="A1112" s="3189" t="str">
        <f>'Part VIII-Threshold Criteria'!A18</f>
        <v>11.)</v>
      </c>
      <c r="B1112" s="3189">
        <f>'Part VIII-Threshold Criteria'!B18</f>
        <v>0</v>
      </c>
      <c r="C1112" s="3189">
        <f>'Part VIII-Threshold Criteria'!C18</f>
        <v>0</v>
      </c>
      <c r="D1112" s="3189">
        <f>'Part VIII-Threshold Criteria'!D18</f>
        <v>0</v>
      </c>
      <c r="E1112" s="3189">
        <f>'Part VIII-Threshold Criteria'!E18</f>
        <v>0</v>
      </c>
      <c r="F1112" s="3189">
        <f>'Part VIII-Threshold Criteria'!F18</f>
        <v>0</v>
      </c>
      <c r="G1112" s="3189">
        <f>'Part VIII-Threshold Criteria'!G18</f>
        <v>0</v>
      </c>
      <c r="H1112" s="3189">
        <f>'Part VIII-Threshold Criteria'!H18</f>
        <v>0</v>
      </c>
      <c r="I1112" s="3189">
        <f>'Part VIII-Threshold Criteria'!I18</f>
        <v>0</v>
      </c>
      <c r="J1112" s="3189">
        <f>'Part VIII-Threshold Criteria'!J18</f>
        <v>0</v>
      </c>
      <c r="K1112" s="3189">
        <f>'Part VIII-Threshold Criteria'!K18</f>
        <v>0</v>
      </c>
      <c r="L1112" s="3189">
        <f>'Part VIII-Threshold Criteria'!L18</f>
        <v>0</v>
      </c>
      <c r="M1112" s="3189">
        <f>'Part VIII-Threshold Criteria'!M18</f>
        <v>0</v>
      </c>
      <c r="N1112" s="3189">
        <f>'Part VIII-Threshold Criteria'!N18</f>
        <v>0</v>
      </c>
      <c r="O1112" s="3189">
        <f>'Part VIII-Threshold Criteria'!O18</f>
        <v>0</v>
      </c>
      <c r="P1112" s="3189">
        <f>'Part VIII-Threshold Criteria'!P18</f>
        <v>0</v>
      </c>
      <c r="Q1112" s="3189">
        <f>'Part VIII-Threshold Criteria'!Q18</f>
        <v>0</v>
      </c>
    </row>
    <row r="1113" spans="1:17">
      <c r="A1113" s="3189" t="str">
        <f>'Part VIII-Threshold Criteria'!A19</f>
        <v>12.)</v>
      </c>
      <c r="B1113" s="3189">
        <f>'Part VIII-Threshold Criteria'!B19</f>
        <v>0</v>
      </c>
      <c r="C1113" s="3189">
        <f>'Part VIII-Threshold Criteria'!C19</f>
        <v>0</v>
      </c>
      <c r="D1113" s="3189">
        <f>'Part VIII-Threshold Criteria'!D19</f>
        <v>0</v>
      </c>
      <c r="E1113" s="3189">
        <f>'Part VIII-Threshold Criteria'!E19</f>
        <v>0</v>
      </c>
      <c r="F1113" s="3189">
        <f>'Part VIII-Threshold Criteria'!F19</f>
        <v>0</v>
      </c>
      <c r="G1113" s="3189">
        <f>'Part VIII-Threshold Criteria'!G19</f>
        <v>0</v>
      </c>
      <c r="H1113" s="3189">
        <f>'Part VIII-Threshold Criteria'!H19</f>
        <v>0</v>
      </c>
      <c r="I1113" s="3189">
        <f>'Part VIII-Threshold Criteria'!I19</f>
        <v>0</v>
      </c>
      <c r="J1113" s="3189">
        <f>'Part VIII-Threshold Criteria'!J19</f>
        <v>0</v>
      </c>
      <c r="K1113" s="3189">
        <f>'Part VIII-Threshold Criteria'!K19</f>
        <v>0</v>
      </c>
      <c r="L1113" s="3189">
        <f>'Part VIII-Threshold Criteria'!L19</f>
        <v>0</v>
      </c>
      <c r="M1113" s="3189">
        <f>'Part VIII-Threshold Criteria'!M19</f>
        <v>0</v>
      </c>
      <c r="N1113" s="3189">
        <f>'Part VIII-Threshold Criteria'!N19</f>
        <v>0</v>
      </c>
      <c r="O1113" s="3189">
        <f>'Part VIII-Threshold Criteria'!O19</f>
        <v>0</v>
      </c>
      <c r="P1113" s="3189">
        <f>'Part VIII-Threshold Criteria'!P19</f>
        <v>0</v>
      </c>
      <c r="Q1113" s="3189">
        <f>'Part VIII-Threshold Criteria'!Q19</f>
        <v>0</v>
      </c>
    </row>
    <row r="1114" spans="1:17">
      <c r="A1114" s="3189" t="str">
        <f>'Part VIII-Threshold Criteria'!A20</f>
        <v>13.)</v>
      </c>
      <c r="B1114" s="3189">
        <f>'Part VIII-Threshold Criteria'!B20</f>
        <v>0</v>
      </c>
      <c r="C1114" s="3189">
        <f>'Part VIII-Threshold Criteria'!C20</f>
        <v>0</v>
      </c>
      <c r="D1114" s="3189">
        <f>'Part VIII-Threshold Criteria'!D20</f>
        <v>0</v>
      </c>
      <c r="E1114" s="3189">
        <f>'Part VIII-Threshold Criteria'!E20</f>
        <v>0</v>
      </c>
      <c r="F1114" s="3189">
        <f>'Part VIII-Threshold Criteria'!F20</f>
        <v>0</v>
      </c>
      <c r="G1114" s="3189">
        <f>'Part VIII-Threshold Criteria'!G20</f>
        <v>0</v>
      </c>
      <c r="H1114" s="3189">
        <f>'Part VIII-Threshold Criteria'!H20</f>
        <v>0</v>
      </c>
      <c r="I1114" s="3189">
        <f>'Part VIII-Threshold Criteria'!I20</f>
        <v>0</v>
      </c>
      <c r="J1114" s="3189">
        <f>'Part VIII-Threshold Criteria'!J20</f>
        <v>0</v>
      </c>
      <c r="K1114" s="3189">
        <f>'Part VIII-Threshold Criteria'!K20</f>
        <v>0</v>
      </c>
      <c r="L1114" s="3189">
        <f>'Part VIII-Threshold Criteria'!L20</f>
        <v>0</v>
      </c>
      <c r="M1114" s="3189">
        <f>'Part VIII-Threshold Criteria'!M20</f>
        <v>0</v>
      </c>
      <c r="N1114" s="3189">
        <f>'Part VIII-Threshold Criteria'!N20</f>
        <v>0</v>
      </c>
      <c r="O1114" s="3189">
        <f>'Part VIII-Threshold Criteria'!O20</f>
        <v>0</v>
      </c>
      <c r="P1114" s="3189">
        <f>'Part VIII-Threshold Criteria'!P20</f>
        <v>0</v>
      </c>
      <c r="Q1114" s="3189">
        <f>'Part VIII-Threshold Criteria'!Q20</f>
        <v>0</v>
      </c>
    </row>
    <row r="1115" spans="1:17">
      <c r="A1115" s="3189" t="str">
        <f>'Part VIII-Threshold Criteria'!A21</f>
        <v>14.)</v>
      </c>
      <c r="B1115" s="3189">
        <f>'Part VIII-Threshold Criteria'!B21</f>
        <v>0</v>
      </c>
      <c r="C1115" s="3189">
        <f>'Part VIII-Threshold Criteria'!C21</f>
        <v>0</v>
      </c>
      <c r="D1115" s="3189">
        <f>'Part VIII-Threshold Criteria'!D21</f>
        <v>0</v>
      </c>
      <c r="E1115" s="3189">
        <f>'Part VIII-Threshold Criteria'!E21</f>
        <v>0</v>
      </c>
      <c r="F1115" s="3189">
        <f>'Part VIII-Threshold Criteria'!F21</f>
        <v>0</v>
      </c>
      <c r="G1115" s="3189">
        <f>'Part VIII-Threshold Criteria'!G21</f>
        <v>0</v>
      </c>
      <c r="H1115" s="3189">
        <f>'Part VIII-Threshold Criteria'!H21</f>
        <v>0</v>
      </c>
      <c r="I1115" s="3189">
        <f>'Part VIII-Threshold Criteria'!I21</f>
        <v>0</v>
      </c>
      <c r="J1115" s="3189">
        <f>'Part VIII-Threshold Criteria'!J21</f>
        <v>0</v>
      </c>
      <c r="K1115" s="3189">
        <f>'Part VIII-Threshold Criteria'!K21</f>
        <v>0</v>
      </c>
      <c r="L1115" s="3189">
        <f>'Part VIII-Threshold Criteria'!L21</f>
        <v>0</v>
      </c>
      <c r="M1115" s="3189">
        <f>'Part VIII-Threshold Criteria'!M21</f>
        <v>0</v>
      </c>
      <c r="N1115" s="3189">
        <f>'Part VIII-Threshold Criteria'!N21</f>
        <v>0</v>
      </c>
      <c r="O1115" s="3189">
        <f>'Part VIII-Threshold Criteria'!O21</f>
        <v>0</v>
      </c>
      <c r="P1115" s="3189">
        <f>'Part VIII-Threshold Criteria'!P21</f>
        <v>0</v>
      </c>
      <c r="Q1115" s="3189">
        <f>'Part VIII-Threshold Criteria'!Q21</f>
        <v>0</v>
      </c>
    </row>
    <row r="1116" spans="1:17">
      <c r="A1116" s="3189" t="str">
        <f>'Part VIII-Threshold Criteria'!A22</f>
        <v xml:space="preserve">15.) </v>
      </c>
      <c r="B1116" s="3189">
        <f>'Part VIII-Threshold Criteria'!B22</f>
        <v>0</v>
      </c>
      <c r="C1116" s="3189">
        <f>'Part VIII-Threshold Criteria'!C22</f>
        <v>0</v>
      </c>
      <c r="D1116" s="3189">
        <f>'Part VIII-Threshold Criteria'!D22</f>
        <v>0</v>
      </c>
      <c r="E1116" s="3189">
        <f>'Part VIII-Threshold Criteria'!E22</f>
        <v>0</v>
      </c>
      <c r="F1116" s="3189">
        <f>'Part VIII-Threshold Criteria'!F22</f>
        <v>0</v>
      </c>
      <c r="G1116" s="3189">
        <f>'Part VIII-Threshold Criteria'!G22</f>
        <v>0</v>
      </c>
      <c r="H1116" s="3189">
        <f>'Part VIII-Threshold Criteria'!H22</f>
        <v>0</v>
      </c>
      <c r="I1116" s="3189">
        <f>'Part VIII-Threshold Criteria'!I22</f>
        <v>0</v>
      </c>
      <c r="J1116" s="3189">
        <f>'Part VIII-Threshold Criteria'!J22</f>
        <v>0</v>
      </c>
      <c r="K1116" s="3189">
        <f>'Part VIII-Threshold Criteria'!K22</f>
        <v>0</v>
      </c>
      <c r="L1116" s="3189">
        <f>'Part VIII-Threshold Criteria'!L22</f>
        <v>0</v>
      </c>
      <c r="M1116" s="3189">
        <f>'Part VIII-Threshold Criteria'!M22</f>
        <v>0</v>
      </c>
      <c r="N1116" s="3189">
        <f>'Part VIII-Threshold Criteria'!N22</f>
        <v>0</v>
      </c>
      <c r="O1116" s="3189">
        <f>'Part VIII-Threshold Criteria'!O22</f>
        <v>0</v>
      </c>
      <c r="P1116" s="3189">
        <f>'Part VIII-Threshold Criteria'!P22</f>
        <v>0</v>
      </c>
      <c r="Q1116" s="3189">
        <f>'Part VIII-Threshold Criteria'!Q22</f>
        <v>0</v>
      </c>
    </row>
    <row r="1117" spans="1:17">
      <c r="A1117" s="3189" t="str">
        <f>'Part VIII-Threshold Criteria'!A23</f>
        <v>16.)</v>
      </c>
      <c r="B1117" s="3189">
        <f>'Part VIII-Threshold Criteria'!B23</f>
        <v>0</v>
      </c>
      <c r="C1117" s="3189">
        <f>'Part VIII-Threshold Criteria'!C23</f>
        <v>0</v>
      </c>
      <c r="D1117" s="3189">
        <f>'Part VIII-Threshold Criteria'!D23</f>
        <v>0</v>
      </c>
      <c r="E1117" s="3189">
        <f>'Part VIII-Threshold Criteria'!E23</f>
        <v>0</v>
      </c>
      <c r="F1117" s="3189">
        <f>'Part VIII-Threshold Criteria'!F23</f>
        <v>0</v>
      </c>
      <c r="G1117" s="3189">
        <f>'Part VIII-Threshold Criteria'!G23</f>
        <v>0</v>
      </c>
      <c r="H1117" s="3189">
        <f>'Part VIII-Threshold Criteria'!H23</f>
        <v>0</v>
      </c>
      <c r="I1117" s="3189">
        <f>'Part VIII-Threshold Criteria'!I23</f>
        <v>0</v>
      </c>
      <c r="J1117" s="3189">
        <f>'Part VIII-Threshold Criteria'!J23</f>
        <v>0</v>
      </c>
      <c r="K1117" s="3189">
        <f>'Part VIII-Threshold Criteria'!K23</f>
        <v>0</v>
      </c>
      <c r="L1117" s="3189">
        <f>'Part VIII-Threshold Criteria'!L23</f>
        <v>0</v>
      </c>
      <c r="M1117" s="3189">
        <f>'Part VIII-Threshold Criteria'!M23</f>
        <v>0</v>
      </c>
      <c r="N1117" s="3189">
        <f>'Part VIII-Threshold Criteria'!N23</f>
        <v>0</v>
      </c>
      <c r="O1117" s="3189">
        <f>'Part VIII-Threshold Criteria'!O23</f>
        <v>0</v>
      </c>
      <c r="P1117" s="3189">
        <f>'Part VIII-Threshold Criteria'!P23</f>
        <v>0</v>
      </c>
      <c r="Q1117" s="3189">
        <f>'Part VIII-Threshold Criteria'!Q23</f>
        <v>0</v>
      </c>
    </row>
    <row r="1118" spans="1:17">
      <c r="A1118" s="3189" t="str">
        <f>'Part VIII-Threshold Criteria'!A24</f>
        <v>17.)</v>
      </c>
      <c r="B1118" s="3189">
        <f>'Part VIII-Threshold Criteria'!B24</f>
        <v>0</v>
      </c>
      <c r="C1118" s="3189">
        <f>'Part VIII-Threshold Criteria'!C24</f>
        <v>0</v>
      </c>
      <c r="D1118" s="3189">
        <f>'Part VIII-Threshold Criteria'!D24</f>
        <v>0</v>
      </c>
      <c r="E1118" s="3189">
        <f>'Part VIII-Threshold Criteria'!E24</f>
        <v>0</v>
      </c>
      <c r="F1118" s="3189">
        <f>'Part VIII-Threshold Criteria'!F24</f>
        <v>0</v>
      </c>
      <c r="G1118" s="3189">
        <f>'Part VIII-Threshold Criteria'!G24</f>
        <v>0</v>
      </c>
      <c r="H1118" s="3189">
        <f>'Part VIII-Threshold Criteria'!H24</f>
        <v>0</v>
      </c>
      <c r="I1118" s="3189">
        <f>'Part VIII-Threshold Criteria'!I24</f>
        <v>0</v>
      </c>
      <c r="J1118" s="3189">
        <f>'Part VIII-Threshold Criteria'!J24</f>
        <v>0</v>
      </c>
      <c r="K1118" s="3189">
        <f>'Part VIII-Threshold Criteria'!K24</f>
        <v>0</v>
      </c>
      <c r="L1118" s="3189">
        <f>'Part VIII-Threshold Criteria'!L24</f>
        <v>0</v>
      </c>
      <c r="M1118" s="3189">
        <f>'Part VIII-Threshold Criteria'!M24</f>
        <v>0</v>
      </c>
      <c r="N1118" s="3189">
        <f>'Part VIII-Threshold Criteria'!N24</f>
        <v>0</v>
      </c>
      <c r="O1118" s="3189">
        <f>'Part VIII-Threshold Criteria'!O24</f>
        <v>0</v>
      </c>
      <c r="P1118" s="3189">
        <f>'Part VIII-Threshold Criteria'!P24</f>
        <v>0</v>
      </c>
      <c r="Q1118" s="3189">
        <f>'Part VIII-Threshold Criteria'!Q24</f>
        <v>0</v>
      </c>
    </row>
    <row r="1119" spans="1:17">
      <c r="A1119" s="3189" t="str">
        <f>'Part VIII-Threshold Criteria'!A25</f>
        <v>18.)</v>
      </c>
      <c r="B1119" s="3189">
        <f>'Part VIII-Threshold Criteria'!B25</f>
        <v>0</v>
      </c>
      <c r="C1119" s="3189">
        <f>'Part VIII-Threshold Criteria'!C25</f>
        <v>0</v>
      </c>
      <c r="D1119" s="3189">
        <f>'Part VIII-Threshold Criteria'!D25</f>
        <v>0</v>
      </c>
      <c r="E1119" s="3189">
        <f>'Part VIII-Threshold Criteria'!E25</f>
        <v>0</v>
      </c>
      <c r="F1119" s="3189">
        <f>'Part VIII-Threshold Criteria'!F25</f>
        <v>0</v>
      </c>
      <c r="G1119" s="3189">
        <f>'Part VIII-Threshold Criteria'!G25</f>
        <v>0</v>
      </c>
      <c r="H1119" s="3189">
        <f>'Part VIII-Threshold Criteria'!H25</f>
        <v>0</v>
      </c>
      <c r="I1119" s="3189">
        <f>'Part VIII-Threshold Criteria'!I25</f>
        <v>0</v>
      </c>
      <c r="J1119" s="3189">
        <f>'Part VIII-Threshold Criteria'!J25</f>
        <v>0</v>
      </c>
      <c r="K1119" s="3189">
        <f>'Part VIII-Threshold Criteria'!K25</f>
        <v>0</v>
      </c>
      <c r="L1119" s="3189">
        <f>'Part VIII-Threshold Criteria'!L25</f>
        <v>0</v>
      </c>
      <c r="M1119" s="3189">
        <f>'Part VIII-Threshold Criteria'!M25</f>
        <v>0</v>
      </c>
      <c r="N1119" s="3189">
        <f>'Part VIII-Threshold Criteria'!N25</f>
        <v>0</v>
      </c>
      <c r="O1119" s="3189">
        <f>'Part VIII-Threshold Criteria'!O25</f>
        <v>0</v>
      </c>
      <c r="P1119" s="3189">
        <f>'Part VIII-Threshold Criteria'!P25</f>
        <v>0</v>
      </c>
      <c r="Q1119" s="3189">
        <f>'Part VIII-Threshold Criteria'!Q25</f>
        <v>0</v>
      </c>
    </row>
    <row r="1120" spans="1:17">
      <c r="A1120" s="3189" t="str">
        <f>'Part VIII-Threshold Criteria'!A26</f>
        <v>19.)</v>
      </c>
      <c r="B1120" s="3189">
        <f>'Part VIII-Threshold Criteria'!B26</f>
        <v>0</v>
      </c>
      <c r="C1120" s="3189">
        <f>'Part VIII-Threshold Criteria'!C26</f>
        <v>0</v>
      </c>
      <c r="D1120" s="3189">
        <f>'Part VIII-Threshold Criteria'!D26</f>
        <v>0</v>
      </c>
      <c r="E1120" s="3189">
        <f>'Part VIII-Threshold Criteria'!E26</f>
        <v>0</v>
      </c>
      <c r="F1120" s="3189">
        <f>'Part VIII-Threshold Criteria'!F26</f>
        <v>0</v>
      </c>
      <c r="G1120" s="3189">
        <f>'Part VIII-Threshold Criteria'!G26</f>
        <v>0</v>
      </c>
      <c r="H1120" s="3189">
        <f>'Part VIII-Threshold Criteria'!H26</f>
        <v>0</v>
      </c>
      <c r="I1120" s="3189">
        <f>'Part VIII-Threshold Criteria'!I26</f>
        <v>0</v>
      </c>
      <c r="J1120" s="3189">
        <f>'Part VIII-Threshold Criteria'!J26</f>
        <v>0</v>
      </c>
      <c r="K1120" s="3189">
        <f>'Part VIII-Threshold Criteria'!K26</f>
        <v>0</v>
      </c>
      <c r="L1120" s="3189">
        <f>'Part VIII-Threshold Criteria'!L26</f>
        <v>0</v>
      </c>
      <c r="M1120" s="3189">
        <f>'Part VIII-Threshold Criteria'!M26</f>
        <v>0</v>
      </c>
      <c r="N1120" s="3189">
        <f>'Part VIII-Threshold Criteria'!N26</f>
        <v>0</v>
      </c>
      <c r="O1120" s="3189">
        <f>'Part VIII-Threshold Criteria'!O26</f>
        <v>0</v>
      </c>
      <c r="P1120" s="3189">
        <f>'Part VIII-Threshold Criteria'!P26</f>
        <v>0</v>
      </c>
      <c r="Q1120" s="3189">
        <f>'Part VIII-Threshold Criteria'!Q26</f>
        <v>0</v>
      </c>
    </row>
    <row r="1121" spans="1:17">
      <c r="A1121" s="3189" t="str">
        <f>'Part VIII-Threshold Criteria'!A27</f>
        <v>20.)</v>
      </c>
      <c r="B1121" s="3189">
        <f>'Part VIII-Threshold Criteria'!B27</f>
        <v>0</v>
      </c>
      <c r="C1121" s="3189">
        <f>'Part VIII-Threshold Criteria'!C27</f>
        <v>0</v>
      </c>
      <c r="D1121" s="3189">
        <f>'Part VIII-Threshold Criteria'!D27</f>
        <v>0</v>
      </c>
      <c r="E1121" s="3189">
        <f>'Part VIII-Threshold Criteria'!E27</f>
        <v>0</v>
      </c>
      <c r="F1121" s="3189">
        <f>'Part VIII-Threshold Criteria'!F27</f>
        <v>0</v>
      </c>
      <c r="G1121" s="3189">
        <f>'Part VIII-Threshold Criteria'!G27</f>
        <v>0</v>
      </c>
      <c r="H1121" s="3189">
        <f>'Part VIII-Threshold Criteria'!H27</f>
        <v>0</v>
      </c>
      <c r="I1121" s="3189">
        <f>'Part VIII-Threshold Criteria'!I27</f>
        <v>0</v>
      </c>
      <c r="J1121" s="3189">
        <f>'Part VIII-Threshold Criteria'!J27</f>
        <v>0</v>
      </c>
      <c r="K1121" s="3189">
        <f>'Part VIII-Threshold Criteria'!K27</f>
        <v>0</v>
      </c>
      <c r="L1121" s="3189">
        <f>'Part VIII-Threshold Criteria'!L27</f>
        <v>0</v>
      </c>
      <c r="M1121" s="3189">
        <f>'Part VIII-Threshold Criteria'!M27</f>
        <v>0</v>
      </c>
      <c r="N1121" s="3189">
        <f>'Part VIII-Threshold Criteria'!N27</f>
        <v>0</v>
      </c>
      <c r="O1121" s="3189">
        <f>'Part VIII-Threshold Criteria'!O27</f>
        <v>0</v>
      </c>
      <c r="P1121" s="3189">
        <f>'Part VIII-Threshold Criteria'!P27</f>
        <v>0</v>
      </c>
      <c r="Q1121" s="3189">
        <f>'Part VIII-Threshold Criteria'!Q27</f>
        <v>0</v>
      </c>
    </row>
    <row r="1123" spans="1:17">
      <c r="A1123" s="3412" t="s">
        <v>9</v>
      </c>
      <c r="B1123" s="3413" t="s">
        <v>1272</v>
      </c>
      <c r="C1123" s="3414"/>
      <c r="D1123" s="3415"/>
      <c r="E1123" s="3415"/>
      <c r="F1123" s="3415"/>
      <c r="G1123" s="3415"/>
      <c r="I1123" s="3416"/>
      <c r="J1123" s="3416"/>
      <c r="K1123" s="3416"/>
      <c r="L1123" s="3318"/>
      <c r="M1123" s="3318"/>
      <c r="O1123" s="3417" t="s">
        <v>1273</v>
      </c>
      <c r="P1123" s="3326">
        <f>'Part VIII-Threshold Criteria'!P29</f>
        <v>0</v>
      </c>
      <c r="Q1123" s="3326">
        <f>'Part VIII-Threshold Criteria'!Q29</f>
        <v>0</v>
      </c>
    </row>
    <row r="1125" spans="1:17">
      <c r="B1125" s="3382" t="s">
        <v>1274</v>
      </c>
      <c r="C1125" s="3382"/>
      <c r="D1125" s="3382"/>
      <c r="E1125" s="3382"/>
      <c r="F1125" s="3382"/>
      <c r="G1125" s="3416"/>
      <c r="H1125" s="3416"/>
      <c r="I1125" s="3416"/>
      <c r="J1125" s="3416"/>
      <c r="K1125" s="3318"/>
      <c r="L1125" s="3318"/>
      <c r="M1125" s="3318"/>
      <c r="N1125" s="3318"/>
      <c r="O1125" s="3318"/>
      <c r="P1125" s="3318"/>
    </row>
    <row r="1126" spans="1:17" ht="409.5">
      <c r="A1126" s="3418" t="str">
        <f>'Part VIII-Threshold Criteria'!A32</f>
        <v>The Mill at Stone Valley meets all DCA feasibility requirements.  We have presented an application in full compliance with DCA underwriting critera and financial viability.  We are presenting as part of our financing package a $2,650,000 conventional loan from Guardian Bank.  This mortgage allows us to leverage the investment incentivized by federal and state housing tax credit, and cover the cost of developing nine market-rate units.
The Mill at Stone Valley makes efficient use of DCA resources.  Development and construction costs are reasonable as well as equity pricing. Rents and operating costs are reasonable and contribute to the financial feasibility of the project as well as its viability throughout the credit and compliance period. The debt terms are favorable and contribute to the viability of the project beyond the credit period.  All required financial documentation is included in Tab 1.</v>
      </c>
      <c r="B1126" s="3418">
        <f>'Part VIII-Threshold Criteria'!B32</f>
        <v>0</v>
      </c>
      <c r="C1126" s="3418">
        <f>'Part VIII-Threshold Criteria'!C32</f>
        <v>0</v>
      </c>
      <c r="D1126" s="3418">
        <f>'Part VIII-Threshold Criteria'!D32</f>
        <v>0</v>
      </c>
      <c r="E1126" s="3418">
        <f>'Part VIII-Threshold Criteria'!E32</f>
        <v>0</v>
      </c>
      <c r="F1126" s="3418">
        <f>'Part VIII-Threshold Criteria'!F32</f>
        <v>0</v>
      </c>
      <c r="G1126" s="3418">
        <f>'Part VIII-Threshold Criteria'!G32</f>
        <v>0</v>
      </c>
      <c r="H1126" s="3418">
        <f>'Part VIII-Threshold Criteria'!H32</f>
        <v>0</v>
      </c>
      <c r="I1126" s="3418">
        <f>'Part VIII-Threshold Criteria'!I32</f>
        <v>0</v>
      </c>
      <c r="J1126" s="3418">
        <f>'Part VIII-Threshold Criteria'!J32</f>
        <v>0</v>
      </c>
      <c r="K1126" s="3418">
        <f>'Part VIII-Threshold Criteria'!K32</f>
        <v>0</v>
      </c>
      <c r="L1126" s="3418">
        <f>'Part VIII-Threshold Criteria'!L32</f>
        <v>0</v>
      </c>
      <c r="M1126" s="3418">
        <f>'Part VIII-Threshold Criteria'!M32</f>
        <v>0</v>
      </c>
      <c r="N1126" s="3418">
        <f>'Part VIII-Threshold Criteria'!N32</f>
        <v>0</v>
      </c>
      <c r="O1126" s="3418">
        <f>'Part VIII-Threshold Criteria'!O32</f>
        <v>0</v>
      </c>
      <c r="P1126" s="3418">
        <f>'Part VIII-Threshold Criteria'!P32</f>
        <v>0</v>
      </c>
      <c r="Q1126" s="3418">
        <f>'Part VIII-Threshold Criteria'!Q32</f>
        <v>0</v>
      </c>
    </row>
    <row r="1127" spans="1:17">
      <c r="B1127" s="3419" t="s">
        <v>1276</v>
      </c>
      <c r="C1127" s="3420"/>
      <c r="D1127" s="3421"/>
      <c r="E1127" s="3421"/>
      <c r="F1127" s="3421"/>
      <c r="G1127" s="3421"/>
      <c r="H1127" s="3421"/>
      <c r="I1127" s="3421"/>
      <c r="J1127" s="3421"/>
      <c r="K1127" s="3421"/>
      <c r="L1127" s="3421"/>
      <c r="M1127" s="3421"/>
      <c r="N1127" s="3421"/>
      <c r="O1127" s="3421"/>
      <c r="P1127" s="3421"/>
    </row>
    <row r="1128" spans="1:17">
      <c r="A1128" s="3418">
        <f>'Part VIII-Threshold Criteria'!A34</f>
        <v>0</v>
      </c>
      <c r="B1128" s="3418">
        <f>'Part VIII-Threshold Criteria'!B34</f>
        <v>0</v>
      </c>
      <c r="C1128" s="3418">
        <f>'Part VIII-Threshold Criteria'!C34</f>
        <v>0</v>
      </c>
      <c r="D1128" s="3418">
        <f>'Part VIII-Threshold Criteria'!D34</f>
        <v>0</v>
      </c>
      <c r="E1128" s="3418">
        <f>'Part VIII-Threshold Criteria'!E34</f>
        <v>0</v>
      </c>
      <c r="F1128" s="3418">
        <f>'Part VIII-Threshold Criteria'!F34</f>
        <v>0</v>
      </c>
      <c r="G1128" s="3418">
        <f>'Part VIII-Threshold Criteria'!G34</f>
        <v>0</v>
      </c>
      <c r="H1128" s="3418">
        <f>'Part VIII-Threshold Criteria'!H34</f>
        <v>0</v>
      </c>
      <c r="I1128" s="3418">
        <f>'Part VIII-Threshold Criteria'!I34</f>
        <v>0</v>
      </c>
      <c r="J1128" s="3418">
        <f>'Part VIII-Threshold Criteria'!J34</f>
        <v>0</v>
      </c>
      <c r="K1128" s="3418">
        <f>'Part VIII-Threshold Criteria'!K34</f>
        <v>0</v>
      </c>
      <c r="L1128" s="3418">
        <f>'Part VIII-Threshold Criteria'!L34</f>
        <v>0</v>
      </c>
      <c r="M1128" s="3418">
        <f>'Part VIII-Threshold Criteria'!M34</f>
        <v>0</v>
      </c>
      <c r="N1128" s="3418">
        <f>'Part VIII-Threshold Criteria'!N34</f>
        <v>0</v>
      </c>
      <c r="O1128" s="3418">
        <f>'Part VIII-Threshold Criteria'!O34</f>
        <v>0</v>
      </c>
      <c r="P1128" s="3418">
        <f>'Part VIII-Threshold Criteria'!P34</f>
        <v>0</v>
      </c>
      <c r="Q1128" s="3418">
        <f>'Part VIII-Threshold Criteria'!Q34</f>
        <v>0</v>
      </c>
    </row>
    <row r="1129" spans="1:17">
      <c r="B1129" s="3416"/>
      <c r="C1129" s="3421"/>
      <c r="D1129" s="3421"/>
      <c r="E1129" s="3421"/>
      <c r="F1129" s="3421"/>
      <c r="G1129" s="3421"/>
      <c r="H1129" s="3421"/>
      <c r="I1129" s="3421"/>
      <c r="J1129" s="3421"/>
      <c r="K1129" s="3421"/>
      <c r="L1129" s="3421"/>
      <c r="M1129" s="3421"/>
      <c r="N1129" s="3421"/>
      <c r="O1129" s="3421"/>
      <c r="P1129" s="3421"/>
      <c r="Q1129" s="3318"/>
    </row>
    <row r="1130" spans="1:17">
      <c r="A1130" s="3301" t="s">
        <v>13</v>
      </c>
      <c r="B1130" s="3300" t="s">
        <v>1277</v>
      </c>
      <c r="C1130" s="3300"/>
      <c r="D1130" s="3300"/>
      <c r="E1130" s="3421"/>
      <c r="G1130" s="3326"/>
      <c r="H1130" s="3326"/>
      <c r="I1130" s="3326"/>
      <c r="J1130" s="3111"/>
      <c r="L1130" s="3422"/>
      <c r="M1130" s="3422"/>
      <c r="N1130" s="3422"/>
      <c r="O1130" s="3417" t="s">
        <v>1273</v>
      </c>
      <c r="P1130" s="3326">
        <f>'Part VIII-Threshold Criteria'!P36</f>
        <v>0</v>
      </c>
      <c r="Q1130" s="3326">
        <f>'Part VIII-Threshold Criteria'!Q36</f>
        <v>0</v>
      </c>
    </row>
    <row r="1131" spans="1:17" ht="12.75" customHeight="1">
      <c r="A1131" s="3423" t="s">
        <v>4790</v>
      </c>
      <c r="B1131" s="3423"/>
      <c r="C1131" s="3423"/>
      <c r="D1131" s="3423"/>
      <c r="E1131" s="3423"/>
      <c r="F1131" s="3423"/>
      <c r="G1131" s="3230" t="s">
        <v>1279</v>
      </c>
      <c r="H1131" s="3230"/>
      <c r="I1131" s="3415"/>
      <c r="J1131" s="3111"/>
      <c r="K1131" s="3415" t="s">
        <v>1280</v>
      </c>
      <c r="L1131" s="3415"/>
      <c r="M1131" s="3415"/>
      <c r="N1131" s="3415"/>
    </row>
    <row r="1132" spans="1:17" ht="13.5">
      <c r="A1132" s="3423"/>
      <c r="B1132" s="3423"/>
      <c r="C1132" s="3423"/>
      <c r="D1132" s="3423"/>
      <c r="E1132" s="3423"/>
      <c r="F1132" s="3423"/>
      <c r="G1132" s="3230" t="s">
        <v>118</v>
      </c>
      <c r="H1132" s="3230"/>
      <c r="I1132" s="3415"/>
      <c r="J1132" s="3111"/>
      <c r="K1132" s="358" t="s">
        <v>1281</v>
      </c>
      <c r="L1132" s="358"/>
      <c r="M1132" s="358"/>
      <c r="N1132" s="358"/>
      <c r="P1132" s="3243" t="s">
        <v>1282</v>
      </c>
      <c r="Q1132" s="3424" t="str">
        <f>'Part VIII-Threshold Criteria'!Q38</f>
        <v>Yes</v>
      </c>
    </row>
    <row r="1133" spans="1:17">
      <c r="A1133" s="3423"/>
      <c r="B1133" s="3423"/>
      <c r="C1133" s="3423"/>
      <c r="D1133" s="3423"/>
      <c r="E1133" s="3423"/>
      <c r="F1133" s="3423"/>
      <c r="G1133" s="3415"/>
      <c r="H1133" s="3415"/>
      <c r="I1133" s="3415"/>
      <c r="J1133" s="3111"/>
      <c r="K1133" s="358"/>
      <c r="L1133" s="358"/>
      <c r="M1133" s="358"/>
      <c r="N1133" s="358"/>
    </row>
    <row r="1134" spans="1:17" ht="13.5" customHeight="1">
      <c r="D1134" s="3425" t="s">
        <v>1187</v>
      </c>
      <c r="F1134" s="3426" t="s">
        <v>1283</v>
      </c>
      <c r="G1134" s="3426" t="s">
        <v>1284</v>
      </c>
      <c r="H1134" s="3426"/>
      <c r="I1134" s="3426"/>
      <c r="K1134" s="3426" t="s">
        <v>1283</v>
      </c>
      <c r="L1134" s="3426" t="s">
        <v>1284</v>
      </c>
      <c r="M1134" s="3426"/>
      <c r="N1134" s="3426"/>
    </row>
    <row r="1135" spans="1:17" ht="12.75" customHeight="1">
      <c r="A1135" s="3427" t="s">
        <v>1285</v>
      </c>
      <c r="B1135" s="3427"/>
      <c r="C1135" s="3427"/>
      <c r="D1135" s="3428" t="s">
        <v>831</v>
      </c>
      <c r="E1135" s="3416">
        <v>0</v>
      </c>
      <c r="F1135" s="3429">
        <f>'Part VI-Revenues &amp; Expenses'!$J$104</f>
        <v>0</v>
      </c>
      <c r="G1135" s="3430"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3354" t="str">
        <f>CONCATENATE("x ", F1135," units = ")</f>
        <v xml:space="preserve">x 0 units = </v>
      </c>
      <c r="I1135" s="3431" t="e">
        <f>F1135*G1135</f>
        <v>#N/A</v>
      </c>
      <c r="J1135" s="3111"/>
      <c r="K1135" s="3429">
        <f>'Part VI-Revenues &amp; Expenses'!$J$105</f>
        <v>0</v>
      </c>
      <c r="L1135" s="3430"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3354" t="str">
        <f>CONCATENATE("x ", K1135," units = ")</f>
        <v xml:space="preserve">x 0 units = </v>
      </c>
      <c r="N1135" s="3431" t="e">
        <f>K1135*L1135</f>
        <v>#N/A</v>
      </c>
      <c r="O1135" s="3421"/>
      <c r="P1135" s="3314" t="s">
        <v>1286</v>
      </c>
      <c r="Q1135" s="3314"/>
    </row>
    <row r="1136" spans="1:17" ht="12.75" customHeight="1">
      <c r="A1136" s="3427"/>
      <c r="B1136" s="3427"/>
      <c r="C1136" s="3427"/>
      <c r="D1136" s="3428" t="s">
        <v>855</v>
      </c>
      <c r="E1136" s="3416">
        <v>1</v>
      </c>
      <c r="F1136" s="3429">
        <f>'Part VI-Revenues &amp; Expenses'!$K$104</f>
        <v>0</v>
      </c>
      <c r="G1136" s="3430"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3354" t="str">
        <f>CONCATENATE("x ", F1136," units = ")</f>
        <v xml:space="preserve">x 0 units = </v>
      </c>
      <c r="I1136" s="3431" t="e">
        <f>F1136*G1136</f>
        <v>#N/A</v>
      </c>
      <c r="J1136" s="3111"/>
      <c r="K1136" s="3429">
        <f>'Part VI-Revenues &amp; Expenses'!$K$105</f>
        <v>0</v>
      </c>
      <c r="L1136" s="3430"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3354" t="str">
        <f>CONCATENATE("x ", K1136," units = ")</f>
        <v xml:space="preserve">x 0 units = </v>
      </c>
      <c r="N1136" s="3431" t="e">
        <f>K1136*L1136</f>
        <v>#N/A</v>
      </c>
      <c r="O1136" s="3421"/>
      <c r="P1136" s="3432" t="str">
        <f>'Part VIII-Threshold Criteria'!P42</f>
        <v>Atlanta</v>
      </c>
      <c r="Q1136" s="3432">
        <f>'Part VIII-Threshold Criteria'!Q42</f>
        <v>0</v>
      </c>
    </row>
    <row r="1137" spans="1:17">
      <c r="A1137" s="3427"/>
      <c r="B1137" s="3427"/>
      <c r="C1137" s="3427"/>
      <c r="D1137" s="3428" t="s">
        <v>856</v>
      </c>
      <c r="E1137" s="3416">
        <v>2</v>
      </c>
      <c r="F1137" s="3429">
        <f>'Part VI-Revenues &amp; Expenses'!$L$104</f>
        <v>0</v>
      </c>
      <c r="G1137" s="3430"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3354" t="str">
        <f>CONCATENATE("x ", F1137," units = ")</f>
        <v xml:space="preserve">x 0 units = </v>
      </c>
      <c r="I1137" s="3431" t="e">
        <f>F1137*G1137</f>
        <v>#N/A</v>
      </c>
      <c r="J1137" s="3111"/>
      <c r="K1137" s="3429">
        <f>'Part VI-Revenues &amp; Expenses'!$L$105</f>
        <v>0</v>
      </c>
      <c r="L1137" s="3430"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3354" t="str">
        <f>CONCATENATE("x ", K1137," units = ")</f>
        <v xml:space="preserve">x 0 units = </v>
      </c>
      <c r="N1137" s="3431" t="e">
        <f>K1137*L1137</f>
        <v>#N/A</v>
      </c>
      <c r="O1137" s="3421"/>
      <c r="P1137" s="3432">
        <f>'Part VIII-Threshold Criteria'!P43</f>
        <v>0</v>
      </c>
      <c r="Q1137" s="3432">
        <f>'Part VIII-Threshold Criteria'!Q43</f>
        <v>0</v>
      </c>
    </row>
    <row r="1138" spans="1:17" ht="12.75" customHeight="1">
      <c r="A1138" s="3427"/>
      <c r="B1138" s="3427"/>
      <c r="C1138" s="3427"/>
      <c r="D1138" s="3428" t="s">
        <v>857</v>
      </c>
      <c r="E1138" s="3416">
        <v>3</v>
      </c>
      <c r="F1138" s="3429">
        <f>'Part VI-Revenues &amp; Expenses'!$M$104</f>
        <v>0</v>
      </c>
      <c r="G1138" s="3430"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3354" t="str">
        <f>CONCATENATE("x ", F1138," units = ")</f>
        <v xml:space="preserve">x 0 units = </v>
      </c>
      <c r="I1138" s="3431" t="e">
        <f>F1138*G1138</f>
        <v>#N/A</v>
      </c>
      <c r="J1138" s="3111"/>
      <c r="K1138" s="3429">
        <f>'Part VI-Revenues &amp; Expenses'!$M$105</f>
        <v>0</v>
      </c>
      <c r="L1138" s="3430"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3354" t="str">
        <f>CONCATENATE("x ", K1138," units = ")</f>
        <v xml:space="preserve">x 0 units = </v>
      </c>
      <c r="N1138" s="3431" t="e">
        <f>K1138*L1138</f>
        <v>#N/A</v>
      </c>
      <c r="O1138" s="3421"/>
      <c r="P1138" s="3383" t="s">
        <v>1288</v>
      </c>
      <c r="Q1138" s="3383"/>
    </row>
    <row r="1139" spans="1:17" ht="12.75" customHeight="1">
      <c r="C1139" s="3111"/>
      <c r="D1139" s="3428" t="s">
        <v>858</v>
      </c>
      <c r="E1139" s="3416">
        <v>4</v>
      </c>
      <c r="F1139" s="3429">
        <f>'Part VI-Revenues &amp; Expenses'!$N$104</f>
        <v>0</v>
      </c>
      <c r="G1139" s="3430"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3354" t="str">
        <f>CONCATENATE("x ", F1139," units = ")</f>
        <v xml:space="preserve">x 0 units = </v>
      </c>
      <c r="I1139" s="3431" t="e">
        <f>F1139*G1139</f>
        <v>#N/A</v>
      </c>
      <c r="J1139" s="3111"/>
      <c r="K1139" s="3429">
        <f>'Part VI-Revenues &amp; Expenses'!$N$105</f>
        <v>0</v>
      </c>
      <c r="L1139" s="3430"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3354" t="str">
        <f>CONCATENATE("x ", K1139," units = ")</f>
        <v xml:space="preserve">x 0 units = </v>
      </c>
      <c r="N1139" s="3431" t="e">
        <f>K1139*L1139</f>
        <v>#N/A</v>
      </c>
      <c r="O1139" s="3421"/>
      <c r="P1139" s="3433">
        <f>'Part VIII-Threshold Criteria'!P45</f>
        <v>13885091</v>
      </c>
      <c r="Q1139" s="3433">
        <f>'Part VIII-Threshold Criteria'!Q45</f>
        <v>0</v>
      </c>
    </row>
    <row r="1140" spans="1:17" ht="12.75" customHeight="1">
      <c r="C1140" s="3111"/>
      <c r="D1140" s="3434" t="s">
        <v>1289</v>
      </c>
      <c r="E1140" s="3435"/>
      <c r="F1140" s="3436">
        <f>SUM(F1135:F1139)</f>
        <v>0</v>
      </c>
      <c r="G1140" s="3437"/>
      <c r="H1140" s="3438"/>
      <c r="I1140" s="3439" t="e">
        <f>SUM(I1135:I1139)</f>
        <v>#N/A</v>
      </c>
      <c r="J1140" s="3440"/>
      <c r="K1140" s="3436">
        <f>SUM(K1135:K1139)</f>
        <v>0</v>
      </c>
      <c r="L1140" s="3440"/>
      <c r="M1140" s="3438"/>
      <c r="N1140" s="3439" t="e">
        <f>SUM(N1135:N1139)</f>
        <v>#N/A</v>
      </c>
      <c r="O1140" s="3421"/>
      <c r="P1140" s="3433">
        <f>'Part VIII-Threshold Criteria'!P46</f>
        <v>0</v>
      </c>
      <c r="Q1140" s="3433">
        <f>'Part VIII-Threshold Criteria'!Q46</f>
        <v>0</v>
      </c>
    </row>
    <row r="1141" spans="1:17">
      <c r="C1141" s="3111"/>
      <c r="D1141" s="3441"/>
      <c r="E1141" s="3441"/>
      <c r="F1141" s="3442"/>
      <c r="G1141" s="3443"/>
      <c r="I1141" s="3442"/>
      <c r="K1141" s="3442"/>
      <c r="M1141" s="3421"/>
      <c r="N1141" s="3442"/>
      <c r="O1141" s="3421"/>
    </row>
    <row r="1142" spans="1:17" ht="12.75" customHeight="1">
      <c r="A1142" s="3427" t="s">
        <v>1129</v>
      </c>
      <c r="B1142" s="3427"/>
      <c r="C1142" s="3427"/>
      <c r="D1142" s="3428" t="s">
        <v>831</v>
      </c>
      <c r="E1142" s="3429">
        <v>0</v>
      </c>
      <c r="F1142" s="3429">
        <f>'Part VI-Revenues &amp; Expenses'!$J$106</f>
        <v>0</v>
      </c>
      <c r="G1142" s="3430"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3354" t="str">
        <f>CONCATENATE("x ", F1142," units = ")</f>
        <v xml:space="preserve">x 0 units = </v>
      </c>
      <c r="I1142" s="3431" t="e">
        <f>F1142*G1142</f>
        <v>#N/A</v>
      </c>
      <c r="J1142" s="3111"/>
      <c r="K1142" s="3429">
        <f>'Part VI-Revenues &amp; Expenses'!$J$107</f>
        <v>0</v>
      </c>
      <c r="L1142" s="3430"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3354" t="str">
        <f>CONCATENATE("x ", K1142," units = ")</f>
        <v xml:space="preserve">x 0 units = </v>
      </c>
      <c r="N1142" s="3431" t="e">
        <f>K1142*L1142</f>
        <v>#N/A</v>
      </c>
      <c r="P1142" s="3274" t="s">
        <v>1290</v>
      </c>
      <c r="Q1142" s="3274"/>
    </row>
    <row r="1143" spans="1:17" ht="12.75" customHeight="1">
      <c r="A1143" s="3427"/>
      <c r="B1143" s="3427"/>
      <c r="C1143" s="3427"/>
      <c r="D1143" s="3428" t="s">
        <v>855</v>
      </c>
      <c r="E1143" s="3416">
        <v>1</v>
      </c>
      <c r="F1143" s="3429">
        <f>'Part VI-Revenues &amp; Expenses'!$K$106</f>
        <v>0</v>
      </c>
      <c r="G1143" s="3430"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3354" t="str">
        <f>CONCATENATE("x ", F1143," units = ")</f>
        <v xml:space="preserve">x 0 units = </v>
      </c>
      <c r="I1143" s="3431" t="e">
        <f>F1143*G1143</f>
        <v>#N/A</v>
      </c>
      <c r="J1143" s="3111"/>
      <c r="K1143" s="3429">
        <f>'Part VI-Revenues &amp; Expenses'!$K$107</f>
        <v>0</v>
      </c>
      <c r="L1143" s="3430"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3354" t="str">
        <f>CONCATENATE("x ", K1143," units = ")</f>
        <v xml:space="preserve">x 0 units = </v>
      </c>
      <c r="N1143" s="3431" t="e">
        <f>K1143*L1143</f>
        <v>#N/A</v>
      </c>
      <c r="P1143" s="3444">
        <f>'Part VIII-Threshold Criteria'!P49</f>
        <v>0</v>
      </c>
      <c r="Q1143" s="3444">
        <f>'Part VIII-Threshold Criteria'!Q49</f>
        <v>0</v>
      </c>
    </row>
    <row r="1144" spans="1:17" ht="12.75" customHeight="1">
      <c r="A1144" s="3427"/>
      <c r="B1144" s="3427"/>
      <c r="C1144" s="3427"/>
      <c r="D1144" s="3428" t="s">
        <v>856</v>
      </c>
      <c r="E1144" s="3416">
        <v>2</v>
      </c>
      <c r="F1144" s="3429">
        <f>'Part VI-Revenues &amp; Expenses'!$L$106</f>
        <v>0</v>
      </c>
      <c r="G1144" s="3430"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3354" t="str">
        <f>CONCATENATE("x ", F1144," units = ")</f>
        <v xml:space="preserve">x 0 units = </v>
      </c>
      <c r="I1144" s="3431" t="e">
        <f>F1144*G1144</f>
        <v>#N/A</v>
      </c>
      <c r="J1144" s="3111"/>
      <c r="K1144" s="3429">
        <f>'Part VI-Revenues &amp; Expenses'!$L$107</f>
        <v>0</v>
      </c>
      <c r="L1144" s="3430"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3354" t="str">
        <f>CONCATENATE("x ", K1144," units = ")</f>
        <v xml:space="preserve">x 0 units = </v>
      </c>
      <c r="N1144" s="3431" t="e">
        <f>K1144*L1144</f>
        <v>#N/A</v>
      </c>
      <c r="O1144" s="3445"/>
      <c r="P1144" s="3444">
        <f>'Part VIII-Threshold Criteria'!P50</f>
        <v>0</v>
      </c>
      <c r="Q1144" s="3444">
        <f>'Part VIII-Threshold Criteria'!Q50</f>
        <v>0</v>
      </c>
    </row>
    <row r="1145" spans="1:17">
      <c r="C1145" s="3111"/>
      <c r="D1145" s="3428" t="s">
        <v>857</v>
      </c>
      <c r="E1145" s="3416">
        <v>3</v>
      </c>
      <c r="F1145" s="3429">
        <f>'Part VI-Revenues &amp; Expenses'!$M$106</f>
        <v>0</v>
      </c>
      <c r="G1145" s="3430"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3354" t="str">
        <f>CONCATENATE("x ", F1145," units = ")</f>
        <v xml:space="preserve">x 0 units = </v>
      </c>
      <c r="I1145" s="3431" t="e">
        <f>F1145*G1145</f>
        <v>#N/A</v>
      </c>
      <c r="J1145" s="3111"/>
      <c r="K1145" s="3429">
        <f>'Part VI-Revenues &amp; Expenses'!$M$107</f>
        <v>0</v>
      </c>
      <c r="L1145" s="3430"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3354" t="str">
        <f>CONCATENATE("x ", K1145," units = ")</f>
        <v xml:space="preserve">x 0 units = </v>
      </c>
      <c r="N1145" s="3431" t="e">
        <f>K1145*L1145</f>
        <v>#N/A</v>
      </c>
      <c r="O1145" s="3445"/>
    </row>
    <row r="1146" spans="1:17">
      <c r="C1146" s="3111"/>
      <c r="D1146" s="3428" t="s">
        <v>858</v>
      </c>
      <c r="E1146" s="3416">
        <v>4</v>
      </c>
      <c r="F1146" s="3429">
        <f>'Part VI-Revenues &amp; Expenses'!$N$106</f>
        <v>0</v>
      </c>
      <c r="G1146" s="3430"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3354" t="str">
        <f>CONCATENATE("x ", F1146," units = ")</f>
        <v xml:space="preserve">x 0 units = </v>
      </c>
      <c r="I1146" s="3431" t="e">
        <f>F1146*G1146</f>
        <v>#N/A</v>
      </c>
      <c r="J1146" s="3111"/>
      <c r="K1146" s="3429">
        <f>'Part VI-Revenues &amp; Expenses'!$N$107</f>
        <v>0</v>
      </c>
      <c r="L1146" s="3430"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3354" t="str">
        <f>CONCATENATE("x ", K1146," units = ")</f>
        <v xml:space="preserve">x 0 units = </v>
      </c>
      <c r="N1146" s="3431" t="e">
        <f>K1146*L1146</f>
        <v>#N/A</v>
      </c>
      <c r="O1146" s="3445"/>
      <c r="P1146" s="358" t="s">
        <v>1291</v>
      </c>
      <c r="Q1146" s="358"/>
    </row>
    <row r="1147" spans="1:17">
      <c r="C1147" s="3111"/>
      <c r="D1147" s="3434" t="s">
        <v>1289</v>
      </c>
      <c r="E1147" s="3435"/>
      <c r="F1147" s="3436">
        <f>SUM(F1142:F1146)</f>
        <v>0</v>
      </c>
      <c r="G1147" s="3437"/>
      <c r="H1147" s="3438"/>
      <c r="I1147" s="3439" t="e">
        <f>SUM(I1142:I1146)</f>
        <v>#N/A</v>
      </c>
      <c r="J1147" s="3440"/>
      <c r="K1147" s="3436">
        <f>SUM(K1142:K1146)</f>
        <v>0</v>
      </c>
      <c r="L1147" s="3440"/>
      <c r="M1147" s="3438"/>
      <c r="N1147" s="3439" t="e">
        <f>SUM(N1142:N1146)</f>
        <v>#N/A</v>
      </c>
      <c r="O1147" s="3445"/>
      <c r="P1147" s="3327" t="s">
        <v>1292</v>
      </c>
      <c r="Q1147" s="3327" t="s">
        <v>1293</v>
      </c>
    </row>
    <row r="1148" spans="1:17">
      <c r="C1148" s="3111"/>
      <c r="D1148" s="3441"/>
      <c r="E1148" s="3441"/>
      <c r="F1148" s="3442"/>
      <c r="G1148" s="3443"/>
      <c r="I1148" s="3442"/>
      <c r="K1148" s="3442"/>
      <c r="M1148" s="3421"/>
      <c r="N1148" s="3442"/>
      <c r="O1148" s="3445"/>
    </row>
    <row r="1149" spans="1:17">
      <c r="A1149" s="3230" t="s">
        <v>1130</v>
      </c>
      <c r="C1149" s="3111"/>
      <c r="D1149" s="3428" t="s">
        <v>831</v>
      </c>
      <c r="E1149" s="3416">
        <v>0</v>
      </c>
      <c r="F1149" s="3429">
        <f>'Part VI-Revenues &amp; Expenses'!$J$108</f>
        <v>0</v>
      </c>
      <c r="G1149" s="3430"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3354" t="str">
        <f>CONCATENATE("x ", F1149," units = ")</f>
        <v xml:space="preserve">x 0 units = </v>
      </c>
      <c r="I1149" s="3431" t="e">
        <f>F1149*G1149</f>
        <v>#N/A</v>
      </c>
      <c r="J1149" s="3111"/>
      <c r="K1149" s="3429">
        <f>'Part VI-Revenues &amp; Expenses'!$J$109</f>
        <v>0</v>
      </c>
      <c r="L1149" s="3430"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3354" t="str">
        <f>CONCATENATE("x ", K1149," units = ")</f>
        <v xml:space="preserve">x 0 units = </v>
      </c>
      <c r="N1149" s="3431" t="e">
        <f>K1149*L1149</f>
        <v>#N/A</v>
      </c>
      <c r="O1149" s="3445"/>
      <c r="P1149" s="3446">
        <f>'Part IX A-Scoring Criteria'!O1508</f>
        <v>0</v>
      </c>
      <c r="Q1149" s="3446">
        <f>'Part IX A-Scoring Criteria'!P1508</f>
        <v>0</v>
      </c>
    </row>
    <row r="1150" spans="1:17">
      <c r="C1150" s="3111"/>
      <c r="D1150" s="3428" t="s">
        <v>855</v>
      </c>
      <c r="E1150" s="3416">
        <v>1</v>
      </c>
      <c r="F1150" s="3429">
        <f>'Part VI-Revenues &amp; Expenses'!$K$108</f>
        <v>12</v>
      </c>
      <c r="G1150" s="3430"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3354" t="str">
        <f>CONCATENATE("x ", F1150," units = ")</f>
        <v xml:space="preserve">x 12 units = </v>
      </c>
      <c r="I1150" s="3431" t="e">
        <f>F1150*G1150</f>
        <v>#N/A</v>
      </c>
      <c r="J1150" s="3111"/>
      <c r="K1150" s="3429">
        <f>'Part VI-Revenues &amp; Expenses'!$K$109</f>
        <v>0</v>
      </c>
      <c r="L1150" s="3430"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3354" t="str">
        <f>CONCATENATE("x ", K1150," units = ")</f>
        <v xml:space="preserve">x 0 units = </v>
      </c>
      <c r="N1150" s="3431" t="e">
        <f>K1150*L1150</f>
        <v>#N/A</v>
      </c>
      <c r="P1150" s="358" t="s">
        <v>1294</v>
      </c>
      <c r="Q1150" s="358"/>
    </row>
    <row r="1151" spans="1:17">
      <c r="C1151" s="3111"/>
      <c r="D1151" s="3428" t="s">
        <v>856</v>
      </c>
      <c r="E1151" s="3416">
        <v>2</v>
      </c>
      <c r="F1151" s="3429">
        <f>'Part VI-Revenues &amp; Expenses'!$L$108</f>
        <v>32</v>
      </c>
      <c r="G1151" s="3430"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3354" t="str">
        <f>CONCATENATE("x ", F1151," units = ")</f>
        <v xml:space="preserve">x 32 units = </v>
      </c>
      <c r="I1151" s="3431" t="e">
        <f>F1151*G1151</f>
        <v>#N/A</v>
      </c>
      <c r="J1151" s="3111"/>
      <c r="K1151" s="3429">
        <f>'Part VI-Revenues &amp; Expenses'!$L$109</f>
        <v>0</v>
      </c>
      <c r="L1151" s="3430"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3354" t="str">
        <f>CONCATENATE("x ", K1151," units = ")</f>
        <v xml:space="preserve">x 0 units = </v>
      </c>
      <c r="N1151" s="3431" t="e">
        <f>K1151*L1151</f>
        <v>#N/A</v>
      </c>
      <c r="P1151" s="3327" t="s">
        <v>1292</v>
      </c>
      <c r="Q1151" s="3327" t="s">
        <v>1293</v>
      </c>
    </row>
    <row r="1152" spans="1:17">
      <c r="C1152" s="3111"/>
      <c r="D1152" s="3428" t="s">
        <v>857</v>
      </c>
      <c r="E1152" s="3416">
        <v>3</v>
      </c>
      <c r="F1152" s="3429">
        <f>'Part VI-Revenues &amp; Expenses'!$M$108</f>
        <v>30</v>
      </c>
      <c r="G1152" s="3430"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3354" t="str">
        <f>CONCATENATE("x ", F1152," units = ")</f>
        <v xml:space="preserve">x 30 units = </v>
      </c>
      <c r="I1152" s="3431" t="e">
        <f>F1152*G1152</f>
        <v>#N/A</v>
      </c>
      <c r="J1152" s="3111"/>
      <c r="K1152" s="3429">
        <f>'Part VI-Revenues &amp; Expenses'!$M$109</f>
        <v>0</v>
      </c>
      <c r="L1152" s="3430"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3354" t="str">
        <f>CONCATENATE("x ", K1152," units = ")</f>
        <v xml:space="preserve">x 0 units = </v>
      </c>
      <c r="N1152" s="3431" t="e">
        <f>K1152*L1152</f>
        <v>#N/A</v>
      </c>
      <c r="O1152" s="3445"/>
      <c r="P1152" s="3446">
        <f>'Part IX A-Scoring Criteria'!O1161</f>
        <v>0</v>
      </c>
      <c r="Q1152" s="3446">
        <f>'Part IX A-Scoring Criteria'!P1161</f>
        <v>0</v>
      </c>
    </row>
    <row r="1153" spans="1:17" ht="12.75" customHeight="1">
      <c r="C1153" s="3111"/>
      <c r="D1153" s="3428" t="s">
        <v>858</v>
      </c>
      <c r="E1153" s="3416">
        <v>4</v>
      </c>
      <c r="F1153" s="3429">
        <f>'Part VI-Revenues &amp; Expenses'!$N$108</f>
        <v>0</v>
      </c>
      <c r="G1153" s="3430"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3354" t="str">
        <f>CONCATENATE("x ", F1153," units = ")</f>
        <v xml:space="preserve">x 0 units = </v>
      </c>
      <c r="I1153" s="3431" t="e">
        <f>F1153*G1153</f>
        <v>#N/A</v>
      </c>
      <c r="J1153" s="3111"/>
      <c r="K1153" s="3429">
        <f>'Part VI-Revenues &amp; Expenses'!$N$109</f>
        <v>0</v>
      </c>
      <c r="L1153" s="3430"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3354" t="str">
        <f>CONCATENATE("x ", K1153," units = ")</f>
        <v xml:space="preserve">x 0 units = </v>
      </c>
      <c r="N1153" s="3431" t="e">
        <f>K1153*L1153</f>
        <v>#N/A</v>
      </c>
      <c r="O1153" s="3445"/>
      <c r="P1153" s="3447" t="s">
        <v>1295</v>
      </c>
      <c r="Q1153" s="3447"/>
    </row>
    <row r="1154" spans="1:17" ht="12.75" customHeight="1">
      <c r="C1154" s="3111"/>
      <c r="D1154" s="3434" t="s">
        <v>1289</v>
      </c>
      <c r="E1154" s="3435"/>
      <c r="F1154" s="3436">
        <f>SUM(F1149:F1153)</f>
        <v>74</v>
      </c>
      <c r="G1154" s="3437"/>
      <c r="H1154" s="3438"/>
      <c r="I1154" s="3439" t="e">
        <f>SUM(I1149:I1153)</f>
        <v>#N/A</v>
      </c>
      <c r="J1154" s="3440"/>
      <c r="K1154" s="3436">
        <f>SUM(K1149:K1153)</f>
        <v>0</v>
      </c>
      <c r="L1154" s="3440"/>
      <c r="M1154" s="3438"/>
      <c r="N1154" s="3439" t="e">
        <f>SUM(N1149:N1153)</f>
        <v>#N/A</v>
      </c>
      <c r="O1154" s="3445"/>
      <c r="P1154" s="3447"/>
      <c r="Q1154" s="3447"/>
    </row>
    <row r="1155" spans="1:17" ht="12.75" customHeight="1">
      <c r="C1155" s="3111"/>
      <c r="D1155" s="3441"/>
      <c r="E1155" s="3441"/>
      <c r="F1155" s="3442"/>
      <c r="G1155" s="3443"/>
      <c r="I1155" s="3442"/>
      <c r="K1155" s="3442"/>
      <c r="M1155" s="3421"/>
      <c r="N1155" s="3442"/>
      <c r="O1155" s="3445"/>
      <c r="P1155" s="3447"/>
      <c r="Q1155" s="3447"/>
    </row>
    <row r="1156" spans="1:17" ht="12.75" customHeight="1">
      <c r="A1156" s="3230" t="s">
        <v>1131</v>
      </c>
      <c r="C1156" s="3111"/>
      <c r="D1156" s="3428" t="s">
        <v>831</v>
      </c>
      <c r="E1156" s="3416">
        <v>0</v>
      </c>
      <c r="F1156" s="3429">
        <f>'Part VI-Revenues &amp; Expenses'!$J$110</f>
        <v>0</v>
      </c>
      <c r="G1156" s="3430"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3354" t="str">
        <f>CONCATENATE("x ", F1156," units = ")</f>
        <v xml:space="preserve">x 0 units = </v>
      </c>
      <c r="I1156" s="3431" t="e">
        <f>F1156*G1156</f>
        <v>#N/A</v>
      </c>
      <c r="J1156" s="3111"/>
      <c r="K1156" s="3429">
        <f>'Part VI-Revenues &amp; Expenses'!$J$111</f>
        <v>0</v>
      </c>
      <c r="L1156" s="3430"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3354" t="str">
        <f>CONCATENATE("x ", K1156," units = ")</f>
        <v xml:space="preserve">x 0 units = </v>
      </c>
      <c r="N1156" s="3431" t="e">
        <f>K1156*L1156</f>
        <v>#N/A</v>
      </c>
      <c r="O1156" s="3445"/>
      <c r="P1156" s="3447"/>
      <c r="Q1156" s="3447"/>
    </row>
    <row r="1157" spans="1:17" ht="12.75" customHeight="1">
      <c r="C1157" s="3111"/>
      <c r="D1157" s="3428" t="s">
        <v>855</v>
      </c>
      <c r="E1157" s="3416">
        <v>1</v>
      </c>
      <c r="F1157" s="3429">
        <f>'Part VI-Revenues &amp; Expenses'!$K$110</f>
        <v>0</v>
      </c>
      <c r="G1157" s="3430"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3354" t="str">
        <f>CONCATENATE("x ", F1157," units = ")</f>
        <v xml:space="preserve">x 0 units = </v>
      </c>
      <c r="I1157" s="3431" t="e">
        <f>F1157*G1157</f>
        <v>#N/A</v>
      </c>
      <c r="J1157" s="3111"/>
      <c r="K1157" s="3429">
        <f>'Part VI-Revenues &amp; Expenses'!$K$111</f>
        <v>0</v>
      </c>
      <c r="L1157" s="3430"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3354" t="str">
        <f>CONCATENATE("x ", K1157," units = ")</f>
        <v xml:space="preserve">x 0 units = </v>
      </c>
      <c r="N1157" s="3431" t="e">
        <f>K1157*L1157</f>
        <v>#N/A</v>
      </c>
      <c r="O1157" s="3445"/>
      <c r="P1157" s="3448">
        <f>'Part VIII-Threshold Criteria'!P63</f>
        <v>15865932</v>
      </c>
      <c r="Q1157" s="3448">
        <f>'Part VIII-Threshold Criteria'!Q63</f>
        <v>0</v>
      </c>
    </row>
    <row r="1158" spans="1:17" ht="12.75" customHeight="1">
      <c r="C1158" s="3111"/>
      <c r="D1158" s="3428" t="s">
        <v>856</v>
      </c>
      <c r="E1158" s="3416">
        <v>2</v>
      </c>
      <c r="F1158" s="3429">
        <f>'Part VI-Revenues &amp; Expenses'!$L$110</f>
        <v>0</v>
      </c>
      <c r="G1158" s="3430"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3354" t="str">
        <f>CONCATENATE("x ", F1158," units = ")</f>
        <v xml:space="preserve">x 0 units = </v>
      </c>
      <c r="I1158" s="3431" t="e">
        <f>F1158*G1158</f>
        <v>#N/A</v>
      </c>
      <c r="J1158" s="3111"/>
      <c r="K1158" s="3429">
        <f>'Part VI-Revenues &amp; Expenses'!$L$111</f>
        <v>0</v>
      </c>
      <c r="L1158" s="3430"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3354" t="str">
        <f>CONCATENATE("x ", K1158," units = ")</f>
        <v xml:space="preserve">x 0 units = </v>
      </c>
      <c r="N1158" s="3431" t="e">
        <f>K1158*L1158</f>
        <v>#N/A</v>
      </c>
      <c r="P1158" s="3448">
        <f>'Part VIII-Threshold Criteria'!P64</f>
        <v>0</v>
      </c>
      <c r="Q1158" s="3448">
        <f>'Part VIII-Threshold Criteria'!Q64</f>
        <v>0</v>
      </c>
    </row>
    <row r="1159" spans="1:17" ht="12.75" customHeight="1">
      <c r="C1159" s="3111"/>
      <c r="D1159" s="3428" t="s">
        <v>857</v>
      </c>
      <c r="E1159" s="3416">
        <v>3</v>
      </c>
      <c r="F1159" s="3429">
        <f>'Part VI-Revenues &amp; Expenses'!$M$110</f>
        <v>0</v>
      </c>
      <c r="G1159" s="3430"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3354" t="str">
        <f>CONCATENATE("x ", F1159," units = ")</f>
        <v xml:space="preserve">x 0 units = </v>
      </c>
      <c r="I1159" s="3431" t="e">
        <f>F1159*G1159</f>
        <v>#N/A</v>
      </c>
      <c r="J1159" s="3111"/>
      <c r="K1159" s="3429">
        <f>'Part VI-Revenues &amp; Expenses'!$M$111</f>
        <v>0</v>
      </c>
      <c r="L1159" s="3430"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3354" t="str">
        <f>CONCATENATE("x ", K1159," units = ")</f>
        <v xml:space="preserve">x 0 units = </v>
      </c>
      <c r="N1159" s="3431" t="e">
        <f>K1159*L1159</f>
        <v>#N/A</v>
      </c>
      <c r="P1159" s="3409" t="s">
        <v>4612</v>
      </c>
      <c r="Q1159" s="3409"/>
    </row>
    <row r="1160" spans="1:17">
      <c r="C1160" s="3111"/>
      <c r="D1160" s="3428" t="s">
        <v>858</v>
      </c>
      <c r="E1160" s="3416">
        <v>4</v>
      </c>
      <c r="F1160" s="3429">
        <f>'Part VI-Revenues &amp; Expenses'!$N$110</f>
        <v>0</v>
      </c>
      <c r="G1160" s="3430"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3354" t="str">
        <f>CONCATENATE("x ", F1160," units = ")</f>
        <v xml:space="preserve">x 0 units = </v>
      </c>
      <c r="I1160" s="3431" t="e">
        <f>F1160*G1160</f>
        <v>#N/A</v>
      </c>
      <c r="J1160" s="3111"/>
      <c r="K1160" s="3429">
        <f>'Part VI-Revenues &amp; Expenses'!$N$111</f>
        <v>0</v>
      </c>
      <c r="L1160" s="3430"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3354" t="str">
        <f>CONCATENATE("x ", K1160," units = ")</f>
        <v xml:space="preserve">x 0 units = </v>
      </c>
      <c r="N1160" s="3431" t="e">
        <f>K1160*L1160</f>
        <v>#N/A</v>
      </c>
      <c r="O1160" s="3445"/>
      <c r="P1160" s="3409"/>
      <c r="Q1160" s="3409"/>
    </row>
    <row r="1161" spans="1:17">
      <c r="C1161" s="3111"/>
      <c r="D1161" s="3434" t="s">
        <v>1289</v>
      </c>
      <c r="E1161" s="3435"/>
      <c r="F1161" s="3436">
        <f>SUM(F1156:F1160)</f>
        <v>0</v>
      </c>
      <c r="G1161" s="3437"/>
      <c r="H1161" s="3438"/>
      <c r="I1161" s="3439" t="e">
        <f>SUM(I1156:I1160)</f>
        <v>#N/A</v>
      </c>
      <c r="J1161" s="3440"/>
      <c r="K1161" s="3436">
        <f>SUM(K1156:K1160)</f>
        <v>0</v>
      </c>
      <c r="L1161" s="3440"/>
      <c r="M1161" s="3438"/>
      <c r="N1161" s="3439" t="e">
        <f>SUM(N1156:N1160)</f>
        <v>#N/A</v>
      </c>
      <c r="O1161" s="3445"/>
      <c r="P1161" s="3409"/>
      <c r="Q1161" s="3409"/>
    </row>
    <row r="1162" spans="1:17">
      <c r="C1162" s="3111"/>
      <c r="D1162" s="3111"/>
      <c r="E1162" s="1087"/>
      <c r="F1162" s="3111"/>
      <c r="G1162" s="358"/>
      <c r="H1162" s="3449"/>
      <c r="I1162" s="3449"/>
      <c r="J1162" s="3449"/>
      <c r="K1162" s="3449"/>
      <c r="L1162" s="3449"/>
      <c r="M1162" s="3449"/>
      <c r="N1162" s="3450"/>
      <c r="O1162" s="3445"/>
      <c r="P1162" s="3409"/>
      <c r="Q1162" s="3409"/>
    </row>
    <row r="1163" spans="1:17" ht="13.5">
      <c r="A1163" s="3451" t="s">
        <v>1297</v>
      </c>
      <c r="B1163" s="3111"/>
      <c r="C1163" s="3111"/>
      <c r="D1163" s="3111"/>
      <c r="E1163" s="3312"/>
      <c r="F1163" s="3452">
        <f>F1140+F1147+F1154+F1161</f>
        <v>74</v>
      </c>
      <c r="G1163" s="3177"/>
      <c r="H1163" s="3453">
        <f>'Part VIII-Threshold Criteria'!H69</f>
        <v>15865932</v>
      </c>
      <c r="I1163" s="3453">
        <f>'Part VIII-Threshold Criteria'!I69</f>
        <v>0</v>
      </c>
      <c r="J1163" s="3453">
        <f>'Part VIII-Threshold Criteria'!J69</f>
        <v>0</v>
      </c>
      <c r="K1163" s="3452">
        <f>K1140+K1147+K1154+K1161</f>
        <v>0</v>
      </c>
      <c r="L1163" s="3454"/>
      <c r="M1163" s="3453">
        <f>'Part VIII-Threshold Criteria'!M69</f>
        <v>0</v>
      </c>
      <c r="N1163" s="3453">
        <f>'Part VIII-Threshold Criteria'!N69</f>
        <v>0</v>
      </c>
      <c r="O1163" s="3453">
        <f>'Part VIII-Threshold Criteria'!O69</f>
        <v>0</v>
      </c>
      <c r="P1163" s="3409"/>
      <c r="Q1163" s="3409"/>
    </row>
    <row r="1164" spans="1:17">
      <c r="B1164" s="3355" t="s">
        <v>1274</v>
      </c>
      <c r="D1164" s="3355"/>
      <c r="E1164" s="3355"/>
      <c r="F1164" s="3355"/>
      <c r="G1164" s="3355"/>
      <c r="H1164" s="3354"/>
      <c r="I1164" s="3416"/>
      <c r="J1164" s="3416"/>
      <c r="K1164" s="3419" t="s">
        <v>1276</v>
      </c>
      <c r="L1164" s="3318"/>
      <c r="M1164" s="3318"/>
      <c r="N1164" s="3318"/>
      <c r="O1164" s="3318"/>
      <c r="P1164" s="3318"/>
      <c r="Q1164" s="3318"/>
    </row>
    <row r="1165" spans="1:17" ht="168.75">
      <c r="A1165" s="3418" t="str">
        <f>'Part VIII-Threshold Criteria'!A71</f>
        <v>The Mill at Stone Valley is well within the DCA project cost limit, as determined by unit mix and type of construction for 74 walkup-style apartments.</v>
      </c>
      <c r="B1165" s="3418">
        <f>'Part VIII-Threshold Criteria'!B71</f>
        <v>0</v>
      </c>
      <c r="C1165" s="3418">
        <f>'Part VIII-Threshold Criteria'!C71</f>
        <v>0</v>
      </c>
      <c r="D1165" s="3418">
        <f>'Part VIII-Threshold Criteria'!D71</f>
        <v>0</v>
      </c>
      <c r="E1165" s="3418">
        <f>'Part VIII-Threshold Criteria'!E71</f>
        <v>0</v>
      </c>
      <c r="F1165" s="3418">
        <f>'Part VIII-Threshold Criteria'!F71</f>
        <v>0</v>
      </c>
      <c r="G1165" s="3418">
        <f>'Part VIII-Threshold Criteria'!G71</f>
        <v>0</v>
      </c>
      <c r="H1165" s="3418">
        <f>'Part VIII-Threshold Criteria'!H71</f>
        <v>0</v>
      </c>
      <c r="I1165" s="3418">
        <f>'Part VIII-Threshold Criteria'!I71</f>
        <v>0</v>
      </c>
      <c r="J1165" s="3418">
        <f>'Part VIII-Threshold Criteria'!J71</f>
        <v>0</v>
      </c>
      <c r="K1165" s="3418">
        <f>'Part VIII-Threshold Criteria'!K71</f>
        <v>0</v>
      </c>
      <c r="L1165" s="3418">
        <f>'Part VIII-Threshold Criteria'!L71</f>
        <v>0</v>
      </c>
      <c r="M1165" s="3418">
        <f>'Part VIII-Threshold Criteria'!M71</f>
        <v>0</v>
      </c>
      <c r="N1165" s="3418">
        <f>'Part VIII-Threshold Criteria'!N71</f>
        <v>0</v>
      </c>
      <c r="O1165" s="3418">
        <f>'Part VIII-Threshold Criteria'!O71</f>
        <v>0</v>
      </c>
      <c r="P1165" s="3418">
        <f>'Part VIII-Threshold Criteria'!P71</f>
        <v>0</v>
      </c>
      <c r="Q1165" s="3418">
        <f>'Part VIII-Threshold Criteria'!Q71</f>
        <v>0</v>
      </c>
    </row>
    <row r="1166" spans="1:17">
      <c r="B1166" s="3416"/>
      <c r="C1166" s="3421"/>
      <c r="D1166" s="3421"/>
      <c r="E1166" s="3421"/>
      <c r="F1166" s="3421"/>
      <c r="G1166" s="3421"/>
      <c r="H1166" s="3421"/>
      <c r="I1166" s="3421"/>
      <c r="J1166" s="3421"/>
      <c r="K1166" s="3421"/>
      <c r="L1166" s="3421"/>
      <c r="M1166" s="3421"/>
      <c r="N1166" s="3421"/>
      <c r="O1166" s="3421"/>
      <c r="P1166" s="3421"/>
      <c r="Q1166" s="3318"/>
    </row>
    <row r="1167" spans="1:17">
      <c r="A1167" s="3301" t="s">
        <v>31</v>
      </c>
      <c r="B1167" s="3300" t="s">
        <v>151</v>
      </c>
      <c r="C1167" s="3300"/>
      <c r="D1167" s="3300"/>
      <c r="E1167" s="3421"/>
      <c r="F1167" s="3421"/>
      <c r="G1167" s="3443" t="s">
        <v>1298</v>
      </c>
      <c r="H1167" s="3421"/>
      <c r="J1167" s="3415" t="str">
        <f>'Part VIII-Threshold Criteria'!J73</f>
        <v>Family</v>
      </c>
      <c r="K1167" s="3415">
        <f>'Part VIII-Threshold Criteria'!K73</f>
        <v>0</v>
      </c>
      <c r="L1167" s="3415">
        <f>'Part VIII-Threshold Criteria'!L73</f>
        <v>0</v>
      </c>
      <c r="O1167" s="3417" t="s">
        <v>1273</v>
      </c>
      <c r="P1167" s="3326">
        <f>'Part VIII-Threshold Criteria'!P73</f>
        <v>0</v>
      </c>
      <c r="Q1167" s="3326">
        <f>'Part VIII-Threshold Criteria'!Q73</f>
        <v>0</v>
      </c>
    </row>
    <row r="1168" spans="1:17">
      <c r="B1168" s="3355" t="s">
        <v>1274</v>
      </c>
      <c r="D1168" s="3355"/>
      <c r="E1168" s="3355"/>
      <c r="F1168" s="3355"/>
      <c r="G1168" s="3355"/>
      <c r="H1168" s="3354"/>
      <c r="I1168" s="3416"/>
      <c r="J1168" s="3416"/>
      <c r="K1168" s="3419" t="s">
        <v>1276</v>
      </c>
      <c r="L1168" s="3318"/>
      <c r="M1168" s="3318"/>
      <c r="N1168" s="3318"/>
      <c r="O1168" s="3318"/>
      <c r="P1168" s="3318"/>
      <c r="Q1168" s="3318"/>
    </row>
    <row r="1169" spans="1:17" ht="146.25">
      <c r="A1169" s="3418" t="str">
        <f>'Part VIII-Threshold Criteria'!A75</f>
        <v>The Mill at Stone Valley will be a community designed and operated for families in the Ball Ground, Georgia area.</v>
      </c>
      <c r="B1169" s="3418">
        <f>'Part VIII-Threshold Criteria'!B75</f>
        <v>0</v>
      </c>
      <c r="C1169" s="3418">
        <f>'Part VIII-Threshold Criteria'!C75</f>
        <v>0</v>
      </c>
      <c r="D1169" s="3418">
        <f>'Part VIII-Threshold Criteria'!D75</f>
        <v>0</v>
      </c>
      <c r="E1169" s="3418">
        <f>'Part VIII-Threshold Criteria'!E75</f>
        <v>0</v>
      </c>
      <c r="F1169" s="3418">
        <f>'Part VIII-Threshold Criteria'!F75</f>
        <v>0</v>
      </c>
      <c r="G1169" s="3418">
        <f>'Part VIII-Threshold Criteria'!G75</f>
        <v>0</v>
      </c>
      <c r="H1169" s="3418">
        <f>'Part VIII-Threshold Criteria'!H75</f>
        <v>0</v>
      </c>
      <c r="I1169" s="3418">
        <f>'Part VIII-Threshold Criteria'!I75</f>
        <v>0</v>
      </c>
      <c r="J1169" s="3418">
        <f>'Part VIII-Threshold Criteria'!J75</f>
        <v>0</v>
      </c>
      <c r="K1169" s="3418">
        <f>'Part VIII-Threshold Criteria'!K75</f>
        <v>0</v>
      </c>
      <c r="L1169" s="3418">
        <f>'Part VIII-Threshold Criteria'!L75</f>
        <v>0</v>
      </c>
      <c r="M1169" s="3418">
        <f>'Part VIII-Threshold Criteria'!M75</f>
        <v>0</v>
      </c>
      <c r="N1169" s="3418">
        <f>'Part VIII-Threshold Criteria'!N75</f>
        <v>0</v>
      </c>
      <c r="O1169" s="3418">
        <f>'Part VIII-Threshold Criteria'!O75</f>
        <v>0</v>
      </c>
      <c r="P1169" s="3418">
        <f>'Part VIII-Threshold Criteria'!P75</f>
        <v>0</v>
      </c>
      <c r="Q1169" s="3418">
        <f>'Part VIII-Threshold Criteria'!Q75</f>
        <v>0</v>
      </c>
    </row>
    <row r="1170" spans="1:17">
      <c r="A1170" s="3318"/>
      <c r="B1170" s="3416"/>
      <c r="C1170" s="3421"/>
      <c r="D1170" s="3421"/>
      <c r="E1170" s="3421"/>
      <c r="F1170" s="3421"/>
      <c r="G1170" s="3421"/>
      <c r="H1170" s="3421"/>
      <c r="I1170" s="3421"/>
      <c r="J1170" s="3421"/>
      <c r="K1170" s="3421"/>
      <c r="L1170" s="3421"/>
      <c r="M1170" s="3421"/>
      <c r="N1170" s="3421"/>
      <c r="O1170" s="3421"/>
      <c r="P1170" s="3421"/>
      <c r="Q1170" s="3318"/>
    </row>
    <row r="1171" spans="1:17">
      <c r="A1171" s="3301" t="s">
        <v>57</v>
      </c>
      <c r="B1171" s="3301" t="s">
        <v>1299</v>
      </c>
      <c r="C1171" s="3451"/>
      <c r="D1171" s="3421"/>
      <c r="E1171" s="3421"/>
      <c r="F1171" s="3421"/>
      <c r="G1171" s="3421"/>
      <c r="H1171" s="3421"/>
      <c r="I1171" s="3421"/>
      <c r="J1171" s="3421"/>
      <c r="K1171" s="3421"/>
      <c r="L1171" s="3421"/>
      <c r="M1171" s="3421"/>
      <c r="O1171" s="3417" t="s">
        <v>1273</v>
      </c>
      <c r="P1171" s="3326">
        <f>'Part VIII-Threshold Criteria'!P77</f>
        <v>0</v>
      </c>
      <c r="Q1171" s="3326">
        <f>'Part VIII-Threshold Criteria'!Q77</f>
        <v>0</v>
      </c>
    </row>
    <row r="1173" spans="1:17">
      <c r="A1173" s="3455" t="s">
        <v>110</v>
      </c>
      <c r="B1173" s="3443" t="s">
        <v>1300</v>
      </c>
      <c r="D1173" s="3443"/>
      <c r="E1173" s="3443"/>
      <c r="F1173" s="3443"/>
      <c r="G1173" s="3443"/>
      <c r="H1173" s="3443"/>
      <c r="I1173" s="3443"/>
      <c r="K1173" s="3443"/>
      <c r="L1173" s="3443"/>
      <c r="M1173" s="3456" t="s">
        <v>1301</v>
      </c>
      <c r="O1173" s="3418"/>
      <c r="P1173" s="3424" t="str">
        <f>'Part VIII-Threshold Criteria'!P79</f>
        <v>Agree</v>
      </c>
    </row>
    <row r="1174" spans="1:17">
      <c r="A1174" s="3457" t="s">
        <v>121</v>
      </c>
      <c r="B1174" s="3354" t="s">
        <v>1302</v>
      </c>
      <c r="D1174" s="3354"/>
      <c r="E1174" s="3354"/>
      <c r="F1174" s="3354"/>
      <c r="G1174" s="3354"/>
      <c r="H1174" s="3354"/>
      <c r="I1174" s="3354"/>
      <c r="J1174" s="3354"/>
      <c r="K1174" s="3354"/>
      <c r="L1174" s="3354"/>
      <c r="M1174" s="3354"/>
      <c r="O1174" s="3354"/>
      <c r="P1174" s="3354"/>
      <c r="Q1174" s="3354"/>
    </row>
    <row r="1175" spans="1:17" ht="112.5">
      <c r="A1175" s="3458"/>
      <c r="B1175" s="3459" t="s">
        <v>1303</v>
      </c>
      <c r="C1175" s="3354" t="s">
        <v>1304</v>
      </c>
      <c r="E1175" s="3348"/>
      <c r="F1175" s="3348"/>
      <c r="G1175" s="3348"/>
      <c r="H1175" s="3111"/>
      <c r="I1175" s="358" t="s">
        <v>1305</v>
      </c>
      <c r="J1175" s="3460" t="str">
        <f>'Part VIII-Threshold Criteria'!J81</f>
        <v>The property will host semi-monthly recreational programs including, but not limited to, birthday club celebrations and movie nights.</v>
      </c>
      <c r="K1175" s="3460">
        <f>'Part VIII-Threshold Criteria'!K81</f>
        <v>0</v>
      </c>
      <c r="L1175" s="3460">
        <f>'Part VIII-Threshold Criteria'!L81</f>
        <v>0</v>
      </c>
      <c r="M1175" s="3460">
        <f>'Part VIII-Threshold Criteria'!M81</f>
        <v>0</v>
      </c>
      <c r="N1175" s="3460">
        <f>'Part VIII-Threshold Criteria'!N81</f>
        <v>0</v>
      </c>
      <c r="O1175" s="3460">
        <f>'Part VIII-Threshold Criteria'!O81</f>
        <v>0</v>
      </c>
      <c r="P1175" s="3460">
        <f>'Part VIII-Threshold Criteria'!P81</f>
        <v>0</v>
      </c>
      <c r="Q1175" s="3460">
        <f>'Part VIII-Threshold Criteria'!Q81</f>
        <v>0</v>
      </c>
    </row>
    <row r="1176" spans="1:17">
      <c r="A1176" s="3458"/>
      <c r="B1176" s="3459" t="s">
        <v>1306</v>
      </c>
      <c r="C1176" s="3354" t="s">
        <v>1307</v>
      </c>
      <c r="E1176" s="3348"/>
      <c r="F1176" s="3348"/>
      <c r="G1176" s="3348"/>
      <c r="H1176" s="3111"/>
      <c r="I1176" s="358" t="s">
        <v>1305</v>
      </c>
      <c r="J1176" s="3460">
        <f>'Part VIII-Threshold Criteria'!J82</f>
        <v>0</v>
      </c>
      <c r="K1176" s="3460">
        <f>'Part VIII-Threshold Criteria'!K82</f>
        <v>0</v>
      </c>
      <c r="L1176" s="3460">
        <f>'Part VIII-Threshold Criteria'!L82</f>
        <v>0</v>
      </c>
      <c r="M1176" s="3460">
        <f>'Part VIII-Threshold Criteria'!M82</f>
        <v>0</v>
      </c>
      <c r="N1176" s="3460">
        <f>'Part VIII-Threshold Criteria'!N82</f>
        <v>0</v>
      </c>
      <c r="O1176" s="3460">
        <f>'Part VIII-Threshold Criteria'!O82</f>
        <v>0</v>
      </c>
      <c r="P1176" s="3460">
        <f>'Part VIII-Threshold Criteria'!P82</f>
        <v>0</v>
      </c>
      <c r="Q1176" s="3460">
        <f>'Part VIII-Threshold Criteria'!Q82</f>
        <v>0</v>
      </c>
    </row>
    <row r="1177" spans="1:17" ht="67.5">
      <c r="A1177" s="3458"/>
      <c r="B1177" s="3459" t="s">
        <v>1308</v>
      </c>
      <c r="C1177" s="3354" t="s">
        <v>1309</v>
      </c>
      <c r="E1177" s="3348"/>
      <c r="F1177" s="3348"/>
      <c r="G1177" s="3348"/>
      <c r="H1177" s="3111"/>
      <c r="I1177" s="358" t="s">
        <v>1305</v>
      </c>
      <c r="J1177" s="3460" t="str">
        <f>'Part VIII-Threshold Criteria'!J83</f>
        <v>The property will host and bring in organizations to offer training in health and well being.</v>
      </c>
      <c r="K1177" s="3460">
        <f>'Part VIII-Threshold Criteria'!K83</f>
        <v>0</v>
      </c>
      <c r="L1177" s="3460">
        <f>'Part VIII-Threshold Criteria'!L83</f>
        <v>0</v>
      </c>
      <c r="M1177" s="3460">
        <f>'Part VIII-Threshold Criteria'!M83</f>
        <v>0</v>
      </c>
      <c r="N1177" s="3460">
        <f>'Part VIII-Threshold Criteria'!N83</f>
        <v>0</v>
      </c>
      <c r="O1177" s="3460">
        <f>'Part VIII-Threshold Criteria'!O83</f>
        <v>0</v>
      </c>
      <c r="P1177" s="3460">
        <f>'Part VIII-Threshold Criteria'!P83</f>
        <v>0</v>
      </c>
      <c r="Q1177" s="3460">
        <f>'Part VIII-Threshold Criteria'!Q83</f>
        <v>0</v>
      </c>
    </row>
    <row r="1178" spans="1:17">
      <c r="A1178" s="3458"/>
      <c r="B1178" s="3459" t="s">
        <v>1310</v>
      </c>
      <c r="C1178" s="3354" t="s">
        <v>1311</v>
      </c>
      <c r="E1178" s="3348"/>
      <c r="I1178" s="358" t="s">
        <v>1305</v>
      </c>
      <c r="J1178" s="3460">
        <f>'Part VIII-Threshold Criteria'!J84</f>
        <v>0</v>
      </c>
      <c r="K1178" s="3460">
        <f>'Part VIII-Threshold Criteria'!K84</f>
        <v>0</v>
      </c>
      <c r="L1178" s="3460">
        <f>'Part VIII-Threshold Criteria'!L84</f>
        <v>0</v>
      </c>
      <c r="M1178" s="3460">
        <f>'Part VIII-Threshold Criteria'!M84</f>
        <v>0</v>
      </c>
      <c r="N1178" s="3460">
        <f>'Part VIII-Threshold Criteria'!N84</f>
        <v>0</v>
      </c>
      <c r="O1178" s="3460">
        <f>'Part VIII-Threshold Criteria'!O84</f>
        <v>0</v>
      </c>
      <c r="P1178" s="3460">
        <f>'Part VIII-Threshold Criteria'!P84</f>
        <v>0</v>
      </c>
      <c r="Q1178" s="3460">
        <f>'Part VIII-Threshold Criteria'!Q84</f>
        <v>0</v>
      </c>
    </row>
    <row r="1179" spans="1:17">
      <c r="A1179" s="3457" t="s">
        <v>123</v>
      </c>
      <c r="B1179" s="3354" t="s">
        <v>1312</v>
      </c>
      <c r="D1179" s="3354"/>
      <c r="E1179" s="3348"/>
      <c r="J1179" s="358"/>
      <c r="K1179" s="358"/>
      <c r="L1179" s="358"/>
      <c r="M1179" s="358"/>
      <c r="N1179" s="358"/>
      <c r="O1179" s="358"/>
      <c r="P1179" s="358"/>
      <c r="Q1179" s="358"/>
    </row>
    <row r="1180" spans="1:17">
      <c r="A1180" s="3458"/>
      <c r="B1180" s="943" t="s">
        <v>1313</v>
      </c>
      <c r="D1180" s="3383"/>
      <c r="E1180" s="3383"/>
      <c r="F1180" s="3383"/>
      <c r="G1180" s="3383"/>
      <c r="H1180" s="3383"/>
      <c r="I1180" s="3111"/>
      <c r="J1180" s="3111"/>
      <c r="K1180" s="3459" t="s">
        <v>123</v>
      </c>
      <c r="L1180" s="3415" t="str">
        <f>'Part VIII-Threshold Criteria'!L86</f>
        <v>N/A</v>
      </c>
      <c r="M1180" s="3415">
        <f>'Part VIII-Threshold Criteria'!M86</f>
        <v>0</v>
      </c>
      <c r="N1180" s="3415">
        <f>'Part VIII-Threshold Criteria'!N86</f>
        <v>0</v>
      </c>
      <c r="O1180" s="3415">
        <f>'Part VIII-Threshold Criteria'!O86</f>
        <v>0</v>
      </c>
      <c r="P1180" s="3415">
        <f>'Part VIII-Threshold Criteria'!P86</f>
        <v>0</v>
      </c>
      <c r="Q1180" s="3424">
        <f>'Part VIII-Threshold Criteria'!Q86</f>
        <v>0</v>
      </c>
    </row>
    <row r="1181" spans="1:17">
      <c r="B1181" s="3355" t="s">
        <v>1274</v>
      </c>
      <c r="D1181" s="3355"/>
      <c r="E1181" s="3355"/>
      <c r="F1181" s="3355"/>
      <c r="G1181" s="3355"/>
      <c r="H1181" s="3354"/>
      <c r="I1181" s="3416"/>
      <c r="J1181" s="3416"/>
      <c r="K1181" s="3419" t="s">
        <v>1276</v>
      </c>
      <c r="L1181" s="3318"/>
      <c r="M1181" s="3318"/>
      <c r="N1181" s="3318"/>
      <c r="O1181" s="3318"/>
      <c r="P1181" s="3318"/>
      <c r="Q1181" s="3318"/>
    </row>
    <row r="1182" spans="1:17" ht="101.25">
      <c r="A1182" s="3418" t="str">
        <f>'Part VIII-Threshold Criteria'!A88</f>
        <v xml:space="preserve">The property agrees to host at least 2 basic ongoing services from the list above. </v>
      </c>
      <c r="B1182" s="3418">
        <f>'Part VIII-Threshold Criteria'!B88</f>
        <v>0</v>
      </c>
      <c r="C1182" s="3418">
        <f>'Part VIII-Threshold Criteria'!C88</f>
        <v>0</v>
      </c>
      <c r="D1182" s="3418">
        <f>'Part VIII-Threshold Criteria'!D88</f>
        <v>0</v>
      </c>
      <c r="E1182" s="3418">
        <f>'Part VIII-Threshold Criteria'!E88</f>
        <v>0</v>
      </c>
      <c r="F1182" s="3418">
        <f>'Part VIII-Threshold Criteria'!F88</f>
        <v>0</v>
      </c>
      <c r="G1182" s="3418">
        <f>'Part VIII-Threshold Criteria'!G88</f>
        <v>0</v>
      </c>
      <c r="H1182" s="3418">
        <f>'Part VIII-Threshold Criteria'!H88</f>
        <v>0</v>
      </c>
      <c r="I1182" s="3418">
        <f>'Part VIII-Threshold Criteria'!I88</f>
        <v>0</v>
      </c>
      <c r="J1182" s="3418">
        <f>'Part VIII-Threshold Criteria'!J88</f>
        <v>0</v>
      </c>
      <c r="K1182" s="3418">
        <f>'Part VIII-Threshold Criteria'!K88</f>
        <v>0</v>
      </c>
      <c r="L1182" s="3418">
        <f>'Part VIII-Threshold Criteria'!L88</f>
        <v>0</v>
      </c>
      <c r="M1182" s="3418">
        <f>'Part VIII-Threshold Criteria'!M88</f>
        <v>0</v>
      </c>
      <c r="N1182" s="3418">
        <f>'Part VIII-Threshold Criteria'!N88</f>
        <v>0</v>
      </c>
      <c r="O1182" s="3418">
        <f>'Part VIII-Threshold Criteria'!O88</f>
        <v>0</v>
      </c>
      <c r="P1182" s="3418">
        <f>'Part VIII-Threshold Criteria'!P88</f>
        <v>0</v>
      </c>
      <c r="Q1182" s="3418">
        <f>'Part VIII-Threshold Criteria'!Q88</f>
        <v>0</v>
      </c>
    </row>
    <row r="1183" spans="1:17">
      <c r="A1183" s="3318"/>
      <c r="B1183" s="3416"/>
      <c r="C1183" s="3421"/>
      <c r="D1183" s="3421"/>
      <c r="E1183" s="3421"/>
      <c r="F1183" s="3421"/>
      <c r="G1183" s="3421"/>
      <c r="H1183" s="3421"/>
      <c r="I1183" s="3421"/>
      <c r="J1183" s="3421"/>
      <c r="K1183" s="3421"/>
      <c r="L1183" s="3421"/>
      <c r="M1183" s="3421"/>
      <c r="N1183" s="3421"/>
      <c r="O1183" s="3421"/>
      <c r="P1183" s="3421"/>
      <c r="Q1183" s="3318"/>
    </row>
    <row r="1184" spans="1:17">
      <c r="A1184" s="3301" t="s">
        <v>108</v>
      </c>
      <c r="B1184" s="3301" t="s">
        <v>1314</v>
      </c>
      <c r="C1184" s="3301"/>
      <c r="D1184" s="3421"/>
      <c r="E1184" s="3421"/>
      <c r="F1184" s="3421"/>
      <c r="G1184" s="3421"/>
      <c r="H1184" s="3421"/>
      <c r="I1184" s="3421"/>
      <c r="J1184" s="3421"/>
      <c r="K1184" s="3421"/>
      <c r="O1184" s="3417" t="s">
        <v>1273</v>
      </c>
      <c r="P1184" s="3326">
        <f>'Part VIII-Threshold Criteria'!P90</f>
        <v>0</v>
      </c>
      <c r="Q1184" s="3326">
        <f>'Part VIII-Threshold Criteria'!Q90</f>
        <v>0</v>
      </c>
    </row>
    <row r="1186" spans="1:17">
      <c r="A1186" s="3457" t="s">
        <v>110</v>
      </c>
      <c r="B1186" s="943" t="s">
        <v>1315</v>
      </c>
      <c r="D1186" s="3383"/>
      <c r="E1186" s="3383"/>
      <c r="F1186" s="3383"/>
      <c r="G1186" s="3383"/>
      <c r="H1186" s="3383"/>
      <c r="I1186" s="3111"/>
      <c r="J1186" s="3111"/>
      <c r="K1186" s="3111"/>
      <c r="L1186" s="3459" t="s">
        <v>110</v>
      </c>
      <c r="M1186" s="3415" t="str">
        <f>'Part VIII-Threshold Criteria'!M92</f>
        <v>Acacia Realty Advisors</v>
      </c>
      <c r="N1186" s="3415">
        <f>'Part VIII-Threshold Criteria'!N92</f>
        <v>0</v>
      </c>
      <c r="O1186" s="3415">
        <f>'Part VIII-Threshold Criteria'!O92</f>
        <v>0</v>
      </c>
      <c r="P1186" s="3111">
        <f>'Part VIII-Threshold Criteria'!P92</f>
        <v>0</v>
      </c>
      <c r="Q1186" s="3424">
        <f>'Part VIII-Threshold Criteria'!Q92</f>
        <v>0</v>
      </c>
    </row>
    <row r="1187" spans="1:17">
      <c r="A1187" s="3457" t="s">
        <v>121</v>
      </c>
      <c r="B1187" s="358" t="s">
        <v>1316</v>
      </c>
      <c r="D1187" s="3383"/>
      <c r="E1187" s="3383"/>
      <c r="F1187" s="3383"/>
      <c r="L1187" s="3459" t="s">
        <v>121</v>
      </c>
      <c r="M1187" s="3415" t="str">
        <f>'Part VIII-Threshold Criteria'!M93</f>
        <v>Three to four months</v>
      </c>
      <c r="N1187" s="3415">
        <f>'Part VIII-Threshold Criteria'!N93</f>
        <v>0</v>
      </c>
      <c r="O1187" s="3415">
        <f>'Part VIII-Threshold Criteria'!O93</f>
        <v>0</v>
      </c>
      <c r="P1187" s="3111">
        <f>'Part VIII-Threshold Criteria'!P93</f>
        <v>0</v>
      </c>
      <c r="Q1187" s="3424">
        <f>'Part VIII-Threshold Criteria'!Q93</f>
        <v>0</v>
      </c>
    </row>
    <row r="1188" spans="1:17">
      <c r="A1188" s="3457" t="s">
        <v>123</v>
      </c>
      <c r="B1188" s="358" t="s">
        <v>1317</v>
      </c>
      <c r="D1188" s="3383"/>
      <c r="E1188" s="3383"/>
      <c r="F1188" s="3383"/>
      <c r="L1188" s="3459" t="s">
        <v>123</v>
      </c>
      <c r="M1188" s="3461">
        <f>'Part VIII-Threshold Criteria'!M94</f>
        <v>0.95199999999999996</v>
      </c>
      <c r="N1188" s="3461">
        <f>'Part VIII-Threshold Criteria'!N94</f>
        <v>0</v>
      </c>
      <c r="O1188" s="3461">
        <f>'Part VIII-Threshold Criteria'!O94</f>
        <v>0</v>
      </c>
      <c r="P1188" s="3462">
        <f>'Part VIII-Threshold Criteria'!P94</f>
        <v>0</v>
      </c>
      <c r="Q1188" s="3424">
        <f>'Part VIII-Threshold Criteria'!Q94</f>
        <v>0</v>
      </c>
    </row>
    <row r="1189" spans="1:17">
      <c r="A1189" s="3457" t="s">
        <v>126</v>
      </c>
      <c r="B1189" s="358" t="s">
        <v>1318</v>
      </c>
      <c r="D1189" s="3383"/>
      <c r="E1189" s="3383"/>
      <c r="F1189" s="3383"/>
      <c r="L1189" s="3459" t="s">
        <v>1319</v>
      </c>
      <c r="M1189" s="3463">
        <f>'Part VIII-Threshold Criteria'!M95</f>
        <v>0.10290000000000001</v>
      </c>
      <c r="N1189" s="3461"/>
      <c r="O1189" s="3464" t="s">
        <v>1320</v>
      </c>
      <c r="P1189" s="3465">
        <f>'Part VIII-Threshold Criteria'!P95</f>
        <v>8.0000000000000002E-3</v>
      </c>
      <c r="Q1189" s="3424">
        <f>'Part VIII-Threshold Criteria'!Q95</f>
        <v>0</v>
      </c>
    </row>
    <row r="1190" spans="1:17">
      <c r="A1190" s="3455" t="s">
        <v>140</v>
      </c>
      <c r="B1190" s="3443" t="s">
        <v>1321</v>
      </c>
      <c r="D1190" s="3443"/>
      <c r="E1190" s="3443"/>
      <c r="F1190" s="3443"/>
      <c r="G1190" s="3443"/>
      <c r="H1190" s="3443"/>
      <c r="I1190" s="3443"/>
      <c r="J1190" s="3443"/>
      <c r="K1190" s="3443"/>
      <c r="L1190" s="3443"/>
      <c r="M1190" s="3443"/>
      <c r="N1190" s="3443"/>
      <c r="O1190" s="3443"/>
      <c r="P1190" s="3443"/>
      <c r="Q1190" s="3443"/>
    </row>
    <row r="1191" spans="1:17">
      <c r="B1191" s="3457"/>
      <c r="C1191" s="358"/>
      <c r="D1191" s="3416" t="s">
        <v>1322</v>
      </c>
      <c r="E1191" s="3354" t="s">
        <v>59</v>
      </c>
      <c r="F1191" s="3354"/>
      <c r="H1191" s="358"/>
      <c r="I1191" s="3416" t="s">
        <v>1322</v>
      </c>
      <c r="J1191" s="3354" t="s">
        <v>59</v>
      </c>
      <c r="K1191" s="3354"/>
      <c r="M1191" s="358"/>
      <c r="N1191" s="3416" t="s">
        <v>1322</v>
      </c>
      <c r="O1191" s="3354" t="s">
        <v>59</v>
      </c>
      <c r="P1191" s="3354"/>
      <c r="Q1191" s="3459"/>
    </row>
    <row r="1192" spans="1:17">
      <c r="C1192" s="3459" t="s">
        <v>1303</v>
      </c>
      <c r="D1192" s="3424" t="str">
        <f>'Part VIII-Threshold Criteria'!D98</f>
        <v>1999-015</v>
      </c>
      <c r="E1192" s="3415" t="str">
        <f>'Part VIII-Threshold Criteria'!E98</f>
        <v>Alexander Ridge (Canton)</v>
      </c>
      <c r="F1192" s="3415">
        <f>'Part VIII-Threshold Criteria'!F98</f>
        <v>0</v>
      </c>
      <c r="G1192" s="3415">
        <f>'Part VIII-Threshold Criteria'!G98</f>
        <v>0</v>
      </c>
      <c r="H1192" s="3459" t="s">
        <v>1308</v>
      </c>
      <c r="I1192" s="3424" t="str">
        <f>'Part VIII-Threshold Criteria'!I98</f>
        <v>2003-505</v>
      </c>
      <c r="J1192" s="3415" t="str">
        <f>'Part VIII-Threshold Criteria'!J98</f>
        <v>Mountainside Manor (Jasper)</v>
      </c>
      <c r="K1192" s="3415">
        <f>'Part VIII-Threshold Criteria'!K98</f>
        <v>0</v>
      </c>
      <c r="L1192" s="3415">
        <f>'Part VIII-Threshold Criteria'!L98</f>
        <v>0</v>
      </c>
      <c r="M1192" s="3459" t="s">
        <v>1323</v>
      </c>
      <c r="N1192" s="3424" t="str">
        <f>'Part VIII-Threshold Criteria'!N98</f>
        <v>1998-021</v>
      </c>
      <c r="O1192" s="3415" t="str">
        <f>'Part VIII-Threshold Criteria'!O98</f>
        <v>The Homestead (Jasper)</v>
      </c>
      <c r="P1192" s="3415">
        <f>'Part VIII-Threshold Criteria'!P98</f>
        <v>0</v>
      </c>
      <c r="Q1192" s="3415">
        <f>'Part VIII-Threshold Criteria'!Q98</f>
        <v>0</v>
      </c>
    </row>
    <row r="1193" spans="1:17">
      <c r="C1193" s="3459" t="s">
        <v>1306</v>
      </c>
      <c r="D1193" s="3424" t="str">
        <f>'Part VIII-Threshold Criteria'!D99</f>
        <v>1999-067</v>
      </c>
      <c r="E1193" s="3415" t="str">
        <f>'Part VIII-Threshold Criteria'!E99</f>
        <v>Laurels at Greenwood (Canton)</v>
      </c>
      <c r="F1193" s="3415">
        <f>'Part VIII-Threshold Criteria'!F99</f>
        <v>0</v>
      </c>
      <c r="G1193" s="3415">
        <f>'Part VIII-Threshold Criteria'!G99</f>
        <v>0</v>
      </c>
      <c r="H1193" s="3459" t="s">
        <v>1310</v>
      </c>
      <c r="I1193" s="3424" t="str">
        <f>'Part VIII-Threshold Criteria'!I99</f>
        <v>2001-532</v>
      </c>
      <c r="J1193" s="3415" t="str">
        <f>'Part VIII-Threshold Criteria'!J99</f>
        <v>River Ridge Apartments (Canton)</v>
      </c>
      <c r="K1193" s="3415">
        <f>'Part VIII-Threshold Criteria'!K99</f>
        <v>0</v>
      </c>
      <c r="L1193" s="3415">
        <f>'Part VIII-Threshold Criteria'!L99</f>
        <v>0</v>
      </c>
      <c r="M1193" s="3459" t="s">
        <v>1324</v>
      </c>
      <c r="N1193" s="3424" t="str">
        <f>'Part VIII-Threshold Criteria'!N99</f>
        <v>2002-047</v>
      </c>
      <c r="O1193" s="3415" t="str">
        <f>'Part VIII-Threshold Criteria'!O99</f>
        <v>Hearthstone Landing (Canton)</v>
      </c>
      <c r="P1193" s="3415">
        <f>'Part VIII-Threshold Criteria'!P99</f>
        <v>0</v>
      </c>
      <c r="Q1193" s="3415">
        <f>'Part VIII-Threshold Criteria'!Q99</f>
        <v>0</v>
      </c>
    </row>
    <row r="1194" spans="1:17">
      <c r="A1194" s="3457" t="s">
        <v>147</v>
      </c>
      <c r="B1194" s="358" t="s">
        <v>1325</v>
      </c>
      <c r="D1194" s="3383"/>
      <c r="E1194" s="3383"/>
      <c r="F1194" s="3383"/>
      <c r="G1194" s="3383"/>
      <c r="H1194" s="3383"/>
      <c r="I1194" s="3111"/>
      <c r="J1194" s="3111"/>
      <c r="K1194" s="3383"/>
      <c r="L1194" s="3348"/>
      <c r="M1194" s="3348"/>
      <c r="O1194" s="3459" t="s">
        <v>147</v>
      </c>
      <c r="P1194" s="3424" t="str">
        <f>'Part VIII-Threshold Criteria'!P100</f>
        <v>Yes</v>
      </c>
      <c r="Q1194" s="3424">
        <f>'Part VIII-Threshold Criteria'!Q100</f>
        <v>0</v>
      </c>
    </row>
    <row r="1195" spans="1:17">
      <c r="A1195" s="943" t="s">
        <v>1326</v>
      </c>
      <c r="M1195" s="3466"/>
      <c r="O1195" s="3467"/>
      <c r="Q1195" s="3468" t="s">
        <v>437</v>
      </c>
    </row>
    <row r="1196" spans="1:17" ht="12.75" customHeight="1">
      <c r="A1196" s="3455" t="s">
        <v>1327</v>
      </c>
      <c r="B1196" s="3418" t="s">
        <v>1328</v>
      </c>
      <c r="C1196" s="3418"/>
      <c r="D1196" s="3418"/>
      <c r="E1196" s="3418"/>
      <c r="F1196" s="3418"/>
      <c r="G1196" s="3418"/>
      <c r="H1196" s="3418"/>
      <c r="I1196" s="3418"/>
      <c r="J1196" s="3418"/>
      <c r="K1196" s="3418"/>
      <c r="L1196" s="3418"/>
      <c r="M1196" s="3418"/>
      <c r="N1196" s="3418"/>
      <c r="O1196" s="3418"/>
      <c r="P1196" s="3469" t="s">
        <v>1327</v>
      </c>
      <c r="Q1196" s="3470">
        <f>'Part VIII-Threshold Criteria'!Q102</f>
        <v>0</v>
      </c>
    </row>
    <row r="1197" spans="1:17" ht="12.75" customHeight="1">
      <c r="A1197" s="3455" t="s">
        <v>1329</v>
      </c>
      <c r="B1197" s="3418" t="s">
        <v>1330</v>
      </c>
      <c r="C1197" s="3418"/>
      <c r="D1197" s="3418"/>
      <c r="E1197" s="3418"/>
      <c r="F1197" s="3418"/>
      <c r="G1197" s="3418"/>
      <c r="H1197" s="3418"/>
      <c r="I1197" s="3418"/>
      <c r="J1197" s="3418"/>
      <c r="K1197" s="3418"/>
      <c r="L1197" s="3418"/>
      <c r="M1197" s="3418"/>
      <c r="N1197" s="3418"/>
      <c r="O1197" s="3418"/>
      <c r="P1197" s="3469" t="s">
        <v>1329</v>
      </c>
      <c r="Q1197" s="3470">
        <f>'Part VIII-Threshold Criteria'!Q103</f>
        <v>0</v>
      </c>
    </row>
    <row r="1198" spans="1:17">
      <c r="A1198" s="3455" t="s">
        <v>9</v>
      </c>
      <c r="B1198" s="3443" t="s">
        <v>1331</v>
      </c>
      <c r="C1198" s="3435"/>
      <c r="D1198" s="3435"/>
      <c r="E1198" s="3435"/>
      <c r="F1198" s="3435"/>
      <c r="G1198" s="3435"/>
      <c r="H1198" s="3435"/>
      <c r="I1198" s="3435"/>
      <c r="J1198" s="3435"/>
      <c r="K1198" s="3435"/>
      <c r="L1198" s="3471"/>
      <c r="M1198" s="3435"/>
      <c r="N1198" s="3467"/>
      <c r="O1198" s="3435"/>
      <c r="P1198" s="3459" t="s">
        <v>9</v>
      </c>
      <c r="Q1198" s="3470">
        <f>'Part VIII-Threshold Criteria'!Q104</f>
        <v>0</v>
      </c>
    </row>
    <row r="1199" spans="1:17">
      <c r="A1199" s="3455" t="s">
        <v>1332</v>
      </c>
      <c r="B1199" s="3443" t="s">
        <v>1333</v>
      </c>
      <c r="C1199" s="3435"/>
      <c r="D1199" s="3435"/>
      <c r="E1199" s="3435"/>
      <c r="F1199" s="3435"/>
      <c r="G1199" s="3435"/>
      <c r="H1199" s="3435"/>
      <c r="I1199" s="3435"/>
      <c r="J1199" s="3435"/>
      <c r="K1199" s="3435"/>
      <c r="L1199" s="3471"/>
      <c r="M1199" s="3435"/>
      <c r="N1199" s="3467"/>
      <c r="O1199" s="3435"/>
      <c r="P1199" s="3459" t="s">
        <v>1332</v>
      </c>
      <c r="Q1199" s="3470">
        <f>'Part VIII-Threshold Criteria'!Q105</f>
        <v>0</v>
      </c>
    </row>
    <row r="1200" spans="1:17">
      <c r="B1200" s="3355" t="s">
        <v>1274</v>
      </c>
      <c r="D1200" s="3355"/>
      <c r="E1200" s="3355"/>
      <c r="F1200" s="3355"/>
      <c r="G1200" s="3355"/>
      <c r="H1200" s="3354"/>
      <c r="I1200" s="3416"/>
      <c r="J1200" s="3416"/>
      <c r="K1200" s="3416"/>
      <c r="L1200" s="3318"/>
      <c r="M1200" s="3318"/>
      <c r="N1200" s="3318"/>
      <c r="O1200" s="3318"/>
      <c r="P1200" s="3318"/>
      <c r="Q1200" s="3318"/>
    </row>
    <row r="1201" spans="1:17" ht="371.25">
      <c r="A1201" s="3418" t="str">
        <f>'Part VIII-Threshold Criteria'!A107</f>
        <v>The market study, prepared by Acacia Realty Advisors, shows strong market viability for the project.  With a strong overall market occupancy rate and low capture rates for tax credit and market rate units, the Mill at Stone Valley is well-positioned for successful lease-up and long-term feasibility.</v>
      </c>
      <c r="B1201" s="3418">
        <f>'Part VIII-Threshold Criteria'!B107</f>
        <v>0</v>
      </c>
      <c r="C1201" s="3418">
        <f>'Part VIII-Threshold Criteria'!C107</f>
        <v>0</v>
      </c>
      <c r="D1201" s="3418">
        <f>'Part VIII-Threshold Criteria'!D107</f>
        <v>0</v>
      </c>
      <c r="E1201" s="3418">
        <f>'Part VIII-Threshold Criteria'!E107</f>
        <v>0</v>
      </c>
      <c r="F1201" s="3418">
        <f>'Part VIII-Threshold Criteria'!F107</f>
        <v>0</v>
      </c>
      <c r="G1201" s="3418">
        <f>'Part VIII-Threshold Criteria'!G107</f>
        <v>0</v>
      </c>
      <c r="H1201" s="3418">
        <f>'Part VIII-Threshold Criteria'!H107</f>
        <v>0</v>
      </c>
      <c r="I1201" s="3418">
        <f>'Part VIII-Threshold Criteria'!I107</f>
        <v>0</v>
      </c>
      <c r="J1201" s="3418">
        <f>'Part VIII-Threshold Criteria'!J107</f>
        <v>0</v>
      </c>
      <c r="K1201" s="3418">
        <f>'Part VIII-Threshold Criteria'!K107</f>
        <v>0</v>
      </c>
      <c r="L1201" s="3418">
        <f>'Part VIII-Threshold Criteria'!L107</f>
        <v>0</v>
      </c>
      <c r="M1201" s="3418">
        <f>'Part VIII-Threshold Criteria'!M107</f>
        <v>0</v>
      </c>
      <c r="N1201" s="3418">
        <f>'Part VIII-Threshold Criteria'!N107</f>
        <v>0</v>
      </c>
      <c r="O1201" s="3418">
        <f>'Part VIII-Threshold Criteria'!O107</f>
        <v>0</v>
      </c>
      <c r="P1201" s="3418">
        <f>'Part VIII-Threshold Criteria'!P107</f>
        <v>0</v>
      </c>
      <c r="Q1201" s="3418">
        <f>'Part VIII-Threshold Criteria'!Q107</f>
        <v>0</v>
      </c>
    </row>
    <row r="1202" spans="1:17">
      <c r="B1202" s="3419" t="s">
        <v>1276</v>
      </c>
      <c r="C1202" s="3420"/>
      <c r="D1202" s="3421"/>
      <c r="E1202" s="3421"/>
      <c r="F1202" s="3421"/>
      <c r="G1202" s="3421"/>
      <c r="H1202" s="3421"/>
      <c r="I1202" s="3421"/>
      <c r="J1202" s="3421"/>
      <c r="K1202" s="3421"/>
      <c r="L1202" s="3421"/>
      <c r="M1202" s="3421"/>
      <c r="N1202" s="3421"/>
      <c r="O1202" s="3421"/>
      <c r="P1202" s="3421"/>
      <c r="Q1202" s="3421"/>
    </row>
    <row r="1203" spans="1:17">
      <c r="A1203" s="3418">
        <f>'Part VIII-Threshold Criteria'!A109</f>
        <v>0</v>
      </c>
      <c r="B1203" s="3418">
        <f>'Part VIII-Threshold Criteria'!B109</f>
        <v>0</v>
      </c>
      <c r="C1203" s="3418">
        <f>'Part VIII-Threshold Criteria'!C109</f>
        <v>0</v>
      </c>
      <c r="D1203" s="3418">
        <f>'Part VIII-Threshold Criteria'!D109</f>
        <v>0</v>
      </c>
      <c r="E1203" s="3418">
        <f>'Part VIII-Threshold Criteria'!E109</f>
        <v>0</v>
      </c>
      <c r="F1203" s="3418">
        <f>'Part VIII-Threshold Criteria'!F109</f>
        <v>0</v>
      </c>
      <c r="G1203" s="3418">
        <f>'Part VIII-Threshold Criteria'!G109</f>
        <v>0</v>
      </c>
      <c r="H1203" s="3418">
        <f>'Part VIII-Threshold Criteria'!H109</f>
        <v>0</v>
      </c>
      <c r="I1203" s="3418">
        <f>'Part VIII-Threshold Criteria'!I109</f>
        <v>0</v>
      </c>
      <c r="J1203" s="3418">
        <f>'Part VIII-Threshold Criteria'!J109</f>
        <v>0</v>
      </c>
      <c r="K1203" s="3418">
        <f>'Part VIII-Threshold Criteria'!K109</f>
        <v>0</v>
      </c>
      <c r="L1203" s="3418">
        <f>'Part VIII-Threshold Criteria'!L109</f>
        <v>0</v>
      </c>
      <c r="M1203" s="3418">
        <f>'Part VIII-Threshold Criteria'!M109</f>
        <v>0</v>
      </c>
      <c r="N1203" s="3418">
        <f>'Part VIII-Threshold Criteria'!N109</f>
        <v>0</v>
      </c>
      <c r="O1203" s="3418">
        <f>'Part VIII-Threshold Criteria'!O109</f>
        <v>0</v>
      </c>
      <c r="P1203" s="3418">
        <f>'Part VIII-Threshold Criteria'!P109</f>
        <v>0</v>
      </c>
      <c r="Q1203" s="3418">
        <f>'Part VIII-Threshold Criteria'!Q109</f>
        <v>0</v>
      </c>
    </row>
    <row r="1204" spans="1:17">
      <c r="A1204" s="3301" t="s">
        <v>150</v>
      </c>
      <c r="B1204" s="3301" t="s">
        <v>1334</v>
      </c>
      <c r="C1204" s="3301"/>
      <c r="D1204" s="3421"/>
      <c r="E1204" s="3421"/>
      <c r="F1204" s="3421"/>
      <c r="G1204" s="3421"/>
      <c r="H1204" s="3421"/>
      <c r="I1204" s="3421"/>
      <c r="J1204" s="3421"/>
      <c r="K1204" s="3421"/>
      <c r="L1204" s="3421"/>
      <c r="M1204" s="3421"/>
      <c r="O1204" s="3417" t="s">
        <v>1273</v>
      </c>
      <c r="P1204" s="3326">
        <f>'Part VIII-Threshold Criteria'!P110</f>
        <v>0</v>
      </c>
      <c r="Q1204" s="3326">
        <f>'Part VIII-Threshold Criteria'!Q110</f>
        <v>0</v>
      </c>
    </row>
    <row r="1206" spans="1:17">
      <c r="A1206" s="3457" t="s">
        <v>110</v>
      </c>
      <c r="B1206" s="358" t="s">
        <v>1335</v>
      </c>
      <c r="C1206" s="358"/>
      <c r="E1206" s="358"/>
      <c r="F1206" s="358"/>
      <c r="G1206" s="358"/>
      <c r="H1206" s="358"/>
      <c r="I1206" s="358"/>
      <c r="J1206" s="358"/>
      <c r="K1206" s="358"/>
      <c r="L1206" s="358"/>
      <c r="M1206" s="358"/>
      <c r="O1206" s="3459" t="s">
        <v>110</v>
      </c>
      <c r="P1206" s="3424" t="str">
        <f>'Part VIII-Threshold Criteria'!P112</f>
        <v>Yes</v>
      </c>
      <c r="Q1206" s="3424">
        <f>'Part VIII-Threshold Criteria'!Q112</f>
        <v>0</v>
      </c>
    </row>
    <row r="1207" spans="1:17">
      <c r="A1207" s="3457" t="s">
        <v>121</v>
      </c>
      <c r="B1207" s="358" t="s">
        <v>1336</v>
      </c>
      <c r="C1207" s="358"/>
      <c r="E1207" s="358"/>
      <c r="F1207" s="358"/>
      <c r="G1207" s="358"/>
      <c r="H1207" s="358"/>
      <c r="I1207" s="358"/>
      <c r="J1207" s="358"/>
      <c r="K1207" s="358"/>
      <c r="L1207" s="3354"/>
      <c r="M1207" s="3354"/>
      <c r="O1207" s="3459" t="s">
        <v>121</v>
      </c>
      <c r="P1207" s="3424" t="str">
        <f>'Part VIII-Threshold Criteria'!P113</f>
        <v>Yes</v>
      </c>
      <c r="Q1207" s="3424">
        <f>'Part VIII-Threshold Criteria'!Q113</f>
        <v>0</v>
      </c>
    </row>
    <row r="1208" spans="1:17">
      <c r="A1208" s="358"/>
      <c r="C1208" s="358" t="s">
        <v>1337</v>
      </c>
      <c r="E1208" s="3111"/>
      <c r="F1208" s="3111"/>
      <c r="G1208" s="3111"/>
      <c r="H1208" s="3111"/>
      <c r="I1208" s="3111"/>
      <c r="L1208" s="3459" t="s">
        <v>1338</v>
      </c>
      <c r="M1208" s="3415" t="str">
        <f>'Part VIII-Threshold Criteria'!M114</f>
        <v>Acacia Realty Advisors</v>
      </c>
      <c r="N1208" s="3415">
        <f>'Part VIII-Threshold Criteria'!N114</f>
        <v>0</v>
      </c>
      <c r="O1208" s="3415">
        <f>'Part VIII-Threshold Criteria'!O114</f>
        <v>0</v>
      </c>
      <c r="P1208" s="3111">
        <f>'Part VIII-Threshold Criteria'!P114</f>
        <v>0</v>
      </c>
      <c r="Q1208" s="3424">
        <f>'Part VIII-Threshold Criteria'!Q114</f>
        <v>0</v>
      </c>
    </row>
    <row r="1209" spans="1:17">
      <c r="A1209" s="3416"/>
      <c r="B1209" s="3469" t="s">
        <v>1303</v>
      </c>
      <c r="C1209" s="3354" t="s">
        <v>1339</v>
      </c>
      <c r="D1209" s="3472"/>
      <c r="E1209" s="3472"/>
      <c r="F1209" s="3472"/>
      <c r="G1209" s="3472"/>
      <c r="H1209" s="3472"/>
      <c r="I1209" s="3472"/>
      <c r="J1209" s="3472"/>
      <c r="K1209" s="3472"/>
      <c r="L1209" s="3472"/>
      <c r="M1209" s="3472"/>
      <c r="O1209" s="3469" t="s">
        <v>1303</v>
      </c>
      <c r="P1209" s="3424" t="str">
        <f>'Part VIII-Threshold Criteria'!P115</f>
        <v>Yes</v>
      </c>
      <c r="Q1209" s="3424">
        <f>'Part VIII-Threshold Criteria'!Q115</f>
        <v>0</v>
      </c>
    </row>
    <row r="1210" spans="1:17">
      <c r="A1210" s="3416"/>
      <c r="B1210" s="3459" t="s">
        <v>1306</v>
      </c>
      <c r="C1210" s="3354" t="s">
        <v>1340</v>
      </c>
      <c r="D1210" s="3472"/>
      <c r="E1210" s="3472"/>
      <c r="F1210" s="3472"/>
      <c r="G1210" s="3472"/>
      <c r="H1210" s="3472"/>
      <c r="I1210" s="3472"/>
      <c r="J1210" s="3472"/>
      <c r="K1210" s="3472"/>
      <c r="L1210" s="3472"/>
      <c r="M1210" s="3472"/>
      <c r="O1210" s="3459" t="s">
        <v>1306</v>
      </c>
      <c r="P1210" s="3424" t="str">
        <f>'Part VIII-Threshold Criteria'!P116</f>
        <v>No</v>
      </c>
      <c r="Q1210" s="3424">
        <f>'Part VIII-Threshold Criteria'!Q116</f>
        <v>0</v>
      </c>
    </row>
    <row r="1211" spans="1:17">
      <c r="A1211" s="3416"/>
      <c r="B1211" s="3469" t="s">
        <v>1308</v>
      </c>
      <c r="C1211" s="3354" t="s">
        <v>1341</v>
      </c>
      <c r="D1211" s="3354"/>
      <c r="E1211" s="3354"/>
      <c r="F1211" s="3354"/>
      <c r="G1211" s="3354"/>
      <c r="H1211" s="3354"/>
      <c r="I1211" s="3354"/>
      <c r="J1211" s="3354"/>
      <c r="K1211" s="3354"/>
      <c r="L1211" s="3354"/>
      <c r="M1211" s="3356"/>
      <c r="O1211" s="3469" t="s">
        <v>1308</v>
      </c>
      <c r="P1211" s="3424" t="str">
        <f>'Part VIII-Threshold Criteria'!P117</f>
        <v>Yes</v>
      </c>
      <c r="Q1211" s="3424">
        <f>'Part VIII-Threshold Criteria'!Q117</f>
        <v>0</v>
      </c>
    </row>
    <row r="1212" spans="1:17" ht="12.75" customHeight="1">
      <c r="A1212" s="3473"/>
      <c r="B1212" s="3469" t="s">
        <v>1310</v>
      </c>
      <c r="C1212" s="3418" t="s">
        <v>1342</v>
      </c>
      <c r="D1212" s="3418"/>
      <c r="E1212" s="3418"/>
      <c r="F1212" s="3418"/>
      <c r="G1212" s="3418"/>
      <c r="H1212" s="3418"/>
      <c r="I1212" s="3418"/>
      <c r="J1212" s="3418"/>
      <c r="K1212" s="3418"/>
      <c r="L1212" s="3418"/>
      <c r="M1212" s="3418"/>
      <c r="N1212" s="3418"/>
      <c r="O1212" s="3469" t="s">
        <v>1310</v>
      </c>
      <c r="P1212" s="3470">
        <f>'Part VIII-Threshold Criteria'!P118</f>
        <v>0</v>
      </c>
      <c r="Q1212" s="3470">
        <f>'Part VIII-Threshold Criteria'!Q118</f>
        <v>0</v>
      </c>
    </row>
    <row r="1213" spans="1:17">
      <c r="A1213" s="3457" t="s">
        <v>123</v>
      </c>
      <c r="B1213" s="358" t="s">
        <v>1343</v>
      </c>
      <c r="D1213" s="358"/>
      <c r="E1213" s="358"/>
      <c r="F1213" s="358"/>
      <c r="G1213" s="358"/>
      <c r="H1213" s="358"/>
      <c r="I1213" s="358"/>
      <c r="J1213" s="358"/>
      <c r="K1213" s="358"/>
      <c r="L1213" s="358"/>
      <c r="M1213" s="358"/>
      <c r="O1213" s="3459" t="s">
        <v>123</v>
      </c>
      <c r="P1213" s="3424" t="str">
        <f>'Part VIII-Threshold Criteria'!P119</f>
        <v>No</v>
      </c>
      <c r="Q1213" s="3424">
        <f>'Part VIII-Threshold Criteria'!Q119</f>
        <v>0</v>
      </c>
    </row>
    <row r="1214" spans="1:17">
      <c r="A1214" s="3457" t="s">
        <v>126</v>
      </c>
      <c r="B1214" s="358" t="s">
        <v>1344</v>
      </c>
      <c r="D1214" s="358"/>
      <c r="E1214" s="358"/>
      <c r="G1214" s="358"/>
      <c r="I1214" s="358"/>
      <c r="K1214" s="358"/>
      <c r="L1214" s="3354"/>
      <c r="M1214" s="3354"/>
      <c r="N1214" s="3354"/>
      <c r="O1214" s="3459" t="s">
        <v>126</v>
      </c>
      <c r="P1214" s="3354"/>
      <c r="Q1214" s="3354"/>
    </row>
    <row r="1215" spans="1:17">
      <c r="B1215" s="3459" t="s">
        <v>1303</v>
      </c>
      <c r="C1215" s="358" t="s">
        <v>1345</v>
      </c>
      <c r="E1215" s="358"/>
      <c r="F1215" s="358"/>
      <c r="G1215" s="358"/>
      <c r="H1215" s="358"/>
      <c r="I1215" s="358"/>
      <c r="J1215" s="358"/>
      <c r="K1215" s="358"/>
      <c r="L1215" s="3354"/>
      <c r="M1215" s="3354"/>
      <c r="O1215" s="3459" t="s">
        <v>1303</v>
      </c>
      <c r="P1215" s="3424" t="str">
        <f>'Part VIII-Threshold Criteria'!P121</f>
        <v>No</v>
      </c>
      <c r="Q1215" s="3424">
        <f>'Part VIII-Threshold Criteria'!Q121</f>
        <v>0</v>
      </c>
    </row>
    <row r="1216" spans="1:17">
      <c r="B1216" s="3459" t="s">
        <v>1306</v>
      </c>
      <c r="C1216" s="358" t="s">
        <v>1346</v>
      </c>
      <c r="E1216" s="358"/>
      <c r="F1216" s="358"/>
      <c r="G1216" s="358"/>
      <c r="H1216" s="358"/>
      <c r="I1216" s="358"/>
      <c r="J1216" s="358"/>
      <c r="K1216" s="358"/>
      <c r="L1216" s="3354"/>
      <c r="M1216" s="3354"/>
      <c r="O1216" s="3459" t="s">
        <v>1306</v>
      </c>
      <c r="P1216" s="3424" t="str">
        <f>'Part VIII-Threshold Criteria'!P122</f>
        <v>No</v>
      </c>
      <c r="Q1216" s="3424">
        <f>'Part VIII-Threshold Criteria'!Q122</f>
        <v>0</v>
      </c>
    </row>
    <row r="1217" spans="1:17">
      <c r="B1217" s="3459" t="s">
        <v>1308</v>
      </c>
      <c r="C1217" s="358" t="s">
        <v>1347</v>
      </c>
      <c r="E1217" s="358"/>
      <c r="F1217" s="358"/>
      <c r="G1217" s="358"/>
      <c r="H1217" s="358"/>
      <c r="I1217" s="358"/>
      <c r="J1217" s="358"/>
      <c r="K1217" s="358"/>
      <c r="L1217" s="3354"/>
      <c r="M1217" s="3354"/>
      <c r="O1217" s="3459" t="s">
        <v>1308</v>
      </c>
      <c r="P1217" s="3424" t="str">
        <f>'Part VIII-Threshold Criteria'!P123</f>
        <v>No</v>
      </c>
      <c r="Q1217" s="3424">
        <f>'Part VIII-Threshold Criteria'!Q123</f>
        <v>0</v>
      </c>
    </row>
    <row r="1218" spans="1:17">
      <c r="B1218" s="3355" t="s">
        <v>1274</v>
      </c>
      <c r="D1218" s="3355"/>
      <c r="E1218" s="3355"/>
      <c r="F1218" s="3355"/>
      <c r="G1218" s="3355"/>
      <c r="H1218" s="3354"/>
      <c r="I1218" s="3416"/>
      <c r="J1218" s="3416"/>
      <c r="K1218" s="3416"/>
      <c r="L1218" s="3318"/>
      <c r="M1218" s="3318"/>
      <c r="N1218" s="3318"/>
      <c r="O1218" s="3318"/>
      <c r="P1218" s="3318"/>
      <c r="Q1218" s="3318"/>
    </row>
    <row r="1219" spans="1:17" ht="382.5">
      <c r="A1219" s="3418" t="str">
        <f>'Part VIII-Threshold Criteria'!A125</f>
        <v>Acacia Realty Advisors provided the appraisal for the subject property, which is vacant land located in the City of Ball Ground, Cherokee County, Georgia.  The appraisal is provided due to the identity of interest between the buyer and seller of the property.  The current owner has owned the property for over five years.</v>
      </c>
      <c r="B1219" s="3418">
        <f>'Part VIII-Threshold Criteria'!B125</f>
        <v>0</v>
      </c>
      <c r="C1219" s="3418">
        <f>'Part VIII-Threshold Criteria'!C125</f>
        <v>0</v>
      </c>
      <c r="D1219" s="3418">
        <f>'Part VIII-Threshold Criteria'!D125</f>
        <v>0</v>
      </c>
      <c r="E1219" s="3418">
        <f>'Part VIII-Threshold Criteria'!E125</f>
        <v>0</v>
      </c>
      <c r="F1219" s="3418">
        <f>'Part VIII-Threshold Criteria'!F125</f>
        <v>0</v>
      </c>
      <c r="G1219" s="3418">
        <f>'Part VIII-Threshold Criteria'!G125</f>
        <v>0</v>
      </c>
      <c r="H1219" s="3418">
        <f>'Part VIII-Threshold Criteria'!H125</f>
        <v>0</v>
      </c>
      <c r="I1219" s="3418">
        <f>'Part VIII-Threshold Criteria'!I125</f>
        <v>0</v>
      </c>
      <c r="J1219" s="3418">
        <f>'Part VIII-Threshold Criteria'!J125</f>
        <v>0</v>
      </c>
      <c r="K1219" s="3418">
        <f>'Part VIII-Threshold Criteria'!K125</f>
        <v>0</v>
      </c>
      <c r="L1219" s="3418">
        <f>'Part VIII-Threshold Criteria'!L125</f>
        <v>0</v>
      </c>
      <c r="M1219" s="3418">
        <f>'Part VIII-Threshold Criteria'!M125</f>
        <v>0</v>
      </c>
      <c r="N1219" s="3418">
        <f>'Part VIII-Threshold Criteria'!N125</f>
        <v>0</v>
      </c>
      <c r="O1219" s="3418">
        <f>'Part VIII-Threshold Criteria'!O125</f>
        <v>0</v>
      </c>
      <c r="P1219" s="3418">
        <f>'Part VIII-Threshold Criteria'!P125</f>
        <v>0</v>
      </c>
      <c r="Q1219" s="3418">
        <f>'Part VIII-Threshold Criteria'!Q125</f>
        <v>0</v>
      </c>
    </row>
    <row r="1220" spans="1:17">
      <c r="B1220" s="3419" t="s">
        <v>1276</v>
      </c>
      <c r="C1220" s="3420"/>
      <c r="D1220" s="3421"/>
      <c r="E1220" s="3421"/>
      <c r="F1220" s="3421"/>
      <c r="G1220" s="3421"/>
      <c r="H1220" s="3421"/>
      <c r="I1220" s="3421"/>
      <c r="J1220" s="3421"/>
      <c r="K1220" s="3421"/>
      <c r="L1220" s="3421"/>
      <c r="M1220" s="3421"/>
      <c r="N1220" s="3421"/>
      <c r="O1220" s="3421"/>
      <c r="P1220" s="3421"/>
      <c r="Q1220" s="3421"/>
    </row>
    <row r="1221" spans="1:17">
      <c r="A1221" s="3418">
        <f>'Part VIII-Threshold Criteria'!A127</f>
        <v>0</v>
      </c>
      <c r="B1221" s="3418">
        <f>'Part VIII-Threshold Criteria'!B127</f>
        <v>0</v>
      </c>
      <c r="C1221" s="3418">
        <f>'Part VIII-Threshold Criteria'!C127</f>
        <v>0</v>
      </c>
      <c r="D1221" s="3418">
        <f>'Part VIII-Threshold Criteria'!D127</f>
        <v>0</v>
      </c>
      <c r="E1221" s="3418">
        <f>'Part VIII-Threshold Criteria'!E127</f>
        <v>0</v>
      </c>
      <c r="F1221" s="3418">
        <f>'Part VIII-Threshold Criteria'!F127</f>
        <v>0</v>
      </c>
      <c r="G1221" s="3418">
        <f>'Part VIII-Threshold Criteria'!G127</f>
        <v>0</v>
      </c>
      <c r="H1221" s="3418">
        <f>'Part VIII-Threshold Criteria'!H127</f>
        <v>0</v>
      </c>
      <c r="I1221" s="3418">
        <f>'Part VIII-Threshold Criteria'!I127</f>
        <v>0</v>
      </c>
      <c r="J1221" s="3418">
        <f>'Part VIII-Threshold Criteria'!J127</f>
        <v>0</v>
      </c>
      <c r="K1221" s="3418">
        <f>'Part VIII-Threshold Criteria'!K127</f>
        <v>0</v>
      </c>
      <c r="L1221" s="3418">
        <f>'Part VIII-Threshold Criteria'!L127</f>
        <v>0</v>
      </c>
      <c r="M1221" s="3418">
        <f>'Part VIII-Threshold Criteria'!M127</f>
        <v>0</v>
      </c>
      <c r="N1221" s="3418">
        <f>'Part VIII-Threshold Criteria'!N127</f>
        <v>0</v>
      </c>
      <c r="O1221" s="3418">
        <f>'Part VIII-Threshold Criteria'!O127</f>
        <v>0</v>
      </c>
      <c r="P1221" s="3418">
        <f>'Part VIII-Threshold Criteria'!P127</f>
        <v>0</v>
      </c>
      <c r="Q1221" s="3418">
        <f>'Part VIII-Threshold Criteria'!Q127</f>
        <v>0</v>
      </c>
    </row>
    <row r="1222" spans="1:17">
      <c r="A1222" s="3301" t="s">
        <v>167</v>
      </c>
      <c r="B1222" s="3301" t="s">
        <v>1348</v>
      </c>
      <c r="C1222" s="3354"/>
      <c r="D1222" s="3421"/>
      <c r="E1222" s="3421"/>
      <c r="F1222" s="3421"/>
      <c r="G1222" s="3421"/>
      <c r="H1222" s="3421"/>
      <c r="I1222" s="3421"/>
      <c r="J1222" s="3421"/>
      <c r="K1222" s="3421"/>
      <c r="L1222" s="3421"/>
      <c r="M1222" s="3421"/>
      <c r="O1222" s="3417" t="s">
        <v>1273</v>
      </c>
      <c r="P1222" s="3326">
        <f>'Part VIII-Threshold Criteria'!P128</f>
        <v>0</v>
      </c>
      <c r="Q1222" s="3326">
        <f>'Part VIII-Threshold Criteria'!Q128</f>
        <v>0</v>
      </c>
    </row>
    <row r="1224" spans="1:17">
      <c r="A1224" s="3457" t="s">
        <v>110</v>
      </c>
      <c r="B1224" s="358" t="s">
        <v>1349</v>
      </c>
      <c r="D1224" s="3383"/>
      <c r="E1224" s="3383"/>
      <c r="F1224" s="3383"/>
      <c r="G1224" s="3383"/>
      <c r="H1224" s="3383"/>
      <c r="I1224" s="3111"/>
      <c r="J1224" s="3111"/>
      <c r="K1224" s="3459" t="s">
        <v>110</v>
      </c>
      <c r="L1224" s="3326" t="str">
        <f>'Part VIII-Threshold Criteria'!L130</f>
        <v>Geotechnical and Environmental Consultants, Inc.</v>
      </c>
      <c r="M1224" s="3326">
        <f>'Part VIII-Threshold Criteria'!M130</f>
        <v>0</v>
      </c>
      <c r="N1224" s="3326">
        <f>'Part VIII-Threshold Criteria'!N130</f>
        <v>0</v>
      </c>
      <c r="O1224" s="3326">
        <f>'Part VIII-Threshold Criteria'!O130</f>
        <v>0</v>
      </c>
      <c r="P1224" s="3326">
        <f>'Part VIII-Threshold Criteria'!P130</f>
        <v>0</v>
      </c>
      <c r="Q1224" s="3424">
        <f>'Part VIII-Threshold Criteria'!Q130</f>
        <v>0</v>
      </c>
    </row>
    <row r="1225" spans="1:17">
      <c r="A1225" s="3457" t="s">
        <v>121</v>
      </c>
      <c r="B1225" s="358" t="s">
        <v>1350</v>
      </c>
      <c r="D1225" s="3383"/>
      <c r="E1225" s="3383"/>
      <c r="F1225" s="3383"/>
      <c r="G1225" s="3383"/>
      <c r="H1225" s="3383"/>
      <c r="I1225" s="3111"/>
      <c r="J1225" s="3111"/>
      <c r="K1225" s="3383"/>
      <c r="L1225" s="3348"/>
      <c r="O1225" s="3459" t="s">
        <v>121</v>
      </c>
      <c r="P1225" s="3424" t="str">
        <f>'Part VIII-Threshold Criteria'!P131</f>
        <v>No</v>
      </c>
      <c r="Q1225" s="3424">
        <f>'Part VIII-Threshold Criteria'!Q131</f>
        <v>0</v>
      </c>
    </row>
    <row r="1226" spans="1:17">
      <c r="A1226" s="3457" t="s">
        <v>123</v>
      </c>
      <c r="B1226" s="358" t="s">
        <v>1351</v>
      </c>
      <c r="D1226" s="3383"/>
      <c r="E1226" s="3383"/>
      <c r="F1226" s="3383"/>
      <c r="G1226" s="3383"/>
      <c r="H1226" s="3383"/>
      <c r="I1226" s="3111"/>
      <c r="J1226" s="3111"/>
      <c r="K1226" s="3348"/>
      <c r="L1226" s="3348"/>
      <c r="O1226" s="3459" t="s">
        <v>123</v>
      </c>
      <c r="P1226" s="3424" t="str">
        <f>'Part VIII-Threshold Criteria'!P132</f>
        <v>Yes</v>
      </c>
      <c r="Q1226" s="3424">
        <f>'Part VIII-Threshold Criteria'!Q132</f>
        <v>0</v>
      </c>
    </row>
    <row r="1227" spans="1:17">
      <c r="A1227" s="3457"/>
      <c r="B1227" s="3459" t="s">
        <v>1303</v>
      </c>
      <c r="C1227" s="358" t="s">
        <v>1352</v>
      </c>
      <c r="E1227" s="3383"/>
      <c r="F1227" s="3383"/>
      <c r="G1227" s="3383"/>
      <c r="H1227" s="3383"/>
      <c r="I1227" s="3111"/>
      <c r="J1227" s="3111"/>
      <c r="K1227" s="3459" t="s">
        <v>1303</v>
      </c>
      <c r="L1227" s="3326" t="str">
        <f>'Part VIII-Threshold Criteria'!L133</f>
        <v>Geotechnical and Environmental Consultants, Inc.</v>
      </c>
      <c r="M1227" s="3326">
        <f>'Part VIII-Threshold Criteria'!M133</f>
        <v>0</v>
      </c>
      <c r="N1227" s="3326">
        <f>'Part VIII-Threshold Criteria'!N133</f>
        <v>0</v>
      </c>
      <c r="O1227" s="3326">
        <f>'Part VIII-Threshold Criteria'!O133</f>
        <v>0</v>
      </c>
      <c r="P1227" s="3326">
        <f>'Part VIII-Threshold Criteria'!P133</f>
        <v>0</v>
      </c>
      <c r="Q1227" s="3424">
        <f>'Part VIII-Threshold Criteria'!Q133</f>
        <v>0</v>
      </c>
    </row>
    <row r="1228" spans="1:17">
      <c r="A1228" s="3337"/>
      <c r="B1228" s="3459" t="s">
        <v>1306</v>
      </c>
      <c r="C1228" s="358" t="s">
        <v>1353</v>
      </c>
      <c r="E1228" s="3111"/>
      <c r="F1228" s="3111"/>
      <c r="G1228" s="3111"/>
      <c r="H1228" s="358"/>
      <c r="I1228" s="3111"/>
      <c r="J1228" s="3111"/>
      <c r="K1228" s="3383"/>
      <c r="L1228" s="3348"/>
      <c r="M1228" s="3348"/>
      <c r="O1228" s="3459" t="s">
        <v>1306</v>
      </c>
      <c r="P1228" s="3424" t="str">
        <f>'Part VIII-Threshold Criteria'!P134</f>
        <v>&lt;65</v>
      </c>
      <c r="Q1228" s="3424">
        <f>'Part VIII-Threshold Criteria'!Q134</f>
        <v>0</v>
      </c>
    </row>
    <row r="1229" spans="1:17">
      <c r="A1229" s="3337"/>
      <c r="B1229" s="3459" t="s">
        <v>1308</v>
      </c>
      <c r="C1229" s="358" t="s">
        <v>1354</v>
      </c>
      <c r="E1229" s="3111"/>
      <c r="F1229" s="3111"/>
      <c r="G1229" s="3111"/>
      <c r="H1229" s="358"/>
      <c r="I1229" s="3111"/>
      <c r="J1229" s="3111"/>
      <c r="K1229" s="3383"/>
      <c r="L1229" s="3348"/>
      <c r="M1229" s="3348"/>
      <c r="N1229" s="3348"/>
      <c r="O1229" s="3348"/>
    </row>
    <row r="1230" spans="1:17" ht="56.25">
      <c r="A1230" s="3318"/>
      <c r="B1230" s="3459"/>
      <c r="C1230" s="3383" t="str">
        <f>'Part VIII-Threshold Criteria'!C136</f>
        <v>Roadway noise, aircraft noise, railway</v>
      </c>
      <c r="D1230" s="3383">
        <f>'Part VIII-Threshold Criteria'!D136</f>
        <v>0</v>
      </c>
      <c r="E1230" s="3383">
        <f>'Part VIII-Threshold Criteria'!E136</f>
        <v>0</v>
      </c>
      <c r="F1230" s="3383">
        <f>'Part VIII-Threshold Criteria'!F136</f>
        <v>0</v>
      </c>
      <c r="G1230" s="3383">
        <f>'Part VIII-Threshold Criteria'!G136</f>
        <v>0</v>
      </c>
      <c r="H1230" s="3383">
        <f>'Part VIII-Threshold Criteria'!H136</f>
        <v>0</v>
      </c>
      <c r="I1230" s="3383">
        <f>'Part VIII-Threshold Criteria'!I136</f>
        <v>0</v>
      </c>
      <c r="J1230" s="3383">
        <f>'Part VIII-Threshold Criteria'!J136</f>
        <v>0</v>
      </c>
      <c r="K1230" s="3383">
        <f>'Part VIII-Threshold Criteria'!K136</f>
        <v>0</v>
      </c>
      <c r="L1230" s="3383">
        <f>'Part VIII-Threshold Criteria'!L136</f>
        <v>0</v>
      </c>
      <c r="M1230" s="3383">
        <f>'Part VIII-Threshold Criteria'!M136</f>
        <v>0</v>
      </c>
      <c r="N1230" s="3383">
        <f>'Part VIII-Threshold Criteria'!N136</f>
        <v>0</v>
      </c>
      <c r="O1230" s="3383">
        <f>'Part VIII-Threshold Criteria'!O136</f>
        <v>0</v>
      </c>
      <c r="P1230" s="3383">
        <f>'Part VIII-Threshold Criteria'!P136</f>
        <v>0</v>
      </c>
      <c r="Q1230" s="3383">
        <f>'Part VIII-Threshold Criteria'!Q136</f>
        <v>0</v>
      </c>
    </row>
    <row r="1231" spans="1:17">
      <c r="A1231" s="3457" t="s">
        <v>126</v>
      </c>
      <c r="B1231" s="358" t="s">
        <v>1355</v>
      </c>
      <c r="D1231" s="3383"/>
      <c r="E1231" s="3383"/>
      <c r="F1231" s="3383"/>
      <c r="G1231" s="3383"/>
      <c r="H1231" s="3383"/>
      <c r="I1231" s="3111"/>
      <c r="J1231" s="3111"/>
      <c r="K1231" s="3383"/>
      <c r="L1231" s="3348"/>
      <c r="M1231" s="3348"/>
      <c r="N1231" s="3348"/>
      <c r="O1231" s="3459" t="s">
        <v>126</v>
      </c>
    </row>
    <row r="1232" spans="1:17">
      <c r="A1232" s="3457"/>
      <c r="B1232" s="3459" t="s">
        <v>1303</v>
      </c>
      <c r="C1232" s="358" t="s">
        <v>1356</v>
      </c>
      <c r="E1232" s="3383"/>
      <c r="F1232" s="3383"/>
      <c r="G1232" s="3383"/>
      <c r="H1232" s="3383"/>
      <c r="I1232" s="3111"/>
      <c r="J1232" s="3111"/>
      <c r="K1232" s="3383"/>
      <c r="L1232" s="3348"/>
      <c r="M1232" s="3348"/>
      <c r="O1232" s="3459" t="s">
        <v>1303</v>
      </c>
      <c r="P1232" s="3424" t="str">
        <f>'Part VIII-Threshold Criteria'!P138</f>
        <v>No</v>
      </c>
      <c r="Q1232" s="3424">
        <f>'Part VIII-Threshold Criteria'!Q138</f>
        <v>0</v>
      </c>
    </row>
    <row r="1233" spans="1:17">
      <c r="A1233" s="3457"/>
      <c r="B1233" s="3459" t="s">
        <v>1306</v>
      </c>
      <c r="C1233" s="358" t="s">
        <v>1357</v>
      </c>
      <c r="E1233" s="3383"/>
      <c r="F1233" s="3383"/>
      <c r="G1233" s="3383"/>
      <c r="H1233" s="3111"/>
      <c r="I1233" s="3111"/>
      <c r="J1233" s="3111"/>
      <c r="K1233" s="3383"/>
      <c r="L1233" s="3348"/>
      <c r="M1233" s="3348"/>
      <c r="O1233" s="3459" t="s">
        <v>1306</v>
      </c>
      <c r="P1233" s="3424" t="str">
        <f>'Part VIII-Threshold Criteria'!P139</f>
        <v>No</v>
      </c>
      <c r="Q1233" s="3424">
        <f>'Part VIII-Threshold Criteria'!Q139</f>
        <v>0</v>
      </c>
    </row>
    <row r="1234" spans="1:17">
      <c r="A1234" s="3457"/>
      <c r="B1234" s="3459"/>
      <c r="C1234" s="358" t="s">
        <v>1358</v>
      </c>
      <c r="E1234" s="3459" t="s">
        <v>1359</v>
      </c>
      <c r="F1234" s="358" t="s">
        <v>1360</v>
      </c>
      <c r="G1234" s="3111"/>
      <c r="H1234" s="358"/>
      <c r="I1234" s="3111"/>
      <c r="J1234" s="3111"/>
      <c r="K1234" s="3383"/>
      <c r="L1234" s="3348"/>
      <c r="M1234" s="3348"/>
      <c r="O1234" s="3459" t="s">
        <v>1359</v>
      </c>
      <c r="P1234" s="3474">
        <f>'Part VIII-Threshold Criteria'!P140</f>
        <v>0</v>
      </c>
      <c r="Q1234" s="3474">
        <f>'Part VIII-Threshold Criteria'!Q140</f>
        <v>0</v>
      </c>
    </row>
    <row r="1235" spans="1:17">
      <c r="A1235" s="3457"/>
      <c r="B1235" s="3459"/>
      <c r="E1235" s="3459" t="s">
        <v>1361</v>
      </c>
      <c r="F1235" s="358" t="s">
        <v>1362</v>
      </c>
      <c r="G1235" s="3111"/>
      <c r="H1235" s="358"/>
      <c r="I1235" s="3111"/>
      <c r="J1235" s="3111"/>
      <c r="K1235" s="3383"/>
      <c r="L1235" s="3348"/>
      <c r="M1235" s="3348"/>
      <c r="O1235" s="3459" t="s">
        <v>1361</v>
      </c>
      <c r="P1235" s="3424">
        <f>'Part VIII-Threshold Criteria'!P141</f>
        <v>0</v>
      </c>
      <c r="Q1235" s="3424">
        <f>'Part VIII-Threshold Criteria'!Q141</f>
        <v>0</v>
      </c>
    </row>
    <row r="1236" spans="1:17">
      <c r="A1236" s="3457"/>
      <c r="B1236" s="3459"/>
      <c r="E1236" s="3459" t="s">
        <v>1363</v>
      </c>
      <c r="F1236" s="358" t="s">
        <v>1364</v>
      </c>
      <c r="G1236" s="3111"/>
      <c r="H1236" s="358"/>
      <c r="I1236" s="3111"/>
      <c r="J1236" s="3111"/>
      <c r="K1236" s="3383"/>
      <c r="L1236" s="3348"/>
      <c r="M1236" s="3348"/>
      <c r="O1236" s="3459" t="s">
        <v>1363</v>
      </c>
      <c r="P1236" s="3424">
        <f>'Part VIII-Threshold Criteria'!P142</f>
        <v>0</v>
      </c>
      <c r="Q1236" s="3424">
        <f>'Part VIII-Threshold Criteria'!Q142</f>
        <v>0</v>
      </c>
    </row>
    <row r="1237" spans="1:17">
      <c r="A1237" s="3457"/>
      <c r="B1237" s="3459" t="s">
        <v>1308</v>
      </c>
      <c r="C1237" s="358" t="s">
        <v>1365</v>
      </c>
      <c r="E1237" s="3383"/>
      <c r="F1237" s="3383"/>
      <c r="G1237" s="3383"/>
      <c r="H1237" s="358"/>
      <c r="I1237" s="3111"/>
      <c r="J1237" s="3111"/>
      <c r="K1237" s="3383"/>
      <c r="L1237" s="3348"/>
      <c r="M1237" s="3348"/>
      <c r="O1237" s="3459" t="s">
        <v>1308</v>
      </c>
      <c r="P1237" s="3424" t="str">
        <f>'Part VIII-Threshold Criteria'!P143</f>
        <v>No</v>
      </c>
      <c r="Q1237" s="3424">
        <f>'Part VIII-Threshold Criteria'!Q143</f>
        <v>0</v>
      </c>
    </row>
    <row r="1238" spans="1:17">
      <c r="A1238" s="3457"/>
      <c r="B1238" s="3459"/>
      <c r="C1238" s="358" t="s">
        <v>1358</v>
      </c>
      <c r="E1238" s="3459" t="s">
        <v>1359</v>
      </c>
      <c r="F1238" s="358" t="s">
        <v>1366</v>
      </c>
      <c r="G1238" s="3111"/>
      <c r="H1238" s="358"/>
      <c r="I1238" s="3111"/>
      <c r="J1238" s="3111"/>
      <c r="K1238" s="3383"/>
      <c r="L1238" s="3348"/>
      <c r="O1238" s="3459" t="s">
        <v>1359</v>
      </c>
      <c r="P1238" s="3474">
        <f>'Part VIII-Threshold Criteria'!P144</f>
        <v>1.7000000000000001E-2</v>
      </c>
      <c r="Q1238" s="3474">
        <f>'Part VIII-Threshold Criteria'!Q144</f>
        <v>0</v>
      </c>
    </row>
    <row r="1239" spans="1:17">
      <c r="A1239" s="3457"/>
      <c r="B1239" s="3459"/>
      <c r="E1239" s="3459" t="s">
        <v>1361</v>
      </c>
      <c r="F1239" s="358" t="s">
        <v>1367</v>
      </c>
      <c r="G1239" s="3111"/>
      <c r="H1239" s="358"/>
      <c r="I1239" s="3111"/>
      <c r="J1239" s="3111"/>
      <c r="O1239" s="3459" t="s">
        <v>1361</v>
      </c>
      <c r="P1239" s="3424" t="str">
        <f>'Part VIII-Threshold Criteria'!P145</f>
        <v>No</v>
      </c>
      <c r="Q1239" s="3424">
        <f>'Part VIII-Threshold Criteria'!Q145</f>
        <v>0</v>
      </c>
    </row>
    <row r="1240" spans="1:17">
      <c r="A1240" s="3457"/>
      <c r="B1240" s="3459"/>
      <c r="E1240" s="3459" t="s">
        <v>1363</v>
      </c>
      <c r="F1240" s="358" t="s">
        <v>1364</v>
      </c>
      <c r="G1240" s="3111"/>
      <c r="H1240" s="358"/>
      <c r="I1240" s="3111"/>
      <c r="J1240" s="3111"/>
      <c r="O1240" s="3459" t="s">
        <v>1363</v>
      </c>
      <c r="P1240" s="3424" t="str">
        <f>'Part VIII-Threshold Criteria'!P146</f>
        <v>Yes</v>
      </c>
      <c r="Q1240" s="3424">
        <f>'Part VIII-Threshold Criteria'!Q146</f>
        <v>0</v>
      </c>
    </row>
    <row r="1241" spans="1:17">
      <c r="A1241" s="358"/>
      <c r="B1241" s="3459" t="s">
        <v>1310</v>
      </c>
      <c r="C1241" s="358" t="s">
        <v>1368</v>
      </c>
      <c r="E1241" s="3383"/>
      <c r="F1241" s="3383"/>
      <c r="G1241" s="3383"/>
      <c r="H1241" s="3383"/>
      <c r="I1241" s="3111"/>
      <c r="J1241" s="3111"/>
      <c r="O1241" s="3459" t="s">
        <v>1310</v>
      </c>
      <c r="P1241" s="3424" t="str">
        <f>'Part VIII-Threshold Criteria'!P147</f>
        <v>Yes</v>
      </c>
      <c r="Q1241" s="3424">
        <f>'Part VIII-Threshold Criteria'!Q147</f>
        <v>0</v>
      </c>
    </row>
    <row r="1242" spans="1:17">
      <c r="A1242" s="3457" t="s">
        <v>140</v>
      </c>
      <c r="B1242" s="3354" t="s">
        <v>1369</v>
      </c>
      <c r="D1242" s="3383"/>
      <c r="E1242" s="3383"/>
      <c r="F1242" s="3383"/>
      <c r="G1242" s="3383"/>
      <c r="H1242" s="3383"/>
      <c r="I1242" s="3111"/>
      <c r="J1242" s="3111"/>
      <c r="K1242" s="3383"/>
      <c r="L1242" s="3348"/>
      <c r="M1242" s="3348"/>
      <c r="N1242" s="3348"/>
      <c r="O1242" s="3348"/>
      <c r="P1242" s="3348"/>
      <c r="Q1242" s="3348"/>
    </row>
    <row r="1243" spans="1:17">
      <c r="B1243" s="3459" t="s">
        <v>1303</v>
      </c>
      <c r="C1243" s="358" t="s">
        <v>1370</v>
      </c>
      <c r="E1243" s="3383"/>
      <c r="F1243" s="3424" t="str">
        <f>'Part VIII-Threshold Criteria'!F149</f>
        <v>No</v>
      </c>
      <c r="G1243" s="3424">
        <f>'Part VIII-Threshold Criteria'!G149</f>
        <v>0</v>
      </c>
      <c r="H1243" s="3459" t="s">
        <v>1323</v>
      </c>
      <c r="I1243" s="943" t="s">
        <v>1371</v>
      </c>
      <c r="L1243" s="3424" t="str">
        <f>'Part VIII-Threshold Criteria'!L149</f>
        <v>Yes</v>
      </c>
      <c r="M1243" s="3424">
        <f>'Part VIII-Threshold Criteria'!M149</f>
        <v>0</v>
      </c>
      <c r="N1243" s="3459" t="s">
        <v>1372</v>
      </c>
      <c r="O1243" s="358" t="s">
        <v>1373</v>
      </c>
      <c r="P1243" s="3424" t="str">
        <f>'Part VIII-Threshold Criteria'!P149</f>
        <v>No</v>
      </c>
      <c r="Q1243" s="3424">
        <f>'Part VIII-Threshold Criteria'!Q149</f>
        <v>0</v>
      </c>
    </row>
    <row r="1244" spans="1:17">
      <c r="A1244" s="358"/>
      <c r="B1244" s="3459" t="s">
        <v>1306</v>
      </c>
      <c r="C1244" s="358" t="s">
        <v>1374</v>
      </c>
      <c r="E1244" s="3383"/>
      <c r="F1244" s="3424" t="str">
        <f>'Part VIII-Threshold Criteria'!F150</f>
        <v>No</v>
      </c>
      <c r="G1244" s="3424">
        <f>'Part VIII-Threshold Criteria'!G150</f>
        <v>0</v>
      </c>
      <c r="H1244" s="3459" t="s">
        <v>1324</v>
      </c>
      <c r="I1244" s="943" t="s">
        <v>1375</v>
      </c>
      <c r="L1244" s="3424" t="str">
        <f>'Part VIII-Threshold Criteria'!L150</f>
        <v>No</v>
      </c>
      <c r="M1244" s="3424">
        <f>'Part VIII-Threshold Criteria'!M150</f>
        <v>0</v>
      </c>
      <c r="N1244" s="3459" t="s">
        <v>1376</v>
      </c>
      <c r="O1244" s="358" t="s">
        <v>1377</v>
      </c>
      <c r="P1244" s="3424" t="str">
        <f>'Part VIII-Threshold Criteria'!P150</f>
        <v>No</v>
      </c>
      <c r="Q1244" s="3424">
        <f>'Part VIII-Threshold Criteria'!Q150</f>
        <v>0</v>
      </c>
    </row>
    <row r="1245" spans="1:17">
      <c r="A1245" s="358"/>
      <c r="B1245" s="3459" t="s">
        <v>1308</v>
      </c>
      <c r="C1245" s="358" t="s">
        <v>1378</v>
      </c>
      <c r="E1245" s="3383"/>
      <c r="F1245" s="3424" t="str">
        <f>'Part VIII-Threshold Criteria'!F151</f>
        <v>No</v>
      </c>
      <c r="G1245" s="3424">
        <f>'Part VIII-Threshold Criteria'!G151</f>
        <v>0</v>
      </c>
      <c r="H1245" s="3459" t="s">
        <v>1379</v>
      </c>
      <c r="I1245" s="943" t="s">
        <v>1380</v>
      </c>
      <c r="L1245" s="3424" t="str">
        <f>'Part VIII-Threshold Criteria'!L151</f>
        <v>No</v>
      </c>
      <c r="M1245" s="3424">
        <f>'Part VIII-Threshold Criteria'!M151</f>
        <v>0</v>
      </c>
      <c r="N1245" s="3459" t="s">
        <v>1381</v>
      </c>
      <c r="O1245" s="358" t="s">
        <v>1382</v>
      </c>
      <c r="P1245" s="3424" t="str">
        <f>'Part VIII-Threshold Criteria'!P151</f>
        <v>No</v>
      </c>
      <c r="Q1245" s="3424">
        <f>'Part VIII-Threshold Criteria'!Q151</f>
        <v>0</v>
      </c>
    </row>
    <row r="1246" spans="1:17">
      <c r="A1246" s="358"/>
      <c r="B1246" s="3459" t="s">
        <v>1310</v>
      </c>
      <c r="C1246" s="358" t="s">
        <v>1383</v>
      </c>
      <c r="E1246" s="3383"/>
      <c r="F1246" s="3424" t="str">
        <f>'Part VIII-Threshold Criteria'!F152</f>
        <v>No</v>
      </c>
      <c r="G1246" s="3424">
        <f>'Part VIII-Threshold Criteria'!G152</f>
        <v>0</v>
      </c>
      <c r="H1246" s="3459" t="s">
        <v>1384</v>
      </c>
      <c r="I1246" s="358" t="s">
        <v>1385</v>
      </c>
      <c r="L1246" s="3424" t="str">
        <f>'Part VIII-Threshold Criteria'!L152</f>
        <v>No</v>
      </c>
      <c r="M1246" s="3424">
        <f>'Part VIII-Threshold Criteria'!M152</f>
        <v>0</v>
      </c>
      <c r="O1246" s="3459"/>
    </row>
    <row r="1247" spans="1:17">
      <c r="A1247" s="358"/>
      <c r="B1247" s="3459" t="s">
        <v>1386</v>
      </c>
      <c r="C1247" s="358" t="s">
        <v>1387</v>
      </c>
      <c r="E1247" s="3383"/>
      <c r="F1247" s="3383"/>
      <c r="G1247" s="3383"/>
      <c r="H1247" s="3383"/>
      <c r="I1247" s="3383"/>
      <c r="J1247" s="3383"/>
      <c r="K1247" s="3383"/>
      <c r="L1247" s="3383"/>
      <c r="M1247" s="358"/>
      <c r="O1247" s="3459"/>
      <c r="P1247" s="3459"/>
    </row>
    <row r="1248" spans="1:17">
      <c r="A1248" s="358"/>
      <c r="C1248" s="3383" t="str">
        <f>'Part VIII-Threshold Criteria'!C154</f>
        <v>None</v>
      </c>
      <c r="D1248" s="3383">
        <f>'Part VIII-Threshold Criteria'!D154</f>
        <v>0</v>
      </c>
      <c r="E1248" s="3383">
        <f>'Part VIII-Threshold Criteria'!E154</f>
        <v>0</v>
      </c>
      <c r="F1248" s="3383">
        <f>'Part VIII-Threshold Criteria'!F154</f>
        <v>0</v>
      </c>
      <c r="G1248" s="3383">
        <f>'Part VIII-Threshold Criteria'!G154</f>
        <v>0</v>
      </c>
      <c r="H1248" s="3383">
        <f>'Part VIII-Threshold Criteria'!H154</f>
        <v>0</v>
      </c>
      <c r="I1248" s="3383">
        <f>'Part VIII-Threshold Criteria'!I154</f>
        <v>0</v>
      </c>
      <c r="J1248" s="3383">
        <f>'Part VIII-Threshold Criteria'!J154</f>
        <v>0</v>
      </c>
      <c r="K1248" s="3383">
        <f>'Part VIII-Threshold Criteria'!K154</f>
        <v>0</v>
      </c>
      <c r="L1248" s="3383">
        <f>'Part VIII-Threshold Criteria'!L154</f>
        <v>0</v>
      </c>
      <c r="M1248" s="3383">
        <f>'Part VIII-Threshold Criteria'!M154</f>
        <v>0</v>
      </c>
      <c r="N1248" s="3383">
        <f>'Part VIII-Threshold Criteria'!N154</f>
        <v>0</v>
      </c>
      <c r="O1248" s="3383">
        <f>'Part VIII-Threshold Criteria'!O154</f>
        <v>0</v>
      </c>
      <c r="P1248" s="3383">
        <f>'Part VIII-Threshold Criteria'!P154</f>
        <v>0</v>
      </c>
      <c r="Q1248" s="3383">
        <f>'Part VIII-Threshold Criteria'!Q154</f>
        <v>0</v>
      </c>
    </row>
    <row r="1249" spans="1:17">
      <c r="A1249" s="3457" t="s">
        <v>147</v>
      </c>
      <c r="B1249" s="358" t="s">
        <v>1388</v>
      </c>
      <c r="D1249" s="3383"/>
      <c r="E1249" s="3383"/>
      <c r="F1249" s="3383"/>
      <c r="G1249" s="3383"/>
      <c r="H1249" s="3383"/>
      <c r="I1249" s="3111"/>
      <c r="J1249" s="3111"/>
      <c r="K1249" s="3383"/>
      <c r="L1249" s="3383"/>
      <c r="M1249" s="3348"/>
    </row>
    <row r="1250" spans="1:17">
      <c r="A1250" s="3111"/>
      <c r="B1250" s="3459" t="s">
        <v>1303</v>
      </c>
      <c r="C1250" s="358" t="s">
        <v>1389</v>
      </c>
      <c r="E1250" s="3383"/>
      <c r="F1250" s="3383"/>
      <c r="G1250" s="3383"/>
      <c r="H1250" s="3383"/>
      <c r="O1250" s="3459" t="s">
        <v>1303</v>
      </c>
      <c r="P1250" s="3424">
        <f>'Part VIII-Threshold Criteria'!P156</f>
        <v>0</v>
      </c>
      <c r="Q1250" s="3424">
        <f>'Part VIII-Threshold Criteria'!Q156</f>
        <v>0</v>
      </c>
    </row>
    <row r="1251" spans="1:17">
      <c r="A1251" s="3416"/>
      <c r="B1251" s="3459" t="s">
        <v>1306</v>
      </c>
      <c r="C1251" s="358" t="s">
        <v>1390</v>
      </c>
      <c r="E1251" s="358"/>
      <c r="F1251" s="358"/>
      <c r="G1251" s="358"/>
      <c r="H1251" s="358"/>
      <c r="I1251" s="3111"/>
      <c r="J1251" s="3111"/>
      <c r="K1251" s="358"/>
      <c r="L1251" s="358"/>
      <c r="M1251" s="358"/>
      <c r="O1251" s="3459" t="s">
        <v>1306</v>
      </c>
      <c r="P1251" s="3424">
        <f>'Part VIII-Threshold Criteria'!P157</f>
        <v>0</v>
      </c>
      <c r="Q1251" s="3424">
        <f>'Part VIII-Threshold Criteria'!Q157</f>
        <v>0</v>
      </c>
    </row>
    <row r="1252" spans="1:17">
      <c r="A1252" s="3416"/>
      <c r="B1252" s="3459" t="s">
        <v>1308</v>
      </c>
      <c r="C1252" s="358" t="s">
        <v>1391</v>
      </c>
      <c r="E1252" s="358"/>
      <c r="F1252" s="358"/>
      <c r="G1252" s="358"/>
      <c r="H1252" s="358"/>
      <c r="I1252" s="3111"/>
      <c r="J1252" s="3111"/>
      <c r="K1252" s="358"/>
      <c r="L1252" s="358"/>
      <c r="M1252" s="358"/>
      <c r="O1252" s="3459" t="s">
        <v>1308</v>
      </c>
      <c r="P1252" s="3424">
        <f>'Part VIII-Threshold Criteria'!P158</f>
        <v>0</v>
      </c>
      <c r="Q1252" s="3424">
        <f>'Part VIII-Threshold Criteria'!Q158</f>
        <v>0</v>
      </c>
    </row>
    <row r="1253" spans="1:17">
      <c r="A1253" s="3457" t="s">
        <v>1327</v>
      </c>
      <c r="B1253" s="358" t="s">
        <v>1392</v>
      </c>
      <c r="D1253" s="3383"/>
      <c r="E1253" s="3383"/>
      <c r="F1253" s="3383"/>
      <c r="G1253" s="3383"/>
      <c r="H1253" s="3383"/>
      <c r="I1253" s="3111"/>
      <c r="J1253" s="3111"/>
      <c r="K1253" s="3383"/>
      <c r="L1253" s="3383"/>
      <c r="M1253" s="3348"/>
      <c r="O1253" s="3459" t="s">
        <v>1327</v>
      </c>
      <c r="P1253" s="3424">
        <f>'Part VIII-Threshold Criteria'!P159</f>
        <v>0</v>
      </c>
      <c r="Q1253" s="3424">
        <f>'Part VIII-Threshold Criteria'!Q159</f>
        <v>0</v>
      </c>
    </row>
    <row r="1254" spans="1:17">
      <c r="A1254" s="3475" t="s">
        <v>1393</v>
      </c>
      <c r="C1254" s="358"/>
      <c r="D1254" s="3383"/>
      <c r="E1254" s="3383"/>
      <c r="F1254" s="3383"/>
      <c r="G1254" s="3383"/>
      <c r="H1254" s="3383"/>
      <c r="I1254" s="3111"/>
      <c r="J1254" s="3111"/>
      <c r="K1254" s="3383"/>
      <c r="L1254" s="3383"/>
      <c r="M1254" s="3348"/>
      <c r="N1254" s="3348"/>
      <c r="O1254" s="3348"/>
      <c r="P1254" s="3348"/>
      <c r="Q1254" s="3348"/>
    </row>
    <row r="1255" spans="1:17" ht="12.75" customHeight="1">
      <c r="A1255" s="3455" t="s">
        <v>1329</v>
      </c>
      <c r="B1255" s="3418" t="s">
        <v>4791</v>
      </c>
      <c r="C1255" s="3418"/>
      <c r="D1255" s="3418"/>
      <c r="E1255" s="3418"/>
      <c r="F1255" s="3418"/>
      <c r="G1255" s="3418"/>
      <c r="H1255" s="3418"/>
      <c r="I1255" s="3418"/>
      <c r="J1255" s="3418"/>
      <c r="K1255" s="3418"/>
      <c r="L1255" s="3418"/>
      <c r="M1255" s="3469" t="s">
        <v>1329</v>
      </c>
      <c r="N1255" s="3414" t="str">
        <f>'Part VIII-Threshold Criteria'!N161</f>
        <v>&lt;&lt;Select&gt;&gt;</v>
      </c>
      <c r="O1255" s="3414">
        <f>'Part VIII-Threshold Criteria'!O161</f>
        <v>0</v>
      </c>
      <c r="P1255" s="3414" t="str">
        <f>'Part VIII-Threshold Criteria'!P161</f>
        <v>&lt;&lt;Select&gt;&gt;</v>
      </c>
      <c r="Q1255" s="3414">
        <f>'Part VIII-Threshold Criteria'!Q161</f>
        <v>0</v>
      </c>
    </row>
    <row r="1256" spans="1:17">
      <c r="A1256" s="3457" t="s">
        <v>9</v>
      </c>
      <c r="B1256" s="3354" t="s">
        <v>1395</v>
      </c>
      <c r="C1256" s="3111"/>
      <c r="D1256" s="3476"/>
      <c r="E1256" s="3476"/>
      <c r="F1256" s="3111"/>
      <c r="G1256" s="3459" t="s">
        <v>9</v>
      </c>
      <c r="H1256" s="3383">
        <f>'Part VIII-Threshold Criteria'!H162</f>
        <v>0</v>
      </c>
      <c r="I1256" s="3383">
        <f>'Part VIII-Threshold Criteria'!I162</f>
        <v>0</v>
      </c>
      <c r="J1256" s="3383">
        <f>'Part VIII-Threshold Criteria'!J162</f>
        <v>0</v>
      </c>
      <c r="K1256" s="3383">
        <f>'Part VIII-Threshold Criteria'!K162</f>
        <v>0</v>
      </c>
      <c r="L1256" s="3383">
        <f>'Part VIII-Threshold Criteria'!L162</f>
        <v>0</v>
      </c>
      <c r="M1256" s="3383">
        <f>'Part VIII-Threshold Criteria'!M162</f>
        <v>0</v>
      </c>
      <c r="N1256" s="3383">
        <f>'Part VIII-Threshold Criteria'!N162</f>
        <v>0</v>
      </c>
      <c r="O1256" s="3383">
        <f>'Part VIII-Threshold Criteria'!O162</f>
        <v>0</v>
      </c>
      <c r="P1256" s="3383">
        <f>'Part VIII-Threshold Criteria'!P162</f>
        <v>0</v>
      </c>
      <c r="Q1256" s="3424">
        <f>'Part VIII-Threshold Criteria'!Q162</f>
        <v>0</v>
      </c>
    </row>
    <row r="1257" spans="1:17">
      <c r="A1257" s="3457" t="s">
        <v>1332</v>
      </c>
      <c r="B1257" s="3354" t="s">
        <v>1396</v>
      </c>
      <c r="C1257" s="3111"/>
      <c r="D1257" s="3472"/>
      <c r="E1257" s="3472"/>
      <c r="F1257" s="3472"/>
      <c r="G1257" s="3310"/>
      <c r="H1257" s="3310"/>
      <c r="I1257" s="3354"/>
      <c r="J1257" s="3111"/>
      <c r="K1257" s="3310"/>
      <c r="L1257" s="3310"/>
      <c r="M1257" s="3310"/>
      <c r="N1257" s="3111"/>
      <c r="O1257" s="3459" t="s">
        <v>1332</v>
      </c>
      <c r="P1257" s="3424">
        <f>'Part VIII-Threshold Criteria'!P163</f>
        <v>0</v>
      </c>
      <c r="Q1257" s="3424">
        <f>'Part VIII-Threshold Criteria'!Q163</f>
        <v>0</v>
      </c>
    </row>
    <row r="1258" spans="1:17">
      <c r="B1258" s="3355" t="s">
        <v>1274</v>
      </c>
      <c r="D1258" s="3355"/>
      <c r="E1258" s="3355"/>
      <c r="F1258" s="3355"/>
      <c r="G1258" s="3355"/>
      <c r="H1258" s="3354"/>
      <c r="I1258" s="3416"/>
      <c r="J1258" s="3416"/>
      <c r="K1258" s="3416"/>
      <c r="L1258" s="3318"/>
      <c r="M1258" s="3318"/>
      <c r="N1258" s="3318"/>
      <c r="O1258" s="3318"/>
      <c r="P1258" s="3318"/>
      <c r="Q1258" s="3318"/>
    </row>
    <row r="1259" spans="1:17" ht="409.5">
      <c r="A1259" s="3418" t="str">
        <f>'Part VIII-Threshold Criteria'!A165</f>
        <v>The subject site is vacant land located in the City of Ball Ground, Cherokee County, Georgia.  There is a small stream on the southeastern side of the property, which will not be affected by the development of the Mill at Stone Valley.  As indicated above, there is an endangered species in the general area, but as indicated in the ESA included in Tab 7, it is not expected to be affected by the development.</v>
      </c>
      <c r="B1259" s="3418">
        <f>'Part VIII-Threshold Criteria'!B165</f>
        <v>0</v>
      </c>
      <c r="C1259" s="3418">
        <f>'Part VIII-Threshold Criteria'!C165</f>
        <v>0</v>
      </c>
      <c r="D1259" s="3418">
        <f>'Part VIII-Threshold Criteria'!D165</f>
        <v>0</v>
      </c>
      <c r="E1259" s="3418">
        <f>'Part VIII-Threshold Criteria'!E165</f>
        <v>0</v>
      </c>
      <c r="F1259" s="3418">
        <f>'Part VIII-Threshold Criteria'!F165</f>
        <v>0</v>
      </c>
      <c r="G1259" s="3418">
        <f>'Part VIII-Threshold Criteria'!G165</f>
        <v>0</v>
      </c>
      <c r="H1259" s="3418">
        <f>'Part VIII-Threshold Criteria'!H165</f>
        <v>0</v>
      </c>
      <c r="I1259" s="3418">
        <f>'Part VIII-Threshold Criteria'!I165</f>
        <v>0</v>
      </c>
      <c r="J1259" s="3418">
        <f>'Part VIII-Threshold Criteria'!J165</f>
        <v>0</v>
      </c>
      <c r="K1259" s="3418">
        <f>'Part VIII-Threshold Criteria'!K165</f>
        <v>0</v>
      </c>
      <c r="L1259" s="3418">
        <f>'Part VIII-Threshold Criteria'!L165</f>
        <v>0</v>
      </c>
      <c r="M1259" s="3418">
        <f>'Part VIII-Threshold Criteria'!M165</f>
        <v>0</v>
      </c>
      <c r="N1259" s="3418">
        <f>'Part VIII-Threshold Criteria'!N165</f>
        <v>0</v>
      </c>
      <c r="O1259" s="3418">
        <f>'Part VIII-Threshold Criteria'!O165</f>
        <v>0</v>
      </c>
      <c r="P1259" s="3418">
        <f>'Part VIII-Threshold Criteria'!P165</f>
        <v>0</v>
      </c>
      <c r="Q1259" s="3418">
        <f>'Part VIII-Threshold Criteria'!Q165</f>
        <v>0</v>
      </c>
    </row>
    <row r="1261" spans="1:17">
      <c r="B1261" s="3419" t="s">
        <v>1276</v>
      </c>
      <c r="C1261" s="3420"/>
      <c r="D1261" s="3421"/>
      <c r="E1261" s="3421"/>
      <c r="F1261" s="3421"/>
      <c r="G1261" s="3421"/>
      <c r="H1261" s="3421"/>
      <c r="I1261" s="3421"/>
      <c r="J1261" s="3421"/>
      <c r="K1261" s="3421"/>
      <c r="L1261" s="3421"/>
      <c r="M1261" s="3421"/>
      <c r="N1261" s="3421"/>
      <c r="O1261" s="3421"/>
      <c r="P1261" s="3421"/>
      <c r="Q1261" s="3421"/>
    </row>
    <row r="1262" spans="1:17">
      <c r="A1262" s="3418">
        <f>'Part VIII-Threshold Criteria'!A168</f>
        <v>0</v>
      </c>
      <c r="B1262" s="3418">
        <f>'Part VIII-Threshold Criteria'!B168</f>
        <v>0</v>
      </c>
      <c r="C1262" s="3418">
        <f>'Part VIII-Threshold Criteria'!C168</f>
        <v>0</v>
      </c>
      <c r="D1262" s="3418">
        <f>'Part VIII-Threshold Criteria'!D168</f>
        <v>0</v>
      </c>
      <c r="E1262" s="3418">
        <f>'Part VIII-Threshold Criteria'!E168</f>
        <v>0</v>
      </c>
      <c r="F1262" s="3418">
        <f>'Part VIII-Threshold Criteria'!F168</f>
        <v>0</v>
      </c>
      <c r="G1262" s="3418">
        <f>'Part VIII-Threshold Criteria'!G168</f>
        <v>0</v>
      </c>
      <c r="H1262" s="3418">
        <f>'Part VIII-Threshold Criteria'!H168</f>
        <v>0</v>
      </c>
      <c r="I1262" s="3418">
        <f>'Part VIII-Threshold Criteria'!I168</f>
        <v>0</v>
      </c>
      <c r="J1262" s="3418">
        <f>'Part VIII-Threshold Criteria'!J168</f>
        <v>0</v>
      </c>
      <c r="K1262" s="3418">
        <f>'Part VIII-Threshold Criteria'!K168</f>
        <v>0</v>
      </c>
      <c r="L1262" s="3418">
        <f>'Part VIII-Threshold Criteria'!L168</f>
        <v>0</v>
      </c>
      <c r="M1262" s="3418">
        <f>'Part VIII-Threshold Criteria'!M168</f>
        <v>0</v>
      </c>
      <c r="N1262" s="3418">
        <f>'Part VIII-Threshold Criteria'!N168</f>
        <v>0</v>
      </c>
      <c r="O1262" s="3418">
        <f>'Part VIII-Threshold Criteria'!O168</f>
        <v>0</v>
      </c>
      <c r="P1262" s="3418">
        <f>'Part VIII-Threshold Criteria'!P168</f>
        <v>0</v>
      </c>
      <c r="Q1262" s="3418">
        <f>'Part VIII-Threshold Criteria'!Q168</f>
        <v>0</v>
      </c>
    </row>
    <row r="1263" spans="1:17">
      <c r="A1263" s="3318"/>
      <c r="B1263" s="3416"/>
      <c r="C1263" s="3421"/>
      <c r="D1263" s="3421"/>
      <c r="E1263" s="3421"/>
      <c r="F1263" s="3421"/>
      <c r="G1263" s="3421"/>
      <c r="H1263" s="3421"/>
      <c r="I1263" s="3421"/>
      <c r="J1263" s="3421"/>
      <c r="K1263" s="3421"/>
      <c r="L1263" s="3421"/>
      <c r="M1263" s="3421"/>
      <c r="N1263" s="3421"/>
      <c r="O1263" s="3421"/>
      <c r="P1263" s="3421"/>
      <c r="Q1263" s="3318"/>
    </row>
    <row r="1264" spans="1:17">
      <c r="A1264" s="3301" t="s">
        <v>173</v>
      </c>
      <c r="B1264" s="3301" t="s">
        <v>1397</v>
      </c>
      <c r="C1264" s="3301"/>
      <c r="D1264" s="3421"/>
      <c r="E1264" s="3421"/>
      <c r="F1264" s="3421"/>
      <c r="G1264" s="3421"/>
      <c r="H1264" s="3421"/>
      <c r="I1264" s="3421"/>
      <c r="J1264" s="3421"/>
      <c r="K1264" s="3421"/>
      <c r="O1264" s="3417" t="s">
        <v>1273</v>
      </c>
      <c r="P1264" s="3326">
        <f>'Part VIII-Threshold Criteria'!P170</f>
        <v>0</v>
      </c>
      <c r="Q1264" s="3326">
        <f>'Part VIII-Threshold Criteria'!Q170</f>
        <v>0</v>
      </c>
    </row>
    <row r="1265" spans="1:17">
      <c r="A1265" s="3457" t="s">
        <v>110</v>
      </c>
      <c r="B1265" s="358" t="s">
        <v>4613</v>
      </c>
      <c r="D1265" s="358"/>
      <c r="E1265" s="358"/>
      <c r="F1265" s="358"/>
      <c r="G1265" s="358"/>
      <c r="I1265" s="358" t="s">
        <v>1399</v>
      </c>
      <c r="K1265" s="3477">
        <f>'Part VIII-Threshold Criteria'!K171</f>
        <v>43830</v>
      </c>
      <c r="L1265" s="3477">
        <f>'Part VIII-Threshold Criteria'!L171</f>
        <v>0</v>
      </c>
      <c r="N1265" s="358"/>
      <c r="O1265" s="3459" t="s">
        <v>110</v>
      </c>
      <c r="P1265" s="3424" t="str">
        <f>'Part VIII-Threshold Criteria'!P171</f>
        <v>Yes</v>
      </c>
      <c r="Q1265" s="3424">
        <f>'Part VIII-Threshold Criteria'!Q171</f>
        <v>0</v>
      </c>
    </row>
    <row r="1266" spans="1:17">
      <c r="A1266" s="3457" t="s">
        <v>121</v>
      </c>
      <c r="B1266" s="3443" t="s">
        <v>1400</v>
      </c>
      <c r="D1266" s="3443"/>
      <c r="E1266" s="3443"/>
      <c r="F1266" s="3443"/>
      <c r="G1266" s="3443"/>
      <c r="H1266" s="3443"/>
      <c r="M1266" s="3459" t="s">
        <v>121</v>
      </c>
      <c r="N1266" s="3376" t="str">
        <f>'Part VIII-Threshold Criteria'!N172</f>
        <v>Purchase Contract</v>
      </c>
      <c r="O1266" s="3376">
        <f>'Part VIII-Threshold Criteria'!O172</f>
        <v>0</v>
      </c>
      <c r="P1266" s="3376" t="str">
        <f>'Part VIII-Threshold Criteria'!P172</f>
        <v>&lt;&lt;Select&gt;&gt;</v>
      </c>
      <c r="Q1266" s="3376">
        <f>'Part VIII-Threshold Criteria'!Q172</f>
        <v>0</v>
      </c>
    </row>
    <row r="1267" spans="1:17">
      <c r="A1267" s="3457" t="s">
        <v>123</v>
      </c>
      <c r="B1267" s="3443" t="s">
        <v>1401</v>
      </c>
      <c r="D1267" s="3443"/>
      <c r="E1267" s="3443"/>
      <c r="F1267" s="3443"/>
      <c r="G1267" s="3443"/>
      <c r="H1267" s="3443"/>
      <c r="J1267" s="3459" t="s">
        <v>123</v>
      </c>
      <c r="K1267" s="3415" t="str">
        <f>'Part VIII-Threshold Criteria'!K173</f>
        <v>TISHCO Ball Ground, L.P.</v>
      </c>
      <c r="L1267" s="3415">
        <f>'Part VIII-Threshold Criteria'!L173</f>
        <v>0</v>
      </c>
      <c r="M1267" s="3415">
        <f>'Part VIII-Threshold Criteria'!M173</f>
        <v>0</v>
      </c>
      <c r="N1267" s="3415">
        <f>'Part VIII-Threshold Criteria'!N173</f>
        <v>0</v>
      </c>
      <c r="O1267" s="3415">
        <f>'Part VIII-Threshold Criteria'!O173</f>
        <v>0</v>
      </c>
      <c r="P1267" s="3415">
        <f>'Part VIII-Threshold Criteria'!P173</f>
        <v>0</v>
      </c>
      <c r="Q1267" s="3424">
        <f>'Part VIII-Threshold Criteria'!Q173</f>
        <v>0</v>
      </c>
    </row>
    <row r="1268" spans="1:17">
      <c r="A1268" s="3457" t="s">
        <v>126</v>
      </c>
      <c r="B1268" s="3443" t="s">
        <v>1402</v>
      </c>
      <c r="D1268" s="3443"/>
      <c r="E1268" s="3443"/>
      <c r="F1268" s="3443"/>
      <c r="G1268" s="3443"/>
      <c r="H1268" s="3443"/>
      <c r="J1268" s="3459"/>
      <c r="K1268" s="3459"/>
      <c r="L1268" s="3459"/>
      <c r="M1268" s="3459"/>
      <c r="N1268" s="3459"/>
      <c r="O1268" s="3459" t="s">
        <v>126</v>
      </c>
      <c r="P1268" s="3424" t="str">
        <f>'Part VIII-Threshold Criteria'!P174</f>
        <v>Yes</v>
      </c>
      <c r="Q1268" s="3424">
        <f>'Part VIII-Threshold Criteria'!Q174</f>
        <v>0</v>
      </c>
    </row>
    <row r="1269" spans="1:17">
      <c r="B1269" s="3355" t="s">
        <v>1274</v>
      </c>
      <c r="D1269" s="3355"/>
      <c r="E1269" s="3355"/>
      <c r="F1269" s="3355"/>
      <c r="G1269" s="3355"/>
      <c r="H1269" s="3354"/>
      <c r="I1269" s="3416"/>
      <c r="J1269" s="3416"/>
      <c r="K1269" s="3416"/>
      <c r="L1269" s="3318"/>
      <c r="M1269" s="3318"/>
      <c r="N1269" s="3318"/>
      <c r="O1269" s="3318"/>
      <c r="P1269" s="3318"/>
      <c r="Q1269" s="3318"/>
    </row>
    <row r="1270" spans="1:17" ht="247.5">
      <c r="A1270" s="3418" t="str">
        <f>'Part VIII-Threshold Criteria'!A176</f>
        <v>TISHCO Ball Ground, L.P., the owner of the Mill at Stone Valley, has an option to purchase the site from JT Ball Ground, L.P., a copy of which is included in Tab 8.  There is an identity of interest between the buyer and seller.</v>
      </c>
      <c r="B1270" s="3418">
        <f>'Part VIII-Threshold Criteria'!B176</f>
        <v>0</v>
      </c>
      <c r="C1270" s="3418">
        <f>'Part VIII-Threshold Criteria'!C176</f>
        <v>0</v>
      </c>
      <c r="D1270" s="3418">
        <f>'Part VIII-Threshold Criteria'!D176</f>
        <v>0</v>
      </c>
      <c r="E1270" s="3418">
        <f>'Part VIII-Threshold Criteria'!E176</f>
        <v>0</v>
      </c>
      <c r="F1270" s="3418">
        <f>'Part VIII-Threshold Criteria'!F176</f>
        <v>0</v>
      </c>
      <c r="G1270" s="3418">
        <f>'Part VIII-Threshold Criteria'!G176</f>
        <v>0</v>
      </c>
      <c r="H1270" s="3418">
        <f>'Part VIII-Threshold Criteria'!H176</f>
        <v>0</v>
      </c>
      <c r="I1270" s="3418">
        <f>'Part VIII-Threshold Criteria'!I176</f>
        <v>0</v>
      </c>
      <c r="J1270" s="3418">
        <f>'Part VIII-Threshold Criteria'!J176</f>
        <v>0</v>
      </c>
      <c r="K1270" s="3418">
        <f>'Part VIII-Threshold Criteria'!K176</f>
        <v>0</v>
      </c>
      <c r="L1270" s="3418">
        <f>'Part VIII-Threshold Criteria'!L176</f>
        <v>0</v>
      </c>
      <c r="M1270" s="3418">
        <f>'Part VIII-Threshold Criteria'!M176</f>
        <v>0</v>
      </c>
      <c r="N1270" s="3418">
        <f>'Part VIII-Threshold Criteria'!N176</f>
        <v>0</v>
      </c>
      <c r="O1270" s="3418">
        <f>'Part VIII-Threshold Criteria'!O176</f>
        <v>0</v>
      </c>
      <c r="P1270" s="3418">
        <f>'Part VIII-Threshold Criteria'!P176</f>
        <v>0</v>
      </c>
      <c r="Q1270" s="3418">
        <f>'Part VIII-Threshold Criteria'!Q176</f>
        <v>0</v>
      </c>
    </row>
    <row r="1271" spans="1:17">
      <c r="B1271" s="3419" t="s">
        <v>1276</v>
      </c>
      <c r="C1271" s="3420"/>
      <c r="D1271" s="3421"/>
      <c r="E1271" s="3421"/>
      <c r="F1271" s="3421"/>
      <c r="G1271" s="3421"/>
      <c r="H1271" s="3421"/>
      <c r="I1271" s="3421"/>
      <c r="J1271" s="3421"/>
      <c r="K1271" s="3421"/>
      <c r="L1271" s="3421"/>
      <c r="M1271" s="3421"/>
      <c r="N1271" s="3421"/>
      <c r="O1271" s="3421"/>
      <c r="P1271" s="3421"/>
      <c r="Q1271" s="3421"/>
    </row>
    <row r="1272" spans="1:17">
      <c r="A1272" s="3418">
        <f>'Part VIII-Threshold Criteria'!A178</f>
        <v>0</v>
      </c>
      <c r="B1272" s="3418">
        <f>'Part VIII-Threshold Criteria'!B178</f>
        <v>0</v>
      </c>
      <c r="C1272" s="3418">
        <f>'Part VIII-Threshold Criteria'!C178</f>
        <v>0</v>
      </c>
      <c r="D1272" s="3418">
        <f>'Part VIII-Threshold Criteria'!D178</f>
        <v>0</v>
      </c>
      <c r="E1272" s="3418">
        <f>'Part VIII-Threshold Criteria'!E178</f>
        <v>0</v>
      </c>
      <c r="F1272" s="3418">
        <f>'Part VIII-Threshold Criteria'!F178</f>
        <v>0</v>
      </c>
      <c r="G1272" s="3418">
        <f>'Part VIII-Threshold Criteria'!G178</f>
        <v>0</v>
      </c>
      <c r="H1272" s="3418">
        <f>'Part VIII-Threshold Criteria'!H178</f>
        <v>0</v>
      </c>
      <c r="I1272" s="3418">
        <f>'Part VIII-Threshold Criteria'!I178</f>
        <v>0</v>
      </c>
      <c r="J1272" s="3418">
        <f>'Part VIII-Threshold Criteria'!J178</f>
        <v>0</v>
      </c>
      <c r="K1272" s="3418">
        <f>'Part VIII-Threshold Criteria'!K178</f>
        <v>0</v>
      </c>
      <c r="L1272" s="3418">
        <f>'Part VIII-Threshold Criteria'!L178</f>
        <v>0</v>
      </c>
      <c r="M1272" s="3418">
        <f>'Part VIII-Threshold Criteria'!M178</f>
        <v>0</v>
      </c>
      <c r="N1272" s="3418">
        <f>'Part VIII-Threshold Criteria'!N178</f>
        <v>0</v>
      </c>
      <c r="O1272" s="3418">
        <f>'Part VIII-Threshold Criteria'!O178</f>
        <v>0</v>
      </c>
      <c r="P1272" s="3418">
        <f>'Part VIII-Threshold Criteria'!P178</f>
        <v>0</v>
      </c>
      <c r="Q1272" s="3418">
        <f>'Part VIII-Threshold Criteria'!Q178</f>
        <v>0</v>
      </c>
    </row>
    <row r="1273" spans="1:17">
      <c r="A1273" s="3318"/>
      <c r="B1273" s="3416"/>
      <c r="C1273" s="3421"/>
      <c r="D1273" s="3421"/>
      <c r="E1273" s="3421"/>
      <c r="F1273" s="3421"/>
      <c r="G1273" s="3421"/>
      <c r="H1273" s="3421"/>
      <c r="I1273" s="3421"/>
      <c r="J1273" s="3421"/>
      <c r="K1273" s="3421"/>
      <c r="L1273" s="3421"/>
      <c r="M1273" s="3421"/>
      <c r="Q1273" s="3318"/>
    </row>
    <row r="1274" spans="1:17">
      <c r="A1274" s="3301" t="s">
        <v>182</v>
      </c>
      <c r="B1274" s="3301" t="s">
        <v>1403</v>
      </c>
      <c r="C1274" s="3301"/>
      <c r="D1274" s="3421"/>
      <c r="E1274" s="3421"/>
      <c r="F1274" s="3421"/>
      <c r="G1274" s="3421"/>
      <c r="H1274" s="3421"/>
      <c r="I1274" s="3421"/>
      <c r="J1274" s="3421"/>
      <c r="K1274" s="3421"/>
      <c r="L1274" s="3421"/>
      <c r="M1274" s="3421"/>
      <c r="O1274" s="3417" t="s">
        <v>1273</v>
      </c>
      <c r="P1274" s="3326">
        <f>'Part VIII-Threshold Criteria'!P180</f>
        <v>0</v>
      </c>
      <c r="Q1274" s="3326">
        <f>'Part VIII-Threshold Criteria'!Q180</f>
        <v>0</v>
      </c>
    </row>
    <row r="1275" spans="1:17" ht="12.75" customHeight="1">
      <c r="A1275" s="3455" t="s">
        <v>110</v>
      </c>
      <c r="B1275" s="3418" t="s">
        <v>1404</v>
      </c>
      <c r="C1275" s="3418"/>
      <c r="D1275" s="3418"/>
      <c r="E1275" s="3418"/>
      <c r="F1275" s="3418"/>
      <c r="G1275" s="3418"/>
      <c r="H1275" s="3418"/>
      <c r="I1275" s="3418"/>
      <c r="J1275" s="3418"/>
      <c r="K1275" s="3418"/>
      <c r="L1275" s="3418"/>
      <c r="M1275" s="3418"/>
      <c r="N1275" s="3418"/>
      <c r="O1275" s="3469" t="s">
        <v>110</v>
      </c>
      <c r="P1275" s="3470" t="str">
        <f>'Part VIII-Threshold Criteria'!P181</f>
        <v>Yes</v>
      </c>
      <c r="Q1275" s="3470">
        <f>'Part VIII-Threshold Criteria'!Q181</f>
        <v>0</v>
      </c>
    </row>
    <row r="1276" spans="1:17" ht="12.75" customHeight="1">
      <c r="A1276" s="3455" t="s">
        <v>121</v>
      </c>
      <c r="B1276" s="3418" t="s">
        <v>1405</v>
      </c>
      <c r="C1276" s="3418"/>
      <c r="D1276" s="3418"/>
      <c r="E1276" s="3418"/>
      <c r="F1276" s="3418"/>
      <c r="G1276" s="3418"/>
      <c r="H1276" s="3418"/>
      <c r="I1276" s="3418"/>
      <c r="J1276" s="3418"/>
      <c r="K1276" s="3418"/>
      <c r="L1276" s="3418"/>
      <c r="M1276" s="3418"/>
      <c r="N1276" s="3418"/>
      <c r="O1276" s="3469" t="s">
        <v>121</v>
      </c>
      <c r="P1276" s="3470" t="str">
        <f>'Part VIII-Threshold Criteria'!P182</f>
        <v>N/Ap</v>
      </c>
      <c r="Q1276" s="3470">
        <f>'Part VIII-Threshold Criteria'!Q182</f>
        <v>0</v>
      </c>
    </row>
    <row r="1277" spans="1:17" ht="12.75" customHeight="1">
      <c r="A1277" s="3455" t="s">
        <v>123</v>
      </c>
      <c r="B1277" s="3418" t="s">
        <v>1406</v>
      </c>
      <c r="C1277" s="3418"/>
      <c r="D1277" s="3418"/>
      <c r="E1277" s="3418"/>
      <c r="F1277" s="3418"/>
      <c r="G1277" s="3418"/>
      <c r="H1277" s="3418"/>
      <c r="I1277" s="3418"/>
      <c r="J1277" s="3418"/>
      <c r="K1277" s="3418"/>
      <c r="L1277" s="3418"/>
      <c r="M1277" s="3418"/>
      <c r="N1277" s="3418"/>
      <c r="O1277" s="3469" t="s">
        <v>123</v>
      </c>
      <c r="P1277" s="3470" t="str">
        <f>'Part VIII-Threshold Criteria'!P183</f>
        <v>N/Ap</v>
      </c>
      <c r="Q1277" s="3470">
        <f>'Part VIII-Threshold Criteria'!Q183</f>
        <v>0</v>
      </c>
    </row>
    <row r="1278" spans="1:17" ht="12.75" customHeight="1">
      <c r="A1278" s="3455" t="s">
        <v>126</v>
      </c>
      <c r="B1278" s="3418" t="s">
        <v>1407</v>
      </c>
      <c r="C1278" s="3418"/>
      <c r="D1278" s="3418"/>
      <c r="E1278" s="3418"/>
      <c r="F1278" s="3418"/>
      <c r="G1278" s="3418"/>
      <c r="H1278" s="3418"/>
      <c r="I1278" s="3418"/>
      <c r="J1278" s="3418"/>
      <c r="K1278" s="3418"/>
      <c r="L1278" s="3418"/>
      <c r="M1278" s="3418"/>
      <c r="N1278" s="3418"/>
      <c r="O1278" s="3469" t="s">
        <v>126</v>
      </c>
      <c r="P1278" s="3470" t="str">
        <f>'Part VIII-Threshold Criteria'!P184</f>
        <v>N/Ap</v>
      </c>
      <c r="Q1278" s="3470">
        <f>'Part VIII-Threshold Criteria'!Q184</f>
        <v>0</v>
      </c>
    </row>
    <row r="1279" spans="1:17">
      <c r="B1279" s="3355" t="s">
        <v>1274</v>
      </c>
      <c r="D1279" s="3355"/>
      <c r="E1279" s="3355"/>
      <c r="F1279" s="3355"/>
      <c r="G1279" s="3355"/>
      <c r="H1279" s="3354"/>
      <c r="I1279" s="3416"/>
      <c r="J1279" s="3416"/>
      <c r="K1279" s="3416"/>
      <c r="L1279" s="3318"/>
      <c r="M1279" s="3318"/>
      <c r="N1279" s="3318"/>
      <c r="O1279" s="3318"/>
      <c r="P1279" s="3318"/>
      <c r="Q1279" s="3318"/>
    </row>
    <row r="1280" spans="1:17" ht="258.75">
      <c r="A1280" s="3418" t="str">
        <f>'Part VIII-Threshold Criteria'!A186</f>
        <v>The site at the intersection of Ball Ground Highway and Coy M. Holcomb Drive has direct access from the main road.  This can be seen on the Conceptual Site Development Plan, a copy of which is included in Tab 9.</v>
      </c>
      <c r="B1280" s="3418">
        <f>'Part VIII-Threshold Criteria'!B186</f>
        <v>0</v>
      </c>
      <c r="C1280" s="3418">
        <f>'Part VIII-Threshold Criteria'!C186</f>
        <v>0</v>
      </c>
      <c r="D1280" s="3418">
        <f>'Part VIII-Threshold Criteria'!D186</f>
        <v>0</v>
      </c>
      <c r="E1280" s="3418">
        <f>'Part VIII-Threshold Criteria'!E186</f>
        <v>0</v>
      </c>
      <c r="F1280" s="3418">
        <f>'Part VIII-Threshold Criteria'!F186</f>
        <v>0</v>
      </c>
      <c r="G1280" s="3418">
        <f>'Part VIII-Threshold Criteria'!G186</f>
        <v>0</v>
      </c>
      <c r="H1280" s="3418">
        <f>'Part VIII-Threshold Criteria'!H186</f>
        <v>0</v>
      </c>
      <c r="I1280" s="3418">
        <f>'Part VIII-Threshold Criteria'!I186</f>
        <v>0</v>
      </c>
      <c r="J1280" s="3418">
        <f>'Part VIII-Threshold Criteria'!J186</f>
        <v>0</v>
      </c>
      <c r="K1280" s="3418">
        <f>'Part VIII-Threshold Criteria'!K186</f>
        <v>0</v>
      </c>
      <c r="L1280" s="3418">
        <f>'Part VIII-Threshold Criteria'!L186</f>
        <v>0</v>
      </c>
      <c r="M1280" s="3418">
        <f>'Part VIII-Threshold Criteria'!M186</f>
        <v>0</v>
      </c>
      <c r="N1280" s="3418">
        <f>'Part VIII-Threshold Criteria'!N186</f>
        <v>0</v>
      </c>
      <c r="O1280" s="3418">
        <f>'Part VIII-Threshold Criteria'!O186</f>
        <v>0</v>
      </c>
      <c r="P1280" s="3418">
        <f>'Part VIII-Threshold Criteria'!P186</f>
        <v>0</v>
      </c>
      <c r="Q1280" s="3418">
        <f>'Part VIII-Threshold Criteria'!Q186</f>
        <v>0</v>
      </c>
    </row>
    <row r="1281" spans="1:17">
      <c r="B1281" s="3419" t="s">
        <v>1276</v>
      </c>
      <c r="C1281" s="3420"/>
      <c r="D1281" s="3421"/>
      <c r="E1281" s="3421"/>
      <c r="F1281" s="3421"/>
      <c r="G1281" s="3421"/>
      <c r="H1281" s="3421"/>
      <c r="I1281" s="3421"/>
      <c r="J1281" s="3421"/>
      <c r="K1281" s="3421"/>
      <c r="L1281" s="3421"/>
      <c r="M1281" s="3421"/>
      <c r="N1281" s="3421"/>
      <c r="O1281" s="3421"/>
      <c r="P1281" s="3421"/>
      <c r="Q1281" s="3421"/>
    </row>
    <row r="1282" spans="1:17">
      <c r="A1282" s="3418">
        <f>'Part VIII-Threshold Criteria'!A188</f>
        <v>0</v>
      </c>
      <c r="B1282" s="3418">
        <f>'Part VIII-Threshold Criteria'!B188</f>
        <v>0</v>
      </c>
      <c r="C1282" s="3418">
        <f>'Part VIII-Threshold Criteria'!C188</f>
        <v>0</v>
      </c>
      <c r="D1282" s="3418">
        <f>'Part VIII-Threshold Criteria'!D188</f>
        <v>0</v>
      </c>
      <c r="E1282" s="3418">
        <f>'Part VIII-Threshold Criteria'!E188</f>
        <v>0</v>
      </c>
      <c r="F1282" s="3418">
        <f>'Part VIII-Threshold Criteria'!F188</f>
        <v>0</v>
      </c>
      <c r="G1282" s="3418">
        <f>'Part VIII-Threshold Criteria'!G188</f>
        <v>0</v>
      </c>
      <c r="H1282" s="3418">
        <f>'Part VIII-Threshold Criteria'!H188</f>
        <v>0</v>
      </c>
      <c r="I1282" s="3418">
        <f>'Part VIII-Threshold Criteria'!I188</f>
        <v>0</v>
      </c>
      <c r="J1282" s="3418">
        <f>'Part VIII-Threshold Criteria'!J188</f>
        <v>0</v>
      </c>
      <c r="K1282" s="3418">
        <f>'Part VIII-Threshold Criteria'!K188</f>
        <v>0</v>
      </c>
      <c r="L1282" s="3418">
        <f>'Part VIII-Threshold Criteria'!L188</f>
        <v>0</v>
      </c>
      <c r="M1282" s="3418">
        <f>'Part VIII-Threshold Criteria'!M188</f>
        <v>0</v>
      </c>
      <c r="N1282" s="3418">
        <f>'Part VIII-Threshold Criteria'!N188</f>
        <v>0</v>
      </c>
      <c r="O1282" s="3418">
        <f>'Part VIII-Threshold Criteria'!O188</f>
        <v>0</v>
      </c>
      <c r="P1282" s="3418">
        <f>'Part VIII-Threshold Criteria'!P188</f>
        <v>0</v>
      </c>
      <c r="Q1282" s="3418">
        <f>'Part VIII-Threshold Criteria'!Q188</f>
        <v>0</v>
      </c>
    </row>
    <row r="1283" spans="1:17">
      <c r="B1283" s="3416"/>
      <c r="C1283" s="3421"/>
      <c r="D1283" s="3421"/>
      <c r="E1283" s="3421"/>
      <c r="F1283" s="3421"/>
      <c r="G1283" s="3421"/>
      <c r="H1283" s="3421"/>
      <c r="I1283" s="3421"/>
      <c r="J1283" s="3421"/>
      <c r="K1283" s="3421"/>
      <c r="L1283" s="3421"/>
      <c r="M1283" s="3421"/>
      <c r="N1283" s="3421"/>
      <c r="O1283" s="3421"/>
      <c r="P1283" s="3421"/>
      <c r="Q1283" s="3318"/>
    </row>
    <row r="1284" spans="1:17">
      <c r="A1284" s="3320" t="s">
        <v>185</v>
      </c>
      <c r="B1284" s="3300" t="s">
        <v>1408</v>
      </c>
      <c r="C1284" s="3300"/>
      <c r="D1284" s="3300"/>
      <c r="O1284" s="3417" t="s">
        <v>1273</v>
      </c>
      <c r="P1284" s="3326">
        <f>'Part VIII-Threshold Criteria'!P190</f>
        <v>0</v>
      </c>
      <c r="Q1284" s="3326">
        <f>'Part VIII-Threshold Criteria'!Q190</f>
        <v>0</v>
      </c>
    </row>
    <row r="1285" spans="1:17">
      <c r="A1285" s="3455" t="s">
        <v>110</v>
      </c>
      <c r="B1285" s="3478" t="s">
        <v>1409</v>
      </c>
      <c r="D1285" s="3478"/>
      <c r="E1285" s="3478"/>
      <c r="F1285" s="3478"/>
      <c r="G1285" s="3478"/>
      <c r="H1285" s="3478"/>
      <c r="I1285" s="3478"/>
      <c r="J1285" s="3478"/>
      <c r="K1285" s="3478"/>
      <c r="L1285" s="3478"/>
      <c r="M1285" s="3478"/>
      <c r="O1285" s="3469" t="s">
        <v>110</v>
      </c>
      <c r="P1285" s="3424" t="str">
        <f>'Part VIII-Threshold Criteria'!P191</f>
        <v>Yes</v>
      </c>
      <c r="Q1285" s="3424">
        <f>'Part VIII-Threshold Criteria'!Q191</f>
        <v>0</v>
      </c>
    </row>
    <row r="1286" spans="1:17">
      <c r="A1286" s="3455" t="s">
        <v>121</v>
      </c>
      <c r="B1286" s="3478" t="s">
        <v>1410</v>
      </c>
      <c r="D1286" s="3478"/>
      <c r="E1286" s="3478"/>
      <c r="F1286" s="3478"/>
      <c r="G1286" s="3478"/>
      <c r="H1286" s="3478"/>
      <c r="I1286" s="3478"/>
      <c r="J1286" s="3478"/>
      <c r="K1286" s="3478"/>
      <c r="L1286" s="3478"/>
      <c r="M1286" s="3478"/>
      <c r="O1286" s="3469" t="s">
        <v>121</v>
      </c>
      <c r="P1286" s="3424" t="str">
        <f>'Part VIII-Threshold Criteria'!P192</f>
        <v>Yes</v>
      </c>
      <c r="Q1286" s="3424">
        <f>'Part VIII-Threshold Criteria'!Q192</f>
        <v>0</v>
      </c>
    </row>
    <row r="1287" spans="1:17">
      <c r="A1287" s="3455" t="s">
        <v>123</v>
      </c>
      <c r="B1287" s="3478" t="s">
        <v>1411</v>
      </c>
      <c r="D1287" s="3478"/>
      <c r="E1287" s="3478"/>
      <c r="F1287" s="3478"/>
      <c r="G1287" s="3478"/>
      <c r="H1287" s="3478"/>
      <c r="I1287" s="3478"/>
      <c r="J1287" s="3478"/>
      <c r="K1287" s="3478"/>
      <c r="L1287" s="3478"/>
      <c r="M1287" s="3478"/>
      <c r="O1287" s="3469" t="s">
        <v>123</v>
      </c>
      <c r="P1287" s="3424" t="str">
        <f>'Part VIII-Threshold Criteria'!P193</f>
        <v>Yes</v>
      </c>
      <c r="Q1287" s="3424">
        <f>'Part VIII-Threshold Criteria'!Q193</f>
        <v>0</v>
      </c>
    </row>
    <row r="1288" spans="1:17">
      <c r="A1288" s="3455"/>
      <c r="B1288" s="3418" t="s">
        <v>1358</v>
      </c>
      <c r="C1288" s="3418"/>
      <c r="D1288" s="3459" t="s">
        <v>1303</v>
      </c>
      <c r="E1288" s="3354" t="s">
        <v>1412</v>
      </c>
      <c r="G1288" s="3478"/>
      <c r="H1288" s="3478"/>
      <c r="I1288" s="3478"/>
      <c r="J1288" s="3478"/>
      <c r="K1288" s="3478"/>
      <c r="L1288" s="3478"/>
      <c r="M1288" s="3478"/>
      <c r="O1288" s="3479" t="s">
        <v>1303</v>
      </c>
      <c r="P1288" s="3424" t="str">
        <f>'Part VIII-Threshold Criteria'!P194</f>
        <v>Yes</v>
      </c>
      <c r="Q1288" s="3424">
        <f>'Part VIII-Threshold Criteria'!Q194</f>
        <v>0</v>
      </c>
    </row>
    <row r="1289" spans="1:17">
      <c r="A1289" s="3455"/>
      <c r="B1289" s="3418"/>
      <c r="C1289" s="3418"/>
      <c r="D1289" s="3459" t="s">
        <v>1306</v>
      </c>
      <c r="E1289" s="3354" t="s">
        <v>4792</v>
      </c>
      <c r="G1289" s="3478"/>
      <c r="H1289" s="3478"/>
      <c r="I1289" s="3478"/>
      <c r="J1289" s="3478"/>
      <c r="K1289" s="3478"/>
      <c r="L1289" s="3478"/>
      <c r="M1289" s="3478"/>
      <c r="O1289" s="3479" t="s">
        <v>1306</v>
      </c>
      <c r="P1289" s="3424" t="str">
        <f>'Part VIII-Threshold Criteria'!P195</f>
        <v>Yes</v>
      </c>
      <c r="Q1289" s="3424">
        <f>'Part VIII-Threshold Criteria'!Q195</f>
        <v>0</v>
      </c>
    </row>
    <row r="1290" spans="1:17" ht="12.75" customHeight="1">
      <c r="A1290" s="3455"/>
      <c r="B1290" s="3435"/>
      <c r="C1290" s="3478"/>
      <c r="D1290" s="3469" t="s">
        <v>1308</v>
      </c>
      <c r="E1290" s="3418" t="s">
        <v>1414</v>
      </c>
      <c r="F1290" s="3418"/>
      <c r="G1290" s="3418"/>
      <c r="H1290" s="3418"/>
      <c r="I1290" s="3418"/>
      <c r="J1290" s="3418"/>
      <c r="K1290" s="3418"/>
      <c r="L1290" s="3418"/>
      <c r="M1290" s="3418"/>
      <c r="N1290" s="3418"/>
      <c r="O1290" s="3469" t="s">
        <v>1308</v>
      </c>
      <c r="P1290" s="3470" t="str">
        <f>'Part VIII-Threshold Criteria'!P196</f>
        <v>Yes</v>
      </c>
      <c r="Q1290" s="3470">
        <f>'Part VIII-Threshold Criteria'!Q196</f>
        <v>0</v>
      </c>
    </row>
    <row r="1291" spans="1:17">
      <c r="A1291" s="3455"/>
      <c r="C1291" s="3478"/>
      <c r="D1291" s="3459" t="s">
        <v>1310</v>
      </c>
      <c r="E1291" s="3354" t="s">
        <v>1415</v>
      </c>
      <c r="G1291" s="3478"/>
      <c r="H1291" s="3478"/>
      <c r="I1291" s="3478"/>
      <c r="J1291" s="3478"/>
      <c r="K1291" s="3478"/>
      <c r="L1291" s="3478"/>
      <c r="M1291" s="3478"/>
      <c r="O1291" s="3479" t="s">
        <v>1310</v>
      </c>
      <c r="P1291" s="3424" t="str">
        <f>'Part VIII-Threshold Criteria'!P197</f>
        <v>Yes</v>
      </c>
      <c r="Q1291" s="3424">
        <f>'Part VIII-Threshold Criteria'!Q197</f>
        <v>0</v>
      </c>
    </row>
    <row r="1292" spans="1:17" ht="12.75" customHeight="1">
      <c r="A1292" s="3455"/>
      <c r="B1292" s="3435"/>
      <c r="C1292" s="3478"/>
      <c r="D1292" s="3469" t="s">
        <v>1323</v>
      </c>
      <c r="E1292" s="3418" t="s">
        <v>1416</v>
      </c>
      <c r="F1292" s="3418"/>
      <c r="G1292" s="3418"/>
      <c r="H1292" s="3418"/>
      <c r="I1292" s="3418"/>
      <c r="J1292" s="3418"/>
      <c r="K1292" s="3418"/>
      <c r="L1292" s="3418"/>
      <c r="M1292" s="3418"/>
      <c r="N1292" s="3418"/>
      <c r="O1292" s="3469" t="s">
        <v>1323</v>
      </c>
      <c r="P1292" s="3470" t="str">
        <f>'Part VIII-Threshold Criteria'!P198</f>
        <v>N/Ap</v>
      </c>
      <c r="Q1292" s="3470">
        <f>'Part VIII-Threshold Criteria'!Q198</f>
        <v>0</v>
      </c>
    </row>
    <row r="1293" spans="1:17" ht="12.75" customHeight="1">
      <c r="A1293" s="3455"/>
      <c r="B1293" s="3435"/>
      <c r="C1293" s="3478"/>
      <c r="D1293" s="3469" t="s">
        <v>1324</v>
      </c>
      <c r="E1293" s="3418" t="s">
        <v>1417</v>
      </c>
      <c r="F1293" s="3418"/>
      <c r="G1293" s="3418"/>
      <c r="H1293" s="3418"/>
      <c r="I1293" s="3418"/>
      <c r="J1293" s="3418"/>
      <c r="K1293" s="3418"/>
      <c r="L1293" s="3418"/>
      <c r="M1293" s="3418"/>
      <c r="N1293" s="3418"/>
      <c r="O1293" s="3469" t="s">
        <v>1324</v>
      </c>
      <c r="P1293" s="3470" t="str">
        <f>'Part VIII-Threshold Criteria'!P199</f>
        <v>N/Ap</v>
      </c>
      <c r="Q1293" s="3470">
        <f>'Part VIII-Threshold Criteria'!Q199</f>
        <v>0</v>
      </c>
    </row>
    <row r="1294" spans="1:17" ht="12.75" customHeight="1">
      <c r="A1294" s="3455" t="s">
        <v>126</v>
      </c>
      <c r="B1294" s="3418" t="s">
        <v>1418</v>
      </c>
      <c r="C1294" s="3418"/>
      <c r="D1294" s="3418"/>
      <c r="E1294" s="3418"/>
      <c r="F1294" s="3418"/>
      <c r="G1294" s="3418"/>
      <c r="H1294" s="3418"/>
      <c r="I1294" s="3418"/>
      <c r="J1294" s="3418"/>
      <c r="K1294" s="3418"/>
      <c r="L1294" s="3418"/>
      <c r="M1294" s="3418"/>
      <c r="N1294" s="3418"/>
      <c r="O1294" s="3469" t="s">
        <v>126</v>
      </c>
      <c r="P1294" s="3470" t="str">
        <f>'Part VIII-Threshold Criteria'!P200</f>
        <v>Yes</v>
      </c>
      <c r="Q1294" s="3470">
        <f>'Part VIII-Threshold Criteria'!Q200</f>
        <v>0</v>
      </c>
    </row>
    <row r="1295" spans="1:17">
      <c r="A1295" s="3455" t="s">
        <v>140</v>
      </c>
      <c r="B1295" s="3478" t="s">
        <v>1419</v>
      </c>
      <c r="D1295" s="3478"/>
      <c r="E1295" s="3478"/>
      <c r="F1295" s="3478"/>
      <c r="G1295" s="3478"/>
      <c r="H1295" s="3478"/>
      <c r="I1295" s="3478"/>
      <c r="J1295" s="3478"/>
      <c r="K1295" s="3478"/>
      <c r="L1295" s="3478"/>
      <c r="M1295" s="3478"/>
      <c r="O1295" s="3469" t="s">
        <v>140</v>
      </c>
      <c r="P1295" s="3424" t="str">
        <f>'Part VIII-Threshold Criteria'!P201</f>
        <v>Yes</v>
      </c>
      <c r="Q1295" s="3424">
        <f>'Part VIII-Threshold Criteria'!Q201</f>
        <v>0</v>
      </c>
    </row>
    <row r="1296" spans="1:17">
      <c r="B1296" s="3355" t="s">
        <v>1274</v>
      </c>
      <c r="D1296" s="3355"/>
      <c r="E1296" s="3355"/>
      <c r="F1296" s="3355"/>
      <c r="G1296" s="3355"/>
      <c r="H1296" s="3354"/>
      <c r="I1296" s="3416"/>
      <c r="J1296" s="3416"/>
      <c r="K1296" s="3416"/>
      <c r="L1296" s="3318"/>
      <c r="M1296" s="3318"/>
      <c r="N1296" s="3318"/>
      <c r="O1296" s="3318"/>
      <c r="P1296" s="3318"/>
      <c r="Q1296" s="3318"/>
    </row>
    <row r="1297" spans="1:17" ht="213.75">
      <c r="A1297" s="3418" t="str">
        <f>'Part VIII-Threshold Criteria'!A203</f>
        <v xml:space="preserve">The zoning letter and a copy of the ordinance is included in Tab 10 with all relevant information. The Conceptual Site Development Plan adheres to the zoning restrictions and requirements. </v>
      </c>
      <c r="B1297" s="3418">
        <f>'Part VIII-Threshold Criteria'!B203</f>
        <v>0</v>
      </c>
      <c r="C1297" s="3418">
        <f>'Part VIII-Threshold Criteria'!C203</f>
        <v>0</v>
      </c>
      <c r="D1297" s="3418">
        <f>'Part VIII-Threshold Criteria'!D203</f>
        <v>0</v>
      </c>
      <c r="E1297" s="3418">
        <f>'Part VIII-Threshold Criteria'!E203</f>
        <v>0</v>
      </c>
      <c r="F1297" s="3418">
        <f>'Part VIII-Threshold Criteria'!F203</f>
        <v>0</v>
      </c>
      <c r="G1297" s="3418">
        <f>'Part VIII-Threshold Criteria'!G203</f>
        <v>0</v>
      </c>
      <c r="H1297" s="3418">
        <f>'Part VIII-Threshold Criteria'!H203</f>
        <v>0</v>
      </c>
      <c r="I1297" s="3418">
        <f>'Part VIII-Threshold Criteria'!I203</f>
        <v>0</v>
      </c>
      <c r="J1297" s="3418">
        <f>'Part VIII-Threshold Criteria'!J203</f>
        <v>0</v>
      </c>
      <c r="K1297" s="3418">
        <f>'Part VIII-Threshold Criteria'!K203</f>
        <v>0</v>
      </c>
      <c r="L1297" s="3418">
        <f>'Part VIII-Threshold Criteria'!L203</f>
        <v>0</v>
      </c>
      <c r="M1297" s="3418">
        <f>'Part VIII-Threshold Criteria'!M203</f>
        <v>0</v>
      </c>
      <c r="N1297" s="3418">
        <f>'Part VIII-Threshold Criteria'!N203</f>
        <v>0</v>
      </c>
      <c r="O1297" s="3418">
        <f>'Part VIII-Threshold Criteria'!O203</f>
        <v>0</v>
      </c>
      <c r="P1297" s="3418">
        <f>'Part VIII-Threshold Criteria'!P203</f>
        <v>0</v>
      </c>
      <c r="Q1297" s="3418">
        <f>'Part VIII-Threshold Criteria'!Q203</f>
        <v>0</v>
      </c>
    </row>
    <row r="1298" spans="1:17">
      <c r="B1298" s="3419" t="s">
        <v>1276</v>
      </c>
      <c r="C1298" s="3420"/>
      <c r="D1298" s="3421"/>
      <c r="E1298" s="3421"/>
      <c r="F1298" s="3421"/>
      <c r="G1298" s="3421"/>
      <c r="H1298" s="3421"/>
      <c r="I1298" s="3421"/>
      <c r="J1298" s="3421"/>
      <c r="K1298" s="3421"/>
      <c r="L1298" s="3421"/>
      <c r="M1298" s="3421"/>
      <c r="N1298" s="3421"/>
      <c r="O1298" s="3421"/>
      <c r="P1298" s="3421"/>
      <c r="Q1298" s="3421"/>
    </row>
    <row r="1299" spans="1:17">
      <c r="A1299" s="3418">
        <f>'Part VIII-Threshold Criteria'!A205</f>
        <v>0</v>
      </c>
      <c r="B1299" s="3418">
        <f>'Part VIII-Threshold Criteria'!B205</f>
        <v>0</v>
      </c>
      <c r="C1299" s="3418">
        <f>'Part VIII-Threshold Criteria'!C205</f>
        <v>0</v>
      </c>
      <c r="D1299" s="3418">
        <f>'Part VIII-Threshold Criteria'!D205</f>
        <v>0</v>
      </c>
      <c r="E1299" s="3418">
        <f>'Part VIII-Threshold Criteria'!E205</f>
        <v>0</v>
      </c>
      <c r="F1299" s="3418">
        <f>'Part VIII-Threshold Criteria'!F205</f>
        <v>0</v>
      </c>
      <c r="G1299" s="3418">
        <f>'Part VIII-Threshold Criteria'!G205</f>
        <v>0</v>
      </c>
      <c r="H1299" s="3418">
        <f>'Part VIII-Threshold Criteria'!H205</f>
        <v>0</v>
      </c>
      <c r="I1299" s="3418">
        <f>'Part VIII-Threshold Criteria'!I205</f>
        <v>0</v>
      </c>
      <c r="J1299" s="3418">
        <f>'Part VIII-Threshold Criteria'!J205</f>
        <v>0</v>
      </c>
      <c r="K1299" s="3418">
        <f>'Part VIII-Threshold Criteria'!K205</f>
        <v>0</v>
      </c>
      <c r="L1299" s="3418">
        <f>'Part VIII-Threshold Criteria'!L205</f>
        <v>0</v>
      </c>
      <c r="M1299" s="3418">
        <f>'Part VIII-Threshold Criteria'!M205</f>
        <v>0</v>
      </c>
      <c r="N1299" s="3418">
        <f>'Part VIII-Threshold Criteria'!N205</f>
        <v>0</v>
      </c>
      <c r="O1299" s="3418">
        <f>'Part VIII-Threshold Criteria'!O205</f>
        <v>0</v>
      </c>
      <c r="P1299" s="3418">
        <f>'Part VIII-Threshold Criteria'!P205</f>
        <v>0</v>
      </c>
      <c r="Q1299" s="3418">
        <f>'Part VIII-Threshold Criteria'!Q205</f>
        <v>0</v>
      </c>
    </row>
    <row r="1300" spans="1:17">
      <c r="A1300" s="3318"/>
      <c r="B1300" s="3416"/>
      <c r="C1300" s="3421"/>
      <c r="D1300" s="3421"/>
      <c r="E1300" s="3421"/>
      <c r="F1300" s="3421"/>
      <c r="G1300" s="3421"/>
      <c r="H1300" s="3421"/>
      <c r="I1300" s="3421"/>
      <c r="J1300" s="3421"/>
      <c r="K1300" s="3421"/>
      <c r="L1300" s="3421"/>
      <c r="M1300" s="3421"/>
      <c r="N1300" s="3421"/>
      <c r="O1300" s="3421"/>
      <c r="P1300" s="3421"/>
      <c r="Q1300" s="3318"/>
    </row>
    <row r="1301" spans="1:17">
      <c r="A1301" s="3301" t="s">
        <v>195</v>
      </c>
      <c r="B1301" s="3301" t="s">
        <v>1420</v>
      </c>
      <c r="C1301" s="3301"/>
      <c r="D1301" s="3421"/>
      <c r="E1301" s="3480"/>
      <c r="F1301" s="3480"/>
      <c r="G1301" s="3421"/>
      <c r="J1301" s="3418"/>
      <c r="K1301" s="3418"/>
      <c r="L1301" s="3418"/>
      <c r="M1301" s="3418"/>
      <c r="N1301" s="3418"/>
      <c r="O1301" s="3417" t="s">
        <v>1273</v>
      </c>
      <c r="P1301" s="3326">
        <f>'Part VIII-Threshold Criteria'!P207</f>
        <v>0</v>
      </c>
      <c r="Q1301" s="3326">
        <f>'Part VIII-Threshold Criteria'!Q207</f>
        <v>0</v>
      </c>
    </row>
    <row r="1302" spans="1:17">
      <c r="A1302" s="3337"/>
      <c r="B1302" s="3443" t="s">
        <v>1421</v>
      </c>
      <c r="D1302" s="3443"/>
      <c r="E1302" s="3443"/>
      <c r="F1302" s="3443"/>
      <c r="G1302" s="3443"/>
      <c r="H1302" s="3459" t="s">
        <v>1303</v>
      </c>
      <c r="I1302" s="358" t="s">
        <v>1422</v>
      </c>
      <c r="J1302" s="3415" t="str">
        <f>'Part VIII-Threshold Criteria'!J208</f>
        <v>N/A</v>
      </c>
      <c r="K1302" s="3415">
        <f>'Part VIII-Threshold Criteria'!K208</f>
        <v>0</v>
      </c>
      <c r="L1302" s="3415">
        <f>'Part VIII-Threshold Criteria'!L208</f>
        <v>0</v>
      </c>
      <c r="M1302" s="3415">
        <f>'Part VIII-Threshold Criteria'!M208</f>
        <v>0</v>
      </c>
      <c r="N1302" s="3415">
        <f>'Part VIII-Threshold Criteria'!N208</f>
        <v>0</v>
      </c>
      <c r="O1302" s="3459" t="s">
        <v>1303</v>
      </c>
      <c r="P1302" s="3424" t="str">
        <f>'Part VIII-Threshold Criteria'!P208</f>
        <v>No</v>
      </c>
      <c r="Q1302" s="3424">
        <f>'Part VIII-Threshold Criteria'!Q208</f>
        <v>0</v>
      </c>
    </row>
    <row r="1303" spans="1:17">
      <c r="A1303" s="3337"/>
      <c r="B1303" s="3355" t="s">
        <v>1274</v>
      </c>
      <c r="C1303" s="3257"/>
      <c r="D1303" s="3257"/>
      <c r="E1303" s="3257"/>
      <c r="F1303" s="3257"/>
      <c r="H1303" s="3459" t="s">
        <v>1306</v>
      </c>
      <c r="I1303" s="358" t="s">
        <v>837</v>
      </c>
      <c r="J1303" s="3415" t="str">
        <f>'Part VIII-Threshold Criteria'!J209</f>
        <v>Georgia Power Company</v>
      </c>
      <c r="K1303" s="3415">
        <f>'Part VIII-Threshold Criteria'!K209</f>
        <v>0</v>
      </c>
      <c r="L1303" s="3415">
        <f>'Part VIII-Threshold Criteria'!L209</f>
        <v>0</v>
      </c>
      <c r="M1303" s="3415">
        <f>'Part VIII-Threshold Criteria'!M209</f>
        <v>0</v>
      </c>
      <c r="N1303" s="3415">
        <f>'Part VIII-Threshold Criteria'!N209</f>
        <v>0</v>
      </c>
      <c r="O1303" s="3459" t="s">
        <v>1306</v>
      </c>
      <c r="P1303" s="3424" t="str">
        <f>'Part VIII-Threshold Criteria'!P209</f>
        <v>Yes</v>
      </c>
      <c r="Q1303" s="3424">
        <f>'Part VIII-Threshold Criteria'!Q209</f>
        <v>0</v>
      </c>
    </row>
    <row r="1304" spans="1:17" ht="225">
      <c r="A1304" s="3418" t="str">
        <f>'Part VIII-Threshold Criteria'!A210</f>
        <v>The Mill at Stone Valley will be an all-electric facility.  The letter from Georgia Power is located in Tab 11, indicating that electricity is available to the site with no additional easements required.</v>
      </c>
      <c r="B1304" s="3418">
        <f>'Part VIII-Threshold Criteria'!B210</f>
        <v>0</v>
      </c>
      <c r="C1304" s="3418">
        <f>'Part VIII-Threshold Criteria'!C210</f>
        <v>0</v>
      </c>
      <c r="D1304" s="3418">
        <f>'Part VIII-Threshold Criteria'!D210</f>
        <v>0</v>
      </c>
      <c r="E1304" s="3418">
        <f>'Part VIII-Threshold Criteria'!E210</f>
        <v>0</v>
      </c>
      <c r="F1304" s="3418">
        <f>'Part VIII-Threshold Criteria'!F210</f>
        <v>0</v>
      </c>
      <c r="G1304" s="3418">
        <f>'Part VIII-Threshold Criteria'!G210</f>
        <v>0</v>
      </c>
      <c r="H1304" s="3418">
        <f>'Part VIII-Threshold Criteria'!H210</f>
        <v>0</v>
      </c>
      <c r="I1304" s="3418">
        <f>'Part VIII-Threshold Criteria'!I210</f>
        <v>0</v>
      </c>
      <c r="J1304" s="3418">
        <f>'Part VIII-Threshold Criteria'!J210</f>
        <v>0</v>
      </c>
      <c r="K1304" s="3418">
        <f>'Part VIII-Threshold Criteria'!K210</f>
        <v>0</v>
      </c>
      <c r="L1304" s="3418">
        <f>'Part VIII-Threshold Criteria'!L210</f>
        <v>0</v>
      </c>
      <c r="M1304" s="3418">
        <f>'Part VIII-Threshold Criteria'!M210</f>
        <v>0</v>
      </c>
      <c r="N1304" s="3418">
        <f>'Part VIII-Threshold Criteria'!N210</f>
        <v>0</v>
      </c>
      <c r="O1304" s="3418">
        <f>'Part VIII-Threshold Criteria'!O210</f>
        <v>0</v>
      </c>
      <c r="P1304" s="3418">
        <f>'Part VIII-Threshold Criteria'!P210</f>
        <v>0</v>
      </c>
      <c r="Q1304" s="3418">
        <f>'Part VIII-Threshold Criteria'!Q210</f>
        <v>0</v>
      </c>
    </row>
    <row r="1305" spans="1:17">
      <c r="B1305" s="3419" t="s">
        <v>1276</v>
      </c>
      <c r="C1305" s="3420"/>
      <c r="D1305" s="3421"/>
      <c r="E1305" s="3421"/>
      <c r="F1305" s="3421"/>
      <c r="G1305" s="3421"/>
      <c r="H1305" s="3421"/>
      <c r="I1305" s="3421"/>
      <c r="J1305" s="3421"/>
      <c r="K1305" s="3421"/>
      <c r="L1305" s="3421"/>
      <c r="M1305" s="3421"/>
      <c r="N1305" s="3421"/>
      <c r="O1305" s="3421"/>
      <c r="P1305" s="3421"/>
      <c r="Q1305" s="3421"/>
    </row>
    <row r="1306" spans="1:17">
      <c r="A1306" s="3418">
        <f>'Part VIII-Threshold Criteria'!A212</f>
        <v>0</v>
      </c>
      <c r="B1306" s="3418">
        <f>'Part VIII-Threshold Criteria'!B212</f>
        <v>0</v>
      </c>
      <c r="C1306" s="3418">
        <f>'Part VIII-Threshold Criteria'!C212</f>
        <v>0</v>
      </c>
      <c r="D1306" s="3418">
        <f>'Part VIII-Threshold Criteria'!D212</f>
        <v>0</v>
      </c>
      <c r="E1306" s="3418">
        <f>'Part VIII-Threshold Criteria'!E212</f>
        <v>0</v>
      </c>
      <c r="F1306" s="3418">
        <f>'Part VIII-Threshold Criteria'!F212</f>
        <v>0</v>
      </c>
      <c r="G1306" s="3418">
        <f>'Part VIII-Threshold Criteria'!G212</f>
        <v>0</v>
      </c>
      <c r="H1306" s="3418">
        <f>'Part VIII-Threshold Criteria'!H212</f>
        <v>0</v>
      </c>
      <c r="I1306" s="3418">
        <f>'Part VIII-Threshold Criteria'!I212</f>
        <v>0</v>
      </c>
      <c r="J1306" s="3418">
        <f>'Part VIII-Threshold Criteria'!J212</f>
        <v>0</v>
      </c>
      <c r="K1306" s="3418">
        <f>'Part VIII-Threshold Criteria'!K212</f>
        <v>0</v>
      </c>
      <c r="L1306" s="3418">
        <f>'Part VIII-Threshold Criteria'!L212</f>
        <v>0</v>
      </c>
      <c r="M1306" s="3418">
        <f>'Part VIII-Threshold Criteria'!M212</f>
        <v>0</v>
      </c>
      <c r="N1306" s="3418">
        <f>'Part VIII-Threshold Criteria'!N212</f>
        <v>0</v>
      </c>
      <c r="O1306" s="3418">
        <f>'Part VIII-Threshold Criteria'!O212</f>
        <v>0</v>
      </c>
      <c r="P1306" s="3418">
        <f>'Part VIII-Threshold Criteria'!P212</f>
        <v>0</v>
      </c>
      <c r="Q1306" s="3418">
        <f>'Part VIII-Threshold Criteria'!Q212</f>
        <v>0</v>
      </c>
    </row>
    <row r="1307" spans="1:17">
      <c r="B1307" s="3416"/>
      <c r="C1307" s="3421"/>
      <c r="D1307" s="3421"/>
      <c r="E1307" s="3421"/>
      <c r="F1307" s="3421"/>
      <c r="G1307" s="3421"/>
      <c r="H1307" s="3421"/>
      <c r="I1307" s="3421"/>
      <c r="J1307" s="3421"/>
      <c r="K1307" s="3421"/>
      <c r="L1307" s="3421"/>
      <c r="M1307" s="3421"/>
      <c r="Q1307" s="3318"/>
    </row>
    <row r="1308" spans="1:17">
      <c r="A1308" s="3301" t="s">
        <v>207</v>
      </c>
      <c r="B1308" s="3300" t="s">
        <v>1423</v>
      </c>
      <c r="C1308" s="3300"/>
      <c r="D1308" s="3415"/>
      <c r="E1308" s="3415"/>
      <c r="F1308" s="3415"/>
      <c r="G1308" s="3421"/>
      <c r="H1308" s="3421"/>
      <c r="I1308" s="3421"/>
      <c r="J1308" s="3421"/>
      <c r="K1308" s="3421"/>
      <c r="L1308" s="3421"/>
      <c r="M1308" s="3421"/>
      <c r="O1308" s="3417" t="s">
        <v>1273</v>
      </c>
      <c r="P1308" s="3326">
        <f>'Part VIII-Threshold Criteria'!P214</f>
        <v>0</v>
      </c>
      <c r="Q1308" s="3326">
        <f>'Part VIII-Threshold Criteria'!Q214</f>
        <v>0</v>
      </c>
    </row>
    <row r="1310" spans="1:17">
      <c r="A1310" s="3455" t="s">
        <v>110</v>
      </c>
      <c r="B1310" s="3468" t="s">
        <v>1303</v>
      </c>
      <c r="C1310" s="3481" t="s">
        <v>1424</v>
      </c>
      <c r="E1310" s="3481"/>
      <c r="F1310" s="3481"/>
      <c r="G1310" s="3481"/>
      <c r="H1310" s="3481"/>
      <c r="I1310" s="3481"/>
      <c r="J1310" s="3481"/>
      <c r="K1310" s="3481"/>
      <c r="L1310" s="3481"/>
      <c r="M1310" s="3481"/>
      <c r="N1310" s="3481"/>
      <c r="O1310" s="3469" t="s">
        <v>1425</v>
      </c>
      <c r="P1310" s="3424" t="str">
        <f>'Part VIII-Threshold Criteria'!P216</f>
        <v>No</v>
      </c>
      <c r="Q1310" s="3424">
        <f>'Part VIII-Threshold Criteria'!Q216</f>
        <v>0</v>
      </c>
    </row>
    <row r="1311" spans="1:17">
      <c r="A1311" s="3455"/>
      <c r="B1311" s="3468" t="s">
        <v>1306</v>
      </c>
      <c r="C1311" s="3481" t="s">
        <v>1426</v>
      </c>
      <c r="E1311" s="3481"/>
      <c r="F1311" s="3481"/>
      <c r="G1311" s="3481"/>
      <c r="H1311" s="3481"/>
      <c r="I1311" s="3481"/>
      <c r="J1311" s="3481"/>
      <c r="K1311" s="3481"/>
      <c r="L1311" s="3481"/>
      <c r="M1311" s="3481"/>
      <c r="N1311" s="3481"/>
      <c r="O1311" s="3469" t="s">
        <v>1306</v>
      </c>
      <c r="P1311" s="3424">
        <f>'Part VIII-Threshold Criteria'!P217</f>
        <v>0</v>
      </c>
      <c r="Q1311" s="3424">
        <f>'Part VIII-Threshold Criteria'!Q217</f>
        <v>0</v>
      </c>
    </row>
    <row r="1312" spans="1:17" ht="12.75" customHeight="1">
      <c r="A1312" s="3455" t="s">
        <v>121</v>
      </c>
      <c r="B1312" s="3418" t="s">
        <v>1427</v>
      </c>
      <c r="C1312" s="3418"/>
      <c r="D1312" s="3418"/>
      <c r="E1312" s="3418"/>
      <c r="F1312" s="3418"/>
      <c r="G1312" s="3418"/>
      <c r="H1312" s="3459" t="s">
        <v>1303</v>
      </c>
      <c r="I1312" s="358" t="s">
        <v>1428</v>
      </c>
      <c r="J1312" s="3415" t="str">
        <f>'Part VIII-Threshold Criteria'!J218</f>
        <v>City of Ball Ground</v>
      </c>
      <c r="K1312" s="3415">
        <f>'Part VIII-Threshold Criteria'!K218</f>
        <v>0</v>
      </c>
      <c r="L1312" s="3415">
        <f>'Part VIII-Threshold Criteria'!L218</f>
        <v>0</v>
      </c>
      <c r="M1312" s="3415">
        <f>'Part VIII-Threshold Criteria'!M218</f>
        <v>0</v>
      </c>
      <c r="N1312" s="3415">
        <f>'Part VIII-Threshold Criteria'!N218</f>
        <v>0</v>
      </c>
      <c r="O1312" s="3459" t="s">
        <v>1429</v>
      </c>
      <c r="P1312" s="3424" t="str">
        <f>'Part VIII-Threshold Criteria'!P218</f>
        <v>Yes</v>
      </c>
      <c r="Q1312" s="3424">
        <f>'Part VIII-Threshold Criteria'!Q218</f>
        <v>0</v>
      </c>
    </row>
    <row r="1313" spans="1:17">
      <c r="A1313" s="3316"/>
      <c r="B1313" s="3418"/>
      <c r="C1313" s="3418"/>
      <c r="D1313" s="3418"/>
      <c r="E1313" s="3418"/>
      <c r="F1313" s="3418"/>
      <c r="G1313" s="3418"/>
      <c r="H1313" s="3459" t="s">
        <v>1306</v>
      </c>
      <c r="I1313" s="358" t="s">
        <v>1430</v>
      </c>
      <c r="J1313" s="3415" t="str">
        <f>'Part VIII-Threshold Criteria'!J219</f>
        <v>City of Ball Ground</v>
      </c>
      <c r="K1313" s="3415">
        <f>'Part VIII-Threshold Criteria'!K219</f>
        <v>0</v>
      </c>
      <c r="L1313" s="3415">
        <f>'Part VIII-Threshold Criteria'!L219</f>
        <v>0</v>
      </c>
      <c r="M1313" s="3415">
        <f>'Part VIII-Threshold Criteria'!M219</f>
        <v>0</v>
      </c>
      <c r="N1313" s="3415">
        <f>'Part VIII-Threshold Criteria'!N219</f>
        <v>0</v>
      </c>
      <c r="O1313" s="3459" t="s">
        <v>1306</v>
      </c>
      <c r="P1313" s="3424" t="str">
        <f>'Part VIII-Threshold Criteria'!P219</f>
        <v>Yes</v>
      </c>
      <c r="Q1313" s="3424">
        <f>'Part VIII-Threshold Criteria'!Q219</f>
        <v>0</v>
      </c>
    </row>
    <row r="1314" spans="1:17">
      <c r="A1314" s="3457" t="s">
        <v>123</v>
      </c>
      <c r="B1314" s="358" t="s">
        <v>1431</v>
      </c>
      <c r="D1314" s="358"/>
      <c r="E1314" s="358"/>
      <c r="F1314" s="358"/>
      <c r="G1314" s="358"/>
      <c r="H1314" s="358"/>
      <c r="I1314" s="358"/>
      <c r="J1314" s="358"/>
      <c r="K1314" s="3111"/>
      <c r="L1314" s="358"/>
      <c r="M1314" s="358"/>
      <c r="O1314" s="3459" t="s">
        <v>123</v>
      </c>
      <c r="P1314" s="3424" t="str">
        <f>'Part VIII-Threshold Criteria'!P220</f>
        <v>Yes</v>
      </c>
      <c r="Q1314" s="3424">
        <f>'Part VIII-Threshold Criteria'!Q220</f>
        <v>0</v>
      </c>
    </row>
    <row r="1315" spans="1:17">
      <c r="A1315" s="3457" t="s">
        <v>126</v>
      </c>
      <c r="B1315" s="358" t="s">
        <v>1432</v>
      </c>
      <c r="D1315" s="358"/>
      <c r="E1315" s="358"/>
      <c r="F1315" s="358"/>
      <c r="G1315" s="358"/>
      <c r="H1315" s="358"/>
      <c r="I1315" s="358"/>
      <c r="J1315" s="358"/>
      <c r="K1315" s="3111"/>
      <c r="L1315" s="358"/>
      <c r="M1315" s="358"/>
      <c r="O1315" s="3459" t="s">
        <v>126</v>
      </c>
      <c r="P1315" s="3424" t="str">
        <f>'Part VIII-Threshold Criteria'!P221</f>
        <v>No</v>
      </c>
      <c r="Q1315" s="3424">
        <f>'Part VIII-Threshold Criteria'!Q221</f>
        <v>0</v>
      </c>
    </row>
    <row r="1316" spans="1:17">
      <c r="B1316" s="3355" t="s">
        <v>1274</v>
      </c>
      <c r="D1316" s="3355"/>
      <c r="E1316" s="3355"/>
      <c r="F1316" s="3355"/>
      <c r="G1316" s="3355"/>
      <c r="H1316" s="3354"/>
      <c r="I1316" s="3416"/>
      <c r="J1316" s="3416"/>
      <c r="K1316" s="3416"/>
      <c r="L1316" s="3318"/>
      <c r="M1316" s="3318"/>
      <c r="N1316" s="3318"/>
      <c r="O1316" s="3318"/>
      <c r="P1316" s="3318"/>
      <c r="Q1316" s="3318"/>
    </row>
    <row r="1317" spans="1:17" ht="180">
      <c r="A1317" s="3418" t="str">
        <f>'Part VIII-Threshold Criteria'!A223</f>
        <v>See the letter from City of Ball Ground in Tab 12 detailing water and sewer service is available to the site and no additional easements are required.</v>
      </c>
      <c r="B1317" s="3418">
        <f>'Part VIII-Threshold Criteria'!B223</f>
        <v>0</v>
      </c>
      <c r="C1317" s="3418">
        <f>'Part VIII-Threshold Criteria'!C223</f>
        <v>0</v>
      </c>
      <c r="D1317" s="3418">
        <f>'Part VIII-Threshold Criteria'!D223</f>
        <v>0</v>
      </c>
      <c r="E1317" s="3418">
        <f>'Part VIII-Threshold Criteria'!E223</f>
        <v>0</v>
      </c>
      <c r="F1317" s="3418">
        <f>'Part VIII-Threshold Criteria'!F223</f>
        <v>0</v>
      </c>
      <c r="G1317" s="3418">
        <f>'Part VIII-Threshold Criteria'!G223</f>
        <v>0</v>
      </c>
      <c r="H1317" s="3418">
        <f>'Part VIII-Threshold Criteria'!H223</f>
        <v>0</v>
      </c>
      <c r="I1317" s="3418">
        <f>'Part VIII-Threshold Criteria'!I223</f>
        <v>0</v>
      </c>
      <c r="J1317" s="3418">
        <f>'Part VIII-Threshold Criteria'!J223</f>
        <v>0</v>
      </c>
      <c r="K1317" s="3418">
        <f>'Part VIII-Threshold Criteria'!K223</f>
        <v>0</v>
      </c>
      <c r="L1317" s="3418">
        <f>'Part VIII-Threshold Criteria'!L223</f>
        <v>0</v>
      </c>
      <c r="M1317" s="3418">
        <f>'Part VIII-Threshold Criteria'!M223</f>
        <v>0</v>
      </c>
      <c r="N1317" s="3418">
        <f>'Part VIII-Threshold Criteria'!N223</f>
        <v>0</v>
      </c>
      <c r="O1317" s="3418">
        <f>'Part VIII-Threshold Criteria'!O223</f>
        <v>0</v>
      </c>
      <c r="P1317" s="3418">
        <f>'Part VIII-Threshold Criteria'!P223</f>
        <v>0</v>
      </c>
      <c r="Q1317" s="3418">
        <f>'Part VIII-Threshold Criteria'!Q223</f>
        <v>0</v>
      </c>
    </row>
    <row r="1318" spans="1:17">
      <c r="B1318" s="3419" t="s">
        <v>1276</v>
      </c>
      <c r="C1318" s="3420"/>
      <c r="D1318" s="3421"/>
      <c r="E1318" s="3421"/>
      <c r="F1318" s="3421"/>
      <c r="G1318" s="3421"/>
      <c r="H1318" s="3421"/>
      <c r="I1318" s="3421"/>
      <c r="J1318" s="3421"/>
      <c r="K1318" s="3421"/>
      <c r="L1318" s="3421"/>
      <c r="M1318" s="3421"/>
      <c r="N1318" s="3421"/>
      <c r="O1318" s="3421"/>
      <c r="P1318" s="3421"/>
      <c r="Q1318" s="3421"/>
    </row>
    <row r="1319" spans="1:17">
      <c r="A1319" s="3418">
        <f>'Part VIII-Threshold Criteria'!A225</f>
        <v>0</v>
      </c>
      <c r="B1319" s="3418">
        <f>'Part VIII-Threshold Criteria'!B225</f>
        <v>0</v>
      </c>
      <c r="C1319" s="3418">
        <f>'Part VIII-Threshold Criteria'!C225</f>
        <v>0</v>
      </c>
      <c r="D1319" s="3418">
        <f>'Part VIII-Threshold Criteria'!D225</f>
        <v>0</v>
      </c>
      <c r="E1319" s="3418">
        <f>'Part VIII-Threshold Criteria'!E225</f>
        <v>0</v>
      </c>
      <c r="F1319" s="3418">
        <f>'Part VIII-Threshold Criteria'!F225</f>
        <v>0</v>
      </c>
      <c r="G1319" s="3418">
        <f>'Part VIII-Threshold Criteria'!G225</f>
        <v>0</v>
      </c>
      <c r="H1319" s="3418">
        <f>'Part VIII-Threshold Criteria'!H225</f>
        <v>0</v>
      </c>
      <c r="I1319" s="3418">
        <f>'Part VIII-Threshold Criteria'!I225</f>
        <v>0</v>
      </c>
      <c r="J1319" s="3418">
        <f>'Part VIII-Threshold Criteria'!J225</f>
        <v>0</v>
      </c>
      <c r="K1319" s="3418">
        <f>'Part VIII-Threshold Criteria'!K225</f>
        <v>0</v>
      </c>
      <c r="L1319" s="3418">
        <f>'Part VIII-Threshold Criteria'!L225</f>
        <v>0</v>
      </c>
      <c r="M1319" s="3418">
        <f>'Part VIII-Threshold Criteria'!M225</f>
        <v>0</v>
      </c>
      <c r="N1319" s="3418">
        <f>'Part VIII-Threshold Criteria'!N225</f>
        <v>0</v>
      </c>
      <c r="O1319" s="3418">
        <f>'Part VIII-Threshold Criteria'!O225</f>
        <v>0</v>
      </c>
      <c r="P1319" s="3418">
        <f>'Part VIII-Threshold Criteria'!P225</f>
        <v>0</v>
      </c>
      <c r="Q1319" s="3418">
        <f>'Part VIII-Threshold Criteria'!Q225</f>
        <v>0</v>
      </c>
    </row>
    <row r="1320" spans="1:17">
      <c r="A1320" s="3318"/>
      <c r="B1320" s="3416"/>
      <c r="C1320" s="3421"/>
      <c r="D1320" s="3421"/>
      <c r="E1320" s="3421"/>
      <c r="F1320" s="3421"/>
      <c r="G1320" s="3421"/>
      <c r="H1320" s="3421"/>
      <c r="I1320" s="3421"/>
      <c r="J1320" s="3421"/>
      <c r="K1320" s="3421"/>
      <c r="L1320" s="3421"/>
      <c r="M1320" s="3421"/>
      <c r="Q1320" s="3318"/>
    </row>
    <row r="1321" spans="1:17">
      <c r="A1321" s="3301" t="s">
        <v>222</v>
      </c>
      <c r="B1321" s="3301" t="s">
        <v>1433</v>
      </c>
      <c r="C1321" s="3451"/>
      <c r="D1321" s="3421"/>
      <c r="E1321" s="3421"/>
      <c r="F1321" s="3421"/>
      <c r="G1321" s="3421"/>
      <c r="H1321" s="3421"/>
      <c r="I1321" s="3421"/>
      <c r="J1321" s="3421"/>
      <c r="K1321" s="3421"/>
      <c r="L1321" s="3421"/>
      <c r="M1321" s="3421"/>
      <c r="O1321" s="3417" t="s">
        <v>1273</v>
      </c>
      <c r="P1321" s="3326">
        <f>'Part VIII-Threshold Criteria'!P227</f>
        <v>0</v>
      </c>
      <c r="Q1321" s="3326">
        <f>'Part VIII-Threshold Criteria'!Q227</f>
        <v>0</v>
      </c>
    </row>
    <row r="1322" spans="1:17">
      <c r="B1322" s="943" t="s">
        <v>1434</v>
      </c>
      <c r="N1322" s="3306"/>
      <c r="P1322" s="3424" t="str">
        <f>'Part VIII-Threshold Criteria'!P228</f>
        <v>No</v>
      </c>
      <c r="Q1322" s="3424">
        <f>'Part VIII-Threshold Criteria'!Q228</f>
        <v>0</v>
      </c>
    </row>
    <row r="1323" spans="1:17">
      <c r="A1323" s="3457" t="s">
        <v>110</v>
      </c>
      <c r="B1323" s="358" t="s">
        <v>4793</v>
      </c>
      <c r="D1323" s="3111"/>
      <c r="E1323" s="3111"/>
      <c r="F1323" s="3111"/>
      <c r="G1323" s="3111"/>
      <c r="H1323" s="3111"/>
      <c r="I1323" s="3111"/>
      <c r="J1323" s="3111"/>
      <c r="K1323" s="3111"/>
      <c r="L1323" s="3111"/>
      <c r="M1323" s="3111"/>
      <c r="O1323" s="3459" t="s">
        <v>110</v>
      </c>
      <c r="P1323" s="3424" t="str">
        <f>'Part VIII-Threshold Criteria'!P229</f>
        <v>Agree</v>
      </c>
      <c r="Q1323" s="3424">
        <f>'Part VIII-Threshold Criteria'!Q229</f>
        <v>0</v>
      </c>
    </row>
    <row r="1324" spans="1:17">
      <c r="A1324" s="3457"/>
      <c r="B1324" s="3459" t="s">
        <v>1303</v>
      </c>
      <c r="C1324" s="358" t="s">
        <v>1436</v>
      </c>
      <c r="E1324" s="358"/>
      <c r="F1324" s="358"/>
      <c r="G1324" s="358"/>
      <c r="H1324" s="358"/>
      <c r="I1324" s="3111"/>
      <c r="J1324" s="3459" t="s">
        <v>1425</v>
      </c>
      <c r="K1324" s="3415" t="str">
        <f>'Part VIII-Threshold Criteria'!K230</f>
        <v>Building</v>
      </c>
      <c r="L1324" s="3415">
        <f>'Part VIII-Threshold Criteria'!L230</f>
        <v>0</v>
      </c>
      <c r="Q1324" s="3424">
        <f>'Part VIII-Threshold Criteria'!Q230</f>
        <v>0</v>
      </c>
    </row>
    <row r="1325" spans="1:17" ht="13.5">
      <c r="A1325" s="3457"/>
      <c r="B1325" s="3459" t="s">
        <v>1306</v>
      </c>
      <c r="C1325" s="3354" t="s">
        <v>1437</v>
      </c>
      <c r="E1325" s="3354"/>
      <c r="F1325" s="3354"/>
      <c r="G1325" s="3354"/>
      <c r="H1325" s="3354"/>
      <c r="I1325" s="3111"/>
      <c r="J1325" s="3459" t="s">
        <v>1438</v>
      </c>
      <c r="K1325" s="3415" t="str">
        <f>'Part VIII-Threshold Criteria'!K231</f>
        <v>Other - explain:</v>
      </c>
      <c r="L1325" s="3415">
        <f>'Part VIII-Threshold Criteria'!L231</f>
        <v>0</v>
      </c>
      <c r="M1325" s="3482" t="str">
        <f>'Part VIII-Threshold Criteria'!M231</f>
        <v>Covered Pavilion</v>
      </c>
      <c r="N1325" s="3482">
        <f>'Part VIII-Threshold Criteria'!N231</f>
        <v>0</v>
      </c>
      <c r="O1325" s="3482">
        <f>'Part VIII-Threshold Criteria'!O231</f>
        <v>0</v>
      </c>
      <c r="P1325" s="3482">
        <f>'Part VIII-Threshold Criteria'!P231</f>
        <v>0</v>
      </c>
      <c r="Q1325" s="3424">
        <f>'Part VIII-Threshold Criteria'!Q231</f>
        <v>0</v>
      </c>
    </row>
    <row r="1326" spans="1:17">
      <c r="A1326" s="3457"/>
      <c r="B1326" s="3459" t="s">
        <v>1308</v>
      </c>
      <c r="C1326" s="3354" t="s">
        <v>1439</v>
      </c>
      <c r="E1326" s="3354"/>
      <c r="F1326" s="3354"/>
      <c r="G1326" s="3354"/>
      <c r="H1326" s="3354"/>
      <c r="I1326" s="3111"/>
      <c r="J1326" s="3459" t="s">
        <v>1440</v>
      </c>
      <c r="K1326" s="3415" t="str">
        <f>'Part VIII-Threshold Criteria'!K232</f>
        <v>On-site laundry</v>
      </c>
      <c r="L1326" s="3415">
        <f>'Part VIII-Threshold Criteria'!L232</f>
        <v>0</v>
      </c>
      <c r="M1326" s="3415">
        <f>'Part VIII-Threshold Criteria'!M232</f>
        <v>0</v>
      </c>
      <c r="Q1326" s="3424">
        <f>'Part VIII-Threshold Criteria'!Q232</f>
        <v>0</v>
      </c>
    </row>
    <row r="1327" spans="1:17">
      <c r="A1327" s="3457" t="s">
        <v>121</v>
      </c>
      <c r="B1327" s="358" t="s">
        <v>1441</v>
      </c>
      <c r="D1327" s="358"/>
      <c r="E1327" s="358"/>
      <c r="F1327" s="358"/>
      <c r="G1327" s="358"/>
      <c r="H1327" s="358"/>
      <c r="I1327" s="358"/>
      <c r="J1327" s="358"/>
      <c r="K1327" s="3111"/>
      <c r="L1327" s="3111"/>
      <c r="M1327" s="3111"/>
      <c r="N1327" s="3111"/>
      <c r="O1327" s="3459" t="s">
        <v>121</v>
      </c>
      <c r="P1327" s="3424" t="str">
        <f>'Part VIII-Threshold Criteria'!P233</f>
        <v>Agree</v>
      </c>
      <c r="Q1327" s="3424">
        <f>'Part VIII-Threshold Criteria'!Q233</f>
        <v>0</v>
      </c>
    </row>
    <row r="1328" spans="1:17">
      <c r="A1328" s="3457"/>
      <c r="B1328" s="358" t="s">
        <v>4794</v>
      </c>
      <c r="D1328" s="358"/>
      <c r="E1328" s="358"/>
      <c r="F1328" s="358"/>
      <c r="G1328" s="358"/>
      <c r="H1328" s="358"/>
      <c r="I1328" s="358"/>
      <c r="J1328" s="358"/>
      <c r="K1328" s="3111"/>
      <c r="L1328" s="3111"/>
      <c r="M1328" s="3111"/>
      <c r="N1328" s="3111"/>
      <c r="O1328" s="3111"/>
      <c r="P1328" s="3481" t="s">
        <v>1443</v>
      </c>
      <c r="Q1328" s="3481"/>
    </row>
    <row r="1329" spans="1:17">
      <c r="A1329" s="3457"/>
      <c r="C1329" s="358" t="s">
        <v>1444</v>
      </c>
      <c r="D1329" s="358"/>
      <c r="E1329" s="358"/>
      <c r="F1329" s="358"/>
      <c r="H1329" s="3483" t="s">
        <v>1445</v>
      </c>
      <c r="I1329" s="3113" t="s">
        <v>1446</v>
      </c>
      <c r="K1329" s="358" t="s">
        <v>1444</v>
      </c>
      <c r="M1329" s="3111"/>
      <c r="N1329" s="3111"/>
      <c r="O1329" s="3483"/>
      <c r="P1329" s="3171" t="s">
        <v>1445</v>
      </c>
      <c r="Q1329" s="3113" t="s">
        <v>1446</v>
      </c>
    </row>
    <row r="1330" spans="1:17" ht="22.5">
      <c r="A1330" s="3424"/>
      <c r="B1330" s="3459" t="s">
        <v>1303</v>
      </c>
      <c r="C1330" s="3418" t="str">
        <f>'Part VIII-Threshold Criteria'!C236</f>
        <v>Equipped Playground</v>
      </c>
      <c r="D1330" s="3418">
        <f>'Part VIII-Threshold Criteria'!D236</f>
        <v>0</v>
      </c>
      <c r="E1330" s="3418">
        <f>'Part VIII-Threshold Criteria'!E236</f>
        <v>0</v>
      </c>
      <c r="F1330" s="3418">
        <f>'Part VIII-Threshold Criteria'!F236</f>
        <v>0</v>
      </c>
      <c r="G1330" s="3418">
        <f>'Part VIII-Threshold Criteria'!G236</f>
        <v>0</v>
      </c>
      <c r="H1330" s="3424">
        <f>'Part VIII-Threshold Criteria'!H236</f>
        <v>0</v>
      </c>
      <c r="I1330" s="3424">
        <f>'Part VIII-Threshold Criteria'!I236</f>
        <v>0</v>
      </c>
      <c r="J1330" s="3459" t="s">
        <v>1308</v>
      </c>
      <c r="K1330" s="3418" t="str">
        <f>'Part VIII-Threshold Criteria'!K236</f>
        <v xml:space="preserve">  </v>
      </c>
      <c r="L1330" s="3418">
        <f>'Part VIII-Threshold Criteria'!L236</f>
        <v>0</v>
      </c>
      <c r="M1330" s="3418">
        <f>'Part VIII-Threshold Criteria'!M236</f>
        <v>0</v>
      </c>
      <c r="N1330" s="3418">
        <f>'Part VIII-Threshold Criteria'!N236</f>
        <v>0</v>
      </c>
      <c r="O1330" s="3418">
        <f>'Part VIII-Threshold Criteria'!O236</f>
        <v>0</v>
      </c>
      <c r="P1330" s="3424">
        <f>'Part VIII-Threshold Criteria'!P236</f>
        <v>0</v>
      </c>
      <c r="Q1330" s="3424">
        <f>'Part VIII-Threshold Criteria'!Q236</f>
        <v>0</v>
      </c>
    </row>
    <row r="1331" spans="1:17" ht="33.75">
      <c r="A1331" s="3424"/>
      <c r="B1331" s="3459" t="s">
        <v>1306</v>
      </c>
      <c r="C1331" s="3418" t="str">
        <f>'Part VIII-Threshold Criteria'!C237</f>
        <v>Equipped Computer Center</v>
      </c>
      <c r="D1331" s="3418">
        <f>'Part VIII-Threshold Criteria'!D237</f>
        <v>0</v>
      </c>
      <c r="E1331" s="3418">
        <f>'Part VIII-Threshold Criteria'!E237</f>
        <v>0</v>
      </c>
      <c r="F1331" s="3418">
        <f>'Part VIII-Threshold Criteria'!F237</f>
        <v>0</v>
      </c>
      <c r="G1331" s="3418">
        <f>'Part VIII-Threshold Criteria'!G237</f>
        <v>0</v>
      </c>
      <c r="H1331" s="3424">
        <f>'Part VIII-Threshold Criteria'!H237</f>
        <v>0</v>
      </c>
      <c r="I1331" s="3424">
        <f>'Part VIII-Threshold Criteria'!I237</f>
        <v>0</v>
      </c>
      <c r="J1331" s="3459" t="s">
        <v>1310</v>
      </c>
      <c r="K1331" s="3418">
        <f>'Part VIII-Threshold Criteria'!K237</f>
        <v>0</v>
      </c>
      <c r="L1331" s="3418">
        <f>'Part VIII-Threshold Criteria'!L237</f>
        <v>0</v>
      </c>
      <c r="M1331" s="3418">
        <f>'Part VIII-Threshold Criteria'!M237</f>
        <v>0</v>
      </c>
      <c r="N1331" s="3418">
        <f>'Part VIII-Threshold Criteria'!N237</f>
        <v>0</v>
      </c>
      <c r="O1331" s="3418">
        <f>'Part VIII-Threshold Criteria'!O237</f>
        <v>0</v>
      </c>
      <c r="P1331" s="3424">
        <f>'Part VIII-Threshold Criteria'!P237</f>
        <v>0</v>
      </c>
      <c r="Q1331" s="3424">
        <f>'Part VIII-Threshold Criteria'!Q237</f>
        <v>0</v>
      </c>
    </row>
    <row r="1332" spans="1:17">
      <c r="A1332" s="3457" t="s">
        <v>123</v>
      </c>
      <c r="B1332" s="358" t="s">
        <v>1448</v>
      </c>
      <c r="C1332" s="358"/>
      <c r="E1332" s="358"/>
      <c r="F1332" s="358"/>
      <c r="G1332" s="358"/>
      <c r="H1332" s="358"/>
      <c r="I1332" s="358"/>
      <c r="J1332" s="358"/>
      <c r="K1332" s="3111"/>
      <c r="L1332" s="358"/>
      <c r="M1332" s="358"/>
      <c r="O1332" s="3459" t="s">
        <v>123</v>
      </c>
      <c r="P1332" s="3424" t="str">
        <f>'Part VIII-Threshold Criteria'!P238</f>
        <v>Agree</v>
      </c>
      <c r="Q1332" s="3424">
        <f>'Part VIII-Threshold Criteria'!Q238</f>
        <v>0</v>
      </c>
    </row>
    <row r="1333" spans="1:17">
      <c r="A1333" s="3457"/>
      <c r="B1333" s="3459" t="s">
        <v>1303</v>
      </c>
      <c r="C1333" s="358" t="s">
        <v>1449</v>
      </c>
      <c r="E1333" s="358"/>
      <c r="F1333" s="358"/>
      <c r="L1333" s="3111"/>
      <c r="M1333" s="3111"/>
      <c r="O1333" s="3459" t="s">
        <v>1303</v>
      </c>
      <c r="P1333" s="3424" t="str">
        <f>'Part VIII-Threshold Criteria'!P239</f>
        <v>Yes</v>
      </c>
      <c r="Q1333" s="3424">
        <f>'Part VIII-Threshold Criteria'!Q239</f>
        <v>0</v>
      </c>
    </row>
    <row r="1334" spans="1:17">
      <c r="B1334" s="3459" t="s">
        <v>1306</v>
      </c>
      <c r="C1334" s="3354" t="s">
        <v>1450</v>
      </c>
      <c r="E1334" s="3354"/>
      <c r="F1334" s="3354"/>
      <c r="L1334" s="3111"/>
      <c r="M1334" s="3111"/>
      <c r="O1334" s="3459" t="s">
        <v>1306</v>
      </c>
      <c r="P1334" s="3424" t="str">
        <f>'Part VIII-Threshold Criteria'!P240</f>
        <v>Yes</v>
      </c>
      <c r="Q1334" s="3424">
        <f>'Part VIII-Threshold Criteria'!Q240</f>
        <v>0</v>
      </c>
    </row>
    <row r="1335" spans="1:17">
      <c r="B1335" s="3459" t="s">
        <v>1308</v>
      </c>
      <c r="C1335" s="3354" t="s">
        <v>1451</v>
      </c>
      <c r="E1335" s="3354"/>
      <c r="F1335" s="3354"/>
      <c r="G1335" s="3354"/>
      <c r="H1335" s="3354"/>
      <c r="I1335" s="3111"/>
      <c r="J1335" s="3111"/>
      <c r="K1335" s="3111"/>
      <c r="L1335" s="3111"/>
      <c r="M1335" s="3111"/>
      <c r="O1335" s="3459" t="s">
        <v>1308</v>
      </c>
      <c r="P1335" s="3424" t="str">
        <f>'Part VIII-Threshold Criteria'!P241</f>
        <v>Yes</v>
      </c>
      <c r="Q1335" s="3424">
        <f>'Part VIII-Threshold Criteria'!Q241</f>
        <v>0</v>
      </c>
    </row>
    <row r="1336" spans="1:17">
      <c r="A1336" s="3457"/>
      <c r="B1336" s="3459" t="s">
        <v>1310</v>
      </c>
      <c r="C1336" s="3354" t="s">
        <v>1452</v>
      </c>
      <c r="E1336" s="3354"/>
      <c r="F1336" s="3354"/>
      <c r="G1336" s="3354"/>
      <c r="H1336" s="3354"/>
      <c r="I1336" s="3111"/>
      <c r="J1336" s="3111"/>
      <c r="K1336" s="3111"/>
      <c r="L1336" s="3111"/>
      <c r="M1336" s="3111"/>
      <c r="O1336" s="3459" t="s">
        <v>1310</v>
      </c>
      <c r="P1336" s="3424" t="str">
        <f>'Part VIII-Threshold Criteria'!P242</f>
        <v>Yes</v>
      </c>
      <c r="Q1336" s="3424">
        <f>'Part VIII-Threshold Criteria'!Q242</f>
        <v>0</v>
      </c>
    </row>
    <row r="1337" spans="1:17">
      <c r="A1337" s="3457"/>
      <c r="B1337" s="3459" t="s">
        <v>1323</v>
      </c>
      <c r="C1337" s="3354" t="s">
        <v>1453</v>
      </c>
      <c r="E1337" s="3354"/>
      <c r="F1337" s="3354"/>
      <c r="G1337" s="3354"/>
      <c r="H1337" s="3354"/>
      <c r="I1337" s="3111"/>
      <c r="J1337" s="3111"/>
      <c r="K1337" s="3111"/>
      <c r="L1337" s="3111"/>
      <c r="M1337" s="3111"/>
      <c r="O1337" s="3459" t="s">
        <v>1323</v>
      </c>
      <c r="P1337" s="3424" t="str">
        <f>'Part VIII-Threshold Criteria'!P243</f>
        <v>Yes</v>
      </c>
      <c r="Q1337" s="3424">
        <f>'Part VIII-Threshold Criteria'!Q243</f>
        <v>0</v>
      </c>
    </row>
    <row r="1338" spans="1:17">
      <c r="A1338" s="3457"/>
      <c r="B1338" s="3459" t="s">
        <v>1324</v>
      </c>
      <c r="C1338" s="358" t="s">
        <v>1454</v>
      </c>
      <c r="E1338" s="358"/>
      <c r="F1338" s="358"/>
      <c r="G1338" s="358"/>
      <c r="H1338" s="358"/>
      <c r="I1338" s="3111"/>
      <c r="J1338" s="3111"/>
      <c r="K1338" s="3111"/>
      <c r="L1338" s="3111"/>
      <c r="M1338" s="3111"/>
      <c r="O1338" s="3459" t="s">
        <v>1455</v>
      </c>
      <c r="P1338" s="3424" t="str">
        <f>'Part VIII-Threshold Criteria'!P244</f>
        <v>Yes</v>
      </c>
      <c r="Q1338" s="3424">
        <f>'Part VIII-Threshold Criteria'!Q244</f>
        <v>0</v>
      </c>
    </row>
    <row r="1339" spans="1:17">
      <c r="A1339" s="3457"/>
      <c r="B1339" s="3459"/>
      <c r="C1339" s="358" t="s">
        <v>1456</v>
      </c>
      <c r="E1339" s="358"/>
      <c r="F1339" s="358"/>
      <c r="G1339" s="358"/>
      <c r="H1339" s="358"/>
      <c r="I1339" s="3111"/>
      <c r="J1339" s="3111"/>
      <c r="K1339" s="3111"/>
      <c r="L1339" s="3111"/>
      <c r="M1339" s="3111"/>
      <c r="O1339" s="3459" t="s">
        <v>1457</v>
      </c>
      <c r="P1339" s="3424" t="str">
        <f>'Part VIII-Threshold Criteria'!P245</f>
        <v>No</v>
      </c>
      <c r="Q1339" s="3424">
        <f>'Part VIII-Threshold Criteria'!Q245</f>
        <v>0</v>
      </c>
    </row>
    <row r="1340" spans="1:17">
      <c r="A1340" s="3457" t="s">
        <v>126</v>
      </c>
      <c r="B1340" s="358" t="s">
        <v>1458</v>
      </c>
      <c r="C1340" s="358"/>
      <c r="E1340" s="358"/>
      <c r="F1340" s="358"/>
      <c r="G1340" s="358"/>
      <c r="H1340" s="358"/>
      <c r="I1340" s="358"/>
      <c r="J1340" s="358"/>
      <c r="K1340" s="3111"/>
      <c r="L1340" s="358"/>
      <c r="M1340" s="358"/>
      <c r="O1340" s="3459" t="s">
        <v>126</v>
      </c>
      <c r="P1340" s="3424" t="str">
        <f>'Part VIII-Threshold Criteria'!P246</f>
        <v>N/A</v>
      </c>
      <c r="Q1340" s="3424">
        <f>'Part VIII-Threshold Criteria'!Q246</f>
        <v>0</v>
      </c>
    </row>
    <row r="1341" spans="1:17">
      <c r="B1341" s="3459" t="s">
        <v>1303</v>
      </c>
      <c r="C1341" s="358" t="s">
        <v>1459</v>
      </c>
      <c r="E1341" s="3111"/>
      <c r="F1341" s="3111"/>
      <c r="G1341" s="358"/>
      <c r="H1341" s="3354"/>
      <c r="I1341" s="3111"/>
      <c r="J1341" s="3354"/>
      <c r="K1341" s="3111"/>
      <c r="L1341" s="3354"/>
      <c r="M1341" s="3354"/>
      <c r="O1341" s="3459" t="s">
        <v>1303</v>
      </c>
      <c r="P1341" s="3424">
        <f>'Part VIII-Threshold Criteria'!P247</f>
        <v>0</v>
      </c>
      <c r="Q1341" s="3424">
        <f>'Part VIII-Threshold Criteria'!Q247</f>
        <v>0</v>
      </c>
    </row>
    <row r="1342" spans="1:17">
      <c r="B1342" s="3459" t="s">
        <v>1306</v>
      </c>
      <c r="C1342" s="358" t="s">
        <v>1460</v>
      </c>
      <c r="E1342" s="3111"/>
      <c r="F1342" s="3111"/>
      <c r="G1342" s="3354"/>
      <c r="H1342" s="3354"/>
      <c r="I1342" s="3111"/>
      <c r="J1342" s="3354"/>
      <c r="K1342" s="3111"/>
      <c r="L1342" s="3354"/>
      <c r="M1342" s="3354"/>
      <c r="O1342" s="3459" t="s">
        <v>1306</v>
      </c>
      <c r="P1342" s="3424">
        <f>'Part VIII-Threshold Criteria'!P248</f>
        <v>0</v>
      </c>
      <c r="Q1342" s="3424">
        <f>'Part VIII-Threshold Criteria'!Q248</f>
        <v>0</v>
      </c>
    </row>
    <row r="1343" spans="1:17">
      <c r="B1343" s="3355" t="s">
        <v>1274</v>
      </c>
      <c r="D1343" s="3355"/>
      <c r="E1343" s="3355"/>
      <c r="F1343" s="3355"/>
      <c r="G1343" s="3355"/>
      <c r="H1343" s="3354"/>
      <c r="I1343" s="3416"/>
      <c r="J1343" s="3416"/>
      <c r="K1343" s="3416"/>
      <c r="L1343" s="3318"/>
      <c r="M1343" s="3318"/>
      <c r="N1343" s="3318"/>
      <c r="O1343" s="3318"/>
      <c r="P1343" s="3318"/>
      <c r="Q1343" s="3318"/>
    </row>
    <row r="1344" spans="1:17" ht="258.75">
      <c r="A1344" s="3418" t="str">
        <f>'Part VIII-Threshold Criteria'!A250</f>
        <v>As a family development, the Mill at Stone Valley will include a package of amenities suitable to its size and type, including community building, covered pavilion, on-site laundry, an equipped playground, and an equipped computer center.</v>
      </c>
      <c r="B1344" s="3418">
        <f>'Part VIII-Threshold Criteria'!B250</f>
        <v>0</v>
      </c>
      <c r="C1344" s="3418">
        <f>'Part VIII-Threshold Criteria'!C250</f>
        <v>0</v>
      </c>
      <c r="D1344" s="3418">
        <f>'Part VIII-Threshold Criteria'!D250</f>
        <v>0</v>
      </c>
      <c r="E1344" s="3418">
        <f>'Part VIII-Threshold Criteria'!E250</f>
        <v>0</v>
      </c>
      <c r="F1344" s="3418">
        <f>'Part VIII-Threshold Criteria'!F250</f>
        <v>0</v>
      </c>
      <c r="G1344" s="3418">
        <f>'Part VIII-Threshold Criteria'!G250</f>
        <v>0</v>
      </c>
      <c r="H1344" s="3418">
        <f>'Part VIII-Threshold Criteria'!H250</f>
        <v>0</v>
      </c>
      <c r="I1344" s="3418">
        <f>'Part VIII-Threshold Criteria'!I250</f>
        <v>0</v>
      </c>
      <c r="J1344" s="3418">
        <f>'Part VIII-Threshold Criteria'!J250</f>
        <v>0</v>
      </c>
      <c r="K1344" s="3418">
        <f>'Part VIII-Threshold Criteria'!K250</f>
        <v>0</v>
      </c>
      <c r="L1344" s="3418">
        <f>'Part VIII-Threshold Criteria'!L250</f>
        <v>0</v>
      </c>
      <c r="M1344" s="3418">
        <f>'Part VIII-Threshold Criteria'!M250</f>
        <v>0</v>
      </c>
      <c r="N1344" s="3418">
        <f>'Part VIII-Threshold Criteria'!N250</f>
        <v>0</v>
      </c>
      <c r="O1344" s="3418">
        <f>'Part VIII-Threshold Criteria'!O250</f>
        <v>0</v>
      </c>
      <c r="P1344" s="3418">
        <f>'Part VIII-Threshold Criteria'!P250</f>
        <v>0</v>
      </c>
      <c r="Q1344" s="3418">
        <f>'Part VIII-Threshold Criteria'!Q250</f>
        <v>0</v>
      </c>
    </row>
    <row r="1345" spans="1:17">
      <c r="B1345" s="3419" t="s">
        <v>1276</v>
      </c>
      <c r="C1345" s="3420"/>
      <c r="D1345" s="3421"/>
      <c r="E1345" s="3421"/>
      <c r="F1345" s="3421"/>
      <c r="G1345" s="3421"/>
      <c r="H1345" s="3421"/>
      <c r="I1345" s="3421"/>
      <c r="J1345" s="3421"/>
      <c r="K1345" s="3421"/>
      <c r="L1345" s="3421"/>
      <c r="M1345" s="3421"/>
      <c r="N1345" s="3421"/>
      <c r="O1345" s="3421"/>
      <c r="P1345" s="3421"/>
      <c r="Q1345" s="3421"/>
    </row>
    <row r="1346" spans="1:17">
      <c r="A1346" s="3418">
        <f>'Part VIII-Threshold Criteria'!A252</f>
        <v>0</v>
      </c>
      <c r="B1346" s="3418">
        <f>'Part VIII-Threshold Criteria'!B252</f>
        <v>0</v>
      </c>
      <c r="C1346" s="3418">
        <f>'Part VIII-Threshold Criteria'!C252</f>
        <v>0</v>
      </c>
      <c r="D1346" s="3418">
        <f>'Part VIII-Threshold Criteria'!D252</f>
        <v>0</v>
      </c>
      <c r="E1346" s="3418">
        <f>'Part VIII-Threshold Criteria'!E252</f>
        <v>0</v>
      </c>
      <c r="F1346" s="3418">
        <f>'Part VIII-Threshold Criteria'!F252</f>
        <v>0</v>
      </c>
      <c r="G1346" s="3418">
        <f>'Part VIII-Threshold Criteria'!G252</f>
        <v>0</v>
      </c>
      <c r="H1346" s="3418">
        <f>'Part VIII-Threshold Criteria'!H252</f>
        <v>0</v>
      </c>
      <c r="I1346" s="3418">
        <f>'Part VIII-Threshold Criteria'!I252</f>
        <v>0</v>
      </c>
      <c r="J1346" s="3418">
        <f>'Part VIII-Threshold Criteria'!J252</f>
        <v>0</v>
      </c>
      <c r="K1346" s="3418">
        <f>'Part VIII-Threshold Criteria'!K252</f>
        <v>0</v>
      </c>
      <c r="L1346" s="3418">
        <f>'Part VIII-Threshold Criteria'!L252</f>
        <v>0</v>
      </c>
      <c r="M1346" s="3418">
        <f>'Part VIII-Threshold Criteria'!M252</f>
        <v>0</v>
      </c>
      <c r="N1346" s="3418">
        <f>'Part VIII-Threshold Criteria'!N252</f>
        <v>0</v>
      </c>
      <c r="O1346" s="3418">
        <f>'Part VIII-Threshold Criteria'!O252</f>
        <v>0</v>
      </c>
      <c r="P1346" s="3418">
        <f>'Part VIII-Threshold Criteria'!P252</f>
        <v>0</v>
      </c>
      <c r="Q1346" s="3418">
        <f>'Part VIII-Threshold Criteria'!Q252</f>
        <v>0</v>
      </c>
    </row>
    <row r="1347" spans="1:17">
      <c r="A1347" s="3318"/>
      <c r="B1347" s="3416"/>
      <c r="C1347" s="3421"/>
      <c r="D1347" s="3421"/>
      <c r="E1347" s="3421"/>
      <c r="F1347" s="3421"/>
      <c r="G1347" s="3421"/>
      <c r="H1347" s="3421"/>
      <c r="I1347" s="3421"/>
      <c r="J1347" s="3421"/>
      <c r="K1347" s="3421"/>
      <c r="L1347" s="3421"/>
      <c r="M1347" s="3421"/>
      <c r="Q1347" s="3318"/>
    </row>
    <row r="1348" spans="1:17">
      <c r="A1348" s="3301" t="s">
        <v>258</v>
      </c>
      <c r="B1348" s="3300" t="s">
        <v>1461</v>
      </c>
      <c r="C1348" s="3300"/>
      <c r="D1348" s="3415"/>
      <c r="E1348" s="3415"/>
      <c r="F1348" s="3415"/>
      <c r="G1348" s="3415"/>
      <c r="H1348" s="3421"/>
      <c r="I1348" s="3421"/>
      <c r="J1348" s="3421"/>
      <c r="K1348" s="3421"/>
      <c r="L1348" s="3388"/>
      <c r="M1348" s="3388"/>
      <c r="O1348" s="3417" t="s">
        <v>1273</v>
      </c>
      <c r="P1348" s="3326">
        <f>'Part VIII-Threshold Criteria'!P254</f>
        <v>0</v>
      </c>
      <c r="Q1348" s="3326">
        <f>'Part VIII-Threshold Criteria'!Q254</f>
        <v>0</v>
      </c>
    </row>
    <row r="1349" spans="1:17">
      <c r="L1349" s="3388"/>
      <c r="M1349" s="3388"/>
      <c r="N1349" s="943"/>
    </row>
    <row r="1350" spans="1:17">
      <c r="A1350" s="3457" t="s">
        <v>110</v>
      </c>
      <c r="B1350" s="358" t="s">
        <v>1462</v>
      </c>
      <c r="D1350" s="3111"/>
      <c r="E1350" s="358"/>
      <c r="F1350" s="358"/>
      <c r="J1350" s="3459" t="s">
        <v>110</v>
      </c>
      <c r="K1350" s="3415" t="str">
        <f>'Part VIII-Threshold Criteria'!K256</f>
        <v>&lt;&lt;Select&gt;&gt;</v>
      </c>
      <c r="L1350" s="3415">
        <f>'Part VIII-Threshold Criteria'!L256</f>
        <v>0</v>
      </c>
      <c r="M1350" s="3415">
        <f>'Part VIII-Threshold Criteria'!M256</f>
        <v>0</v>
      </c>
      <c r="N1350" s="3415">
        <f>'Part VIII-Threshold Criteria'!N256</f>
        <v>0</v>
      </c>
      <c r="O1350" s="3415">
        <f>'Part VIII-Threshold Criteria'!O256</f>
        <v>0</v>
      </c>
      <c r="P1350" s="3415" t="str">
        <f>'Part VIII-Threshold Criteria'!P256</f>
        <v>&lt;&lt;Select&gt;&gt;</v>
      </c>
      <c r="Q1350" s="3415">
        <f>'Part VIII-Threshold Criteria'!Q256</f>
        <v>0</v>
      </c>
    </row>
    <row r="1351" spans="1:17">
      <c r="A1351" s="3457" t="s">
        <v>121</v>
      </c>
      <c r="B1351" s="358" t="s">
        <v>1463</v>
      </c>
      <c r="D1351" s="358"/>
      <c r="E1351" s="358"/>
      <c r="F1351" s="358"/>
      <c r="J1351" s="3459" t="s">
        <v>121</v>
      </c>
      <c r="K1351" s="3415">
        <f>'Part VIII-Threshold Criteria'!K257</f>
        <v>0</v>
      </c>
      <c r="L1351" s="3415">
        <f>'Part VIII-Threshold Criteria'!L257</f>
        <v>0</v>
      </c>
      <c r="M1351" s="3415">
        <f>'Part VIII-Threshold Criteria'!M257</f>
        <v>0</v>
      </c>
      <c r="N1351" s="3415">
        <f>'Part VIII-Threshold Criteria'!N257</f>
        <v>0</v>
      </c>
      <c r="O1351" s="3415">
        <f>'Part VIII-Threshold Criteria'!O257</f>
        <v>0</v>
      </c>
      <c r="P1351" s="3415">
        <f>'Part VIII-Threshold Criteria'!P257</f>
        <v>0</v>
      </c>
      <c r="Q1351" s="3415">
        <f>'Part VIII-Threshold Criteria'!Q257</f>
        <v>0</v>
      </c>
    </row>
    <row r="1352" spans="1:17">
      <c r="A1352" s="3457"/>
      <c r="B1352" s="358" t="s">
        <v>1464</v>
      </c>
      <c r="D1352" s="358"/>
      <c r="E1352" s="358"/>
      <c r="F1352" s="358"/>
      <c r="K1352" s="3415">
        <f>'Part VIII-Threshold Criteria'!K258</f>
        <v>0</v>
      </c>
      <c r="L1352" s="3415">
        <f>'Part VIII-Threshold Criteria'!L258</f>
        <v>0</v>
      </c>
      <c r="M1352" s="3415">
        <f>'Part VIII-Threshold Criteria'!M258</f>
        <v>0</v>
      </c>
      <c r="N1352" s="3415">
        <f>'Part VIII-Threshold Criteria'!N258</f>
        <v>0</v>
      </c>
      <c r="O1352" s="3415">
        <f>'Part VIII-Threshold Criteria'!O258</f>
        <v>0</v>
      </c>
      <c r="P1352" s="3415">
        <f>'Part VIII-Threshold Criteria'!P258</f>
        <v>0</v>
      </c>
      <c r="Q1352" s="3415">
        <f>'Part VIII-Threshold Criteria'!Q258</f>
        <v>0</v>
      </c>
    </row>
    <row r="1353" spans="1:17">
      <c r="A1353" s="3457"/>
      <c r="B1353" s="358" t="s">
        <v>1465</v>
      </c>
      <c r="D1353" s="358"/>
      <c r="E1353" s="358"/>
      <c r="F1353" s="358"/>
      <c r="G1353" s="358"/>
      <c r="H1353" s="358"/>
      <c r="I1353" s="3111"/>
      <c r="J1353" s="3111"/>
      <c r="M1353" s="358"/>
      <c r="N1353" s="3484"/>
      <c r="O1353" s="3459"/>
      <c r="P1353" s="3424">
        <f>'Part VIII-Threshold Criteria'!P259</f>
        <v>0</v>
      </c>
      <c r="Q1353" s="3424">
        <f>'Part VIII-Threshold Criteria'!Q259</f>
        <v>0</v>
      </c>
    </row>
    <row r="1354" spans="1:17">
      <c r="A1354" s="3457" t="s">
        <v>123</v>
      </c>
      <c r="B1354" s="358" t="s">
        <v>1466</v>
      </c>
      <c r="D1354" s="358"/>
      <c r="E1354" s="358"/>
      <c r="F1354" s="358"/>
      <c r="M1354" s="358"/>
      <c r="N1354" s="3484"/>
      <c r="O1354" s="3459" t="s">
        <v>123</v>
      </c>
      <c r="P1354" s="3424">
        <f>'Part VIII-Threshold Criteria'!P260</f>
        <v>0</v>
      </c>
      <c r="Q1354" s="3424">
        <f>'Part VIII-Threshold Criteria'!Q260</f>
        <v>0</v>
      </c>
    </row>
    <row r="1355" spans="1:17">
      <c r="A1355" s="3457"/>
      <c r="B1355" s="358" t="s">
        <v>1467</v>
      </c>
      <c r="D1355" s="358"/>
      <c r="E1355" s="358"/>
      <c r="F1355" s="358"/>
      <c r="K1355" s="3415">
        <f>'Part VIII-Threshold Criteria'!K261</f>
        <v>0</v>
      </c>
      <c r="L1355" s="3415">
        <f>'Part VIII-Threshold Criteria'!L261</f>
        <v>0</v>
      </c>
      <c r="M1355" s="3415">
        <f>'Part VIII-Threshold Criteria'!M261</f>
        <v>0</v>
      </c>
      <c r="N1355" s="3415">
        <f>'Part VIII-Threshold Criteria'!N261</f>
        <v>0</v>
      </c>
      <c r="O1355" s="3415">
        <f>'Part VIII-Threshold Criteria'!O261</f>
        <v>0</v>
      </c>
      <c r="P1355" s="3415">
        <f>'Part VIII-Threshold Criteria'!P261</f>
        <v>0</v>
      </c>
      <c r="Q1355" s="3415">
        <f>'Part VIII-Threshold Criteria'!Q261</f>
        <v>0</v>
      </c>
    </row>
    <row r="1356" spans="1:17">
      <c r="A1356" s="3457" t="s">
        <v>126</v>
      </c>
      <c r="B1356" s="358" t="s">
        <v>1468</v>
      </c>
      <c r="D1356" s="358"/>
      <c r="E1356" s="358"/>
      <c r="F1356" s="358"/>
      <c r="G1356" s="358"/>
      <c r="H1356" s="358"/>
      <c r="I1356" s="3111"/>
      <c r="J1356" s="3111"/>
      <c r="K1356" s="3111"/>
      <c r="M1356" s="358"/>
      <c r="N1356" s="3484"/>
      <c r="O1356" s="3459" t="s">
        <v>126</v>
      </c>
      <c r="P1356" s="3424">
        <f>'Part VIII-Threshold Criteria'!P262</f>
        <v>0</v>
      </c>
      <c r="Q1356" s="3424">
        <f>'Part VIII-Threshold Criteria'!Q262</f>
        <v>0</v>
      </c>
    </row>
    <row r="1357" spans="1:17" ht="12.75" customHeight="1">
      <c r="A1357" s="3457"/>
      <c r="B1357" s="3418" t="s">
        <v>1469</v>
      </c>
      <c r="C1357" s="3418"/>
      <c r="D1357" s="3418"/>
      <c r="E1357" s="3418"/>
      <c r="F1357" s="3418"/>
      <c r="G1357" s="3418"/>
      <c r="H1357" s="943" t="s">
        <v>1470</v>
      </c>
      <c r="K1357" s="3111"/>
      <c r="M1357" s="358"/>
      <c r="N1357" s="3484"/>
      <c r="O1357" s="3459" t="s">
        <v>1303</v>
      </c>
      <c r="P1357" s="3424">
        <f>'Part VIII-Threshold Criteria'!P263</f>
        <v>0</v>
      </c>
      <c r="Q1357" s="3424">
        <f>'Part VIII-Threshold Criteria'!Q263</f>
        <v>0</v>
      </c>
    </row>
    <row r="1358" spans="1:17">
      <c r="A1358" s="3457"/>
      <c r="B1358" s="3418"/>
      <c r="C1358" s="3418"/>
      <c r="D1358" s="3418"/>
      <c r="E1358" s="3418"/>
      <c r="F1358" s="3418"/>
      <c r="G1358" s="3418"/>
      <c r="H1358" s="943" t="s">
        <v>1471</v>
      </c>
      <c r="K1358" s="3111"/>
      <c r="M1358" s="358"/>
      <c r="N1358" s="3484"/>
      <c r="O1358" s="3459" t="s">
        <v>1306</v>
      </c>
      <c r="P1358" s="3424">
        <f>'Part VIII-Threshold Criteria'!P264</f>
        <v>0</v>
      </c>
      <c r="Q1358" s="3424">
        <f>'Part VIII-Threshold Criteria'!Q264</f>
        <v>0</v>
      </c>
    </row>
    <row r="1359" spans="1:17">
      <c r="A1359" s="3457"/>
      <c r="B1359" s="358"/>
      <c r="D1359" s="358"/>
      <c r="E1359" s="358"/>
      <c r="F1359" s="358"/>
      <c r="G1359" s="358"/>
      <c r="H1359" s="943" t="s">
        <v>1472</v>
      </c>
      <c r="K1359" s="3111"/>
      <c r="M1359" s="358"/>
      <c r="N1359" s="3484"/>
      <c r="O1359" s="3459" t="s">
        <v>1308</v>
      </c>
      <c r="P1359" s="3424">
        <f>'Part VIII-Threshold Criteria'!P265</f>
        <v>0</v>
      </c>
      <c r="Q1359" s="3424">
        <f>'Part VIII-Threshold Criteria'!Q265</f>
        <v>0</v>
      </c>
    </row>
    <row r="1360" spans="1:17">
      <c r="A1360" s="3457"/>
      <c r="B1360" s="358"/>
      <c r="D1360" s="358"/>
      <c r="E1360" s="358"/>
      <c r="F1360" s="358"/>
      <c r="G1360" s="358"/>
      <c r="H1360" s="943" t="s">
        <v>1473</v>
      </c>
      <c r="K1360" s="3111"/>
      <c r="M1360" s="358"/>
      <c r="N1360" s="3484"/>
      <c r="O1360" s="3459" t="s">
        <v>1310</v>
      </c>
      <c r="P1360" s="3424">
        <f>'Part VIII-Threshold Criteria'!P266</f>
        <v>0</v>
      </c>
      <c r="Q1360" s="3424">
        <f>'Part VIII-Threshold Criteria'!Q266</f>
        <v>0</v>
      </c>
    </row>
    <row r="1361" spans="1:17" ht="12.75" customHeight="1">
      <c r="A1361" s="3455" t="s">
        <v>140</v>
      </c>
      <c r="B1361" s="3418" t="s">
        <v>4795</v>
      </c>
      <c r="C1361" s="3418"/>
      <c r="D1361" s="3418"/>
      <c r="E1361" s="3418"/>
      <c r="F1361" s="3418"/>
      <c r="G1361" s="3418"/>
      <c r="H1361" s="3418"/>
      <c r="I1361" s="3418"/>
      <c r="J1361" s="3418"/>
      <c r="K1361" s="3418"/>
      <c r="L1361" s="3418"/>
      <c r="M1361" s="3418"/>
      <c r="N1361" s="3418"/>
      <c r="O1361" s="3469" t="s">
        <v>140</v>
      </c>
      <c r="P1361" s="3470">
        <f>'Part VIII-Threshold Criteria'!P267</f>
        <v>0</v>
      </c>
      <c r="Q1361" s="3470">
        <f>'Part VIII-Threshold Criteria'!Q267</f>
        <v>0</v>
      </c>
    </row>
    <row r="1362" spans="1:17">
      <c r="B1362" s="3355" t="s">
        <v>1274</v>
      </c>
      <c r="D1362" s="3355"/>
      <c r="E1362" s="3355"/>
      <c r="F1362" s="3355"/>
      <c r="G1362" s="3355"/>
      <c r="H1362" s="3354"/>
      <c r="I1362" s="3416"/>
      <c r="J1362" s="3416"/>
      <c r="K1362" s="3416"/>
      <c r="L1362" s="3318"/>
      <c r="M1362" s="3318"/>
      <c r="N1362" s="3318"/>
      <c r="O1362" s="3318"/>
      <c r="P1362" s="3318"/>
      <c r="Q1362" s="3318"/>
    </row>
    <row r="1363" spans="1:17" ht="123.75">
      <c r="A1363" s="3418" t="str">
        <f>'Part VIII-Threshold Criteria'!A269</f>
        <v>As the Mill at Stone Valley is the development of a new affordable housing community, this section is not applicable.</v>
      </c>
      <c r="B1363" s="3418">
        <f>'Part VIII-Threshold Criteria'!B269</f>
        <v>0</v>
      </c>
      <c r="C1363" s="3418">
        <f>'Part VIII-Threshold Criteria'!C269</f>
        <v>0</v>
      </c>
      <c r="D1363" s="3418">
        <f>'Part VIII-Threshold Criteria'!D269</f>
        <v>0</v>
      </c>
      <c r="E1363" s="3418">
        <f>'Part VIII-Threshold Criteria'!E269</f>
        <v>0</v>
      </c>
      <c r="F1363" s="3418">
        <f>'Part VIII-Threshold Criteria'!F269</f>
        <v>0</v>
      </c>
      <c r="G1363" s="3418">
        <f>'Part VIII-Threshold Criteria'!G269</f>
        <v>0</v>
      </c>
      <c r="H1363" s="3418">
        <f>'Part VIII-Threshold Criteria'!H269</f>
        <v>0</v>
      </c>
      <c r="I1363" s="3418">
        <f>'Part VIII-Threshold Criteria'!I269</f>
        <v>0</v>
      </c>
      <c r="J1363" s="3418">
        <f>'Part VIII-Threshold Criteria'!J269</f>
        <v>0</v>
      </c>
      <c r="K1363" s="3418">
        <f>'Part VIII-Threshold Criteria'!K269</f>
        <v>0</v>
      </c>
      <c r="L1363" s="3418">
        <f>'Part VIII-Threshold Criteria'!L269</f>
        <v>0</v>
      </c>
      <c r="M1363" s="3418">
        <f>'Part VIII-Threshold Criteria'!M269</f>
        <v>0</v>
      </c>
      <c r="N1363" s="3418">
        <f>'Part VIII-Threshold Criteria'!N269</f>
        <v>0</v>
      </c>
      <c r="O1363" s="3418">
        <f>'Part VIII-Threshold Criteria'!O269</f>
        <v>0</v>
      </c>
      <c r="P1363" s="3418">
        <f>'Part VIII-Threshold Criteria'!P269</f>
        <v>0</v>
      </c>
      <c r="Q1363" s="3418">
        <f>'Part VIII-Threshold Criteria'!Q269</f>
        <v>0</v>
      </c>
    </row>
    <row r="1364" spans="1:17">
      <c r="B1364" s="3419" t="s">
        <v>1276</v>
      </c>
      <c r="C1364" s="3420"/>
      <c r="D1364" s="3421"/>
      <c r="E1364" s="3421"/>
      <c r="F1364" s="3421"/>
      <c r="G1364" s="3421"/>
      <c r="H1364" s="3421"/>
      <c r="I1364" s="3421"/>
      <c r="J1364" s="3421"/>
      <c r="K1364" s="3421"/>
      <c r="L1364" s="3421"/>
      <c r="M1364" s="3421"/>
      <c r="N1364" s="3421"/>
      <c r="O1364" s="3421"/>
      <c r="P1364" s="3421"/>
      <c r="Q1364" s="3421"/>
    </row>
    <row r="1365" spans="1:17">
      <c r="A1365" s="3418">
        <f>'Part VIII-Threshold Criteria'!A271</f>
        <v>0</v>
      </c>
      <c r="B1365" s="3418">
        <f>'Part VIII-Threshold Criteria'!B271</f>
        <v>0</v>
      </c>
      <c r="C1365" s="3418">
        <f>'Part VIII-Threshold Criteria'!C271</f>
        <v>0</v>
      </c>
      <c r="D1365" s="3418">
        <f>'Part VIII-Threshold Criteria'!D271</f>
        <v>0</v>
      </c>
      <c r="E1365" s="3418">
        <f>'Part VIII-Threshold Criteria'!E271</f>
        <v>0</v>
      </c>
      <c r="F1365" s="3418">
        <f>'Part VIII-Threshold Criteria'!F271</f>
        <v>0</v>
      </c>
      <c r="G1365" s="3418">
        <f>'Part VIII-Threshold Criteria'!G271</f>
        <v>0</v>
      </c>
      <c r="H1365" s="3418">
        <f>'Part VIII-Threshold Criteria'!H271</f>
        <v>0</v>
      </c>
      <c r="I1365" s="3418">
        <f>'Part VIII-Threshold Criteria'!I271</f>
        <v>0</v>
      </c>
      <c r="J1365" s="3418">
        <f>'Part VIII-Threshold Criteria'!J271</f>
        <v>0</v>
      </c>
      <c r="K1365" s="3418">
        <f>'Part VIII-Threshold Criteria'!K271</f>
        <v>0</v>
      </c>
      <c r="L1365" s="3418">
        <f>'Part VIII-Threshold Criteria'!L271</f>
        <v>0</v>
      </c>
      <c r="M1365" s="3418">
        <f>'Part VIII-Threshold Criteria'!M271</f>
        <v>0</v>
      </c>
      <c r="N1365" s="3418">
        <f>'Part VIII-Threshold Criteria'!N271</f>
        <v>0</v>
      </c>
      <c r="O1365" s="3418">
        <f>'Part VIII-Threshold Criteria'!O271</f>
        <v>0</v>
      </c>
      <c r="P1365" s="3418">
        <f>'Part VIII-Threshold Criteria'!P271</f>
        <v>0</v>
      </c>
      <c r="Q1365" s="3418">
        <f>'Part VIII-Threshold Criteria'!Q271</f>
        <v>0</v>
      </c>
    </row>
    <row r="1366" spans="1:17">
      <c r="A1366" s="3318"/>
      <c r="B1366" s="3416"/>
      <c r="C1366" s="3421"/>
      <c r="D1366" s="3421"/>
      <c r="E1366" s="3421"/>
      <c r="F1366" s="3421"/>
      <c r="G1366" s="3421"/>
      <c r="H1366" s="3421"/>
      <c r="I1366" s="3421"/>
      <c r="J1366" s="3421"/>
      <c r="K1366" s="3421"/>
      <c r="L1366" s="3421"/>
      <c r="M1366" s="3421"/>
      <c r="Q1366" s="3318"/>
    </row>
    <row r="1367" spans="1:17">
      <c r="A1367" s="3301" t="s">
        <v>260</v>
      </c>
      <c r="B1367" s="3300" t="s">
        <v>1475</v>
      </c>
      <c r="C1367" s="3300"/>
      <c r="D1367" s="3415"/>
      <c r="E1367" s="3415"/>
      <c r="F1367" s="3415"/>
      <c r="G1367" s="3415"/>
      <c r="H1367" s="3421"/>
      <c r="I1367" s="3421"/>
      <c r="J1367" s="3421"/>
      <c r="K1367" s="3421"/>
      <c r="L1367" s="3421"/>
      <c r="M1367" s="3421"/>
      <c r="O1367" s="3417" t="s">
        <v>1273</v>
      </c>
      <c r="P1367" s="3326">
        <f>'Part VIII-Threshold Criteria'!P273</f>
        <v>0</v>
      </c>
      <c r="Q1367" s="3326">
        <f>'Part VIII-Threshold Criteria'!Q273</f>
        <v>0</v>
      </c>
    </row>
    <row r="1369" spans="1:17" ht="12.75" customHeight="1">
      <c r="A1369" s="3455" t="s">
        <v>110</v>
      </c>
      <c r="B1369" s="3418" t="s">
        <v>1476</v>
      </c>
      <c r="C1369" s="3418"/>
      <c r="D1369" s="3418"/>
      <c r="E1369" s="3418"/>
      <c r="F1369" s="3418"/>
      <c r="G1369" s="3418"/>
      <c r="H1369" s="3418"/>
      <c r="I1369" s="3418"/>
      <c r="J1369" s="3418"/>
      <c r="K1369" s="3418"/>
      <c r="L1369" s="3418"/>
      <c r="M1369" s="3418"/>
      <c r="N1369" s="3418"/>
      <c r="O1369" s="3469" t="s">
        <v>110</v>
      </c>
      <c r="P1369" s="3470" t="str">
        <f>'Part VIII-Threshold Criteria'!P275</f>
        <v>Yes</v>
      </c>
      <c r="Q1369" s="3470">
        <f>'Part VIII-Threshold Criteria'!Q275</f>
        <v>0</v>
      </c>
    </row>
    <row r="1370" spans="1:17">
      <c r="A1370" s="3457"/>
      <c r="B1370" s="358" t="s">
        <v>1477</v>
      </c>
      <c r="D1370" s="358"/>
      <c r="E1370" s="358"/>
      <c r="F1370" s="358"/>
      <c r="G1370" s="358"/>
      <c r="H1370" s="358"/>
      <c r="I1370" s="358"/>
      <c r="J1370" s="358"/>
      <c r="K1370" s="358"/>
      <c r="L1370" s="358"/>
      <c r="M1370" s="358"/>
      <c r="O1370" s="3459"/>
      <c r="P1370" s="3424" t="str">
        <f>'Part VIII-Threshold Criteria'!P276</f>
        <v>Yes</v>
      </c>
      <c r="Q1370" s="3424">
        <f>'Part VIII-Threshold Criteria'!Q276</f>
        <v>0</v>
      </c>
    </row>
    <row r="1371" spans="1:17">
      <c r="A1371" s="3457" t="s">
        <v>121</v>
      </c>
      <c r="B1371" s="358" t="s">
        <v>1478</v>
      </c>
      <c r="D1371" s="358"/>
      <c r="E1371" s="358"/>
      <c r="F1371" s="358"/>
      <c r="G1371" s="358"/>
      <c r="H1371" s="358"/>
      <c r="I1371" s="358"/>
      <c r="J1371" s="358"/>
      <c r="K1371" s="358"/>
      <c r="L1371" s="358"/>
      <c r="M1371" s="358"/>
      <c r="O1371" s="3459" t="s">
        <v>121</v>
      </c>
      <c r="P1371" s="3424" t="str">
        <f>'Part VIII-Threshold Criteria'!P277</f>
        <v>Yes</v>
      </c>
      <c r="Q1371" s="3424">
        <f>'Part VIII-Threshold Criteria'!Q277</f>
        <v>0</v>
      </c>
    </row>
    <row r="1372" spans="1:17">
      <c r="A1372" s="3457" t="s">
        <v>123</v>
      </c>
      <c r="B1372" s="358" t="s">
        <v>1479</v>
      </c>
      <c r="D1372" s="358"/>
      <c r="E1372" s="358"/>
      <c r="F1372" s="358"/>
      <c r="G1372" s="358"/>
      <c r="H1372" s="358"/>
      <c r="I1372" s="358"/>
      <c r="J1372" s="358"/>
      <c r="K1372" s="358"/>
      <c r="L1372" s="358"/>
      <c r="M1372" s="358"/>
      <c r="O1372" s="3459" t="s">
        <v>123</v>
      </c>
      <c r="P1372" s="3424" t="str">
        <f>'Part VIII-Threshold Criteria'!P278</f>
        <v>Yes</v>
      </c>
      <c r="Q1372" s="3424">
        <f>'Part VIII-Threshold Criteria'!Q278</f>
        <v>0</v>
      </c>
    </row>
    <row r="1373" spans="1:17">
      <c r="A1373" s="3457"/>
      <c r="B1373" s="358" t="s">
        <v>1480</v>
      </c>
      <c r="D1373" s="358"/>
      <c r="E1373" s="358"/>
      <c r="F1373" s="358"/>
      <c r="G1373" s="358"/>
      <c r="H1373" s="358"/>
      <c r="I1373" s="358"/>
      <c r="J1373" s="358"/>
      <c r="K1373" s="358"/>
      <c r="L1373" s="358"/>
      <c r="M1373" s="358"/>
      <c r="O1373" s="3459"/>
      <c r="P1373" s="3424" t="str">
        <f>'Part VIII-Threshold Criteria'!P279</f>
        <v>Yes</v>
      </c>
      <c r="Q1373" s="3424">
        <f>'Part VIII-Threshold Criteria'!Q279</f>
        <v>0</v>
      </c>
    </row>
    <row r="1374" spans="1:17">
      <c r="A1374" s="3457" t="s">
        <v>126</v>
      </c>
      <c r="B1374" s="358" t="s">
        <v>1481</v>
      </c>
      <c r="D1374" s="358"/>
      <c r="E1374" s="358"/>
      <c r="F1374" s="358"/>
      <c r="G1374" s="358"/>
      <c r="H1374" s="358"/>
      <c r="I1374" s="358"/>
      <c r="J1374" s="358"/>
      <c r="K1374" s="358"/>
      <c r="L1374" s="358"/>
      <c r="M1374" s="358"/>
      <c r="O1374" s="3459" t="s">
        <v>126</v>
      </c>
      <c r="P1374" s="3424" t="str">
        <f>'Part VIII-Threshold Criteria'!P280</f>
        <v>Yes</v>
      </c>
      <c r="Q1374" s="3424">
        <f>'Part VIII-Threshold Criteria'!Q280</f>
        <v>0</v>
      </c>
    </row>
    <row r="1375" spans="1:17">
      <c r="B1375" s="3355" t="s">
        <v>1274</v>
      </c>
      <c r="D1375" s="3355"/>
      <c r="E1375" s="3355"/>
      <c r="F1375" s="3355"/>
      <c r="G1375" s="3355"/>
      <c r="H1375" s="3354"/>
      <c r="I1375" s="3416"/>
      <c r="J1375" s="3416"/>
      <c r="K1375" s="3416"/>
      <c r="L1375" s="3318"/>
      <c r="M1375" s="3318"/>
      <c r="N1375" s="3318"/>
      <c r="O1375" s="3318"/>
      <c r="P1375" s="3318"/>
      <c r="Q1375" s="3318"/>
    </row>
    <row r="1376" spans="1:17" ht="409.5">
      <c r="A1376" s="3418" t="str">
        <f>'Part VIII-Threshold Criteria'!A282</f>
        <v>The applicable site information on the Mill at Stone Valley is included in Tab 15, including the Conceptual Site Development Plan, location maps, photographs, and aerial pictures, to facilitate site identification and review.  The site is located with easy access off I-575 and Old Canton Highway, just south of downtown Ball Ground in Cherokee County.</v>
      </c>
      <c r="B1376" s="3418">
        <f>'Part VIII-Threshold Criteria'!B282</f>
        <v>0</v>
      </c>
      <c r="C1376" s="3418">
        <f>'Part VIII-Threshold Criteria'!C282</f>
        <v>0</v>
      </c>
      <c r="D1376" s="3418">
        <f>'Part VIII-Threshold Criteria'!D282</f>
        <v>0</v>
      </c>
      <c r="E1376" s="3418">
        <f>'Part VIII-Threshold Criteria'!E282</f>
        <v>0</v>
      </c>
      <c r="F1376" s="3418">
        <f>'Part VIII-Threshold Criteria'!F282</f>
        <v>0</v>
      </c>
      <c r="G1376" s="3418">
        <f>'Part VIII-Threshold Criteria'!G282</f>
        <v>0</v>
      </c>
      <c r="H1376" s="3418">
        <f>'Part VIII-Threshold Criteria'!H282</f>
        <v>0</v>
      </c>
      <c r="I1376" s="3418">
        <f>'Part VIII-Threshold Criteria'!I282</f>
        <v>0</v>
      </c>
      <c r="J1376" s="3418">
        <f>'Part VIII-Threshold Criteria'!J282</f>
        <v>0</v>
      </c>
      <c r="K1376" s="3418">
        <f>'Part VIII-Threshold Criteria'!K282</f>
        <v>0</v>
      </c>
      <c r="L1376" s="3418">
        <f>'Part VIII-Threshold Criteria'!L282</f>
        <v>0</v>
      </c>
      <c r="M1376" s="3418">
        <f>'Part VIII-Threshold Criteria'!M282</f>
        <v>0</v>
      </c>
      <c r="N1376" s="3418">
        <f>'Part VIII-Threshold Criteria'!N282</f>
        <v>0</v>
      </c>
      <c r="O1376" s="3418">
        <f>'Part VIII-Threshold Criteria'!O282</f>
        <v>0</v>
      </c>
      <c r="P1376" s="3418">
        <f>'Part VIII-Threshold Criteria'!P282</f>
        <v>0</v>
      </c>
      <c r="Q1376" s="3418">
        <f>'Part VIII-Threshold Criteria'!Q282</f>
        <v>0</v>
      </c>
    </row>
    <row r="1377" spans="1:17">
      <c r="B1377" s="3419" t="s">
        <v>1276</v>
      </c>
      <c r="C1377" s="3420"/>
      <c r="D1377" s="3421"/>
      <c r="E1377" s="3421"/>
      <c r="F1377" s="3421"/>
      <c r="G1377" s="3421"/>
      <c r="H1377" s="3421"/>
      <c r="I1377" s="3421"/>
      <c r="J1377" s="3421"/>
      <c r="K1377" s="3421"/>
      <c r="L1377" s="3421"/>
      <c r="M1377" s="3421"/>
      <c r="N1377" s="3421"/>
      <c r="O1377" s="3421"/>
      <c r="P1377" s="3421"/>
      <c r="Q1377" s="3421"/>
    </row>
    <row r="1378" spans="1:17">
      <c r="A1378" s="3418">
        <f>'Part VIII-Threshold Criteria'!A284</f>
        <v>0</v>
      </c>
      <c r="B1378" s="3418">
        <f>'Part VIII-Threshold Criteria'!B284</f>
        <v>0</v>
      </c>
      <c r="C1378" s="3418">
        <f>'Part VIII-Threshold Criteria'!C284</f>
        <v>0</v>
      </c>
      <c r="D1378" s="3418">
        <f>'Part VIII-Threshold Criteria'!D284</f>
        <v>0</v>
      </c>
      <c r="E1378" s="3418">
        <f>'Part VIII-Threshold Criteria'!E284</f>
        <v>0</v>
      </c>
      <c r="F1378" s="3418">
        <f>'Part VIII-Threshold Criteria'!F284</f>
        <v>0</v>
      </c>
      <c r="G1378" s="3418">
        <f>'Part VIII-Threshold Criteria'!G284</f>
        <v>0</v>
      </c>
      <c r="H1378" s="3418">
        <f>'Part VIII-Threshold Criteria'!H284</f>
        <v>0</v>
      </c>
      <c r="I1378" s="3418">
        <f>'Part VIII-Threshold Criteria'!I284</f>
        <v>0</v>
      </c>
      <c r="J1378" s="3418">
        <f>'Part VIII-Threshold Criteria'!J284</f>
        <v>0</v>
      </c>
      <c r="K1378" s="3418">
        <f>'Part VIII-Threshold Criteria'!K284</f>
        <v>0</v>
      </c>
      <c r="L1378" s="3418">
        <f>'Part VIII-Threshold Criteria'!L284</f>
        <v>0</v>
      </c>
      <c r="M1378" s="3418">
        <f>'Part VIII-Threshold Criteria'!M284</f>
        <v>0</v>
      </c>
      <c r="N1378" s="3418">
        <f>'Part VIII-Threshold Criteria'!N284</f>
        <v>0</v>
      </c>
      <c r="O1378" s="3418">
        <f>'Part VIII-Threshold Criteria'!O284</f>
        <v>0</v>
      </c>
      <c r="P1378" s="3418">
        <f>'Part VIII-Threshold Criteria'!P284</f>
        <v>0</v>
      </c>
      <c r="Q1378" s="3418">
        <f>'Part VIII-Threshold Criteria'!Q284</f>
        <v>0</v>
      </c>
    </row>
    <row r="1379" spans="1:17">
      <c r="A1379" s="3301" t="s">
        <v>1482</v>
      </c>
      <c r="B1379" s="3301" t="s">
        <v>1483</v>
      </c>
      <c r="C1379" s="3301"/>
      <c r="D1379" s="3421"/>
      <c r="E1379" s="3421"/>
      <c r="F1379" s="3421"/>
      <c r="G1379" s="3421"/>
      <c r="H1379" s="3421"/>
      <c r="I1379" s="3421"/>
      <c r="J1379" s="3421"/>
      <c r="K1379" s="3421"/>
      <c r="L1379" s="3421"/>
      <c r="M1379" s="3421"/>
      <c r="O1379" s="3417" t="s">
        <v>1273</v>
      </c>
      <c r="P1379" s="3326">
        <f>'Part VIII-Threshold Criteria'!P285</f>
        <v>0</v>
      </c>
      <c r="Q1379" s="3326">
        <f>'Part VIII-Threshold Criteria'!Q285</f>
        <v>0</v>
      </c>
    </row>
    <row r="1381" spans="1:17" ht="12.75" customHeight="1">
      <c r="A1381" s="3455" t="s">
        <v>110</v>
      </c>
      <c r="B1381" s="3418" t="s">
        <v>1484</v>
      </c>
      <c r="C1381" s="3418"/>
      <c r="D1381" s="3418"/>
      <c r="E1381" s="3418"/>
      <c r="F1381" s="3418"/>
      <c r="G1381" s="3418"/>
      <c r="H1381" s="3418"/>
      <c r="I1381" s="3418"/>
      <c r="J1381" s="3418"/>
      <c r="K1381" s="3418"/>
      <c r="L1381" s="3418"/>
      <c r="M1381" s="3418"/>
      <c r="N1381" s="3418"/>
      <c r="O1381" s="3469" t="s">
        <v>110</v>
      </c>
      <c r="P1381" s="3470" t="str">
        <f>'Part VIII-Threshold Criteria'!P287</f>
        <v>Agree</v>
      </c>
      <c r="Q1381" s="3470">
        <f>'Part VIII-Threshold Criteria'!Q287</f>
        <v>0</v>
      </c>
    </row>
    <row r="1382" spans="1:17" ht="12.75" customHeight="1">
      <c r="A1382" s="3455" t="s">
        <v>121</v>
      </c>
      <c r="B1382" s="3418" t="s">
        <v>1485</v>
      </c>
      <c r="C1382" s="3418"/>
      <c r="D1382" s="3418"/>
      <c r="E1382" s="3418"/>
      <c r="F1382" s="3418"/>
      <c r="G1382" s="3418"/>
      <c r="H1382" s="3418"/>
      <c r="I1382" s="3418"/>
      <c r="J1382" s="3418"/>
      <c r="K1382" s="3418"/>
      <c r="L1382" s="3418"/>
      <c r="M1382" s="3418"/>
      <c r="N1382" s="3418"/>
      <c r="O1382" s="3469" t="s">
        <v>121</v>
      </c>
      <c r="P1382" s="3470" t="str">
        <f>'Part VIII-Threshold Criteria'!P288</f>
        <v>Agree</v>
      </c>
      <c r="Q1382" s="3470">
        <f>'Part VIII-Threshold Criteria'!Q288</f>
        <v>0</v>
      </c>
    </row>
    <row r="1383" spans="1:17">
      <c r="B1383" s="3355" t="s">
        <v>1274</v>
      </c>
      <c r="D1383" s="3355"/>
      <c r="E1383" s="3355"/>
      <c r="F1383" s="3355"/>
      <c r="G1383" s="3355"/>
      <c r="H1383" s="3354"/>
      <c r="I1383" s="3416"/>
      <c r="J1383" s="3416"/>
      <c r="K1383" s="3416"/>
      <c r="L1383" s="3318"/>
      <c r="M1383" s="3318"/>
      <c r="N1383" s="3318"/>
      <c r="O1383" s="3318"/>
      <c r="P1383" s="3318"/>
      <c r="Q1383" s="3318"/>
    </row>
    <row r="1384" spans="1:17" ht="409.5">
      <c r="A1384" s="3418" t="str">
        <f>'Part VIII-Threshold Criteria'!A290</f>
        <v xml:space="preserve">In addition to the above certifications, please also refer to the draft Earthcraft documentation in Tab 29.  The developer and contractor of the Mill at Stone Valley have developed numerous properties under the Earthcraft program. The developer and contractor have also worked with their sustainability consultant to obtain a certification that meets the high performance building design.  </v>
      </c>
      <c r="B1384" s="3418">
        <f>'Part VIII-Threshold Criteria'!B290</f>
        <v>0</v>
      </c>
      <c r="C1384" s="3418">
        <f>'Part VIII-Threshold Criteria'!C290</f>
        <v>0</v>
      </c>
      <c r="D1384" s="3418">
        <f>'Part VIII-Threshold Criteria'!D290</f>
        <v>0</v>
      </c>
      <c r="E1384" s="3418">
        <f>'Part VIII-Threshold Criteria'!E290</f>
        <v>0</v>
      </c>
      <c r="F1384" s="3418">
        <f>'Part VIII-Threshold Criteria'!F290</f>
        <v>0</v>
      </c>
      <c r="G1384" s="3418">
        <f>'Part VIII-Threshold Criteria'!G290</f>
        <v>0</v>
      </c>
      <c r="H1384" s="3418">
        <f>'Part VIII-Threshold Criteria'!H290</f>
        <v>0</v>
      </c>
      <c r="I1384" s="3418">
        <f>'Part VIII-Threshold Criteria'!I290</f>
        <v>0</v>
      </c>
      <c r="J1384" s="3418">
        <f>'Part VIII-Threshold Criteria'!J290</f>
        <v>0</v>
      </c>
      <c r="K1384" s="3418">
        <f>'Part VIII-Threshold Criteria'!K290</f>
        <v>0</v>
      </c>
      <c r="L1384" s="3418">
        <f>'Part VIII-Threshold Criteria'!L290</f>
        <v>0</v>
      </c>
      <c r="M1384" s="3418">
        <f>'Part VIII-Threshold Criteria'!M290</f>
        <v>0</v>
      </c>
      <c r="N1384" s="3418">
        <f>'Part VIII-Threshold Criteria'!N290</f>
        <v>0</v>
      </c>
      <c r="O1384" s="3418">
        <f>'Part VIII-Threshold Criteria'!O290</f>
        <v>0</v>
      </c>
      <c r="P1384" s="3418">
        <f>'Part VIII-Threshold Criteria'!P290</f>
        <v>0</v>
      </c>
      <c r="Q1384" s="3418">
        <f>'Part VIII-Threshold Criteria'!Q290</f>
        <v>0</v>
      </c>
    </row>
    <row r="1385" spans="1:17">
      <c r="B1385" s="3419" t="s">
        <v>1276</v>
      </c>
      <c r="C1385" s="3420"/>
      <c r="D1385" s="3421"/>
      <c r="E1385" s="3421"/>
      <c r="F1385" s="3421"/>
      <c r="G1385" s="3421"/>
      <c r="H1385" s="3421"/>
      <c r="I1385" s="3421"/>
      <c r="J1385" s="3421"/>
      <c r="K1385" s="3421"/>
      <c r="L1385" s="3421"/>
      <c r="M1385" s="3421"/>
      <c r="N1385" s="3421"/>
      <c r="O1385" s="3421"/>
      <c r="P1385" s="3421"/>
      <c r="Q1385" s="3421"/>
    </row>
    <row r="1386" spans="1:17">
      <c r="A1386" s="3418">
        <f>'Part VIII-Threshold Criteria'!A292</f>
        <v>0</v>
      </c>
      <c r="B1386" s="3418">
        <f>'Part VIII-Threshold Criteria'!B292</f>
        <v>0</v>
      </c>
      <c r="C1386" s="3418">
        <f>'Part VIII-Threshold Criteria'!C292</f>
        <v>0</v>
      </c>
      <c r="D1386" s="3418">
        <f>'Part VIII-Threshold Criteria'!D292</f>
        <v>0</v>
      </c>
      <c r="E1386" s="3418">
        <f>'Part VIII-Threshold Criteria'!E292</f>
        <v>0</v>
      </c>
      <c r="F1386" s="3418">
        <f>'Part VIII-Threshold Criteria'!F292</f>
        <v>0</v>
      </c>
      <c r="G1386" s="3418">
        <f>'Part VIII-Threshold Criteria'!G292</f>
        <v>0</v>
      </c>
      <c r="H1386" s="3418">
        <f>'Part VIII-Threshold Criteria'!H292</f>
        <v>0</v>
      </c>
      <c r="I1386" s="3418">
        <f>'Part VIII-Threshold Criteria'!I292</f>
        <v>0</v>
      </c>
      <c r="J1386" s="3418">
        <f>'Part VIII-Threshold Criteria'!J292</f>
        <v>0</v>
      </c>
      <c r="K1386" s="3418">
        <f>'Part VIII-Threshold Criteria'!K292</f>
        <v>0</v>
      </c>
      <c r="L1386" s="3418">
        <f>'Part VIII-Threshold Criteria'!L292</f>
        <v>0</v>
      </c>
      <c r="M1386" s="3418">
        <f>'Part VIII-Threshold Criteria'!M292</f>
        <v>0</v>
      </c>
      <c r="N1386" s="3418">
        <f>'Part VIII-Threshold Criteria'!N292</f>
        <v>0</v>
      </c>
      <c r="O1386" s="3418">
        <f>'Part VIII-Threshold Criteria'!O292</f>
        <v>0</v>
      </c>
      <c r="P1386" s="3418">
        <f>'Part VIII-Threshold Criteria'!P292</f>
        <v>0</v>
      </c>
      <c r="Q1386" s="3418">
        <f>'Part VIII-Threshold Criteria'!Q292</f>
        <v>0</v>
      </c>
    </row>
    <row r="1387" spans="1:17">
      <c r="A1387" s="3301" t="s">
        <v>1486</v>
      </c>
      <c r="B1387" s="3301" t="s">
        <v>1487</v>
      </c>
      <c r="C1387" s="3485"/>
      <c r="D1387" s="3486"/>
      <c r="E1387" s="3421"/>
      <c r="F1387" s="3421"/>
      <c r="G1387" s="3421"/>
      <c r="H1387" s="3421"/>
      <c r="I1387" s="3421"/>
      <c r="J1387" s="3421"/>
      <c r="K1387" s="3421"/>
      <c r="L1387" s="3421"/>
      <c r="M1387" s="3421"/>
      <c r="O1387" s="3417" t="s">
        <v>1273</v>
      </c>
      <c r="P1387" s="3326">
        <f>'Part VIII-Threshold Criteria'!P293</f>
        <v>0</v>
      </c>
      <c r="Q1387" s="3326">
        <f>'Part VIII-Threshold Criteria'!Q293</f>
        <v>0</v>
      </c>
    </row>
    <row r="1388" spans="1:17">
      <c r="A1388" s="3342" t="s">
        <v>110</v>
      </c>
      <c r="B1388" s="3301" t="s">
        <v>4796</v>
      </c>
    </row>
    <row r="1389" spans="1:17" ht="12.75" customHeight="1">
      <c r="A1389" s="3455"/>
      <c r="B1389" s="3469" t="s">
        <v>1303</v>
      </c>
      <c r="C1389" s="3418" t="s">
        <v>1489</v>
      </c>
      <c r="D1389" s="3418"/>
      <c r="E1389" s="3418"/>
      <c r="F1389" s="3418"/>
      <c r="G1389" s="3418"/>
      <c r="H1389" s="3418"/>
      <c r="I1389" s="3418"/>
      <c r="J1389" s="3418"/>
      <c r="K1389" s="3418"/>
      <c r="L1389" s="3418"/>
      <c r="M1389" s="3418"/>
      <c r="N1389" s="3418"/>
      <c r="O1389" s="3469" t="s">
        <v>1490</v>
      </c>
      <c r="P1389" s="3470" t="str">
        <f>'Part VIII-Threshold Criteria'!P295</f>
        <v>Yes</v>
      </c>
      <c r="Q1389" s="3470">
        <f>'Part VIII-Threshold Criteria'!Q295</f>
        <v>0</v>
      </c>
    </row>
    <row r="1390" spans="1:17" ht="12.75" customHeight="1">
      <c r="A1390" s="3455"/>
      <c r="B1390" s="3469" t="s">
        <v>1306</v>
      </c>
      <c r="C1390" s="3418" t="s">
        <v>1491</v>
      </c>
      <c r="D1390" s="3418"/>
      <c r="E1390" s="3418"/>
      <c r="F1390" s="3418"/>
      <c r="G1390" s="3418"/>
      <c r="H1390" s="3418"/>
      <c r="I1390" s="3418"/>
      <c r="J1390" s="3418"/>
      <c r="K1390" s="3418"/>
      <c r="L1390" s="3418"/>
      <c r="M1390" s="3418"/>
      <c r="N1390" s="3418"/>
      <c r="O1390" s="3469" t="s">
        <v>1306</v>
      </c>
      <c r="P1390" s="3470" t="str">
        <f>'Part VIII-Threshold Criteria'!P296</f>
        <v>Yes</v>
      </c>
      <c r="Q1390" s="3470">
        <f>'Part VIII-Threshold Criteria'!Q296</f>
        <v>0</v>
      </c>
    </row>
    <row r="1391" spans="1:17" ht="12.75" customHeight="1">
      <c r="A1391" s="3455"/>
      <c r="B1391" s="3469" t="s">
        <v>1308</v>
      </c>
      <c r="C1391" s="3418" t="s">
        <v>1492</v>
      </c>
      <c r="D1391" s="3418"/>
      <c r="E1391" s="3418"/>
      <c r="F1391" s="3418"/>
      <c r="G1391" s="3418"/>
      <c r="H1391" s="3418"/>
      <c r="I1391" s="3418"/>
      <c r="J1391" s="3418"/>
      <c r="K1391" s="3418"/>
      <c r="L1391" s="3418"/>
      <c r="M1391" s="3418"/>
      <c r="N1391" s="3418"/>
      <c r="O1391" s="3469" t="s">
        <v>1308</v>
      </c>
      <c r="P1391" s="3470">
        <f>'Part VIII-Threshold Criteria'!P297</f>
        <v>0</v>
      </c>
      <c r="Q1391" s="3470">
        <f>'Part VIII-Threshold Criteria'!Q297</f>
        <v>0</v>
      </c>
    </row>
    <row r="1392" spans="1:17">
      <c r="A1392" s="3342" t="s">
        <v>121</v>
      </c>
      <c r="B1392" s="3301" t="s">
        <v>1493</v>
      </c>
      <c r="C1392" s="3111"/>
      <c r="D1392" s="3487"/>
      <c r="E1392" s="3487"/>
      <c r="F1392" s="3487"/>
      <c r="G1392" s="3487"/>
      <c r="H1392" s="3487"/>
      <c r="I1392" s="3487"/>
      <c r="J1392" s="3487"/>
      <c r="K1392" s="3487"/>
      <c r="L1392" s="3487"/>
      <c r="M1392" s="3487"/>
      <c r="N1392" s="3487"/>
      <c r="O1392" s="3459"/>
      <c r="P1392" s="3459"/>
      <c r="Q1392" s="3459"/>
    </row>
    <row r="1393" spans="1:17" ht="12.75" customHeight="1">
      <c r="A1393" s="3466"/>
      <c r="B1393" s="3469" t="s">
        <v>1303</v>
      </c>
      <c r="C1393" s="3418" t="s">
        <v>4797</v>
      </c>
      <c r="D1393" s="3418"/>
      <c r="E1393" s="3418"/>
      <c r="F1393" s="3418"/>
      <c r="G1393" s="3418"/>
      <c r="H1393" s="3418"/>
      <c r="I1393" s="3443"/>
      <c r="J1393" s="3426" t="s">
        <v>1495</v>
      </c>
      <c r="K1393" s="3481"/>
      <c r="L1393" s="3481"/>
      <c r="M1393" s="3488" t="s">
        <v>1496</v>
      </c>
      <c r="N1393" s="3488"/>
      <c r="O1393" s="3111"/>
      <c r="P1393" s="3111"/>
      <c r="Q1393" s="3111"/>
    </row>
    <row r="1394" spans="1:17">
      <c r="A1394" s="3110"/>
      <c r="B1394" s="3107"/>
      <c r="C1394" s="3418"/>
      <c r="D1394" s="3418"/>
      <c r="E1394" s="3418"/>
      <c r="F1394" s="3418"/>
      <c r="G1394" s="3418"/>
      <c r="H1394" s="3418"/>
      <c r="I1394" s="3112"/>
      <c r="J1394" s="3481"/>
      <c r="K1394" s="3481"/>
      <c r="L1394" s="3481"/>
      <c r="M1394" s="358" t="s">
        <v>1497</v>
      </c>
      <c r="N1394" s="3416" t="s">
        <v>1498</v>
      </c>
      <c r="O1394" s="3107"/>
      <c r="P1394" s="3129"/>
      <c r="Q1394" s="3107"/>
    </row>
    <row r="1395" spans="1:17">
      <c r="A1395" s="3110"/>
      <c r="B1395" s="3107"/>
      <c r="C1395" s="3418"/>
      <c r="D1395" s="3418"/>
      <c r="E1395" s="3418"/>
      <c r="F1395" s="3418"/>
      <c r="G1395" s="3418"/>
      <c r="H1395" s="3418"/>
      <c r="I1395" s="358" t="s">
        <v>1499</v>
      </c>
      <c r="J1395" s="3107"/>
      <c r="K1395" s="3489">
        <f>'Part VIII-Threshold Criteria'!K301</f>
        <v>4</v>
      </c>
      <c r="L1395" s="3108" t="str">
        <f>IF(K1395&lt;M1395,"Check!!!","")</f>
        <v/>
      </c>
      <c r="M1395" s="3490">
        <f>'Part VIII-Threshold Criteria'!M301</f>
        <v>4</v>
      </c>
      <c r="N1395" s="3491">
        <f>'DCA Underwriting Assumptions'!$Q$136</f>
        <v>0.05</v>
      </c>
      <c r="O1395" s="3459" t="s">
        <v>1500</v>
      </c>
      <c r="P1395" s="3424" t="str">
        <f>'Part VIII-Threshold Criteria'!P301</f>
        <v>Yes</v>
      </c>
      <c r="Q1395" s="3424">
        <f>'Part VIII-Threshold Criteria'!Q301</f>
        <v>0</v>
      </c>
    </row>
    <row r="1396" spans="1:17">
      <c r="A1396" s="3110"/>
      <c r="B1396" s="3107"/>
      <c r="C1396" s="3126"/>
      <c r="D1396" s="3107"/>
      <c r="E1396" s="3126"/>
      <c r="F1396" s="3126"/>
      <c r="G1396" s="3126"/>
      <c r="H1396" s="3107"/>
      <c r="I1396" s="3107"/>
      <c r="J1396" s="3107"/>
      <c r="K1396" s="3112"/>
      <c r="L1396" s="3115"/>
      <c r="M1396" s="3107"/>
      <c r="N1396" s="3107"/>
      <c r="O1396" s="3107"/>
      <c r="P1396" s="3129"/>
      <c r="Q1396" s="3107"/>
    </row>
    <row r="1397" spans="1:17" ht="12.75" customHeight="1">
      <c r="A1397" s="3455"/>
      <c r="B1397" s="3469"/>
      <c r="C1397" s="3418" t="s">
        <v>4798</v>
      </c>
      <c r="D1397" s="3418"/>
      <c r="E1397" s="3418"/>
      <c r="F1397" s="3418"/>
      <c r="G1397" s="3418"/>
      <c r="H1397" s="3418"/>
      <c r="I1397" s="3492" t="s">
        <v>1502</v>
      </c>
      <c r="J1397" s="3107"/>
      <c r="K1397" s="3489">
        <f>'Part VIII-Threshold Criteria'!K303</f>
        <v>2</v>
      </c>
      <c r="L1397" s="3108" t="str">
        <f>IF(K1397&lt;M1397,"Check!!!","")</f>
        <v/>
      </c>
      <c r="M1397" s="3490">
        <f>'Part VIII-Threshold Criteria'!M303</f>
        <v>2</v>
      </c>
      <c r="N1397" s="3491">
        <f>'DCA Underwriting Assumptions'!$Q$137</f>
        <v>0.4</v>
      </c>
      <c r="O1397" s="3459" t="s">
        <v>386</v>
      </c>
      <c r="P1397" s="3424" t="str">
        <f>'Part VIII-Threshold Criteria'!P303</f>
        <v>Yes</v>
      </c>
      <c r="Q1397" s="3424">
        <f>'Part VIII-Threshold Criteria'!Q303</f>
        <v>0</v>
      </c>
    </row>
    <row r="1398" spans="1:17">
      <c r="A1398" s="3110"/>
      <c r="B1398" s="3107"/>
      <c r="C1398" s="3418"/>
      <c r="D1398" s="3418"/>
      <c r="E1398" s="3418"/>
      <c r="F1398" s="3418"/>
      <c r="G1398" s="3418"/>
      <c r="H1398" s="3418"/>
      <c r="I1398" s="3107"/>
      <c r="J1398" s="3107"/>
      <c r="K1398" s="3107"/>
      <c r="L1398" s="3107"/>
      <c r="M1398" s="3107"/>
      <c r="N1398" s="3107"/>
      <c r="O1398" s="3354"/>
      <c r="P1398" s="3459"/>
      <c r="Q1398" s="3107"/>
    </row>
    <row r="1399" spans="1:17" ht="12.75" customHeight="1">
      <c r="A1399" s="3455"/>
      <c r="B1399" s="3469" t="s">
        <v>1306</v>
      </c>
      <c r="C1399" s="3418" t="s">
        <v>4799</v>
      </c>
      <c r="D1399" s="3418"/>
      <c r="E1399" s="3418"/>
      <c r="F1399" s="3418"/>
      <c r="G1399" s="3418"/>
      <c r="H1399" s="3418"/>
      <c r="I1399" s="358" t="s">
        <v>1504</v>
      </c>
      <c r="J1399" s="3107"/>
      <c r="K1399" s="3489">
        <f>'Part VIII-Threshold Criteria'!K305</f>
        <v>2</v>
      </c>
      <c r="L1399" s="3108" t="str">
        <f>IF(K1399&lt;M1399,"Check!!!","")</f>
        <v/>
      </c>
      <c r="M1399" s="3490">
        <f>'Part VIII-Threshold Criteria'!M305</f>
        <v>2</v>
      </c>
      <c r="N1399" s="3491">
        <f>'DCA Underwriting Assumptions'!$Q$138</f>
        <v>0.02</v>
      </c>
      <c r="O1399" s="3459" t="s">
        <v>1306</v>
      </c>
      <c r="P1399" s="3424" t="str">
        <f>'Part VIII-Threshold Criteria'!P305</f>
        <v>Yes</v>
      </c>
      <c r="Q1399" s="3424">
        <f>'Part VIII-Threshold Criteria'!Q305</f>
        <v>0</v>
      </c>
    </row>
    <row r="1400" spans="1:17">
      <c r="A1400" s="3110"/>
      <c r="B1400" s="3107"/>
      <c r="C1400" s="3418"/>
      <c r="D1400" s="3418"/>
      <c r="E1400" s="3418"/>
      <c r="F1400" s="3418"/>
      <c r="G1400" s="3418"/>
      <c r="H1400" s="3418"/>
      <c r="I1400" s="3107"/>
      <c r="J1400" s="358"/>
      <c r="K1400" s="358"/>
      <c r="L1400" s="3354"/>
      <c r="M1400" s="3416"/>
      <c r="N1400" s="3107"/>
      <c r="O1400" s="358"/>
      <c r="P1400" s="3416"/>
      <c r="Q1400" s="358"/>
    </row>
    <row r="1401" spans="1:17">
      <c r="A1401" s="3110"/>
      <c r="B1401" s="3107"/>
      <c r="C1401" s="3418"/>
      <c r="D1401" s="3418"/>
      <c r="E1401" s="3418"/>
      <c r="F1401" s="3418"/>
      <c r="G1401" s="3418"/>
      <c r="H1401" s="3418"/>
      <c r="I1401" s="3107"/>
      <c r="J1401" s="3107"/>
      <c r="K1401" s="3107"/>
      <c r="L1401" s="3107"/>
      <c r="M1401" s="3107"/>
      <c r="N1401" s="3107"/>
      <c r="O1401" s="3354"/>
      <c r="P1401" s="3459"/>
      <c r="Q1401" s="3107"/>
    </row>
    <row r="1402" spans="1:17">
      <c r="A1402" s="3342" t="s">
        <v>123</v>
      </c>
      <c r="B1402" s="3301" t="s">
        <v>1505</v>
      </c>
      <c r="C1402" s="3107"/>
      <c r="D1402" s="3421"/>
      <c r="E1402" s="3421"/>
      <c r="F1402" s="3421"/>
      <c r="G1402" s="3421"/>
      <c r="H1402" s="3421"/>
      <c r="I1402" s="3107"/>
      <c r="J1402" s="3107"/>
      <c r="K1402" s="3107"/>
      <c r="L1402" s="3107"/>
      <c r="M1402" s="3107"/>
      <c r="N1402" s="3107"/>
      <c r="O1402" s="3354"/>
      <c r="P1402" s="3459"/>
      <c r="Q1402" s="3107"/>
    </row>
    <row r="1403" spans="1:17" ht="12.75" customHeight="1">
      <c r="A1403" s="3111"/>
      <c r="B1403" s="3418" t="s">
        <v>1506</v>
      </c>
      <c r="C1403" s="3418"/>
      <c r="D1403" s="3418"/>
      <c r="E1403" s="3418"/>
      <c r="F1403" s="3418"/>
      <c r="G1403" s="3418"/>
      <c r="H1403" s="3418"/>
      <c r="I1403" s="3418"/>
      <c r="J1403" s="3418"/>
      <c r="K1403" s="3418"/>
      <c r="L1403" s="3418"/>
      <c r="M1403" s="3418"/>
      <c r="N1403" s="3418"/>
      <c r="O1403" s="3469" t="s">
        <v>123</v>
      </c>
      <c r="P1403" s="3470" t="str">
        <f>'Part VIII-Threshold Criteria'!P309</f>
        <v>Yes</v>
      </c>
      <c r="Q1403" s="3470">
        <f>'Part VIII-Threshold Criteria'!Q309</f>
        <v>0</v>
      </c>
    </row>
    <row r="1404" spans="1:17">
      <c r="A1404" s="3111"/>
      <c r="B1404" s="3443" t="s">
        <v>1507</v>
      </c>
      <c r="C1404" s="3111"/>
      <c r="D1404" s="3443"/>
      <c r="E1404" s="3443"/>
      <c r="F1404" s="3443"/>
      <c r="G1404" s="3443"/>
      <c r="H1404" s="3443"/>
      <c r="I1404" s="3443" t="s">
        <v>1508</v>
      </c>
      <c r="J1404" s="3443"/>
      <c r="K1404" s="3443"/>
      <c r="L1404" s="3443" t="str">
        <f>'Part VIII-Threshold Criteria'!L310</f>
        <v>Walker Bryant Associates</v>
      </c>
      <c r="M1404" s="3443">
        <f>'Part VIII-Threshold Criteria'!M310</f>
        <v>0</v>
      </c>
      <c r="N1404" s="3443">
        <f>'Part VIII-Threshold Criteria'!N310</f>
        <v>0</v>
      </c>
      <c r="O1404" s="3443"/>
      <c r="P1404" s="3443"/>
      <c r="Q1404" s="3443"/>
    </row>
    <row r="1405" spans="1:17" ht="12.75" customHeight="1">
      <c r="A1405" s="3435"/>
      <c r="B1405" s="3469" t="s">
        <v>1303</v>
      </c>
      <c r="C1405" s="3418" t="s">
        <v>1509</v>
      </c>
      <c r="D1405" s="3418"/>
      <c r="E1405" s="3418"/>
      <c r="F1405" s="3418"/>
      <c r="G1405" s="3418"/>
      <c r="H1405" s="3418"/>
      <c r="I1405" s="3418"/>
      <c r="J1405" s="3418"/>
      <c r="K1405" s="3418"/>
      <c r="L1405" s="3418"/>
      <c r="M1405" s="3418"/>
      <c r="N1405" s="3418"/>
      <c r="O1405" s="3469" t="s">
        <v>1510</v>
      </c>
      <c r="P1405" s="3470" t="str">
        <f>'Part VIII-Threshold Criteria'!P311</f>
        <v>Yes</v>
      </c>
      <c r="Q1405" s="3470">
        <f>'Part VIII-Threshold Criteria'!Q311</f>
        <v>0</v>
      </c>
    </row>
    <row r="1406" spans="1:17" ht="12.75" customHeight="1">
      <c r="A1406" s="3435"/>
      <c r="B1406" s="3469" t="s">
        <v>1306</v>
      </c>
      <c r="C1406" s="3418" t="s">
        <v>1511</v>
      </c>
      <c r="D1406" s="3418"/>
      <c r="E1406" s="3418"/>
      <c r="F1406" s="3418"/>
      <c r="G1406" s="3418"/>
      <c r="H1406" s="3418"/>
      <c r="I1406" s="3418"/>
      <c r="J1406" s="3418"/>
      <c r="K1406" s="3418"/>
      <c r="L1406" s="3418"/>
      <c r="M1406" s="3418"/>
      <c r="N1406" s="3418"/>
      <c r="O1406" s="3469" t="s">
        <v>1512</v>
      </c>
      <c r="P1406" s="3470" t="str">
        <f>'Part VIII-Threshold Criteria'!P312</f>
        <v>Yes</v>
      </c>
      <c r="Q1406" s="3470">
        <f>'Part VIII-Threshold Criteria'!Q312</f>
        <v>0</v>
      </c>
    </row>
    <row r="1407" spans="1:17" ht="12.75" customHeight="1">
      <c r="A1407" s="3435"/>
      <c r="B1407" s="3469" t="s">
        <v>1308</v>
      </c>
      <c r="C1407" s="3418" t="s">
        <v>1513</v>
      </c>
      <c r="D1407" s="3418"/>
      <c r="E1407" s="3418"/>
      <c r="F1407" s="3418"/>
      <c r="G1407" s="3418"/>
      <c r="H1407" s="3418"/>
      <c r="I1407" s="3418"/>
      <c r="J1407" s="3418"/>
      <c r="K1407" s="3418"/>
      <c r="L1407" s="3418"/>
      <c r="M1407" s="3418"/>
      <c r="N1407" s="3418"/>
      <c r="O1407" s="3469" t="s">
        <v>1514</v>
      </c>
      <c r="P1407" s="3470" t="str">
        <f>'Part VIII-Threshold Criteria'!P313</f>
        <v>Yes</v>
      </c>
      <c r="Q1407" s="3470">
        <f>'Part VIII-Threshold Criteria'!Q313</f>
        <v>0</v>
      </c>
    </row>
    <row r="1408" spans="1:17" ht="12.75" customHeight="1">
      <c r="A1408" s="3435"/>
      <c r="B1408" s="3469" t="s">
        <v>1310</v>
      </c>
      <c r="C1408" s="3418" t="s">
        <v>1515</v>
      </c>
      <c r="D1408" s="3418"/>
      <c r="E1408" s="3418"/>
      <c r="F1408" s="3418"/>
      <c r="G1408" s="3418"/>
      <c r="H1408" s="3418"/>
      <c r="I1408" s="3418"/>
      <c r="J1408" s="3418"/>
      <c r="K1408" s="3418"/>
      <c r="L1408" s="3418"/>
      <c r="M1408" s="3418"/>
      <c r="N1408" s="3418"/>
      <c r="O1408" s="3469" t="s">
        <v>1516</v>
      </c>
      <c r="P1408" s="3470" t="str">
        <f>'Part VIII-Threshold Criteria'!P314</f>
        <v>Yes</v>
      </c>
      <c r="Q1408" s="3470">
        <f>'Part VIII-Threshold Criteria'!Q314</f>
        <v>0</v>
      </c>
    </row>
    <row r="1409" spans="1:17">
      <c r="B1409" s="3355" t="s">
        <v>1274</v>
      </c>
      <c r="D1409" s="3355"/>
      <c r="E1409" s="3355"/>
      <c r="F1409" s="3355"/>
      <c r="G1409" s="3355"/>
      <c r="H1409" s="3354"/>
      <c r="I1409" s="3416"/>
      <c r="J1409" s="3416"/>
      <c r="K1409" s="3416"/>
      <c r="L1409" s="3318"/>
      <c r="M1409" s="3318"/>
      <c r="N1409" s="3318"/>
      <c r="O1409" s="3318"/>
      <c r="P1409" s="3318"/>
      <c r="Q1409" s="3318"/>
    </row>
    <row r="1410" spans="1:17" ht="303.75">
      <c r="A1410" s="3418" t="str">
        <f>'Part VIII-Threshold Criteria'!A316</f>
        <v xml:space="preserve">We agree to comply with all accessibility standards. In addition, a full accessibility review of the construction documents and inspections during the construction progress will be conducted by a Walker-Bryant Associates to insure all accessibility requirements are met.  </v>
      </c>
      <c r="B1410" s="3418">
        <f>'Part VIII-Threshold Criteria'!B316</f>
        <v>0</v>
      </c>
      <c r="C1410" s="3418">
        <f>'Part VIII-Threshold Criteria'!C316</f>
        <v>0</v>
      </c>
      <c r="D1410" s="3418">
        <f>'Part VIII-Threshold Criteria'!D316</f>
        <v>0</v>
      </c>
      <c r="E1410" s="3418">
        <f>'Part VIII-Threshold Criteria'!E316</f>
        <v>0</v>
      </c>
      <c r="F1410" s="3418">
        <f>'Part VIII-Threshold Criteria'!F316</f>
        <v>0</v>
      </c>
      <c r="G1410" s="3418">
        <f>'Part VIII-Threshold Criteria'!G316</f>
        <v>0</v>
      </c>
      <c r="H1410" s="3418">
        <f>'Part VIII-Threshold Criteria'!H316</f>
        <v>0</v>
      </c>
      <c r="I1410" s="3418">
        <f>'Part VIII-Threshold Criteria'!I316</f>
        <v>0</v>
      </c>
      <c r="J1410" s="3418">
        <f>'Part VIII-Threshold Criteria'!J316</f>
        <v>0</v>
      </c>
      <c r="K1410" s="3418">
        <f>'Part VIII-Threshold Criteria'!K316</f>
        <v>0</v>
      </c>
      <c r="L1410" s="3418">
        <f>'Part VIII-Threshold Criteria'!L316</f>
        <v>0</v>
      </c>
      <c r="M1410" s="3418">
        <f>'Part VIII-Threshold Criteria'!M316</f>
        <v>0</v>
      </c>
      <c r="N1410" s="3418">
        <f>'Part VIII-Threshold Criteria'!N316</f>
        <v>0</v>
      </c>
      <c r="O1410" s="3418">
        <f>'Part VIII-Threshold Criteria'!O316</f>
        <v>0</v>
      </c>
      <c r="P1410" s="3418">
        <f>'Part VIII-Threshold Criteria'!P316</f>
        <v>0</v>
      </c>
      <c r="Q1410" s="3418">
        <f>'Part VIII-Threshold Criteria'!Q316</f>
        <v>0</v>
      </c>
    </row>
    <row r="1411" spans="1:17">
      <c r="B1411" s="3419" t="s">
        <v>1276</v>
      </c>
      <c r="C1411" s="3420"/>
      <c r="D1411" s="3421"/>
      <c r="E1411" s="3421"/>
      <c r="F1411" s="3421"/>
      <c r="G1411" s="3421"/>
      <c r="H1411" s="3421"/>
      <c r="I1411" s="3421"/>
      <c r="J1411" s="3421"/>
      <c r="K1411" s="3421"/>
      <c r="L1411" s="3421"/>
      <c r="M1411" s="3421"/>
      <c r="N1411" s="3421"/>
      <c r="O1411" s="3421"/>
      <c r="P1411" s="3421"/>
      <c r="Q1411" s="3421"/>
    </row>
    <row r="1412" spans="1:17">
      <c r="A1412" s="3418">
        <f>'Part VIII-Threshold Criteria'!A318</f>
        <v>0</v>
      </c>
      <c r="B1412" s="3418">
        <f>'Part VIII-Threshold Criteria'!B318</f>
        <v>0</v>
      </c>
      <c r="C1412" s="3418">
        <f>'Part VIII-Threshold Criteria'!C318</f>
        <v>0</v>
      </c>
      <c r="D1412" s="3418">
        <f>'Part VIII-Threshold Criteria'!D318</f>
        <v>0</v>
      </c>
      <c r="E1412" s="3418">
        <f>'Part VIII-Threshold Criteria'!E318</f>
        <v>0</v>
      </c>
      <c r="F1412" s="3418">
        <f>'Part VIII-Threshold Criteria'!F318</f>
        <v>0</v>
      </c>
      <c r="G1412" s="3418">
        <f>'Part VIII-Threshold Criteria'!G318</f>
        <v>0</v>
      </c>
      <c r="H1412" s="3418">
        <f>'Part VIII-Threshold Criteria'!H318</f>
        <v>0</v>
      </c>
      <c r="I1412" s="3418">
        <f>'Part VIII-Threshold Criteria'!I318</f>
        <v>0</v>
      </c>
      <c r="J1412" s="3418">
        <f>'Part VIII-Threshold Criteria'!J318</f>
        <v>0</v>
      </c>
      <c r="K1412" s="3418">
        <f>'Part VIII-Threshold Criteria'!K318</f>
        <v>0</v>
      </c>
      <c r="L1412" s="3418">
        <f>'Part VIII-Threshold Criteria'!L318</f>
        <v>0</v>
      </c>
      <c r="M1412" s="3418">
        <f>'Part VIII-Threshold Criteria'!M318</f>
        <v>0</v>
      </c>
      <c r="N1412" s="3418">
        <f>'Part VIII-Threshold Criteria'!N318</f>
        <v>0</v>
      </c>
      <c r="O1412" s="3418">
        <f>'Part VIII-Threshold Criteria'!O318</f>
        <v>0</v>
      </c>
      <c r="P1412" s="3418">
        <f>'Part VIII-Threshold Criteria'!P318</f>
        <v>0</v>
      </c>
      <c r="Q1412" s="3418">
        <f>'Part VIII-Threshold Criteria'!Q318</f>
        <v>0</v>
      </c>
    </row>
    <row r="1413" spans="1:17">
      <c r="A1413" s="3301" t="s">
        <v>1517</v>
      </c>
      <c r="B1413" s="3300" t="s">
        <v>1518</v>
      </c>
      <c r="C1413" s="3300"/>
      <c r="D1413" s="3300"/>
      <c r="E1413" s="3300"/>
      <c r="F1413" s="3300"/>
      <c r="G1413" s="3300"/>
      <c r="H1413" s="3421"/>
      <c r="I1413" s="3421"/>
      <c r="J1413" s="3421"/>
      <c r="K1413" s="3421"/>
      <c r="L1413" s="3421"/>
      <c r="M1413" s="3421"/>
      <c r="O1413" s="3417" t="s">
        <v>1273</v>
      </c>
      <c r="P1413" s="3326">
        <f>'Part VIII-Threshold Criteria'!P319</f>
        <v>0</v>
      </c>
      <c r="Q1413" s="3326">
        <f>'Part VIII-Threshold Criteria'!Q319</f>
        <v>0</v>
      </c>
    </row>
    <row r="1414" spans="1:17">
      <c r="B1414" s="943" t="s">
        <v>1519</v>
      </c>
      <c r="P1414" s="3424" t="str">
        <f>'Part VIII-Threshold Criteria'!P320</f>
        <v>No</v>
      </c>
      <c r="Q1414" s="3424">
        <f>'Part VIII-Threshold Criteria'!Q320</f>
        <v>0</v>
      </c>
    </row>
    <row r="1415" spans="1:17">
      <c r="B1415" s="3478" t="s">
        <v>1520</v>
      </c>
      <c r="C1415" s="3478"/>
      <c r="D1415" s="3478"/>
      <c r="E1415" s="3478"/>
      <c r="F1415" s="3478"/>
      <c r="G1415" s="3478"/>
      <c r="H1415" s="3478"/>
      <c r="I1415" s="3478"/>
      <c r="J1415" s="3478"/>
      <c r="K1415" s="3478"/>
      <c r="L1415" s="3478"/>
      <c r="P1415" s="3424" t="str">
        <f>'Part VIII-Threshold Criteria'!P321</f>
        <v>Yes</v>
      </c>
      <c r="Q1415" s="3424">
        <f>'Part VIII-Threshold Criteria'!Q321</f>
        <v>0</v>
      </c>
    </row>
    <row r="1416" spans="1:17">
      <c r="A1416" s="3455" t="s">
        <v>110</v>
      </c>
      <c r="B1416" s="3451" t="s">
        <v>4800</v>
      </c>
      <c r="D1416" s="3354"/>
      <c r="E1416" s="3354"/>
      <c r="F1416" s="3354"/>
      <c r="G1416" s="3354"/>
      <c r="H1416" s="3354"/>
      <c r="I1416" s="3354"/>
      <c r="J1416" s="3354"/>
      <c r="K1416" s="3354"/>
      <c r="L1416" s="3354"/>
      <c r="M1416" s="3354"/>
      <c r="N1416" s="3469"/>
    </row>
    <row r="1417" spans="1:17" ht="12.75" customHeight="1">
      <c r="B1417" s="3418" t="s">
        <v>1522</v>
      </c>
      <c r="C1417" s="3418"/>
      <c r="D1417" s="3418"/>
      <c r="E1417" s="3418"/>
      <c r="F1417" s="3418"/>
      <c r="G1417" s="3418"/>
      <c r="H1417" s="3418"/>
      <c r="I1417" s="3418"/>
      <c r="J1417" s="3418"/>
      <c r="K1417" s="3418"/>
      <c r="L1417" s="3418"/>
      <c r="M1417" s="3418"/>
      <c r="N1417" s="3418"/>
      <c r="O1417" s="3469" t="s">
        <v>110</v>
      </c>
      <c r="P1417" s="3470" t="str">
        <f>'Part VIII-Threshold Criteria'!P323</f>
        <v>Yes</v>
      </c>
      <c r="Q1417" s="3470">
        <f>'Part VIII-Threshold Criteria'!Q323</f>
        <v>0</v>
      </c>
    </row>
    <row r="1418" spans="1:17">
      <c r="A1418" s="3455" t="s">
        <v>121</v>
      </c>
      <c r="B1418" s="3415" t="s">
        <v>1523</v>
      </c>
      <c r="D1418" s="3415"/>
      <c r="E1418" s="3415"/>
      <c r="F1418" s="3415"/>
      <c r="G1418" s="3415"/>
      <c r="H1418" s="3415"/>
      <c r="I1418" s="3415"/>
      <c r="J1418" s="3415"/>
      <c r="K1418" s="3415"/>
      <c r="L1418" s="3415"/>
      <c r="M1418" s="3415"/>
      <c r="O1418" s="3469" t="s">
        <v>121</v>
      </c>
      <c r="P1418" s="3318"/>
      <c r="Q1418" s="3318"/>
    </row>
    <row r="1419" spans="1:17" ht="12.75" customHeight="1">
      <c r="B1419" s="3473" t="s">
        <v>1303</v>
      </c>
      <c r="C1419" s="3443" t="s">
        <v>1524</v>
      </c>
      <c r="E1419" s="3435"/>
      <c r="F1419" s="3435"/>
      <c r="G1419" s="3418" t="str">
        <f>'Part VIII-Threshold Criteria'!G325</f>
        <v>Exterior wall faces must have an excess of 30% brick or natural or manufactured stone on each of the exterior wall surfaces.  This is NOT applicable to the interior wall faces of open breezeways</v>
      </c>
      <c r="H1419" s="3257">
        <f>'Part VIII-Threshold Criteria'!H325</f>
        <v>0</v>
      </c>
      <c r="I1419" s="3257">
        <f>'Part VIII-Threshold Criteria'!I325</f>
        <v>0</v>
      </c>
      <c r="J1419" s="3257">
        <f>'Part VIII-Threshold Criteria'!J325</f>
        <v>0</v>
      </c>
      <c r="K1419" s="3257">
        <f>'Part VIII-Threshold Criteria'!K325</f>
        <v>0</v>
      </c>
      <c r="L1419" s="3257">
        <f>'Part VIII-Threshold Criteria'!L325</f>
        <v>0</v>
      </c>
      <c r="M1419" s="3257">
        <f>'Part VIII-Threshold Criteria'!M325</f>
        <v>0</v>
      </c>
      <c r="N1419" s="3257">
        <f>'Part VIII-Threshold Criteria'!N325</f>
        <v>0</v>
      </c>
      <c r="O1419" s="3469" t="s">
        <v>1303</v>
      </c>
      <c r="P1419" s="3470" t="str">
        <f>'Part VIII-Threshold Criteria'!P325</f>
        <v>Yes</v>
      </c>
      <c r="Q1419" s="3470">
        <f>'Part VIII-Threshold Criteria'!Q325</f>
        <v>0</v>
      </c>
    </row>
    <row r="1420" spans="1:17" ht="12.75" customHeight="1">
      <c r="B1420" s="3473" t="s">
        <v>1306</v>
      </c>
      <c r="C1420" s="3418" t="s">
        <v>1527</v>
      </c>
      <c r="D1420" s="3418"/>
      <c r="E1420" s="3418"/>
      <c r="F1420" s="3418"/>
      <c r="G1420" s="3418" t="str">
        <f>'Part VIII-Threshold Criteria'!G326</f>
        <v>Upgraded roofing shingles, or roofing materials  (warranty 30 years or greater)</v>
      </c>
      <c r="H1420" s="3257">
        <f>'Part VIII-Threshold Criteria'!H326</f>
        <v>0</v>
      </c>
      <c r="I1420" s="3257">
        <f>'Part VIII-Threshold Criteria'!I326</f>
        <v>0</v>
      </c>
      <c r="J1420" s="3257">
        <f>'Part VIII-Threshold Criteria'!J326</f>
        <v>0</v>
      </c>
      <c r="K1420" s="3257">
        <f>'Part VIII-Threshold Criteria'!K326</f>
        <v>0</v>
      </c>
      <c r="L1420" s="3257">
        <f>'Part VIII-Threshold Criteria'!L326</f>
        <v>0</v>
      </c>
      <c r="M1420" s="3257">
        <f>'Part VIII-Threshold Criteria'!M326</f>
        <v>0</v>
      </c>
      <c r="N1420" s="3257">
        <f>'Part VIII-Threshold Criteria'!N326</f>
        <v>0</v>
      </c>
      <c r="O1420" s="3469" t="s">
        <v>1306</v>
      </c>
      <c r="P1420" s="3470" t="str">
        <f>'Part VIII-Threshold Criteria'!P326</f>
        <v>Yes</v>
      </c>
      <c r="Q1420" s="3470">
        <f>'Part VIII-Threshold Criteria'!Q326</f>
        <v>0</v>
      </c>
    </row>
    <row r="1421" spans="1:17">
      <c r="A1421" s="3318"/>
      <c r="C1421" s="3318"/>
      <c r="D1421" s="3318"/>
      <c r="E1421" s="3318"/>
      <c r="F1421" s="3318"/>
      <c r="G1421" s="3318"/>
      <c r="H1421" s="3318"/>
      <c r="I1421" s="3318"/>
      <c r="J1421" s="3318"/>
      <c r="K1421" s="3318"/>
      <c r="L1421" s="3318"/>
      <c r="M1421" s="3318"/>
      <c r="N1421" s="3318"/>
      <c r="O1421" s="3318"/>
      <c r="P1421" s="3318"/>
      <c r="Q1421" s="3318"/>
    </row>
    <row r="1422" spans="1:17" ht="12.75" customHeight="1">
      <c r="A1422" s="3455" t="s">
        <v>123</v>
      </c>
      <c r="B1422" s="3493" t="s">
        <v>4801</v>
      </c>
      <c r="C1422" s="3493"/>
      <c r="D1422" s="3493"/>
      <c r="E1422" s="3493"/>
      <c r="F1422" s="3493"/>
      <c r="G1422" s="3493"/>
      <c r="H1422" s="3493"/>
      <c r="I1422" s="3493"/>
      <c r="J1422" s="3493"/>
      <c r="K1422" s="3493"/>
      <c r="L1422" s="3493"/>
      <c r="M1422" s="3493"/>
      <c r="N1422" s="3493"/>
      <c r="O1422" s="3479" t="s">
        <v>123</v>
      </c>
      <c r="P1422" s="3318"/>
      <c r="Q1422" s="3318"/>
    </row>
    <row r="1423" spans="1:17">
      <c r="A1423" s="3458"/>
      <c r="B1423" s="3473" t="s">
        <v>1303</v>
      </c>
      <c r="C1423" s="3418">
        <f>'Part VIII-Threshold Criteria'!C329</f>
        <v>0</v>
      </c>
      <c r="D1423" s="3418">
        <f>'Part VIII-Threshold Criteria'!D329</f>
        <v>0</v>
      </c>
      <c r="E1423" s="3418">
        <f>'Part VIII-Threshold Criteria'!E329</f>
        <v>0</v>
      </c>
      <c r="F1423" s="3418">
        <f>'Part VIII-Threshold Criteria'!F329</f>
        <v>0</v>
      </c>
      <c r="G1423" s="3418">
        <f>'Part VIII-Threshold Criteria'!G329</f>
        <v>0</v>
      </c>
      <c r="H1423" s="3418">
        <f>'Part VIII-Threshold Criteria'!H329</f>
        <v>0</v>
      </c>
      <c r="I1423" s="3418">
        <f>'Part VIII-Threshold Criteria'!I329</f>
        <v>0</v>
      </c>
      <c r="J1423" s="3418">
        <f>'Part VIII-Threshold Criteria'!J329</f>
        <v>0</v>
      </c>
      <c r="K1423" s="3418">
        <f>'Part VIII-Threshold Criteria'!K329</f>
        <v>0</v>
      </c>
      <c r="L1423" s="3418">
        <f>'Part VIII-Threshold Criteria'!L329</f>
        <v>0</v>
      </c>
      <c r="M1423" s="3418">
        <f>'Part VIII-Threshold Criteria'!M329</f>
        <v>0</v>
      </c>
      <c r="N1423" s="3418">
        <f>'Part VIII-Threshold Criteria'!N329</f>
        <v>0</v>
      </c>
      <c r="O1423" s="3469" t="s">
        <v>1303</v>
      </c>
      <c r="P1423" s="3470">
        <f>'Part VIII-Threshold Criteria'!P329</f>
        <v>0</v>
      </c>
      <c r="Q1423" s="3470">
        <f>'Part VIII-Threshold Criteria'!Q329</f>
        <v>0</v>
      </c>
    </row>
    <row r="1424" spans="1:17">
      <c r="A1424" s="3458"/>
      <c r="B1424" s="3473" t="s">
        <v>1306</v>
      </c>
      <c r="C1424" s="3418">
        <f>'Part VIII-Threshold Criteria'!C330</f>
        <v>0</v>
      </c>
      <c r="D1424" s="3418">
        <f>'Part VIII-Threshold Criteria'!D330</f>
        <v>0</v>
      </c>
      <c r="E1424" s="3418">
        <f>'Part VIII-Threshold Criteria'!E330</f>
        <v>0</v>
      </c>
      <c r="F1424" s="3418">
        <f>'Part VIII-Threshold Criteria'!F330</f>
        <v>0</v>
      </c>
      <c r="G1424" s="3418">
        <f>'Part VIII-Threshold Criteria'!G330</f>
        <v>0</v>
      </c>
      <c r="H1424" s="3418">
        <f>'Part VIII-Threshold Criteria'!H330</f>
        <v>0</v>
      </c>
      <c r="I1424" s="3418">
        <f>'Part VIII-Threshold Criteria'!I330</f>
        <v>0</v>
      </c>
      <c r="J1424" s="3418">
        <f>'Part VIII-Threshold Criteria'!J330</f>
        <v>0</v>
      </c>
      <c r="K1424" s="3418">
        <f>'Part VIII-Threshold Criteria'!K330</f>
        <v>0</v>
      </c>
      <c r="L1424" s="3418">
        <f>'Part VIII-Threshold Criteria'!L330</f>
        <v>0</v>
      </c>
      <c r="M1424" s="3418">
        <f>'Part VIII-Threshold Criteria'!M330</f>
        <v>0</v>
      </c>
      <c r="N1424" s="3418">
        <f>'Part VIII-Threshold Criteria'!N330</f>
        <v>0</v>
      </c>
      <c r="O1424" s="3469" t="s">
        <v>1306</v>
      </c>
      <c r="P1424" s="3470">
        <f>'Part VIII-Threshold Criteria'!P330</f>
        <v>0</v>
      </c>
      <c r="Q1424" s="3470">
        <f>'Part VIII-Threshold Criteria'!Q330</f>
        <v>0</v>
      </c>
    </row>
    <row r="1425" spans="1:17">
      <c r="A1425" s="3318"/>
      <c r="B1425" s="3318"/>
      <c r="C1425" s="3318"/>
      <c r="D1425" s="3318"/>
      <c r="E1425" s="3318"/>
      <c r="F1425" s="3318"/>
      <c r="G1425" s="3318"/>
      <c r="H1425" s="3318"/>
      <c r="I1425" s="3318"/>
      <c r="J1425" s="3318"/>
      <c r="K1425" s="3318"/>
      <c r="L1425" s="3318"/>
      <c r="M1425" s="3318"/>
      <c r="N1425" s="3318"/>
      <c r="O1425" s="3318"/>
      <c r="P1425" s="3318"/>
      <c r="Q1425" s="3318"/>
    </row>
    <row r="1426" spans="1:17">
      <c r="B1426" s="3355" t="s">
        <v>1274</v>
      </c>
      <c r="D1426" s="3355"/>
      <c r="E1426" s="3355"/>
      <c r="F1426" s="3355"/>
      <c r="G1426" s="3355"/>
      <c r="H1426" s="3354"/>
      <c r="I1426" s="3416"/>
      <c r="J1426" s="3416"/>
      <c r="K1426" s="3416"/>
      <c r="L1426" s="3318"/>
      <c r="M1426" s="3318"/>
      <c r="N1426" s="3318"/>
      <c r="O1426" s="3318"/>
      <c r="P1426" s="3318"/>
      <c r="Q1426" s="3318"/>
    </row>
    <row r="1427" spans="1:17" ht="225">
      <c r="A1427" s="3418" t="str">
        <f>'Part VIII-Threshold Criteria'!A333</f>
        <v>The Mill at Stone Valley will meet all DCA architectural design and construction quality standards, including exterior wall faces greater than 30% brick or stone, and upgraded roofing materials.</v>
      </c>
      <c r="B1427" s="3418">
        <f>'Part VIII-Threshold Criteria'!B333</f>
        <v>0</v>
      </c>
      <c r="C1427" s="3418">
        <f>'Part VIII-Threshold Criteria'!C333</f>
        <v>0</v>
      </c>
      <c r="D1427" s="3418">
        <f>'Part VIII-Threshold Criteria'!D333</f>
        <v>0</v>
      </c>
      <c r="E1427" s="3418">
        <f>'Part VIII-Threshold Criteria'!E333</f>
        <v>0</v>
      </c>
      <c r="F1427" s="3418">
        <f>'Part VIII-Threshold Criteria'!F333</f>
        <v>0</v>
      </c>
      <c r="G1427" s="3418">
        <f>'Part VIII-Threshold Criteria'!G333</f>
        <v>0</v>
      </c>
      <c r="H1427" s="3418">
        <f>'Part VIII-Threshold Criteria'!H333</f>
        <v>0</v>
      </c>
      <c r="I1427" s="3418">
        <f>'Part VIII-Threshold Criteria'!I333</f>
        <v>0</v>
      </c>
      <c r="J1427" s="3418">
        <f>'Part VIII-Threshold Criteria'!J333</f>
        <v>0</v>
      </c>
      <c r="K1427" s="3418">
        <f>'Part VIII-Threshold Criteria'!K333</f>
        <v>0</v>
      </c>
      <c r="L1427" s="3418">
        <f>'Part VIII-Threshold Criteria'!L333</f>
        <v>0</v>
      </c>
      <c r="M1427" s="3418">
        <f>'Part VIII-Threshold Criteria'!M333</f>
        <v>0</v>
      </c>
      <c r="N1427" s="3418">
        <f>'Part VIII-Threshold Criteria'!N333</f>
        <v>0</v>
      </c>
      <c r="O1427" s="3418">
        <f>'Part VIII-Threshold Criteria'!O333</f>
        <v>0</v>
      </c>
      <c r="P1427" s="3418">
        <f>'Part VIII-Threshold Criteria'!P333</f>
        <v>0</v>
      </c>
      <c r="Q1427" s="3418">
        <f>'Part VIII-Threshold Criteria'!Q333</f>
        <v>0</v>
      </c>
    </row>
    <row r="1428" spans="1:17">
      <c r="B1428" s="3419" t="s">
        <v>1276</v>
      </c>
      <c r="C1428" s="3420"/>
      <c r="D1428" s="3421"/>
      <c r="E1428" s="3421"/>
      <c r="F1428" s="3421"/>
      <c r="G1428" s="3421"/>
      <c r="H1428" s="3421"/>
      <c r="I1428" s="3421"/>
      <c r="J1428" s="3421"/>
      <c r="K1428" s="3421"/>
      <c r="L1428" s="3421"/>
      <c r="M1428" s="3421"/>
      <c r="N1428" s="3421"/>
      <c r="O1428" s="3421"/>
      <c r="P1428" s="3421"/>
      <c r="Q1428" s="3421"/>
    </row>
    <row r="1429" spans="1:17">
      <c r="A1429" s="3418">
        <f>'Part VIII-Threshold Criteria'!A335</f>
        <v>0</v>
      </c>
      <c r="B1429" s="3418">
        <f>'Part VIII-Threshold Criteria'!B335</f>
        <v>0</v>
      </c>
      <c r="C1429" s="3418">
        <f>'Part VIII-Threshold Criteria'!C335</f>
        <v>0</v>
      </c>
      <c r="D1429" s="3418">
        <f>'Part VIII-Threshold Criteria'!D335</f>
        <v>0</v>
      </c>
      <c r="E1429" s="3418">
        <f>'Part VIII-Threshold Criteria'!E335</f>
        <v>0</v>
      </c>
      <c r="F1429" s="3418">
        <f>'Part VIII-Threshold Criteria'!F335</f>
        <v>0</v>
      </c>
      <c r="G1429" s="3418">
        <f>'Part VIII-Threshold Criteria'!G335</f>
        <v>0</v>
      </c>
      <c r="H1429" s="3418">
        <f>'Part VIII-Threshold Criteria'!H335</f>
        <v>0</v>
      </c>
      <c r="I1429" s="3418">
        <f>'Part VIII-Threshold Criteria'!I335</f>
        <v>0</v>
      </c>
      <c r="J1429" s="3418">
        <f>'Part VIII-Threshold Criteria'!J335</f>
        <v>0</v>
      </c>
      <c r="K1429" s="3418">
        <f>'Part VIII-Threshold Criteria'!K335</f>
        <v>0</v>
      </c>
      <c r="L1429" s="3418">
        <f>'Part VIII-Threshold Criteria'!L335</f>
        <v>0</v>
      </c>
      <c r="M1429" s="3418">
        <f>'Part VIII-Threshold Criteria'!M335</f>
        <v>0</v>
      </c>
      <c r="N1429" s="3418">
        <f>'Part VIII-Threshold Criteria'!N335</f>
        <v>0</v>
      </c>
      <c r="O1429" s="3418">
        <f>'Part VIII-Threshold Criteria'!O335</f>
        <v>0</v>
      </c>
      <c r="P1429" s="3418">
        <f>'Part VIII-Threshold Criteria'!P335</f>
        <v>0</v>
      </c>
      <c r="Q1429" s="3418">
        <f>'Part VIII-Threshold Criteria'!Q335</f>
        <v>0</v>
      </c>
    </row>
    <row r="1430" spans="1:17">
      <c r="A1430" s="3301" t="s">
        <v>1530</v>
      </c>
      <c r="B1430" s="3301" t="s">
        <v>1531</v>
      </c>
      <c r="C1430" s="3301"/>
      <c r="D1430" s="3421"/>
      <c r="E1430" s="3421"/>
      <c r="F1430" s="3421"/>
      <c r="G1430" s="3421"/>
      <c r="H1430" s="3421"/>
      <c r="O1430" s="3417" t="s">
        <v>1273</v>
      </c>
      <c r="P1430" s="3326">
        <f>'Part VIII-Threshold Criteria'!P336</f>
        <v>0</v>
      </c>
      <c r="Q1430" s="3326">
        <f>'Part VIII-Threshold Criteria'!Q336</f>
        <v>0</v>
      </c>
    </row>
    <row r="1431" spans="1:17">
      <c r="A1431" s="3457" t="s">
        <v>110</v>
      </c>
      <c r="B1431" s="943" t="s">
        <v>1532</v>
      </c>
      <c r="O1431" s="3469" t="s">
        <v>110</v>
      </c>
      <c r="P1431" s="3424" t="str">
        <f>'Part VIII-Threshold Criteria'!P337</f>
        <v>Yes</v>
      </c>
      <c r="Q1431" s="3424">
        <f>'Part VIII-Threshold Criteria'!Q337</f>
        <v>0</v>
      </c>
    </row>
    <row r="1432" spans="1:17">
      <c r="A1432" s="3455" t="s">
        <v>121</v>
      </c>
      <c r="B1432" s="943" t="s">
        <v>1533</v>
      </c>
      <c r="O1432" s="3469" t="s">
        <v>121</v>
      </c>
      <c r="P1432" s="3424" t="str">
        <f>'Part VIII-Threshold Criteria'!P338</f>
        <v>Yes</v>
      </c>
      <c r="Q1432" s="3424">
        <f>'Part VIII-Threshold Criteria'!Q338</f>
        <v>0</v>
      </c>
    </row>
    <row r="1433" spans="1:17">
      <c r="A1433" s="3455" t="s">
        <v>123</v>
      </c>
      <c r="B1433" s="943" t="s">
        <v>1534</v>
      </c>
      <c r="O1433" s="3469" t="s">
        <v>123</v>
      </c>
      <c r="P1433" s="3424" t="str">
        <f>'Part VIII-Threshold Criteria'!P339</f>
        <v>No</v>
      </c>
      <c r="Q1433" s="3424">
        <f>'Part VIII-Threshold Criteria'!Q339</f>
        <v>0</v>
      </c>
    </row>
    <row r="1434" spans="1:17">
      <c r="A1434" s="3457" t="s">
        <v>126</v>
      </c>
      <c r="B1434" s="943" t="s">
        <v>1535</v>
      </c>
      <c r="O1434" s="3459" t="s">
        <v>126</v>
      </c>
      <c r="P1434" s="3424" t="str">
        <f>'Part VIII-Threshold Criteria'!P340</f>
        <v>No</v>
      </c>
      <c r="Q1434" s="3424">
        <f>'Part VIII-Threshold Criteria'!Q340</f>
        <v>0</v>
      </c>
    </row>
    <row r="1435" spans="1:17">
      <c r="A1435" s="3455" t="s">
        <v>140</v>
      </c>
      <c r="B1435" s="943" t="s">
        <v>1536</v>
      </c>
      <c r="N1435" s="3469" t="s">
        <v>140</v>
      </c>
      <c r="O1435" s="3124" t="str">
        <f>'Part VIII-Threshold Criteria'!O341</f>
        <v>Certifying GP/Developer</v>
      </c>
      <c r="P1435" s="3124">
        <f>'Part VIII-Threshold Criteria'!P341</f>
        <v>0</v>
      </c>
      <c r="Q1435" s="3124">
        <f>'Part VIII-Threshold Criteria'!Q341</f>
        <v>0</v>
      </c>
    </row>
    <row r="1436" spans="1:17">
      <c r="A1436" s="3455" t="s">
        <v>147</v>
      </c>
      <c r="B1436" s="3475" t="s">
        <v>1537</v>
      </c>
      <c r="N1436" s="3469" t="s">
        <v>147</v>
      </c>
      <c r="O1436" s="3124" t="str">
        <f>'Part VIII-Threshold Criteria'!O342</f>
        <v>&lt;&lt; Select Designation &gt;&gt;</v>
      </c>
      <c r="P1436" s="3124">
        <f>'Part VIII-Threshold Criteria'!P342</f>
        <v>0</v>
      </c>
      <c r="Q1436" s="3124">
        <f>'Part VIII-Threshold Criteria'!Q342</f>
        <v>0</v>
      </c>
    </row>
    <row r="1437" spans="1:17">
      <c r="B1437" s="3355" t="s">
        <v>1274</v>
      </c>
      <c r="D1437" s="3355"/>
      <c r="E1437" s="3355"/>
      <c r="F1437" s="3355"/>
      <c r="G1437" s="3355"/>
      <c r="H1437" s="3354"/>
      <c r="I1437" s="3416"/>
      <c r="J1437" s="3416"/>
      <c r="K1437" s="3416"/>
      <c r="L1437" s="3318"/>
      <c r="M1437" s="3318"/>
      <c r="N1437" s="3318"/>
      <c r="O1437" s="3318"/>
      <c r="P1437" s="3318"/>
      <c r="Q1437" s="3318"/>
    </row>
    <row r="1438" spans="1:17" ht="303.75">
      <c r="A1438" s="3418" t="str">
        <f>'Part VIII-Threshold Criteria'!A344</f>
        <v>The development team of the Mill at Stone Valley was pre-determined to be Qualified in the pre-application phase.  A copy of DCA's qualification letter is included in Tab 19.  There have been no changes to the development team since pre-application.</v>
      </c>
      <c r="B1438" s="3418">
        <f>'Part VIII-Threshold Criteria'!B344</f>
        <v>0</v>
      </c>
      <c r="C1438" s="3418">
        <f>'Part VIII-Threshold Criteria'!C344</f>
        <v>0</v>
      </c>
      <c r="D1438" s="3418">
        <f>'Part VIII-Threshold Criteria'!D344</f>
        <v>0</v>
      </c>
      <c r="E1438" s="3418">
        <f>'Part VIII-Threshold Criteria'!E344</f>
        <v>0</v>
      </c>
      <c r="F1438" s="3418">
        <f>'Part VIII-Threshold Criteria'!F344</f>
        <v>0</v>
      </c>
      <c r="G1438" s="3418">
        <f>'Part VIII-Threshold Criteria'!G344</f>
        <v>0</v>
      </c>
      <c r="H1438" s="3418">
        <f>'Part VIII-Threshold Criteria'!H344</f>
        <v>0</v>
      </c>
      <c r="I1438" s="3418">
        <f>'Part VIII-Threshold Criteria'!I344</f>
        <v>0</v>
      </c>
      <c r="J1438" s="3418">
        <f>'Part VIII-Threshold Criteria'!J344</f>
        <v>0</v>
      </c>
      <c r="K1438" s="3418">
        <f>'Part VIII-Threshold Criteria'!K344</f>
        <v>0</v>
      </c>
      <c r="L1438" s="3418">
        <f>'Part VIII-Threshold Criteria'!L344</f>
        <v>0</v>
      </c>
      <c r="M1438" s="3418">
        <f>'Part VIII-Threshold Criteria'!M344</f>
        <v>0</v>
      </c>
      <c r="N1438" s="3418">
        <f>'Part VIII-Threshold Criteria'!N344</f>
        <v>0</v>
      </c>
      <c r="O1438" s="3418">
        <f>'Part VIII-Threshold Criteria'!O344</f>
        <v>0</v>
      </c>
      <c r="P1438" s="3418">
        <f>'Part VIII-Threshold Criteria'!P344</f>
        <v>0</v>
      </c>
      <c r="Q1438" s="3418">
        <f>'Part VIII-Threshold Criteria'!Q344</f>
        <v>0</v>
      </c>
    </row>
    <row r="1439" spans="1:17">
      <c r="B1439" s="3419" t="s">
        <v>1276</v>
      </c>
      <c r="C1439" s="3420"/>
      <c r="D1439" s="3421"/>
      <c r="E1439" s="3421"/>
      <c r="F1439" s="3421"/>
      <c r="G1439" s="3421"/>
      <c r="H1439" s="3421"/>
      <c r="I1439" s="3421"/>
      <c r="J1439" s="3421"/>
      <c r="K1439" s="3421"/>
      <c r="L1439" s="3421"/>
      <c r="M1439" s="3421"/>
      <c r="N1439" s="3421"/>
      <c r="O1439" s="3421"/>
      <c r="P1439" s="3421"/>
      <c r="Q1439" s="3421"/>
    </row>
    <row r="1440" spans="1:17">
      <c r="A1440" s="3418">
        <f>'Part VIII-Threshold Criteria'!A346</f>
        <v>0</v>
      </c>
      <c r="B1440" s="3418">
        <f>'Part VIII-Threshold Criteria'!B346</f>
        <v>0</v>
      </c>
      <c r="C1440" s="3418">
        <f>'Part VIII-Threshold Criteria'!C346</f>
        <v>0</v>
      </c>
      <c r="D1440" s="3418">
        <f>'Part VIII-Threshold Criteria'!D346</f>
        <v>0</v>
      </c>
      <c r="E1440" s="3418">
        <f>'Part VIII-Threshold Criteria'!E346</f>
        <v>0</v>
      </c>
      <c r="F1440" s="3418">
        <f>'Part VIII-Threshold Criteria'!F346</f>
        <v>0</v>
      </c>
      <c r="G1440" s="3418">
        <f>'Part VIII-Threshold Criteria'!G346</f>
        <v>0</v>
      </c>
      <c r="H1440" s="3418">
        <f>'Part VIII-Threshold Criteria'!H346</f>
        <v>0</v>
      </c>
      <c r="I1440" s="3418">
        <f>'Part VIII-Threshold Criteria'!I346</f>
        <v>0</v>
      </c>
      <c r="J1440" s="3418">
        <f>'Part VIII-Threshold Criteria'!J346</f>
        <v>0</v>
      </c>
      <c r="K1440" s="3418">
        <f>'Part VIII-Threshold Criteria'!K346</f>
        <v>0</v>
      </c>
      <c r="L1440" s="3418">
        <f>'Part VIII-Threshold Criteria'!L346</f>
        <v>0</v>
      </c>
      <c r="M1440" s="3418">
        <f>'Part VIII-Threshold Criteria'!M346</f>
        <v>0</v>
      </c>
      <c r="N1440" s="3418">
        <f>'Part VIII-Threshold Criteria'!N346</f>
        <v>0</v>
      </c>
      <c r="O1440" s="3418">
        <f>'Part VIII-Threshold Criteria'!O346</f>
        <v>0</v>
      </c>
      <c r="P1440" s="3418">
        <f>'Part VIII-Threshold Criteria'!P346</f>
        <v>0</v>
      </c>
      <c r="Q1440" s="3418">
        <f>'Part VIII-Threshold Criteria'!Q346</f>
        <v>0</v>
      </c>
    </row>
    <row r="1441" spans="1:17">
      <c r="A1441" s="3301" t="s">
        <v>1538</v>
      </c>
      <c r="B1441" s="3300" t="s">
        <v>1539</v>
      </c>
      <c r="C1441" s="3300"/>
      <c r="D1441" s="3415"/>
      <c r="E1441" s="3421"/>
      <c r="F1441" s="3421"/>
      <c r="G1441" s="3421"/>
      <c r="H1441" s="3421"/>
      <c r="I1441" s="3421"/>
      <c r="J1441" s="3421"/>
      <c r="K1441" s="3421"/>
      <c r="L1441" s="3421"/>
      <c r="M1441" s="3421"/>
      <c r="O1441" s="3417" t="s">
        <v>1273</v>
      </c>
      <c r="P1441" s="3326">
        <f>'Part VIII-Threshold Criteria'!P347</f>
        <v>0</v>
      </c>
      <c r="Q1441" s="3326">
        <f>'Part VIII-Threshold Criteria'!Q347</f>
        <v>0</v>
      </c>
    </row>
    <row r="1442" spans="1:17">
      <c r="A1442" s="3455" t="s">
        <v>110</v>
      </c>
      <c r="B1442" s="3443" t="s">
        <v>1540</v>
      </c>
      <c r="D1442" s="3443"/>
      <c r="E1442" s="3443"/>
      <c r="F1442" s="3443"/>
      <c r="G1442" s="3443"/>
      <c r="H1442" s="3443"/>
      <c r="I1442" s="3443"/>
      <c r="J1442" s="3443"/>
      <c r="K1442" s="3443"/>
      <c r="L1442" s="3443"/>
      <c r="M1442" s="3443"/>
      <c r="N1442" s="3443"/>
      <c r="O1442" s="3469" t="s">
        <v>110</v>
      </c>
      <c r="P1442" s="3424" t="str">
        <f>'Part VIII-Threshold Criteria'!P348</f>
        <v>Yes</v>
      </c>
      <c r="Q1442" s="3424">
        <f>'Part VIII-Threshold Criteria'!Q348</f>
        <v>0</v>
      </c>
    </row>
    <row r="1443" spans="1:17">
      <c r="A1443" s="3455" t="s">
        <v>121</v>
      </c>
      <c r="B1443" s="3443" t="s">
        <v>1541</v>
      </c>
      <c r="D1443" s="3443"/>
      <c r="E1443" s="3443"/>
      <c r="F1443" s="3443"/>
      <c r="G1443" s="3443"/>
      <c r="H1443" s="3443"/>
      <c r="I1443" s="3443"/>
      <c r="J1443" s="3443"/>
      <c r="K1443" s="3443"/>
      <c r="L1443" s="3443"/>
      <c r="M1443" s="3443"/>
      <c r="N1443" s="3443"/>
      <c r="O1443" s="3469" t="s">
        <v>121</v>
      </c>
      <c r="P1443" s="3424" t="str">
        <f>'Part VIII-Threshold Criteria'!P349</f>
        <v>No</v>
      </c>
      <c r="Q1443" s="3424">
        <f>'Part VIII-Threshold Criteria'!Q349</f>
        <v>0</v>
      </c>
    </row>
    <row r="1444" spans="1:17" ht="12.75" customHeight="1">
      <c r="A1444" s="3455" t="s">
        <v>123</v>
      </c>
      <c r="B1444" s="3418" t="s">
        <v>1542</v>
      </c>
      <c r="C1444" s="3418"/>
      <c r="D1444" s="3418"/>
      <c r="E1444" s="3418"/>
      <c r="F1444" s="3418"/>
      <c r="G1444" s="3418"/>
      <c r="H1444" s="3418"/>
      <c r="I1444" s="3418"/>
      <c r="J1444" s="3418"/>
      <c r="K1444" s="3418"/>
      <c r="L1444" s="3418"/>
      <c r="M1444" s="3418"/>
      <c r="N1444" s="3418"/>
      <c r="O1444" s="3469" t="s">
        <v>123</v>
      </c>
      <c r="P1444" s="3424" t="str">
        <f>'Part VIII-Threshold Criteria'!P350</f>
        <v>Yes</v>
      </c>
      <c r="Q1444" s="3424">
        <f>'Part VIII-Threshold Criteria'!Q350</f>
        <v>0</v>
      </c>
    </row>
    <row r="1445" spans="1:17">
      <c r="B1445" s="3355" t="s">
        <v>1274</v>
      </c>
      <c r="D1445" s="3355"/>
      <c r="E1445" s="3355"/>
      <c r="F1445" s="3355"/>
      <c r="G1445" s="3355"/>
      <c r="H1445" s="3354"/>
      <c r="I1445" s="3416"/>
      <c r="J1445" s="3416"/>
      <c r="K1445" s="3416"/>
      <c r="L1445" s="3318"/>
      <c r="M1445" s="3318"/>
      <c r="N1445" s="3318"/>
      <c r="O1445" s="3318"/>
      <c r="P1445" s="3318"/>
      <c r="Q1445" s="3318"/>
    </row>
    <row r="1446" spans="1:17" ht="112.5">
      <c r="A1446" s="3418" t="str">
        <f>'Part VIII-Threshold Criteria'!A352</f>
        <v>A compliance history summary was submitted during the pre-application phase.</v>
      </c>
      <c r="B1446" s="3418">
        <f>'Part VIII-Threshold Criteria'!B352</f>
        <v>0</v>
      </c>
      <c r="C1446" s="3418">
        <f>'Part VIII-Threshold Criteria'!C352</f>
        <v>0</v>
      </c>
      <c r="D1446" s="3418">
        <f>'Part VIII-Threshold Criteria'!D352</f>
        <v>0</v>
      </c>
      <c r="E1446" s="3418">
        <f>'Part VIII-Threshold Criteria'!E352</f>
        <v>0</v>
      </c>
      <c r="F1446" s="3418">
        <f>'Part VIII-Threshold Criteria'!F352</f>
        <v>0</v>
      </c>
      <c r="G1446" s="3418">
        <f>'Part VIII-Threshold Criteria'!G352</f>
        <v>0</v>
      </c>
      <c r="H1446" s="3418">
        <f>'Part VIII-Threshold Criteria'!H352</f>
        <v>0</v>
      </c>
      <c r="I1446" s="3418">
        <f>'Part VIII-Threshold Criteria'!I352</f>
        <v>0</v>
      </c>
      <c r="J1446" s="3418">
        <f>'Part VIII-Threshold Criteria'!J352</f>
        <v>0</v>
      </c>
      <c r="K1446" s="3418">
        <f>'Part VIII-Threshold Criteria'!K352</f>
        <v>0</v>
      </c>
      <c r="L1446" s="3418">
        <f>'Part VIII-Threshold Criteria'!L352</f>
        <v>0</v>
      </c>
      <c r="M1446" s="3418">
        <f>'Part VIII-Threshold Criteria'!M352</f>
        <v>0</v>
      </c>
      <c r="N1446" s="3418">
        <f>'Part VIII-Threshold Criteria'!N352</f>
        <v>0</v>
      </c>
      <c r="O1446" s="3418">
        <f>'Part VIII-Threshold Criteria'!O352</f>
        <v>0</v>
      </c>
      <c r="P1446" s="3418">
        <f>'Part VIII-Threshold Criteria'!P352</f>
        <v>0</v>
      </c>
      <c r="Q1446" s="3418">
        <f>'Part VIII-Threshold Criteria'!Q352</f>
        <v>0</v>
      </c>
    </row>
    <row r="1447" spans="1:17">
      <c r="B1447" s="3419" t="s">
        <v>1276</v>
      </c>
      <c r="C1447" s="3420"/>
      <c r="D1447" s="3421"/>
      <c r="E1447" s="3421"/>
      <c r="F1447" s="3421"/>
      <c r="G1447" s="3421"/>
      <c r="H1447" s="3421"/>
      <c r="I1447" s="3421"/>
      <c r="J1447" s="3421"/>
      <c r="K1447" s="3421"/>
      <c r="L1447" s="3421"/>
      <c r="M1447" s="3421"/>
      <c r="N1447" s="3421"/>
      <c r="O1447" s="3421"/>
      <c r="P1447" s="3421"/>
      <c r="Q1447" s="3421"/>
    </row>
    <row r="1448" spans="1:17">
      <c r="A1448" s="3418">
        <f>'Part VIII-Threshold Criteria'!A354</f>
        <v>0</v>
      </c>
      <c r="B1448" s="3418">
        <f>'Part VIII-Threshold Criteria'!B354</f>
        <v>0</v>
      </c>
      <c r="C1448" s="3418">
        <f>'Part VIII-Threshold Criteria'!C354</f>
        <v>0</v>
      </c>
      <c r="D1448" s="3418">
        <f>'Part VIII-Threshold Criteria'!D354</f>
        <v>0</v>
      </c>
      <c r="E1448" s="3418">
        <f>'Part VIII-Threshold Criteria'!E354</f>
        <v>0</v>
      </c>
      <c r="F1448" s="3418">
        <f>'Part VIII-Threshold Criteria'!F354</f>
        <v>0</v>
      </c>
      <c r="G1448" s="3418">
        <f>'Part VIII-Threshold Criteria'!G354</f>
        <v>0</v>
      </c>
      <c r="H1448" s="3418">
        <f>'Part VIII-Threshold Criteria'!H354</f>
        <v>0</v>
      </c>
      <c r="I1448" s="3418">
        <f>'Part VIII-Threshold Criteria'!I354</f>
        <v>0</v>
      </c>
      <c r="J1448" s="3418">
        <f>'Part VIII-Threshold Criteria'!J354</f>
        <v>0</v>
      </c>
      <c r="K1448" s="3418">
        <f>'Part VIII-Threshold Criteria'!K354</f>
        <v>0</v>
      </c>
      <c r="L1448" s="3418">
        <f>'Part VIII-Threshold Criteria'!L354</f>
        <v>0</v>
      </c>
      <c r="M1448" s="3418">
        <f>'Part VIII-Threshold Criteria'!M354</f>
        <v>0</v>
      </c>
      <c r="N1448" s="3418">
        <f>'Part VIII-Threshold Criteria'!N354</f>
        <v>0</v>
      </c>
      <c r="O1448" s="3418">
        <f>'Part VIII-Threshold Criteria'!O354</f>
        <v>0</v>
      </c>
      <c r="P1448" s="3418">
        <f>'Part VIII-Threshold Criteria'!P354</f>
        <v>0</v>
      </c>
      <c r="Q1448" s="3418">
        <f>'Part VIII-Threshold Criteria'!Q354</f>
        <v>0</v>
      </c>
    </row>
    <row r="1449" spans="1:17">
      <c r="A1449" s="3318"/>
      <c r="B1449" s="3416"/>
      <c r="C1449" s="3421"/>
      <c r="D1449" s="3421"/>
      <c r="E1449" s="3421"/>
      <c r="F1449" s="3421"/>
      <c r="G1449" s="3421"/>
      <c r="H1449" s="3421"/>
      <c r="I1449" s="3421"/>
      <c r="J1449" s="3421"/>
      <c r="K1449" s="3421"/>
      <c r="L1449" s="3421"/>
      <c r="M1449" s="3421"/>
      <c r="N1449" s="3421"/>
      <c r="O1449" s="3421"/>
      <c r="P1449" s="3421"/>
      <c r="Q1449" s="3318"/>
    </row>
    <row r="1450" spans="1:17">
      <c r="A1450" s="3301" t="s">
        <v>1543</v>
      </c>
      <c r="B1450" s="3300" t="s">
        <v>1544</v>
      </c>
      <c r="C1450" s="3300"/>
      <c r="D1450" s="3300"/>
      <c r="E1450" s="3300"/>
      <c r="F1450" s="3300"/>
      <c r="G1450" s="3300"/>
      <c r="H1450" s="3421"/>
      <c r="I1450" s="3421"/>
      <c r="J1450" s="3421"/>
      <c r="K1450" s="3421"/>
      <c r="L1450" s="3421"/>
      <c r="M1450" s="3421"/>
      <c r="O1450" s="3417" t="s">
        <v>1273</v>
      </c>
      <c r="P1450" s="3326">
        <f>'Part VIII-Threshold Criteria'!P356</f>
        <v>0</v>
      </c>
      <c r="Q1450" s="3326">
        <f>'Part VIII-Threshold Criteria'!Q356</f>
        <v>0</v>
      </c>
    </row>
    <row r="1451" spans="1:17">
      <c r="A1451" s="3457" t="s">
        <v>110</v>
      </c>
      <c r="B1451" s="358" t="s">
        <v>1545</v>
      </c>
      <c r="D1451" s="3316"/>
      <c r="E1451" s="3316"/>
      <c r="F1451" s="3316"/>
      <c r="G1451" s="3316"/>
      <c r="H1451" s="3459" t="s">
        <v>110</v>
      </c>
      <c r="I1451" s="3415">
        <f>'Part VIII-Threshold Criteria'!I357</f>
        <v>0</v>
      </c>
      <c r="J1451" s="3415">
        <f>'Part VIII-Threshold Criteria'!J357</f>
        <v>0</v>
      </c>
      <c r="K1451" s="3415">
        <f>'Part VIII-Threshold Criteria'!K357</f>
        <v>0</v>
      </c>
      <c r="L1451" s="3415">
        <f>'Part VIII-Threshold Criteria'!L357</f>
        <v>0</v>
      </c>
      <c r="M1451" s="3415">
        <f>'Part VIII-Threshold Criteria'!M357</f>
        <v>0</v>
      </c>
      <c r="N1451" s="3415">
        <f>'Part VIII-Threshold Criteria'!N357</f>
        <v>0</v>
      </c>
      <c r="O1451" s="3415">
        <f>'Part VIII-Threshold Criteria'!O357</f>
        <v>0</v>
      </c>
      <c r="P1451" s="3415">
        <f>'Part VIII-Threshold Criteria'!P357</f>
        <v>0</v>
      </c>
      <c r="Q1451" s="3424">
        <f>'Part VIII-Threshold Criteria'!Q357</f>
        <v>0</v>
      </c>
    </row>
    <row r="1452" spans="1:17">
      <c r="A1452" s="3455" t="s">
        <v>121</v>
      </c>
      <c r="B1452" s="358" t="s">
        <v>1546</v>
      </c>
      <c r="D1452" s="3316"/>
      <c r="E1452" s="3316"/>
      <c r="F1452" s="3316"/>
      <c r="G1452" s="3316"/>
      <c r="H1452" s="3469" t="s">
        <v>121</v>
      </c>
      <c r="I1452" s="3415">
        <f>'Part VIII-Threshold Criteria'!I358</f>
        <v>0</v>
      </c>
      <c r="J1452" s="3415">
        <f>'Part VIII-Threshold Criteria'!J358</f>
        <v>0</v>
      </c>
      <c r="K1452" s="3415">
        <f>'Part VIII-Threshold Criteria'!K358</f>
        <v>0</v>
      </c>
      <c r="L1452" s="3415">
        <f>'Part VIII-Threshold Criteria'!L358</f>
        <v>0</v>
      </c>
      <c r="M1452" s="3415">
        <f>'Part VIII-Threshold Criteria'!M358</f>
        <v>0</v>
      </c>
      <c r="N1452" s="3415">
        <f>'Part VIII-Threshold Criteria'!N358</f>
        <v>0</v>
      </c>
      <c r="O1452" s="3415">
        <f>'Part VIII-Threshold Criteria'!O358</f>
        <v>0</v>
      </c>
      <c r="P1452" s="3415">
        <f>'Part VIII-Threshold Criteria'!P358</f>
        <v>0</v>
      </c>
      <c r="Q1452" s="3424">
        <f>'Part VIII-Threshold Criteria'!Q358</f>
        <v>0</v>
      </c>
    </row>
    <row r="1453" spans="1:17" ht="12.75" customHeight="1">
      <c r="A1453" s="3455" t="s">
        <v>123</v>
      </c>
      <c r="B1453" s="3383" t="s">
        <v>1547</v>
      </c>
      <c r="C1453" s="3383"/>
      <c r="D1453" s="3383"/>
      <c r="E1453" s="3383"/>
      <c r="F1453" s="3383"/>
      <c r="G1453" s="3383"/>
      <c r="H1453" s="3383"/>
      <c r="I1453" s="3383"/>
      <c r="J1453" s="3383"/>
      <c r="K1453" s="3383"/>
      <c r="L1453" s="3383"/>
      <c r="M1453" s="3383"/>
      <c r="N1453" s="3383"/>
      <c r="O1453" s="3469" t="s">
        <v>123</v>
      </c>
      <c r="P1453" s="3470">
        <f>'Part VIII-Threshold Criteria'!P359</f>
        <v>0</v>
      </c>
      <c r="Q1453" s="3470">
        <f>'Part VIII-Threshold Criteria'!Q359</f>
        <v>0</v>
      </c>
    </row>
    <row r="1454" spans="1:17" ht="12.75" customHeight="1">
      <c r="A1454" s="3455" t="s">
        <v>126</v>
      </c>
      <c r="B1454" s="3418" t="s">
        <v>1548</v>
      </c>
      <c r="C1454" s="3418"/>
      <c r="D1454" s="3418"/>
      <c r="E1454" s="3418"/>
      <c r="F1454" s="3418"/>
      <c r="G1454" s="3418"/>
      <c r="H1454" s="3418"/>
      <c r="I1454" s="3418"/>
      <c r="J1454" s="3418"/>
      <c r="K1454" s="3418"/>
      <c r="L1454" s="3418"/>
      <c r="M1454" s="3418"/>
      <c r="N1454" s="3418"/>
      <c r="O1454" s="3459" t="s">
        <v>126</v>
      </c>
      <c r="P1454" s="3470">
        <f>'Part VIII-Threshold Criteria'!P360</f>
        <v>0</v>
      </c>
      <c r="Q1454" s="3470">
        <f>'Part VIII-Threshold Criteria'!Q360</f>
        <v>0</v>
      </c>
    </row>
    <row r="1455" spans="1:17">
      <c r="A1455" s="3455" t="s">
        <v>140</v>
      </c>
      <c r="B1455" s="358" t="s">
        <v>1549</v>
      </c>
      <c r="D1455" s="358"/>
      <c r="E1455" s="358"/>
      <c r="F1455" s="358"/>
      <c r="G1455" s="358"/>
      <c r="H1455" s="358"/>
      <c r="I1455" s="358"/>
      <c r="J1455" s="358"/>
      <c r="K1455" s="358"/>
      <c r="L1455" s="358"/>
      <c r="M1455" s="358"/>
      <c r="O1455" s="3469" t="s">
        <v>140</v>
      </c>
      <c r="P1455" s="3424">
        <f>'Part VIII-Threshold Criteria'!P361</f>
        <v>0</v>
      </c>
      <c r="Q1455" s="3424">
        <f>'Part VIII-Threshold Criteria'!Q361</f>
        <v>0</v>
      </c>
    </row>
    <row r="1456" spans="1:17" ht="12.75" customHeight="1">
      <c r="A1456" s="3455" t="s">
        <v>147</v>
      </c>
      <c r="B1456" s="3418" t="s">
        <v>1550</v>
      </c>
      <c r="C1456" s="3418"/>
      <c r="D1456" s="3418"/>
      <c r="E1456" s="3418"/>
      <c r="F1456" s="3418"/>
      <c r="G1456" s="3418"/>
      <c r="H1456" s="3418"/>
      <c r="I1456" s="3418"/>
      <c r="J1456" s="3418"/>
      <c r="K1456" s="3418"/>
      <c r="L1456" s="3418"/>
      <c r="M1456" s="3418"/>
      <c r="N1456" s="3418"/>
      <c r="O1456" s="3469" t="s">
        <v>147</v>
      </c>
      <c r="P1456" s="3470">
        <f>'Part VIII-Threshold Criteria'!P362</f>
        <v>0</v>
      </c>
      <c r="Q1456" s="3470">
        <f>'Part VIII-Threshold Criteria'!Q362</f>
        <v>0</v>
      </c>
    </row>
    <row r="1457" spans="1:17">
      <c r="A1457" s="3455" t="s">
        <v>1327</v>
      </c>
      <c r="B1457" s="3443" t="s">
        <v>1551</v>
      </c>
      <c r="C1457" s="3435"/>
      <c r="D1457" s="3418"/>
      <c r="E1457" s="3418"/>
      <c r="F1457" s="3418"/>
      <c r="G1457" s="3418"/>
      <c r="H1457" s="3418"/>
      <c r="I1457" s="3418"/>
      <c r="J1457" s="3418"/>
      <c r="K1457" s="3418"/>
      <c r="L1457" s="3418"/>
      <c r="M1457" s="3418"/>
      <c r="N1457" s="3418"/>
      <c r="O1457" s="3469" t="s">
        <v>1327</v>
      </c>
      <c r="P1457" s="3470">
        <f>'Part VIII-Threshold Criteria'!P363</f>
        <v>0</v>
      </c>
      <c r="Q1457" s="3470">
        <f>'Part VIII-Threshold Criteria'!Q363</f>
        <v>0</v>
      </c>
    </row>
    <row r="1458" spans="1:17">
      <c r="A1458" s="3435"/>
      <c r="B1458" s="3435"/>
      <c r="C1458" s="3478" t="s">
        <v>4802</v>
      </c>
      <c r="D1458" s="3435"/>
      <c r="E1458" s="3421"/>
      <c r="F1458" s="3421"/>
      <c r="G1458" s="3421"/>
      <c r="H1458" s="3421"/>
      <c r="I1458" s="3421"/>
      <c r="J1458" s="3421"/>
      <c r="K1458" s="3421"/>
      <c r="L1458" s="3421"/>
      <c r="M1458" s="3421"/>
      <c r="N1458" s="3421"/>
      <c r="O1458" s="3435"/>
      <c r="P1458" s="3470">
        <f>'Part VIII-Threshold Criteria'!P364</f>
        <v>0</v>
      </c>
      <c r="Q1458" s="3470">
        <f>'Part VIII-Threshold Criteria'!Q364</f>
        <v>0</v>
      </c>
    </row>
    <row r="1459" spans="1:17" ht="12.75" customHeight="1">
      <c r="A1459" s="3455" t="s">
        <v>1329</v>
      </c>
      <c r="B1459" s="3418" t="s">
        <v>1553</v>
      </c>
      <c r="C1459" s="3418"/>
      <c r="D1459" s="3418"/>
      <c r="E1459" s="3418"/>
      <c r="F1459" s="3418"/>
      <c r="G1459" s="3418"/>
      <c r="H1459" s="3418"/>
      <c r="I1459" s="3418"/>
      <c r="J1459" s="3418"/>
      <c r="K1459" s="3418"/>
      <c r="L1459" s="3418"/>
      <c r="M1459" s="3418"/>
      <c r="N1459" s="3418"/>
      <c r="O1459" s="3469" t="s">
        <v>1329</v>
      </c>
      <c r="P1459" s="3470">
        <f>'Part VIII-Threshold Criteria'!P365</f>
        <v>0</v>
      </c>
      <c r="Q1459" s="3470">
        <f>'Part VIII-Threshold Criteria'!Q365</f>
        <v>0</v>
      </c>
    </row>
    <row r="1460" spans="1:17" ht="12.75" customHeight="1">
      <c r="A1460" s="3455" t="s">
        <v>9</v>
      </c>
      <c r="B1460" s="3418" t="s">
        <v>1554</v>
      </c>
      <c r="C1460" s="3418"/>
      <c r="D1460" s="3418"/>
      <c r="E1460" s="3418"/>
      <c r="F1460" s="3418"/>
      <c r="G1460" s="3418"/>
      <c r="H1460" s="3418"/>
      <c r="I1460" s="3418"/>
      <c r="J1460" s="3418"/>
      <c r="K1460" s="3418"/>
      <c r="L1460" s="3418"/>
      <c r="M1460" s="3418"/>
      <c r="N1460" s="3418"/>
      <c r="O1460" s="3469" t="s">
        <v>9</v>
      </c>
      <c r="P1460" s="3470">
        <f>'Part VIII-Threshold Criteria'!P366</f>
        <v>0</v>
      </c>
      <c r="Q1460" s="3470">
        <f>'Part VIII-Threshold Criteria'!Q366</f>
        <v>0</v>
      </c>
    </row>
    <row r="1461" spans="1:17">
      <c r="B1461" s="3355" t="s">
        <v>1274</v>
      </c>
      <c r="D1461" s="3355"/>
      <c r="E1461" s="3355"/>
      <c r="F1461" s="3355"/>
      <c r="G1461" s="3355"/>
      <c r="H1461" s="3354"/>
      <c r="I1461" s="3416"/>
      <c r="J1461" s="3416"/>
      <c r="K1461" s="3416"/>
      <c r="L1461" s="3318"/>
      <c r="M1461" s="3318"/>
      <c r="N1461" s="3318"/>
      <c r="O1461" s="3318"/>
      <c r="P1461" s="3318"/>
      <c r="Q1461" s="3318"/>
    </row>
    <row r="1462" spans="1:17" ht="112.5">
      <c r="A1462" s="3418" t="str">
        <f>'Part VIII-Threshold Criteria'!A368</f>
        <v>As the Mill at Stone Valley is not a nonprofit-sponsored development, this section is not applicable.</v>
      </c>
      <c r="B1462" s="3418">
        <f>'Part VIII-Threshold Criteria'!B368</f>
        <v>0</v>
      </c>
      <c r="C1462" s="3418">
        <f>'Part VIII-Threshold Criteria'!C368</f>
        <v>0</v>
      </c>
      <c r="D1462" s="3418">
        <f>'Part VIII-Threshold Criteria'!D368</f>
        <v>0</v>
      </c>
      <c r="E1462" s="3418">
        <f>'Part VIII-Threshold Criteria'!E368</f>
        <v>0</v>
      </c>
      <c r="F1462" s="3418">
        <f>'Part VIII-Threshold Criteria'!F368</f>
        <v>0</v>
      </c>
      <c r="G1462" s="3418">
        <f>'Part VIII-Threshold Criteria'!G368</f>
        <v>0</v>
      </c>
      <c r="H1462" s="3418">
        <f>'Part VIII-Threshold Criteria'!H368</f>
        <v>0</v>
      </c>
      <c r="I1462" s="3418">
        <f>'Part VIII-Threshold Criteria'!I368</f>
        <v>0</v>
      </c>
      <c r="J1462" s="3418">
        <f>'Part VIII-Threshold Criteria'!J368</f>
        <v>0</v>
      </c>
      <c r="K1462" s="3418">
        <f>'Part VIII-Threshold Criteria'!K368</f>
        <v>0</v>
      </c>
      <c r="L1462" s="3418">
        <f>'Part VIII-Threshold Criteria'!L368</f>
        <v>0</v>
      </c>
      <c r="M1462" s="3418">
        <f>'Part VIII-Threshold Criteria'!M368</f>
        <v>0</v>
      </c>
      <c r="N1462" s="3418">
        <f>'Part VIII-Threshold Criteria'!N368</f>
        <v>0</v>
      </c>
      <c r="O1462" s="3418">
        <f>'Part VIII-Threshold Criteria'!O368</f>
        <v>0</v>
      </c>
      <c r="P1462" s="3418">
        <f>'Part VIII-Threshold Criteria'!P368</f>
        <v>0</v>
      </c>
      <c r="Q1462" s="3418">
        <f>'Part VIII-Threshold Criteria'!Q368</f>
        <v>0</v>
      </c>
    </row>
    <row r="1463" spans="1:17">
      <c r="B1463" s="3419" t="s">
        <v>1276</v>
      </c>
      <c r="C1463" s="3420"/>
      <c r="D1463" s="3421"/>
      <c r="E1463" s="3421"/>
      <c r="F1463" s="3421"/>
      <c r="G1463" s="3421"/>
      <c r="H1463" s="3421"/>
      <c r="I1463" s="3421"/>
      <c r="J1463" s="3421"/>
      <c r="K1463" s="3421"/>
      <c r="L1463" s="3421"/>
      <c r="M1463" s="3421"/>
      <c r="N1463" s="3421"/>
      <c r="O1463" s="3421"/>
      <c r="P1463" s="3421"/>
      <c r="Q1463" s="3421"/>
    </row>
    <row r="1464" spans="1:17">
      <c r="A1464" s="3418">
        <f>'Part VIII-Threshold Criteria'!A370</f>
        <v>0</v>
      </c>
      <c r="B1464" s="3418">
        <f>'Part VIII-Threshold Criteria'!B370</f>
        <v>0</v>
      </c>
      <c r="C1464" s="3418">
        <f>'Part VIII-Threshold Criteria'!C370</f>
        <v>0</v>
      </c>
      <c r="D1464" s="3418">
        <f>'Part VIII-Threshold Criteria'!D370</f>
        <v>0</v>
      </c>
      <c r="E1464" s="3418">
        <f>'Part VIII-Threshold Criteria'!E370</f>
        <v>0</v>
      </c>
      <c r="F1464" s="3418">
        <f>'Part VIII-Threshold Criteria'!F370</f>
        <v>0</v>
      </c>
      <c r="G1464" s="3418">
        <f>'Part VIII-Threshold Criteria'!G370</f>
        <v>0</v>
      </c>
      <c r="H1464" s="3418">
        <f>'Part VIII-Threshold Criteria'!H370</f>
        <v>0</v>
      </c>
      <c r="I1464" s="3418">
        <f>'Part VIII-Threshold Criteria'!I370</f>
        <v>0</v>
      </c>
      <c r="J1464" s="3418">
        <f>'Part VIII-Threshold Criteria'!J370</f>
        <v>0</v>
      </c>
      <c r="K1464" s="3418">
        <f>'Part VIII-Threshold Criteria'!K370</f>
        <v>0</v>
      </c>
      <c r="L1464" s="3418">
        <f>'Part VIII-Threshold Criteria'!L370</f>
        <v>0</v>
      </c>
      <c r="M1464" s="3418">
        <f>'Part VIII-Threshold Criteria'!M370</f>
        <v>0</v>
      </c>
      <c r="N1464" s="3418">
        <f>'Part VIII-Threshold Criteria'!N370</f>
        <v>0</v>
      </c>
      <c r="O1464" s="3418">
        <f>'Part VIII-Threshold Criteria'!O370</f>
        <v>0</v>
      </c>
      <c r="P1464" s="3418">
        <f>'Part VIII-Threshold Criteria'!P370</f>
        <v>0</v>
      </c>
      <c r="Q1464" s="3418">
        <f>'Part VIII-Threshold Criteria'!Q370</f>
        <v>0</v>
      </c>
    </row>
    <row r="1465" spans="1:17">
      <c r="A1465" s="3318"/>
      <c r="B1465" s="3416"/>
      <c r="C1465" s="3421"/>
      <c r="D1465" s="3421"/>
      <c r="E1465" s="3421"/>
      <c r="F1465" s="3421"/>
      <c r="G1465" s="3421"/>
      <c r="H1465" s="3421"/>
      <c r="I1465" s="3421"/>
      <c r="J1465" s="3421"/>
      <c r="K1465" s="3421"/>
      <c r="L1465" s="3421"/>
      <c r="M1465" s="3421"/>
      <c r="Q1465" s="3318"/>
    </row>
    <row r="1466" spans="1:17">
      <c r="A1466" s="3301" t="s">
        <v>1555</v>
      </c>
      <c r="B1466" s="3300" t="s">
        <v>1556</v>
      </c>
      <c r="C1466" s="3300"/>
      <c r="D1466" s="3300"/>
      <c r="E1466" s="3300"/>
      <c r="F1466" s="3300"/>
      <c r="G1466" s="3300"/>
      <c r="H1466" s="3421"/>
      <c r="I1466" s="3421"/>
      <c r="J1466" s="3421"/>
      <c r="O1466" s="3417" t="s">
        <v>1273</v>
      </c>
      <c r="P1466" s="3326">
        <f>'Part VIII-Threshold Criteria'!P372</f>
        <v>0</v>
      </c>
      <c r="Q1466" s="3326">
        <f>'Part VIII-Threshold Criteria'!Q372</f>
        <v>0</v>
      </c>
    </row>
    <row r="1467" spans="1:17">
      <c r="A1467" s="3457" t="s">
        <v>110</v>
      </c>
      <c r="B1467" s="3415" t="s">
        <v>1557</v>
      </c>
      <c r="C1467" s="3111"/>
      <c r="D1467" s="358"/>
      <c r="E1467" s="358"/>
      <c r="F1467" s="358"/>
      <c r="G1467" s="358"/>
      <c r="H1467" s="358"/>
      <c r="I1467" s="358"/>
      <c r="J1467" s="358"/>
      <c r="K1467" s="358"/>
      <c r="L1467" s="358"/>
      <c r="M1467" s="358"/>
      <c r="N1467" s="358"/>
      <c r="O1467" s="358"/>
      <c r="P1467" s="358"/>
      <c r="Q1467" s="358"/>
    </row>
    <row r="1468" spans="1:17">
      <c r="A1468" s="3457"/>
      <c r="B1468" s="358" t="s">
        <v>1303</v>
      </c>
      <c r="C1468" s="358" t="s">
        <v>1558</v>
      </c>
      <c r="D1468" s="358"/>
      <c r="E1468" s="358"/>
      <c r="F1468" s="358"/>
      <c r="G1468" s="3415">
        <f>'Part VIII-Threshold Criteria'!G374</f>
        <v>0</v>
      </c>
      <c r="H1468" s="3415">
        <f>'Part VIII-Threshold Criteria'!H374</f>
        <v>0</v>
      </c>
      <c r="I1468" s="3415">
        <f>'Part VIII-Threshold Criteria'!I374</f>
        <v>0</v>
      </c>
      <c r="J1468" s="3416" t="s">
        <v>1559</v>
      </c>
      <c r="K1468" s="3415">
        <f>'Part VIII-Threshold Criteria'!K374</f>
        <v>0</v>
      </c>
      <c r="L1468" s="3415">
        <f>'Part VIII-Threshold Criteria'!L374</f>
        <v>0</v>
      </c>
      <c r="M1468" s="3415">
        <f>'Part VIII-Threshold Criteria'!M374</f>
        <v>0</v>
      </c>
      <c r="N1468" s="358" t="s">
        <v>1560</v>
      </c>
      <c r="O1468" s="358"/>
      <c r="P1468" s="3415">
        <f>'Part VIII-Threshold Criteria'!P374</f>
        <v>0</v>
      </c>
      <c r="Q1468" s="3415">
        <f>'Part VIII-Threshold Criteria'!Q374</f>
        <v>0</v>
      </c>
    </row>
    <row r="1469" spans="1:17">
      <c r="A1469" s="3111"/>
      <c r="B1469" s="358" t="s">
        <v>1306</v>
      </c>
      <c r="C1469" s="358" t="s">
        <v>1561</v>
      </c>
      <c r="D1469" s="3111"/>
      <c r="E1469" s="3111"/>
      <c r="F1469" s="3111"/>
      <c r="G1469" s="3111"/>
      <c r="H1469" s="3111"/>
      <c r="I1469" s="3459" t="s">
        <v>1306</v>
      </c>
      <c r="J1469" s="3494">
        <f>'Part VIII-Threshold Criteria'!J375</f>
        <v>0</v>
      </c>
      <c r="K1469" s="3494">
        <f>'Part VIII-Threshold Criteria'!K375</f>
        <v>0</v>
      </c>
      <c r="L1469" s="3111"/>
      <c r="M1469" s="3111"/>
      <c r="N1469" s="3111"/>
      <c r="O1469" s="3111"/>
      <c r="P1469" s="3111"/>
      <c r="Q1469" s="3111"/>
    </row>
    <row r="1470" spans="1:17">
      <c r="A1470" s="3457"/>
      <c r="B1470" s="358" t="s">
        <v>1308</v>
      </c>
      <c r="C1470" s="358" t="s">
        <v>1562</v>
      </c>
      <c r="D1470" s="3310"/>
      <c r="E1470" s="3383"/>
      <c r="F1470" s="3460" t="str">
        <f>'Part VIII-Threshold Criteria'!F376</f>
        <v>Rural</v>
      </c>
      <c r="G1470" s="3460">
        <f>'Part VIII-Threshold Criteria'!G376</f>
        <v>0</v>
      </c>
      <c r="H1470" s="3348" t="s">
        <v>1563</v>
      </c>
      <c r="I1470" s="3383"/>
      <c r="J1470" s="3383"/>
      <c r="K1470" s="3383"/>
      <c r="L1470" s="3383"/>
      <c r="M1470" s="3383"/>
      <c r="N1470" s="3383"/>
      <c r="O1470" s="3459" t="s">
        <v>1308</v>
      </c>
      <c r="P1470" s="3424">
        <f>'Part VIII-Threshold Criteria'!P376</f>
        <v>0</v>
      </c>
      <c r="Q1470" s="3424">
        <f>'Part VIII-Threshold Criteria'!Q376</f>
        <v>0</v>
      </c>
    </row>
    <row r="1471" spans="1:17">
      <c r="A1471" s="3457"/>
      <c r="B1471" s="358" t="s">
        <v>1310</v>
      </c>
      <c r="C1471" s="358" t="s">
        <v>1564</v>
      </c>
      <c r="D1471" s="3111"/>
      <c r="E1471" s="3383"/>
      <c r="F1471" s="3383"/>
      <c r="G1471" s="3383"/>
      <c r="H1471" s="3383"/>
      <c r="I1471" s="3383"/>
      <c r="J1471" s="3495">
        <f>'Part VIII-Threshold Criteria'!J377</f>
        <v>0</v>
      </c>
      <c r="K1471" s="3495">
        <f>'Part VIII-Threshold Criteria'!K377</f>
        <v>0</v>
      </c>
      <c r="L1471" s="3495">
        <f>'Part VIII-Threshold Criteria'!L377</f>
        <v>0</v>
      </c>
      <c r="M1471" s="3495">
        <f>'Part VIII-Threshold Criteria'!M377</f>
        <v>0</v>
      </c>
      <c r="N1471" s="358" t="s">
        <v>1565</v>
      </c>
      <c r="O1471" s="3459"/>
      <c r="P1471" s="3424">
        <f>'Part VIII-Threshold Criteria'!P377</f>
        <v>0</v>
      </c>
      <c r="Q1471" s="3424">
        <f>'Part VIII-Threshold Criteria'!Q377</f>
        <v>0</v>
      </c>
    </row>
    <row r="1472" spans="1:17">
      <c r="A1472" s="3457"/>
      <c r="B1472" s="358" t="s">
        <v>1323</v>
      </c>
      <c r="C1472" s="358" t="s">
        <v>1566</v>
      </c>
      <c r="D1472" s="3111"/>
      <c r="E1472" s="358"/>
      <c r="F1472" s="3495">
        <f>'Part VIII-Threshold Criteria'!F378</f>
        <v>850000</v>
      </c>
      <c r="G1472" s="3495">
        <f>'Part VIII-Threshold Criteria'!G378</f>
        <v>0</v>
      </c>
      <c r="H1472" s="358" t="s">
        <v>1567</v>
      </c>
      <c r="I1472" s="358"/>
      <c r="J1472" s="3415" t="str">
        <f>IF(F1472&gt;'DCA Underwriting Assumptions'!$Q$129, "Request exceeds DCA per project maximum for set aside!!!","")</f>
        <v>Request exceeds DCA per project maximum for set aside!!!</v>
      </c>
      <c r="K1472" s="358"/>
      <c r="L1472" s="358"/>
      <c r="M1472" s="3111"/>
      <c r="N1472" s="3111"/>
      <c r="O1472" s="3459" t="s">
        <v>1323</v>
      </c>
      <c r="P1472" s="3424">
        <f>'Part VIII-Threshold Criteria'!P378</f>
        <v>0</v>
      </c>
      <c r="Q1472" s="3424">
        <f>'Part VIII-Threshold Criteria'!Q378</f>
        <v>0</v>
      </c>
    </row>
    <row r="1473" spans="1:17">
      <c r="A1473" s="3457"/>
      <c r="B1473" s="358" t="s">
        <v>1324</v>
      </c>
      <c r="C1473" s="358" t="s">
        <v>1568</v>
      </c>
      <c r="D1473" s="3111"/>
      <c r="E1473" s="358"/>
      <c r="F1473" s="358"/>
      <c r="G1473" s="358"/>
      <c r="H1473" s="358" t="s">
        <v>1569</v>
      </c>
      <c r="I1473" s="358"/>
      <c r="J1473" s="3495">
        <f>'Part VIII-Threshold Criteria'!J379</f>
        <v>0</v>
      </c>
      <c r="K1473" s="3495">
        <f>'Part VIII-Threshold Criteria'!K379</f>
        <v>0</v>
      </c>
      <c r="L1473" s="358" t="s">
        <v>1570</v>
      </c>
      <c r="M1473" s="3495">
        <f>'Part VIII-Threshold Criteria'!M379</f>
        <v>0</v>
      </c>
      <c r="N1473" s="3495">
        <f>'Part VIII-Threshold Criteria'!N379</f>
        <v>0</v>
      </c>
      <c r="O1473" s="3111"/>
      <c r="P1473" s="3111"/>
      <c r="Q1473" s="3111"/>
    </row>
    <row r="1474" spans="1:17">
      <c r="A1474" s="3111"/>
      <c r="B1474" s="358" t="s">
        <v>1379</v>
      </c>
      <c r="C1474" s="358" t="s">
        <v>1571</v>
      </c>
      <c r="D1474" s="3111"/>
      <c r="E1474" s="3383"/>
      <c r="F1474" s="3383"/>
      <c r="G1474" s="3383"/>
      <c r="H1474" s="3383"/>
      <c r="I1474" s="3383"/>
      <c r="J1474" s="3383"/>
      <c r="K1474" s="3383"/>
      <c r="L1474" s="3383"/>
      <c r="M1474" s="3383"/>
      <c r="N1474" s="3383"/>
      <c r="O1474" s="3459" t="s">
        <v>1379</v>
      </c>
      <c r="P1474" s="3424">
        <f>'Part VIII-Threshold Criteria'!P380</f>
        <v>0</v>
      </c>
      <c r="Q1474" s="3424">
        <f>'Part VIII-Threshold Criteria'!Q380</f>
        <v>0</v>
      </c>
    </row>
    <row r="1475" spans="1:17">
      <c r="A1475" s="3111"/>
      <c r="B1475" s="3383"/>
      <c r="C1475" s="3111"/>
      <c r="D1475" s="3383"/>
      <c r="E1475" s="3383"/>
      <c r="F1475" s="3383"/>
      <c r="G1475" s="3383"/>
      <c r="H1475" s="3383"/>
      <c r="I1475" s="3383"/>
      <c r="J1475" s="3383"/>
      <c r="K1475" s="3383"/>
      <c r="L1475" s="3383"/>
      <c r="M1475" s="3383"/>
      <c r="N1475" s="3383"/>
      <c r="O1475" s="3383"/>
      <c r="P1475" s="3383"/>
      <c r="Q1475" s="3383"/>
    </row>
    <row r="1476" spans="1:17" ht="12.75" customHeight="1">
      <c r="A1476" s="3457" t="s">
        <v>121</v>
      </c>
      <c r="B1476" s="3415" t="s">
        <v>1572</v>
      </c>
      <c r="C1476" s="3111"/>
      <c r="D1476" s="3383"/>
      <c r="E1476" s="3383"/>
      <c r="F1476" s="3383"/>
      <c r="G1476" s="3383"/>
      <c r="H1476" s="3383"/>
      <c r="I1476" s="3111"/>
      <c r="J1476" s="358" t="s">
        <v>1573</v>
      </c>
      <c r="K1476" s="358"/>
      <c r="L1476" s="358"/>
      <c r="M1476" s="358"/>
      <c r="N1476" s="3383" t="s">
        <v>1574</v>
      </c>
      <c r="O1476" s="3383"/>
      <c r="P1476" s="3383"/>
      <c r="Q1476" s="3383"/>
    </row>
    <row r="1477" spans="1:17">
      <c r="A1477" s="3111"/>
      <c r="B1477" s="358" t="s">
        <v>1303</v>
      </c>
      <c r="C1477" s="3354" t="s">
        <v>1575</v>
      </c>
      <c r="D1477" s="3111"/>
      <c r="E1477" s="3348"/>
      <c r="F1477" s="3348"/>
      <c r="G1477" s="3348"/>
      <c r="H1477" s="3348"/>
      <c r="I1477" s="3111"/>
      <c r="J1477" s="3495">
        <f>'Part VIII-Threshold Criteria'!J383</f>
        <v>0</v>
      </c>
      <c r="K1477" s="3495">
        <f>'Part VIII-Threshold Criteria'!K383</f>
        <v>0</v>
      </c>
      <c r="L1477" s="3495">
        <f>'Part VIII-Threshold Criteria'!L383</f>
        <v>0</v>
      </c>
      <c r="M1477" s="3495">
        <f>'Part VIII-Threshold Criteria'!M383</f>
        <v>0</v>
      </c>
      <c r="N1477" s="3496" t="e">
        <f>IF(J1477="","",J1471/J1477)</f>
        <v>#DIV/0!</v>
      </c>
      <c r="O1477" s="3496" t="e">
        <f>IF(L1477="","",L1471/L1477)</f>
        <v>#DIV/0!</v>
      </c>
      <c r="P1477" s="3424">
        <f>'Part VIII-Threshold Criteria'!P383</f>
        <v>0</v>
      </c>
      <c r="Q1477" s="3424">
        <f>'Part VIII-Threshold Criteria'!Q383</f>
        <v>0</v>
      </c>
    </row>
    <row r="1478" spans="1:17">
      <c r="A1478" s="3111"/>
      <c r="B1478" s="358" t="s">
        <v>1306</v>
      </c>
      <c r="C1478" s="358" t="s">
        <v>1576</v>
      </c>
      <c r="D1478" s="3111"/>
      <c r="E1478" s="3383"/>
      <c r="F1478" s="3383"/>
      <c r="G1478" s="3383"/>
      <c r="H1478" s="3383"/>
      <c r="I1478" s="3111"/>
      <c r="J1478" s="3111"/>
      <c r="K1478" s="3111"/>
      <c r="L1478" s="3111"/>
      <c r="M1478" s="3111"/>
      <c r="N1478" s="3383"/>
      <c r="O1478" s="3459" t="s">
        <v>1306</v>
      </c>
      <c r="P1478" s="3497">
        <f>'Part VIII-Threshold Criteria'!P384</f>
        <v>0</v>
      </c>
      <c r="Q1478" s="3497">
        <f>'Part VIII-Threshold Criteria'!Q384</f>
        <v>0</v>
      </c>
    </row>
    <row r="1479" spans="1:17">
      <c r="A1479" s="3111"/>
      <c r="B1479" s="358" t="s">
        <v>1308</v>
      </c>
      <c r="C1479" s="358" t="s">
        <v>1577</v>
      </c>
      <c r="D1479" s="3111"/>
      <c r="E1479" s="3383"/>
      <c r="F1479" s="3383"/>
      <c r="G1479" s="3383"/>
      <c r="H1479" s="3383"/>
      <c r="I1479" s="3111"/>
      <c r="J1479" s="3111"/>
      <c r="K1479" s="3111"/>
      <c r="L1479" s="3111"/>
      <c r="M1479" s="3383"/>
      <c r="N1479" s="3383"/>
      <c r="O1479" s="3459" t="s">
        <v>1308</v>
      </c>
      <c r="P1479" s="3424">
        <f>'Part VIII-Threshold Criteria'!P385</f>
        <v>0</v>
      </c>
      <c r="Q1479" s="3424">
        <f>'Part VIII-Threshold Criteria'!Q385</f>
        <v>0</v>
      </c>
    </row>
    <row r="1480" spans="1:17">
      <c r="B1480" s="3355" t="s">
        <v>1274</v>
      </c>
      <c r="D1480" s="3355"/>
      <c r="E1480" s="3355"/>
      <c r="F1480" s="3355"/>
      <c r="G1480" s="3355"/>
      <c r="H1480" s="3354"/>
      <c r="I1480" s="3416"/>
      <c r="J1480" s="3416"/>
      <c r="K1480" s="3416"/>
      <c r="L1480" s="3318"/>
      <c r="M1480" s="3318"/>
      <c r="N1480" s="3318"/>
      <c r="O1480" s="3318"/>
      <c r="P1480" s="3318"/>
      <c r="Q1480" s="3318"/>
    </row>
    <row r="1481" spans="1:17" ht="112.5">
      <c r="A1481" s="3418" t="str">
        <f>'Part VIII-Threshold Criteria'!A387</f>
        <v>As the Mill at Stone Valley is not a rural-HOME-preservation site, this section is not applicable.</v>
      </c>
      <c r="B1481" s="3418">
        <f>'Part VIII-Threshold Criteria'!B387</f>
        <v>0</v>
      </c>
      <c r="C1481" s="3418">
        <f>'Part VIII-Threshold Criteria'!C387</f>
        <v>0</v>
      </c>
      <c r="D1481" s="3418">
        <f>'Part VIII-Threshold Criteria'!D387</f>
        <v>0</v>
      </c>
      <c r="E1481" s="3418">
        <f>'Part VIII-Threshold Criteria'!E387</f>
        <v>0</v>
      </c>
      <c r="F1481" s="3418">
        <f>'Part VIII-Threshold Criteria'!F387</f>
        <v>0</v>
      </c>
      <c r="G1481" s="3418">
        <f>'Part VIII-Threshold Criteria'!G387</f>
        <v>0</v>
      </c>
      <c r="H1481" s="3418">
        <f>'Part VIII-Threshold Criteria'!H387</f>
        <v>0</v>
      </c>
      <c r="I1481" s="3418">
        <f>'Part VIII-Threshold Criteria'!I387</f>
        <v>0</v>
      </c>
      <c r="J1481" s="3418">
        <f>'Part VIII-Threshold Criteria'!J387</f>
        <v>0</v>
      </c>
      <c r="K1481" s="3418">
        <f>'Part VIII-Threshold Criteria'!K387</f>
        <v>0</v>
      </c>
      <c r="L1481" s="3418">
        <f>'Part VIII-Threshold Criteria'!L387</f>
        <v>0</v>
      </c>
      <c r="M1481" s="3418">
        <f>'Part VIII-Threshold Criteria'!M387</f>
        <v>0</v>
      </c>
      <c r="N1481" s="3418">
        <f>'Part VIII-Threshold Criteria'!N387</f>
        <v>0</v>
      </c>
      <c r="O1481" s="3418">
        <f>'Part VIII-Threshold Criteria'!O387</f>
        <v>0</v>
      </c>
      <c r="P1481" s="3418">
        <f>'Part VIII-Threshold Criteria'!P387</f>
        <v>0</v>
      </c>
      <c r="Q1481" s="3418">
        <f>'Part VIII-Threshold Criteria'!Q387</f>
        <v>0</v>
      </c>
    </row>
    <row r="1482" spans="1:17">
      <c r="B1482" s="3419" t="s">
        <v>1276</v>
      </c>
      <c r="C1482" s="3420"/>
      <c r="D1482" s="3421"/>
      <c r="E1482" s="3421"/>
      <c r="F1482" s="3421"/>
      <c r="G1482" s="3421"/>
      <c r="H1482" s="3421"/>
      <c r="I1482" s="3421"/>
      <c r="J1482" s="3421"/>
      <c r="K1482" s="3421"/>
      <c r="L1482" s="3421"/>
      <c r="M1482" s="3421"/>
      <c r="N1482" s="3421"/>
      <c r="O1482" s="3421"/>
      <c r="P1482" s="3421"/>
      <c r="Q1482" s="3421"/>
    </row>
    <row r="1483" spans="1:17">
      <c r="A1483" s="3418">
        <f>'Part VIII-Threshold Criteria'!A389</f>
        <v>0</v>
      </c>
      <c r="B1483" s="3418">
        <f>'Part VIII-Threshold Criteria'!B389</f>
        <v>0</v>
      </c>
      <c r="C1483" s="3418">
        <f>'Part VIII-Threshold Criteria'!C389</f>
        <v>0</v>
      </c>
      <c r="D1483" s="3418">
        <f>'Part VIII-Threshold Criteria'!D389</f>
        <v>0</v>
      </c>
      <c r="E1483" s="3418">
        <f>'Part VIII-Threshold Criteria'!E389</f>
        <v>0</v>
      </c>
      <c r="F1483" s="3418">
        <f>'Part VIII-Threshold Criteria'!F389</f>
        <v>0</v>
      </c>
      <c r="G1483" s="3418">
        <f>'Part VIII-Threshold Criteria'!G389</f>
        <v>0</v>
      </c>
      <c r="H1483" s="3418">
        <f>'Part VIII-Threshold Criteria'!H389</f>
        <v>0</v>
      </c>
      <c r="I1483" s="3418">
        <f>'Part VIII-Threshold Criteria'!I389</f>
        <v>0</v>
      </c>
      <c r="J1483" s="3418">
        <f>'Part VIII-Threshold Criteria'!J389</f>
        <v>0</v>
      </c>
      <c r="K1483" s="3418">
        <f>'Part VIII-Threshold Criteria'!K389</f>
        <v>0</v>
      </c>
      <c r="L1483" s="3418">
        <f>'Part VIII-Threshold Criteria'!L389</f>
        <v>0</v>
      </c>
      <c r="M1483" s="3418">
        <f>'Part VIII-Threshold Criteria'!M389</f>
        <v>0</v>
      </c>
      <c r="N1483" s="3418">
        <f>'Part VIII-Threshold Criteria'!N389</f>
        <v>0</v>
      </c>
      <c r="O1483" s="3418">
        <f>'Part VIII-Threshold Criteria'!O389</f>
        <v>0</v>
      </c>
      <c r="P1483" s="3418">
        <f>'Part VIII-Threshold Criteria'!P389</f>
        <v>0</v>
      </c>
      <c r="Q1483" s="3418">
        <f>'Part VIII-Threshold Criteria'!Q389</f>
        <v>0</v>
      </c>
    </row>
    <row r="1484" spans="1:17">
      <c r="A1484" s="3318"/>
      <c r="B1484" s="3416"/>
      <c r="C1484" s="3421"/>
      <c r="D1484" s="3421"/>
      <c r="E1484" s="3421"/>
      <c r="F1484" s="3421"/>
      <c r="G1484" s="3421"/>
      <c r="H1484" s="3421"/>
      <c r="I1484" s="3421"/>
      <c r="J1484" s="3421"/>
      <c r="K1484" s="3421"/>
      <c r="L1484" s="3421"/>
      <c r="M1484" s="3421"/>
      <c r="Q1484" s="3318"/>
    </row>
    <row r="1485" spans="1:17">
      <c r="A1485" s="3318"/>
      <c r="B1485" s="3416"/>
      <c r="C1485" s="3421"/>
      <c r="D1485" s="3421"/>
      <c r="E1485" s="3421"/>
      <c r="F1485" s="3421"/>
      <c r="G1485" s="3421"/>
      <c r="H1485" s="3421"/>
      <c r="I1485" s="3421"/>
      <c r="J1485" s="3421"/>
      <c r="K1485" s="3421"/>
      <c r="L1485" s="3421"/>
      <c r="M1485" s="3421"/>
      <c r="Q1485" s="3318"/>
    </row>
    <row r="1486" spans="1:17">
      <c r="A1486" s="3301" t="s">
        <v>1578</v>
      </c>
      <c r="B1486" s="3300" t="s">
        <v>1579</v>
      </c>
      <c r="C1486" s="3300"/>
      <c r="D1486" s="3300"/>
      <c r="E1486" s="3300"/>
      <c r="F1486" s="3300"/>
      <c r="G1486" s="3300"/>
      <c r="H1486" s="3421"/>
      <c r="I1486" s="3421"/>
      <c r="J1486" s="3421"/>
      <c r="O1486" s="3417" t="s">
        <v>1273</v>
      </c>
      <c r="P1486" s="3326">
        <f>'Part VIII-Threshold Criteria'!P392</f>
        <v>0</v>
      </c>
      <c r="Q1486" s="3326">
        <f>'Part VIII-Threshold Criteria'!Q392</f>
        <v>0</v>
      </c>
    </row>
    <row r="1487" spans="1:17">
      <c r="A1487" s="3457" t="s">
        <v>110</v>
      </c>
      <c r="B1487" s="358" t="s">
        <v>1580</v>
      </c>
      <c r="E1487" s="3415">
        <f>'Part VIII-Threshold Criteria'!E393</f>
        <v>0</v>
      </c>
      <c r="F1487" s="3415">
        <f>'Part VIII-Threshold Criteria'!F393</f>
        <v>0</v>
      </c>
      <c r="G1487" s="3415">
        <f>'Part VIII-Threshold Criteria'!G393</f>
        <v>0</v>
      </c>
      <c r="H1487" s="3415">
        <f>'Part VIII-Threshold Criteria'!H393</f>
        <v>0</v>
      </c>
      <c r="I1487" s="3415">
        <f>'Part VIII-Threshold Criteria'!I393</f>
        <v>0</v>
      </c>
      <c r="J1487" s="358" t="s">
        <v>1581</v>
      </c>
      <c r="K1487" s="358"/>
      <c r="L1487" s="358"/>
      <c r="M1487" s="3415">
        <f>'Part VIII-Threshold Criteria'!M393</f>
        <v>0</v>
      </c>
      <c r="N1487" s="3415">
        <f>'Part VIII-Threshold Criteria'!N393</f>
        <v>0</v>
      </c>
      <c r="O1487" s="3415">
        <f>'Part VIII-Threshold Criteria'!O393</f>
        <v>0</v>
      </c>
      <c r="P1487" s="3415">
        <f>'Part VIII-Threshold Criteria'!P393</f>
        <v>0</v>
      </c>
      <c r="Q1487" s="3415">
        <f>'Part VIII-Threshold Criteria'!Q393</f>
        <v>0</v>
      </c>
    </row>
    <row r="1488" spans="1:17">
      <c r="A1488" s="3457" t="s">
        <v>121</v>
      </c>
      <c r="B1488" s="358" t="s">
        <v>1582</v>
      </c>
      <c r="D1488" s="358"/>
      <c r="E1488" s="358"/>
      <c r="F1488" s="358"/>
      <c r="G1488" s="358"/>
      <c r="H1488" s="358"/>
      <c r="I1488" s="358"/>
      <c r="J1488" s="358"/>
      <c r="K1488" s="358"/>
      <c r="L1488" s="3354"/>
      <c r="M1488" s="3354"/>
      <c r="O1488" s="3459" t="s">
        <v>121</v>
      </c>
      <c r="P1488" s="3424">
        <f>'Part VIII-Threshold Criteria'!P394</f>
        <v>0</v>
      </c>
      <c r="Q1488" s="3424">
        <f>'Part VIII-Threshold Criteria'!Q394</f>
        <v>0</v>
      </c>
    </row>
    <row r="1489" spans="1:17" ht="12.75" customHeight="1">
      <c r="A1489" s="3455" t="s">
        <v>123</v>
      </c>
      <c r="B1489" s="3418" t="s">
        <v>1583</v>
      </c>
      <c r="C1489" s="3418"/>
      <c r="D1489" s="3418"/>
      <c r="E1489" s="3418"/>
      <c r="F1489" s="3418"/>
      <c r="G1489" s="3418"/>
      <c r="H1489" s="3418"/>
      <c r="I1489" s="3418"/>
      <c r="J1489" s="3418"/>
      <c r="K1489" s="3418"/>
      <c r="L1489" s="3418"/>
      <c r="M1489" s="3418"/>
      <c r="N1489" s="3418"/>
      <c r="O1489" s="3469" t="s">
        <v>123</v>
      </c>
      <c r="P1489" s="3470">
        <f>'Part VIII-Threshold Criteria'!P395</f>
        <v>0</v>
      </c>
      <c r="Q1489" s="3470">
        <f>'Part VIII-Threshold Criteria'!Q395</f>
        <v>0</v>
      </c>
    </row>
    <row r="1490" spans="1:17">
      <c r="A1490" s="3457" t="s">
        <v>126</v>
      </c>
      <c r="B1490" s="943" t="s">
        <v>1584</v>
      </c>
      <c r="G1490" s="3348"/>
      <c r="H1490" s="3348"/>
      <c r="I1490" s="3348"/>
      <c r="J1490" s="3354" t="s">
        <v>1585</v>
      </c>
      <c r="L1490" s="3348"/>
      <c r="M1490" s="3498">
        <f>'Part III-Sources of Funds'!E1105</f>
        <v>0</v>
      </c>
      <c r="N1490" s="3498"/>
      <c r="O1490" s="3459" t="s">
        <v>126</v>
      </c>
      <c r="P1490" s="3424">
        <f>'Part VIII-Threshold Criteria'!P396</f>
        <v>0</v>
      </c>
      <c r="Q1490" s="3424">
        <f>'Part VIII-Threshold Criteria'!Q396</f>
        <v>0</v>
      </c>
    </row>
    <row r="1491" spans="1:17">
      <c r="B1491" s="3355" t="s">
        <v>1274</v>
      </c>
      <c r="D1491" s="3355"/>
      <c r="E1491" s="3355"/>
      <c r="F1491" s="3355"/>
      <c r="G1491" s="3355"/>
      <c r="H1491" s="3354"/>
      <c r="I1491" s="3416"/>
      <c r="J1491" s="3416"/>
      <c r="K1491" s="3416"/>
      <c r="L1491" s="3318"/>
      <c r="M1491" s="3318"/>
      <c r="N1491" s="3318"/>
      <c r="O1491" s="3318"/>
      <c r="P1491" s="3318"/>
      <c r="Q1491" s="3318"/>
    </row>
    <row r="1492" spans="1:17" ht="112.5">
      <c r="A1492" s="3418" t="str">
        <f>'Part VIII-Threshold Criteria'!A398</f>
        <v>As the Mill at Stone Valley is not a HOME or CHDO-sponsored project, this section is not applicable</v>
      </c>
      <c r="B1492" s="3418">
        <f>'Part VIII-Threshold Criteria'!B398</f>
        <v>0</v>
      </c>
      <c r="C1492" s="3418">
        <f>'Part VIII-Threshold Criteria'!C398</f>
        <v>0</v>
      </c>
      <c r="D1492" s="3418">
        <f>'Part VIII-Threshold Criteria'!D398</f>
        <v>0</v>
      </c>
      <c r="E1492" s="3418">
        <f>'Part VIII-Threshold Criteria'!E398</f>
        <v>0</v>
      </c>
      <c r="F1492" s="3418">
        <f>'Part VIII-Threshold Criteria'!F398</f>
        <v>0</v>
      </c>
      <c r="G1492" s="3418">
        <f>'Part VIII-Threshold Criteria'!G398</f>
        <v>0</v>
      </c>
      <c r="H1492" s="3418">
        <f>'Part VIII-Threshold Criteria'!H398</f>
        <v>0</v>
      </c>
      <c r="I1492" s="3418">
        <f>'Part VIII-Threshold Criteria'!I398</f>
        <v>0</v>
      </c>
      <c r="J1492" s="3418">
        <f>'Part VIII-Threshold Criteria'!J398</f>
        <v>0</v>
      </c>
      <c r="K1492" s="3418">
        <f>'Part VIII-Threshold Criteria'!K398</f>
        <v>0</v>
      </c>
      <c r="L1492" s="3418">
        <f>'Part VIII-Threshold Criteria'!L398</f>
        <v>0</v>
      </c>
      <c r="M1492" s="3418">
        <f>'Part VIII-Threshold Criteria'!M398</f>
        <v>0</v>
      </c>
      <c r="N1492" s="3418">
        <f>'Part VIII-Threshold Criteria'!N398</f>
        <v>0</v>
      </c>
      <c r="O1492" s="3418">
        <f>'Part VIII-Threshold Criteria'!O398</f>
        <v>0</v>
      </c>
      <c r="P1492" s="3418">
        <f>'Part VIII-Threshold Criteria'!P398</f>
        <v>0</v>
      </c>
      <c r="Q1492" s="3418">
        <f>'Part VIII-Threshold Criteria'!Q398</f>
        <v>0</v>
      </c>
    </row>
    <row r="1493" spans="1:17">
      <c r="B1493" s="3419" t="s">
        <v>1276</v>
      </c>
      <c r="C1493" s="3420"/>
      <c r="D1493" s="3421"/>
      <c r="E1493" s="3421"/>
      <c r="F1493" s="3421"/>
      <c r="G1493" s="3421"/>
      <c r="H1493" s="3421"/>
      <c r="I1493" s="3421"/>
      <c r="J1493" s="3421"/>
      <c r="K1493" s="3421"/>
      <c r="L1493" s="3421"/>
      <c r="M1493" s="3421"/>
      <c r="N1493" s="3421"/>
      <c r="O1493" s="3421"/>
      <c r="P1493" s="3421"/>
      <c r="Q1493" s="3421"/>
    </row>
    <row r="1494" spans="1:17">
      <c r="A1494" s="3418">
        <f>'Part VIII-Threshold Criteria'!A400</f>
        <v>0</v>
      </c>
      <c r="B1494" s="3418">
        <f>'Part VIII-Threshold Criteria'!B400</f>
        <v>0</v>
      </c>
      <c r="C1494" s="3418">
        <f>'Part VIII-Threshold Criteria'!C400</f>
        <v>0</v>
      </c>
      <c r="D1494" s="3418">
        <f>'Part VIII-Threshold Criteria'!D400</f>
        <v>0</v>
      </c>
      <c r="E1494" s="3418">
        <f>'Part VIII-Threshold Criteria'!E400</f>
        <v>0</v>
      </c>
      <c r="F1494" s="3418">
        <f>'Part VIII-Threshold Criteria'!F400</f>
        <v>0</v>
      </c>
      <c r="G1494" s="3418">
        <f>'Part VIII-Threshold Criteria'!G400</f>
        <v>0</v>
      </c>
      <c r="H1494" s="3418">
        <f>'Part VIII-Threshold Criteria'!H400</f>
        <v>0</v>
      </c>
      <c r="I1494" s="3418">
        <f>'Part VIII-Threshold Criteria'!I400</f>
        <v>0</v>
      </c>
      <c r="J1494" s="3418">
        <f>'Part VIII-Threshold Criteria'!J400</f>
        <v>0</v>
      </c>
      <c r="K1494" s="3418">
        <f>'Part VIII-Threshold Criteria'!K400</f>
        <v>0</v>
      </c>
      <c r="L1494" s="3418">
        <f>'Part VIII-Threshold Criteria'!L400</f>
        <v>0</v>
      </c>
      <c r="M1494" s="3418">
        <f>'Part VIII-Threshold Criteria'!M400</f>
        <v>0</v>
      </c>
      <c r="N1494" s="3418">
        <f>'Part VIII-Threshold Criteria'!N400</f>
        <v>0</v>
      </c>
      <c r="O1494" s="3418">
        <f>'Part VIII-Threshold Criteria'!O400</f>
        <v>0</v>
      </c>
      <c r="P1494" s="3418">
        <f>'Part VIII-Threshold Criteria'!P400</f>
        <v>0</v>
      </c>
      <c r="Q1494" s="3418">
        <f>'Part VIII-Threshold Criteria'!Q400</f>
        <v>0</v>
      </c>
    </row>
    <row r="1495" spans="1:17">
      <c r="A1495" s="3318"/>
      <c r="B1495" s="3416"/>
      <c r="C1495" s="3421"/>
      <c r="D1495" s="3421"/>
      <c r="E1495" s="3421"/>
      <c r="F1495" s="3421"/>
      <c r="G1495" s="3421"/>
      <c r="H1495" s="3421"/>
      <c r="I1495" s="3421"/>
      <c r="J1495" s="3421"/>
      <c r="K1495" s="3421"/>
      <c r="L1495" s="3421"/>
      <c r="M1495" s="3421"/>
      <c r="Q1495" s="3318"/>
    </row>
    <row r="1496" spans="1:17">
      <c r="A1496" s="3301" t="s">
        <v>1586</v>
      </c>
      <c r="B1496" s="3300" t="s">
        <v>1587</v>
      </c>
      <c r="C1496" s="3300"/>
      <c r="D1496" s="3300"/>
      <c r="E1496" s="3421"/>
      <c r="G1496" s="3443" t="s">
        <v>1588</v>
      </c>
      <c r="H1496" s="3421"/>
      <c r="I1496" s="3421"/>
      <c r="J1496" s="3421"/>
      <c r="K1496" s="3421"/>
      <c r="L1496" s="3421"/>
      <c r="M1496" s="3421"/>
      <c r="O1496" s="3417" t="s">
        <v>1273</v>
      </c>
      <c r="P1496" s="3326">
        <f>'Part VIII-Threshold Criteria'!P402</f>
        <v>0</v>
      </c>
      <c r="Q1496" s="3326">
        <f>'Part VIII-Threshold Criteria'!Q402</f>
        <v>0</v>
      </c>
    </row>
    <row r="1497" spans="1:17">
      <c r="A1497" s="3457" t="s">
        <v>110</v>
      </c>
      <c r="B1497" s="358" t="s">
        <v>1589</v>
      </c>
      <c r="D1497" s="3418"/>
      <c r="E1497" s="3418"/>
      <c r="H1497" s="3443"/>
      <c r="O1497" s="3459" t="s">
        <v>110</v>
      </c>
      <c r="P1497" s="3424" t="str">
        <f>'Part VIII-Threshold Criteria'!P403</f>
        <v>No</v>
      </c>
      <c r="Q1497" s="3424">
        <f>'Part VIII-Threshold Criteria'!Q403</f>
        <v>0</v>
      </c>
    </row>
    <row r="1498" spans="1:17">
      <c r="A1498" s="3457" t="s">
        <v>121</v>
      </c>
      <c r="B1498" s="358" t="s">
        <v>1590</v>
      </c>
      <c r="D1498" s="3418"/>
      <c r="E1498" s="3418"/>
      <c r="O1498" s="3459" t="s">
        <v>121</v>
      </c>
      <c r="P1498" s="3424" t="str">
        <f>'Part VIII-Threshold Criteria'!P404</f>
        <v>No</v>
      </c>
      <c r="Q1498" s="3424">
        <f>'Part VIII-Threshold Criteria'!Q404</f>
        <v>0</v>
      </c>
    </row>
    <row r="1499" spans="1:17">
      <c r="A1499" s="3457" t="s">
        <v>123</v>
      </c>
      <c r="B1499" s="358" t="s">
        <v>1591</v>
      </c>
      <c r="D1499" s="3418"/>
      <c r="E1499" s="3418"/>
      <c r="O1499" s="3459" t="s">
        <v>123</v>
      </c>
      <c r="P1499" s="3424" t="str">
        <f>'Part VIII-Threshold Criteria'!P405</f>
        <v>No</v>
      </c>
      <c r="Q1499" s="3424">
        <f>'Part VIII-Threshold Criteria'!Q405</f>
        <v>0</v>
      </c>
    </row>
    <row r="1500" spans="1:17">
      <c r="A1500" s="3457" t="s">
        <v>126</v>
      </c>
      <c r="B1500" s="358" t="s">
        <v>1592</v>
      </c>
      <c r="E1500" s="3443"/>
      <c r="O1500" s="3459" t="s">
        <v>126</v>
      </c>
      <c r="P1500" s="3424" t="str">
        <f>'Part VIII-Threshold Criteria'!P406</f>
        <v>No</v>
      </c>
      <c r="Q1500" s="3424">
        <f>'Part VIII-Threshold Criteria'!Q406</f>
        <v>0</v>
      </c>
    </row>
    <row r="1501" spans="1:17">
      <c r="A1501" s="3457" t="s">
        <v>140</v>
      </c>
      <c r="B1501" s="358" t="s">
        <v>1593</v>
      </c>
      <c r="E1501" s="3443"/>
      <c r="G1501" s="3459" t="s">
        <v>140</v>
      </c>
      <c r="H1501" s="3383" t="str">
        <f>'Part VIII-Threshold Criteria'!H407</f>
        <v>N/A</v>
      </c>
      <c r="I1501" s="3383">
        <f>'Part VIII-Threshold Criteria'!I407</f>
        <v>0</v>
      </c>
      <c r="J1501" s="3383">
        <f>'Part VIII-Threshold Criteria'!J407</f>
        <v>0</v>
      </c>
      <c r="K1501" s="3383">
        <f>'Part VIII-Threshold Criteria'!K407</f>
        <v>0</v>
      </c>
      <c r="L1501" s="3383">
        <f>'Part VIII-Threshold Criteria'!L407</f>
        <v>0</v>
      </c>
      <c r="M1501" s="3383">
        <f>'Part VIII-Threshold Criteria'!M407</f>
        <v>0</v>
      </c>
      <c r="N1501" s="3383">
        <f>'Part VIII-Threshold Criteria'!N407</f>
        <v>0</v>
      </c>
      <c r="O1501" s="3383">
        <f>'Part VIII-Threshold Criteria'!O407</f>
        <v>0</v>
      </c>
      <c r="P1501" s="3424" t="str">
        <f>'Part VIII-Threshold Criteria'!P407</f>
        <v>No</v>
      </c>
      <c r="Q1501" s="3424">
        <f>'Part VIII-Threshold Criteria'!Q407</f>
        <v>0</v>
      </c>
    </row>
    <row r="1502" spans="1:17">
      <c r="B1502" s="3355" t="s">
        <v>1274</v>
      </c>
      <c r="D1502" s="3355"/>
      <c r="E1502" s="3355"/>
      <c r="F1502" s="3355"/>
      <c r="G1502" s="3355"/>
      <c r="H1502" s="3354"/>
      <c r="I1502" s="3416"/>
      <c r="J1502" s="3416"/>
      <c r="K1502" s="3416"/>
      <c r="L1502" s="3318"/>
      <c r="M1502" s="3318"/>
      <c r="N1502" s="3318"/>
      <c r="O1502" s="3318"/>
      <c r="P1502" s="3318"/>
      <c r="Q1502" s="3318"/>
    </row>
    <row r="1503" spans="1:17" ht="281.25">
      <c r="A1503" s="3418" t="str">
        <f>'Part VIII-Threshold Criteria'!A409</f>
        <v>As the Mill at Stone Valley does not feature acquisition credit, assisted living, nonprofit sponsorship, scattered-site development, or other special circumstances, a legal opinion was not required for this application, and this section is not applicable.</v>
      </c>
      <c r="B1503" s="3418">
        <f>'Part VIII-Threshold Criteria'!B409</f>
        <v>0</v>
      </c>
      <c r="C1503" s="3418">
        <f>'Part VIII-Threshold Criteria'!C409</f>
        <v>0</v>
      </c>
      <c r="D1503" s="3418">
        <f>'Part VIII-Threshold Criteria'!D409</f>
        <v>0</v>
      </c>
      <c r="E1503" s="3418">
        <f>'Part VIII-Threshold Criteria'!E409</f>
        <v>0</v>
      </c>
      <c r="F1503" s="3418">
        <f>'Part VIII-Threshold Criteria'!F409</f>
        <v>0</v>
      </c>
      <c r="G1503" s="3418">
        <f>'Part VIII-Threshold Criteria'!G409</f>
        <v>0</v>
      </c>
      <c r="H1503" s="3418">
        <f>'Part VIII-Threshold Criteria'!H409</f>
        <v>0</v>
      </c>
      <c r="I1503" s="3418">
        <f>'Part VIII-Threshold Criteria'!I409</f>
        <v>0</v>
      </c>
      <c r="J1503" s="3418">
        <f>'Part VIII-Threshold Criteria'!J409</f>
        <v>0</v>
      </c>
      <c r="K1503" s="3418">
        <f>'Part VIII-Threshold Criteria'!K409</f>
        <v>0</v>
      </c>
      <c r="L1503" s="3418">
        <f>'Part VIII-Threshold Criteria'!L409</f>
        <v>0</v>
      </c>
      <c r="M1503" s="3418">
        <f>'Part VIII-Threshold Criteria'!M409</f>
        <v>0</v>
      </c>
      <c r="N1503" s="3418">
        <f>'Part VIII-Threshold Criteria'!N409</f>
        <v>0</v>
      </c>
      <c r="O1503" s="3418">
        <f>'Part VIII-Threshold Criteria'!O409</f>
        <v>0</v>
      </c>
      <c r="P1503" s="3418">
        <f>'Part VIII-Threshold Criteria'!P409</f>
        <v>0</v>
      </c>
      <c r="Q1503" s="3418">
        <f>'Part VIII-Threshold Criteria'!Q409</f>
        <v>0</v>
      </c>
    </row>
    <row r="1504" spans="1:17">
      <c r="B1504" s="3419" t="s">
        <v>1276</v>
      </c>
      <c r="C1504" s="3420"/>
      <c r="D1504" s="3421"/>
      <c r="E1504" s="3421"/>
      <c r="F1504" s="3421"/>
      <c r="G1504" s="3421"/>
      <c r="H1504" s="3421"/>
      <c r="I1504" s="3421"/>
      <c r="J1504" s="3421"/>
      <c r="K1504" s="3421"/>
      <c r="L1504" s="3421"/>
      <c r="M1504" s="3421"/>
      <c r="N1504" s="3421"/>
      <c r="O1504" s="3421"/>
      <c r="P1504" s="3421"/>
      <c r="Q1504" s="3421"/>
    </row>
    <row r="1505" spans="1:17">
      <c r="A1505" s="3418">
        <f>'Part VIII-Threshold Criteria'!A411</f>
        <v>0</v>
      </c>
      <c r="B1505" s="3418">
        <f>'Part VIII-Threshold Criteria'!B411</f>
        <v>0</v>
      </c>
      <c r="C1505" s="3418">
        <f>'Part VIII-Threshold Criteria'!C411</f>
        <v>0</v>
      </c>
      <c r="D1505" s="3418">
        <f>'Part VIII-Threshold Criteria'!D411</f>
        <v>0</v>
      </c>
      <c r="E1505" s="3418">
        <f>'Part VIII-Threshold Criteria'!E411</f>
        <v>0</v>
      </c>
      <c r="F1505" s="3418">
        <f>'Part VIII-Threshold Criteria'!F411</f>
        <v>0</v>
      </c>
      <c r="G1505" s="3418">
        <f>'Part VIII-Threshold Criteria'!G411</f>
        <v>0</v>
      </c>
      <c r="H1505" s="3418">
        <f>'Part VIII-Threshold Criteria'!H411</f>
        <v>0</v>
      </c>
      <c r="I1505" s="3418">
        <f>'Part VIII-Threshold Criteria'!I411</f>
        <v>0</v>
      </c>
      <c r="J1505" s="3418">
        <f>'Part VIII-Threshold Criteria'!J411</f>
        <v>0</v>
      </c>
      <c r="K1505" s="3418">
        <f>'Part VIII-Threshold Criteria'!K411</f>
        <v>0</v>
      </c>
      <c r="L1505" s="3418">
        <f>'Part VIII-Threshold Criteria'!L411</f>
        <v>0</v>
      </c>
      <c r="M1505" s="3418">
        <f>'Part VIII-Threshold Criteria'!M411</f>
        <v>0</v>
      </c>
      <c r="N1505" s="3418">
        <f>'Part VIII-Threshold Criteria'!N411</f>
        <v>0</v>
      </c>
      <c r="O1505" s="3418">
        <f>'Part VIII-Threshold Criteria'!O411</f>
        <v>0</v>
      </c>
      <c r="P1505" s="3418">
        <f>'Part VIII-Threshold Criteria'!P411</f>
        <v>0</v>
      </c>
      <c r="Q1505" s="3418">
        <f>'Part VIII-Threshold Criteria'!Q411</f>
        <v>0</v>
      </c>
    </row>
    <row r="1506" spans="1:17">
      <c r="A1506" s="3318"/>
      <c r="B1506" s="3416"/>
      <c r="C1506" s="3421"/>
      <c r="D1506" s="3421"/>
      <c r="E1506" s="3421"/>
      <c r="F1506" s="3421"/>
      <c r="G1506" s="3421"/>
      <c r="H1506" s="3421"/>
      <c r="I1506" s="3421"/>
      <c r="J1506" s="3421"/>
      <c r="K1506" s="3421"/>
      <c r="L1506" s="3421"/>
      <c r="M1506" s="3421"/>
      <c r="N1506" s="3421"/>
      <c r="O1506" s="3421"/>
      <c r="P1506" s="3421"/>
      <c r="Q1506" s="3318"/>
    </row>
    <row r="1507" spans="1:17">
      <c r="A1507" s="3301" t="s">
        <v>1594</v>
      </c>
      <c r="B1507" s="3300" t="s">
        <v>1595</v>
      </c>
      <c r="C1507" s="3300"/>
      <c r="D1507" s="3300"/>
      <c r="E1507" s="3300"/>
      <c r="F1507" s="3300"/>
      <c r="G1507" s="3300"/>
      <c r="H1507" s="3421"/>
      <c r="I1507" s="3421"/>
      <c r="J1507" s="3421"/>
      <c r="K1507" s="3421"/>
      <c r="L1507" s="3421"/>
      <c r="M1507" s="3421"/>
      <c r="O1507" s="3417" t="s">
        <v>1273</v>
      </c>
      <c r="P1507" s="3326">
        <f>'Part VIII-Threshold Criteria'!P413</f>
        <v>0</v>
      </c>
      <c r="Q1507" s="3326">
        <f>'Part VIII-Threshold Criteria'!Q413</f>
        <v>0</v>
      </c>
    </row>
    <row r="1508" spans="1:17">
      <c r="A1508" s="3457" t="s">
        <v>110</v>
      </c>
      <c r="B1508" s="358" t="s">
        <v>1596</v>
      </c>
      <c r="D1508" s="3111"/>
      <c r="E1508" s="3111"/>
      <c r="F1508" s="3111"/>
      <c r="G1508" s="3111"/>
      <c r="H1508" s="3111"/>
      <c r="I1508" s="3111"/>
      <c r="J1508" s="3111"/>
      <c r="K1508" s="3111"/>
      <c r="L1508" s="3111"/>
      <c r="M1508" s="3111"/>
      <c r="N1508" s="3111"/>
      <c r="O1508" s="3459" t="s">
        <v>110</v>
      </c>
      <c r="P1508" s="3424" t="str">
        <f>'Part VIII-Threshold Criteria'!P414</f>
        <v>No</v>
      </c>
      <c r="Q1508" s="3424">
        <f>'Part VIII-Threshold Criteria'!Q414</f>
        <v>0</v>
      </c>
    </row>
    <row r="1509" spans="1:17">
      <c r="A1509" s="3457" t="s">
        <v>121</v>
      </c>
      <c r="B1509" s="358" t="s">
        <v>1597</v>
      </c>
      <c r="D1509" s="3111"/>
      <c r="E1509" s="3111"/>
      <c r="F1509" s="3111"/>
      <c r="G1509" s="3111"/>
      <c r="H1509" s="3111"/>
      <c r="I1509" s="3111"/>
      <c r="J1509" s="3111"/>
      <c r="K1509" s="3111"/>
      <c r="L1509" s="3111"/>
      <c r="M1509" s="3111"/>
      <c r="N1509" s="3111"/>
      <c r="O1509" s="3459" t="s">
        <v>1429</v>
      </c>
      <c r="P1509" s="3424" t="str">
        <f>'Part VIII-Threshold Criteria'!P415</f>
        <v>No</v>
      </c>
      <c r="Q1509" s="3424">
        <f>'Part VIII-Threshold Criteria'!Q415</f>
        <v>0</v>
      </c>
    </row>
    <row r="1510" spans="1:17">
      <c r="A1510" s="3457"/>
      <c r="B1510" s="358" t="s">
        <v>1598</v>
      </c>
      <c r="D1510" s="358"/>
      <c r="E1510" s="358"/>
      <c r="F1510" s="358"/>
      <c r="G1510" s="358"/>
      <c r="H1510" s="358"/>
      <c r="I1510" s="358"/>
      <c r="J1510" s="358"/>
      <c r="K1510" s="358"/>
      <c r="L1510" s="358"/>
      <c r="M1510" s="358"/>
      <c r="N1510" s="3111"/>
    </row>
    <row r="1511" spans="1:17">
      <c r="A1511" s="3457"/>
      <c r="B1511" s="358" t="s">
        <v>1306</v>
      </c>
      <c r="C1511" s="358" t="s">
        <v>1599</v>
      </c>
      <c r="E1511" s="358"/>
      <c r="F1511" s="358"/>
      <c r="G1511" s="358"/>
      <c r="H1511" s="358"/>
      <c r="I1511" s="358"/>
      <c r="J1511" s="358"/>
      <c r="K1511" s="358"/>
      <c r="L1511" s="358"/>
      <c r="M1511" s="358"/>
      <c r="N1511" s="3111"/>
      <c r="O1511" s="3459" t="s">
        <v>1306</v>
      </c>
      <c r="P1511" s="3424">
        <f>'Part VIII-Threshold Criteria'!P417</f>
        <v>0</v>
      </c>
      <c r="Q1511" s="3424">
        <f>'Part VIII-Threshold Criteria'!Q417</f>
        <v>0</v>
      </c>
    </row>
    <row r="1512" spans="1:17">
      <c r="A1512" s="3457"/>
      <c r="B1512" s="358" t="s">
        <v>1600</v>
      </c>
      <c r="C1512" s="358" t="s">
        <v>1601</v>
      </c>
      <c r="E1512" s="358"/>
      <c r="F1512" s="358"/>
      <c r="G1512" s="358"/>
      <c r="H1512" s="358"/>
      <c r="I1512" s="358"/>
      <c r="J1512" s="358"/>
      <c r="K1512" s="358"/>
      <c r="L1512" s="358"/>
      <c r="M1512" s="358"/>
      <c r="N1512" s="3111"/>
      <c r="O1512" s="3459" t="s">
        <v>1308</v>
      </c>
      <c r="P1512" s="3424">
        <f>'Part VIII-Threshold Criteria'!P418</f>
        <v>0</v>
      </c>
      <c r="Q1512" s="3424">
        <f>'Part VIII-Threshold Criteria'!Q418</f>
        <v>0</v>
      </c>
    </row>
    <row r="1513" spans="1:17">
      <c r="A1513" s="3457" t="s">
        <v>123</v>
      </c>
      <c r="B1513" s="358" t="s">
        <v>1602</v>
      </c>
      <c r="C1513" s="358"/>
      <c r="E1513" s="358"/>
      <c r="F1513" s="358"/>
      <c r="G1513" s="358"/>
      <c r="H1513" s="358"/>
      <c r="I1513" s="358"/>
      <c r="J1513" s="358"/>
      <c r="K1513" s="358"/>
      <c r="L1513" s="358"/>
      <c r="M1513" s="358"/>
      <c r="N1513" s="358"/>
      <c r="O1513" s="3459" t="s">
        <v>123</v>
      </c>
      <c r="P1513" s="3424">
        <f>'Part VIII-Threshold Criteria'!P419</f>
        <v>0</v>
      </c>
      <c r="Q1513" s="3424">
        <f>'Part VIII-Threshold Criteria'!Q419</f>
        <v>0</v>
      </c>
    </row>
    <row r="1514" spans="1:17">
      <c r="A1514" s="3457" t="s">
        <v>126</v>
      </c>
      <c r="B1514" s="3354" t="s">
        <v>1603</v>
      </c>
      <c r="C1514" s="3354"/>
      <c r="E1514" s="3354"/>
      <c r="F1514" s="3354"/>
      <c r="G1514" s="3354"/>
      <c r="H1514" s="3354"/>
      <c r="I1514" s="3354"/>
      <c r="J1514" s="3354"/>
      <c r="K1514" s="3354"/>
      <c r="L1514" s="3354"/>
      <c r="M1514" s="3354"/>
      <c r="N1514" s="3111"/>
      <c r="O1514" s="3459"/>
      <c r="P1514" s="3111"/>
      <c r="Q1514" s="3111"/>
    </row>
    <row r="1515" spans="1:17">
      <c r="A1515" s="3457"/>
      <c r="B1515" s="358" t="s">
        <v>1604</v>
      </c>
      <c r="C1515" s="358"/>
      <c r="E1515" s="3111"/>
      <c r="F1515" s="3354"/>
      <c r="G1515" s="3318">
        <f>'Part VIII-Threshold Criteria'!G421</f>
        <v>0</v>
      </c>
      <c r="H1515" s="3313">
        <f>'Part VIII-Threshold Criteria'!H421</f>
        <v>0</v>
      </c>
      <c r="J1515" s="358" t="s">
        <v>1605</v>
      </c>
      <c r="K1515" s="3354"/>
      <c r="N1515" s="3318">
        <f>'Part VIII-Threshold Criteria'!N421</f>
        <v>0</v>
      </c>
      <c r="O1515" s="3313">
        <f>'Part VIII-Threshold Criteria'!O421</f>
        <v>0</v>
      </c>
    </row>
    <row r="1516" spans="1:17">
      <c r="A1516" s="3457"/>
      <c r="B1516" s="358" t="s">
        <v>1606</v>
      </c>
      <c r="C1516" s="358"/>
      <c r="E1516" s="3111"/>
      <c r="F1516" s="3354"/>
      <c r="G1516" s="3318">
        <f>'Part VIII-Threshold Criteria'!G422</f>
        <v>0</v>
      </c>
      <c r="H1516" s="3313">
        <f>'Part VIII-Threshold Criteria'!H422</f>
        <v>0</v>
      </c>
      <c r="J1516" s="358" t="s">
        <v>1607</v>
      </c>
      <c r="K1516" s="3354"/>
      <c r="N1516" s="3318">
        <f>'Part VIII-Threshold Criteria'!N422</f>
        <v>0</v>
      </c>
      <c r="O1516" s="3313">
        <f>'Part VIII-Threshold Criteria'!O422</f>
        <v>0</v>
      </c>
    </row>
    <row r="1517" spans="1:17">
      <c r="A1517" s="3457"/>
      <c r="B1517" s="358" t="s">
        <v>1608</v>
      </c>
      <c r="C1517" s="358"/>
      <c r="E1517" s="3111"/>
      <c r="F1517" s="3354"/>
      <c r="G1517" s="3318">
        <f>'Part VIII-Threshold Criteria'!G423</f>
        <v>0</v>
      </c>
      <c r="H1517" s="3313">
        <f>'Part VIII-Threshold Criteria'!H423</f>
        <v>0</v>
      </c>
      <c r="K1517" s="3354"/>
      <c r="L1517" s="3354"/>
      <c r="M1517" s="3354"/>
      <c r="N1517" s="3111"/>
      <c r="O1517" s="3459"/>
    </row>
    <row r="1518" spans="1:17">
      <c r="A1518" s="3457" t="s">
        <v>140</v>
      </c>
      <c r="B1518" s="3354" t="s">
        <v>1609</v>
      </c>
      <c r="C1518" s="3354"/>
      <c r="E1518" s="3354"/>
      <c r="F1518" s="3354"/>
      <c r="G1518" s="3354"/>
      <c r="J1518" s="3111"/>
      <c r="K1518" s="3354"/>
      <c r="L1518" s="3354"/>
      <c r="M1518" s="3354"/>
      <c r="N1518" s="3111"/>
      <c r="O1518" s="3459"/>
      <c r="P1518" s="3459"/>
      <c r="Q1518" s="3459"/>
    </row>
    <row r="1519" spans="1:17">
      <c r="A1519" s="3111"/>
      <c r="B1519" s="943" t="s">
        <v>1610</v>
      </c>
      <c r="C1519" s="3354"/>
      <c r="E1519" s="3354"/>
      <c r="F1519" s="3354"/>
      <c r="G1519" s="3424">
        <f>'Part VIII-Threshold Criteria'!G425</f>
        <v>0</v>
      </c>
      <c r="H1519" s="3424">
        <f>'Part VIII-Threshold Criteria'!H425</f>
        <v>0</v>
      </c>
      <c r="J1519" s="943" t="s">
        <v>1611</v>
      </c>
      <c r="K1519" s="3354"/>
      <c r="N1519" s="3424">
        <f>'Part VIII-Threshold Criteria'!N425</f>
        <v>0</v>
      </c>
      <c r="O1519" s="3424">
        <f>'Part VIII-Threshold Criteria'!O425</f>
        <v>0</v>
      </c>
    </row>
    <row r="1520" spans="1:17">
      <c r="A1520" s="3111"/>
      <c r="B1520" s="943" t="s">
        <v>1612</v>
      </c>
      <c r="C1520" s="3354"/>
      <c r="E1520" s="3354"/>
      <c r="F1520" s="3354"/>
      <c r="G1520" s="3424">
        <f>'Part VIII-Threshold Criteria'!G426</f>
        <v>0</v>
      </c>
      <c r="H1520" s="3424">
        <f>'Part VIII-Threshold Criteria'!H426</f>
        <v>0</v>
      </c>
      <c r="J1520" s="943" t="s">
        <v>1613</v>
      </c>
      <c r="N1520" s="3376">
        <f>'Part VIII-Threshold Criteria'!N426</f>
        <v>0</v>
      </c>
      <c r="O1520" s="3376">
        <f>'Part VIII-Threshold Criteria'!O426</f>
        <v>0</v>
      </c>
      <c r="P1520" s="3376">
        <f>'Part VIII-Threshold Criteria'!P426</f>
        <v>0</v>
      </c>
      <c r="Q1520" s="3376">
        <f>'Part VIII-Threshold Criteria'!Q426</f>
        <v>0</v>
      </c>
    </row>
    <row r="1521" spans="1:17">
      <c r="B1521" s="3355" t="s">
        <v>1274</v>
      </c>
      <c r="D1521" s="3355"/>
      <c r="E1521" s="3355"/>
      <c r="F1521" s="3355"/>
      <c r="G1521" s="3355"/>
      <c r="H1521" s="3354"/>
      <c r="I1521" s="3416"/>
      <c r="J1521" s="3416"/>
      <c r="K1521" s="3416"/>
      <c r="P1521" s="3318"/>
      <c r="Q1521" s="3318"/>
    </row>
    <row r="1522" spans="1:17" ht="326.25">
      <c r="A1522" s="3418" t="str">
        <f>'Part VIII-Threshold Criteria'!A428</f>
        <v>As the Mill at Stone Valley represents the development of new affordable housing on heretofore vacant land, relocation and displacement issues do not apply.  In accordance with DCA requirements, however, a Relocation Survey Form has been completed and is included in Tab 25.</v>
      </c>
      <c r="B1522" s="3418">
        <f>'Part VIII-Threshold Criteria'!B428</f>
        <v>0</v>
      </c>
      <c r="C1522" s="3418">
        <f>'Part VIII-Threshold Criteria'!C428</f>
        <v>0</v>
      </c>
      <c r="D1522" s="3418">
        <f>'Part VIII-Threshold Criteria'!D428</f>
        <v>0</v>
      </c>
      <c r="E1522" s="3418">
        <f>'Part VIII-Threshold Criteria'!E428</f>
        <v>0</v>
      </c>
      <c r="F1522" s="3418">
        <f>'Part VIII-Threshold Criteria'!F428</f>
        <v>0</v>
      </c>
      <c r="G1522" s="3418">
        <f>'Part VIII-Threshold Criteria'!G428</f>
        <v>0</v>
      </c>
      <c r="H1522" s="3418">
        <f>'Part VIII-Threshold Criteria'!H428</f>
        <v>0</v>
      </c>
      <c r="I1522" s="3418">
        <f>'Part VIII-Threshold Criteria'!I428</f>
        <v>0</v>
      </c>
      <c r="J1522" s="3418">
        <f>'Part VIII-Threshold Criteria'!J428</f>
        <v>0</v>
      </c>
      <c r="K1522" s="3418">
        <f>'Part VIII-Threshold Criteria'!K428</f>
        <v>0</v>
      </c>
      <c r="L1522" s="3418">
        <f>'Part VIII-Threshold Criteria'!L428</f>
        <v>0</v>
      </c>
      <c r="M1522" s="3418">
        <f>'Part VIII-Threshold Criteria'!M428</f>
        <v>0</v>
      </c>
      <c r="N1522" s="3418">
        <f>'Part VIII-Threshold Criteria'!N428</f>
        <v>0</v>
      </c>
      <c r="O1522" s="3418">
        <f>'Part VIII-Threshold Criteria'!O428</f>
        <v>0</v>
      </c>
      <c r="P1522" s="3418">
        <f>'Part VIII-Threshold Criteria'!P428</f>
        <v>0</v>
      </c>
      <c r="Q1522" s="3418">
        <f>'Part VIII-Threshold Criteria'!Q428</f>
        <v>0</v>
      </c>
    </row>
    <row r="1523" spans="1:17">
      <c r="B1523" s="3419" t="s">
        <v>1276</v>
      </c>
      <c r="C1523" s="3420"/>
      <c r="D1523" s="3421"/>
      <c r="E1523" s="3421"/>
      <c r="F1523" s="3421"/>
      <c r="G1523" s="3421"/>
      <c r="H1523" s="3421"/>
      <c r="I1523" s="3421"/>
      <c r="J1523" s="3421"/>
      <c r="K1523" s="3421"/>
      <c r="L1523" s="3421"/>
      <c r="M1523" s="3421"/>
      <c r="N1523" s="3421"/>
      <c r="O1523" s="3421"/>
      <c r="P1523" s="3421"/>
      <c r="Q1523" s="3421"/>
    </row>
    <row r="1524" spans="1:17">
      <c r="A1524" s="3418">
        <f>'Part VIII-Threshold Criteria'!A430</f>
        <v>0</v>
      </c>
      <c r="B1524" s="3418">
        <f>'Part VIII-Threshold Criteria'!B430</f>
        <v>0</v>
      </c>
      <c r="C1524" s="3418">
        <f>'Part VIII-Threshold Criteria'!C430</f>
        <v>0</v>
      </c>
      <c r="D1524" s="3418">
        <f>'Part VIII-Threshold Criteria'!D430</f>
        <v>0</v>
      </c>
      <c r="E1524" s="3418">
        <f>'Part VIII-Threshold Criteria'!E430</f>
        <v>0</v>
      </c>
      <c r="F1524" s="3418">
        <f>'Part VIII-Threshold Criteria'!F430</f>
        <v>0</v>
      </c>
      <c r="G1524" s="3418">
        <f>'Part VIII-Threshold Criteria'!G430</f>
        <v>0</v>
      </c>
      <c r="H1524" s="3418">
        <f>'Part VIII-Threshold Criteria'!H430</f>
        <v>0</v>
      </c>
      <c r="I1524" s="3418">
        <f>'Part VIII-Threshold Criteria'!I430</f>
        <v>0</v>
      </c>
      <c r="J1524" s="3418">
        <f>'Part VIII-Threshold Criteria'!J430</f>
        <v>0</v>
      </c>
      <c r="K1524" s="3418">
        <f>'Part VIII-Threshold Criteria'!K430</f>
        <v>0</v>
      </c>
      <c r="L1524" s="3418">
        <f>'Part VIII-Threshold Criteria'!L430</f>
        <v>0</v>
      </c>
      <c r="M1524" s="3418">
        <f>'Part VIII-Threshold Criteria'!M430</f>
        <v>0</v>
      </c>
      <c r="N1524" s="3418">
        <f>'Part VIII-Threshold Criteria'!N430</f>
        <v>0</v>
      </c>
      <c r="O1524" s="3418">
        <f>'Part VIII-Threshold Criteria'!O430</f>
        <v>0</v>
      </c>
      <c r="P1524" s="3418">
        <f>'Part VIII-Threshold Criteria'!P430</f>
        <v>0</v>
      </c>
      <c r="Q1524" s="3418">
        <f>'Part VIII-Threshold Criteria'!Q430</f>
        <v>0</v>
      </c>
    </row>
    <row r="1525" spans="1:17">
      <c r="A1525" s="3318"/>
      <c r="B1525" s="3416"/>
      <c r="C1525" s="3421"/>
      <c r="D1525" s="3421"/>
      <c r="E1525" s="3421"/>
      <c r="F1525" s="3421"/>
      <c r="G1525" s="3421"/>
      <c r="H1525" s="3421"/>
      <c r="I1525" s="3421"/>
      <c r="J1525" s="3421"/>
      <c r="K1525" s="3421"/>
      <c r="L1525" s="3421"/>
      <c r="M1525" s="3421"/>
      <c r="Q1525" s="3318"/>
    </row>
    <row r="1526" spans="1:17">
      <c r="A1526" s="3301" t="s">
        <v>1614</v>
      </c>
      <c r="B1526" s="3300" t="s">
        <v>1615</v>
      </c>
      <c r="C1526" s="3300"/>
      <c r="D1526" s="3415"/>
      <c r="E1526" s="3421"/>
      <c r="F1526" s="3421"/>
      <c r="G1526" s="3421"/>
      <c r="H1526" s="3421"/>
      <c r="O1526" s="3417" t="s">
        <v>1273</v>
      </c>
      <c r="P1526" s="3326">
        <f>'Part VIII-Threshold Criteria'!P432</f>
        <v>0</v>
      </c>
      <c r="Q1526" s="3326">
        <f>'Part VIII-Threshold Criteria'!Q432</f>
        <v>0</v>
      </c>
    </row>
    <row r="1527" spans="1:17">
      <c r="B1527" s="3415" t="s">
        <v>1616</v>
      </c>
      <c r="C1527" s="3300"/>
      <c r="D1527" s="3415"/>
      <c r="E1527" s="3421"/>
      <c r="F1527" s="3421"/>
      <c r="G1527" s="3421"/>
      <c r="H1527" s="3421"/>
    </row>
    <row r="1528" spans="1:17" ht="12.75" customHeight="1">
      <c r="A1528" s="3455" t="s">
        <v>110</v>
      </c>
      <c r="B1528" s="3418" t="s">
        <v>1617</v>
      </c>
      <c r="C1528" s="3418"/>
      <c r="D1528" s="3418"/>
      <c r="E1528" s="3418"/>
      <c r="F1528" s="3418"/>
      <c r="G1528" s="3418"/>
      <c r="H1528" s="3418"/>
      <c r="I1528" s="3418"/>
      <c r="J1528" s="3418"/>
      <c r="K1528" s="3418"/>
      <c r="L1528" s="3418"/>
      <c r="M1528" s="3418"/>
      <c r="N1528" s="3418"/>
      <c r="O1528" s="3469" t="s">
        <v>110</v>
      </c>
      <c r="P1528" s="3470" t="str">
        <f>'Part VIII-Threshold Criteria'!P434</f>
        <v>Agree</v>
      </c>
      <c r="Q1528" s="3470">
        <f>'Part VIII-Threshold Criteria'!Q434</f>
        <v>0</v>
      </c>
    </row>
    <row r="1529" spans="1:17" ht="12.75" customHeight="1">
      <c r="A1529" s="3455" t="s">
        <v>121</v>
      </c>
      <c r="B1529" s="3418" t="s">
        <v>1618</v>
      </c>
      <c r="C1529" s="3418"/>
      <c r="D1529" s="3418"/>
      <c r="E1529" s="3418"/>
      <c r="F1529" s="3418"/>
      <c r="G1529" s="3418"/>
      <c r="H1529" s="3418"/>
      <c r="I1529" s="3418"/>
      <c r="J1529" s="3418"/>
      <c r="K1529" s="3418"/>
      <c r="L1529" s="3418"/>
      <c r="M1529" s="3418"/>
      <c r="N1529" s="3418"/>
      <c r="O1529" s="3469" t="s">
        <v>121</v>
      </c>
      <c r="P1529" s="3470" t="str">
        <f>'Part VIII-Threshold Criteria'!P435</f>
        <v>Agree</v>
      </c>
      <c r="Q1529" s="3470">
        <f>'Part VIII-Threshold Criteria'!Q435</f>
        <v>0</v>
      </c>
    </row>
    <row r="1530" spans="1:17" ht="12.75" customHeight="1">
      <c r="A1530" s="3435"/>
      <c r="B1530" s="3418" t="s">
        <v>1619</v>
      </c>
      <c r="C1530" s="3418"/>
      <c r="D1530" s="3418"/>
      <c r="E1530" s="3418"/>
      <c r="F1530" s="3418"/>
      <c r="G1530" s="3418"/>
      <c r="H1530" s="3418"/>
      <c r="I1530" s="3418"/>
      <c r="J1530" s="3418"/>
      <c r="K1530" s="3418"/>
      <c r="L1530" s="3418"/>
      <c r="M1530" s="3418"/>
      <c r="N1530" s="3418"/>
      <c r="O1530" s="3469" t="s">
        <v>1303</v>
      </c>
      <c r="P1530" s="3470" t="str">
        <f>'Part VIII-Threshold Criteria'!P436</f>
        <v>Agree</v>
      </c>
      <c r="Q1530" s="3470">
        <f>'Part VIII-Threshold Criteria'!Q436</f>
        <v>0</v>
      </c>
    </row>
    <row r="1531" spans="1:17">
      <c r="A1531" s="3435"/>
      <c r="B1531" s="3443" t="s">
        <v>1620</v>
      </c>
      <c r="C1531" s="3435"/>
      <c r="D1531" s="3418"/>
      <c r="E1531" s="3418"/>
      <c r="F1531" s="3418"/>
      <c r="G1531" s="3418"/>
      <c r="H1531" s="3418"/>
      <c r="I1531" s="3418"/>
      <c r="J1531" s="3418"/>
      <c r="K1531" s="3418"/>
      <c r="L1531" s="3418"/>
      <c r="M1531" s="3418"/>
      <c r="N1531" s="3418"/>
      <c r="O1531" s="3469" t="s">
        <v>1306</v>
      </c>
      <c r="P1531" s="3470" t="str">
        <f>'Part VIII-Threshold Criteria'!P437</f>
        <v>Agree</v>
      </c>
      <c r="Q1531" s="3470">
        <f>'Part VIII-Threshold Criteria'!Q437</f>
        <v>0</v>
      </c>
    </row>
    <row r="1532" spans="1:17" ht="12.75" customHeight="1">
      <c r="A1532" s="3435"/>
      <c r="B1532" s="3418" t="s">
        <v>1621</v>
      </c>
      <c r="C1532" s="3418"/>
      <c r="D1532" s="3418"/>
      <c r="E1532" s="3418"/>
      <c r="F1532" s="3418"/>
      <c r="G1532" s="3418"/>
      <c r="H1532" s="3418"/>
      <c r="I1532" s="3418"/>
      <c r="J1532" s="3418"/>
      <c r="K1532" s="3418"/>
      <c r="L1532" s="3418"/>
      <c r="M1532" s="3418"/>
      <c r="N1532" s="3418"/>
      <c r="O1532" s="3469" t="s">
        <v>1308</v>
      </c>
      <c r="P1532" s="3470" t="str">
        <f>'Part VIII-Threshold Criteria'!P438</f>
        <v>Agree</v>
      </c>
      <c r="Q1532" s="3470">
        <f>'Part VIII-Threshold Criteria'!Q438</f>
        <v>0</v>
      </c>
    </row>
    <row r="1533" spans="1:17" ht="12.75" customHeight="1">
      <c r="A1533" s="3435"/>
      <c r="B1533" s="3418" t="s">
        <v>1622</v>
      </c>
      <c r="C1533" s="3418"/>
      <c r="D1533" s="3418"/>
      <c r="E1533" s="3418"/>
      <c r="F1533" s="3418"/>
      <c r="G1533" s="3418"/>
      <c r="H1533" s="3418"/>
      <c r="I1533" s="3418"/>
      <c r="J1533" s="3418"/>
      <c r="K1533" s="3418"/>
      <c r="L1533" s="3418"/>
      <c r="M1533" s="3418"/>
      <c r="N1533" s="3418"/>
      <c r="O1533" s="3469" t="s">
        <v>1310</v>
      </c>
      <c r="P1533" s="3470" t="str">
        <f>'Part VIII-Threshold Criteria'!P439</f>
        <v>Agree</v>
      </c>
      <c r="Q1533" s="3470">
        <f>'Part VIII-Threshold Criteria'!Q439</f>
        <v>0</v>
      </c>
    </row>
    <row r="1534" spans="1:17" ht="12.75" customHeight="1">
      <c r="A1534" s="3455" t="s">
        <v>123</v>
      </c>
      <c r="B1534" s="3418" t="s">
        <v>1623</v>
      </c>
      <c r="C1534" s="3418"/>
      <c r="D1534" s="3418"/>
      <c r="E1534" s="3418"/>
      <c r="F1534" s="3418"/>
      <c r="G1534" s="3418"/>
      <c r="H1534" s="3418"/>
      <c r="I1534" s="3418"/>
      <c r="J1534" s="3418"/>
      <c r="K1534" s="3418"/>
      <c r="L1534" s="3418"/>
      <c r="M1534" s="3418"/>
      <c r="N1534" s="3418"/>
      <c r="O1534" s="3469" t="s">
        <v>123</v>
      </c>
      <c r="P1534" s="3470" t="str">
        <f>'Part VIII-Threshold Criteria'!P440</f>
        <v>Agree</v>
      </c>
      <c r="Q1534" s="3470">
        <f>'Part VIII-Threshold Criteria'!Q440</f>
        <v>0</v>
      </c>
    </row>
    <row r="1535" spans="1:17" ht="12.75" customHeight="1">
      <c r="A1535" s="3455" t="s">
        <v>126</v>
      </c>
      <c r="B1535" s="3418" t="s">
        <v>1624</v>
      </c>
      <c r="C1535" s="3418"/>
      <c r="D1535" s="3418"/>
      <c r="E1535" s="3418"/>
      <c r="F1535" s="3418"/>
      <c r="G1535" s="3418"/>
      <c r="H1535" s="3418"/>
      <c r="I1535" s="3418"/>
      <c r="J1535" s="3418"/>
      <c r="K1535" s="3418"/>
      <c r="L1535" s="3418"/>
      <c r="M1535" s="3418"/>
      <c r="N1535" s="3418"/>
      <c r="O1535" s="3469" t="s">
        <v>126</v>
      </c>
      <c r="P1535" s="3470" t="str">
        <f>'Part VIII-Threshold Criteria'!P441</f>
        <v>Agree</v>
      </c>
      <c r="Q1535" s="3470">
        <f>'Part VIII-Threshold Criteria'!Q441</f>
        <v>0</v>
      </c>
    </row>
    <row r="1536" spans="1:17" ht="12.75" customHeight="1">
      <c r="A1536" s="3455" t="s">
        <v>140</v>
      </c>
      <c r="B1536" s="3418" t="s">
        <v>1625</v>
      </c>
      <c r="C1536" s="3418"/>
      <c r="D1536" s="3418"/>
      <c r="E1536" s="3418"/>
      <c r="F1536" s="3418"/>
      <c r="G1536" s="3418"/>
      <c r="H1536" s="3418"/>
      <c r="I1536" s="3418"/>
      <c r="J1536" s="3418"/>
      <c r="K1536" s="3418"/>
      <c r="L1536" s="3418"/>
      <c r="M1536" s="3418"/>
      <c r="N1536" s="3418"/>
      <c r="O1536" s="3469" t="s">
        <v>140</v>
      </c>
      <c r="P1536" s="3470" t="str">
        <f>'Part VIII-Threshold Criteria'!P442</f>
        <v>Agree</v>
      </c>
      <c r="Q1536" s="3470">
        <f>'Part VIII-Threshold Criteria'!Q442</f>
        <v>0</v>
      </c>
    </row>
    <row r="1537" spans="1:17" ht="12.75" customHeight="1">
      <c r="A1537" s="3455" t="s">
        <v>147</v>
      </c>
      <c r="B1537" s="3418" t="s">
        <v>1626</v>
      </c>
      <c r="C1537" s="3418"/>
      <c r="D1537" s="3418"/>
      <c r="E1537" s="3418"/>
      <c r="F1537" s="3418"/>
      <c r="G1537" s="3418"/>
      <c r="H1537" s="3418"/>
      <c r="I1537" s="3418"/>
      <c r="J1537" s="3418"/>
      <c r="K1537" s="3418"/>
      <c r="L1537" s="3418"/>
      <c r="M1537" s="3418"/>
      <c r="N1537" s="3418"/>
      <c r="O1537" s="3469" t="s">
        <v>147</v>
      </c>
      <c r="P1537" s="3470" t="str">
        <f>'Part VIII-Threshold Criteria'!P443</f>
        <v>Agree</v>
      </c>
      <c r="Q1537" s="3470">
        <f>'Part VIII-Threshold Criteria'!Q443</f>
        <v>0</v>
      </c>
    </row>
    <row r="1538" spans="1:17">
      <c r="B1538" s="3355" t="s">
        <v>1274</v>
      </c>
      <c r="D1538" s="3355"/>
      <c r="E1538" s="3355"/>
      <c r="F1538" s="3355"/>
      <c r="G1538" s="3355"/>
      <c r="H1538" s="3354"/>
      <c r="I1538" s="3416"/>
      <c r="J1538" s="3416"/>
      <c r="K1538" s="3416"/>
      <c r="L1538" s="3318"/>
      <c r="M1538" s="3318"/>
      <c r="N1538" s="3318"/>
      <c r="O1538" s="3318"/>
      <c r="P1538" s="3318"/>
      <c r="Q1538" s="3318"/>
    </row>
    <row r="1539" spans="1:17" ht="247.5">
      <c r="A1539" s="3418" t="str">
        <f>'Part VIII-Threshold Criteria'!A445</f>
        <v>The owner, developer, and sponsor of the Mill at Stone Valley agrees to prepare, submit, and operate under the referenced AFFH Marketing Plan, which will be submitted when the property is placed in service.</v>
      </c>
      <c r="B1539" s="3418">
        <f>'Part VIII-Threshold Criteria'!B445</f>
        <v>0</v>
      </c>
      <c r="C1539" s="3418">
        <f>'Part VIII-Threshold Criteria'!C445</f>
        <v>0</v>
      </c>
      <c r="D1539" s="3418">
        <f>'Part VIII-Threshold Criteria'!D445</f>
        <v>0</v>
      </c>
      <c r="E1539" s="3418">
        <f>'Part VIII-Threshold Criteria'!E445</f>
        <v>0</v>
      </c>
      <c r="F1539" s="3418">
        <f>'Part VIII-Threshold Criteria'!F445</f>
        <v>0</v>
      </c>
      <c r="G1539" s="3418">
        <f>'Part VIII-Threshold Criteria'!G445</f>
        <v>0</v>
      </c>
      <c r="H1539" s="3418">
        <f>'Part VIII-Threshold Criteria'!H445</f>
        <v>0</v>
      </c>
      <c r="I1539" s="3418">
        <f>'Part VIII-Threshold Criteria'!I445</f>
        <v>0</v>
      </c>
      <c r="J1539" s="3418">
        <f>'Part VIII-Threshold Criteria'!J445</f>
        <v>0</v>
      </c>
      <c r="K1539" s="3418">
        <f>'Part VIII-Threshold Criteria'!K445</f>
        <v>0</v>
      </c>
      <c r="L1539" s="3418">
        <f>'Part VIII-Threshold Criteria'!L445</f>
        <v>0</v>
      </c>
      <c r="M1539" s="3418">
        <f>'Part VIII-Threshold Criteria'!M445</f>
        <v>0</v>
      </c>
      <c r="N1539" s="3418">
        <f>'Part VIII-Threshold Criteria'!N445</f>
        <v>0</v>
      </c>
      <c r="O1539" s="3418">
        <f>'Part VIII-Threshold Criteria'!O445</f>
        <v>0</v>
      </c>
      <c r="P1539" s="3418">
        <f>'Part VIII-Threshold Criteria'!P445</f>
        <v>0</v>
      </c>
      <c r="Q1539" s="3418">
        <f>'Part VIII-Threshold Criteria'!Q445</f>
        <v>0</v>
      </c>
    </row>
    <row r="1540" spans="1:17">
      <c r="B1540" s="3419" t="s">
        <v>1276</v>
      </c>
      <c r="C1540" s="3420"/>
      <c r="D1540" s="3421"/>
      <c r="E1540" s="3421"/>
      <c r="F1540" s="3421"/>
      <c r="G1540" s="3421"/>
      <c r="H1540" s="3421"/>
      <c r="I1540" s="3421"/>
      <c r="J1540" s="3421"/>
      <c r="K1540" s="3421"/>
      <c r="L1540" s="3421"/>
      <c r="M1540" s="3421"/>
      <c r="N1540" s="3421"/>
      <c r="O1540" s="3421"/>
      <c r="P1540" s="3421"/>
      <c r="Q1540" s="3421"/>
    </row>
    <row r="1541" spans="1:17">
      <c r="A1541" s="3418">
        <f>'Part VIII-Threshold Criteria'!A447</f>
        <v>0</v>
      </c>
      <c r="B1541" s="3418">
        <f>'Part VIII-Threshold Criteria'!B447</f>
        <v>0</v>
      </c>
      <c r="C1541" s="3418">
        <f>'Part VIII-Threshold Criteria'!C447</f>
        <v>0</v>
      </c>
      <c r="D1541" s="3418">
        <f>'Part VIII-Threshold Criteria'!D447</f>
        <v>0</v>
      </c>
      <c r="E1541" s="3418">
        <f>'Part VIII-Threshold Criteria'!E447</f>
        <v>0</v>
      </c>
      <c r="F1541" s="3418">
        <f>'Part VIII-Threshold Criteria'!F447</f>
        <v>0</v>
      </c>
      <c r="G1541" s="3418">
        <f>'Part VIII-Threshold Criteria'!G447</f>
        <v>0</v>
      </c>
      <c r="H1541" s="3418">
        <f>'Part VIII-Threshold Criteria'!H447</f>
        <v>0</v>
      </c>
      <c r="I1541" s="3418">
        <f>'Part VIII-Threshold Criteria'!I447</f>
        <v>0</v>
      </c>
      <c r="J1541" s="3418">
        <f>'Part VIII-Threshold Criteria'!J447</f>
        <v>0</v>
      </c>
      <c r="K1541" s="3418">
        <f>'Part VIII-Threshold Criteria'!K447</f>
        <v>0</v>
      </c>
      <c r="L1541" s="3418">
        <f>'Part VIII-Threshold Criteria'!L447</f>
        <v>0</v>
      </c>
      <c r="M1541" s="3418">
        <f>'Part VIII-Threshold Criteria'!M447</f>
        <v>0</v>
      </c>
      <c r="N1541" s="3418">
        <f>'Part VIII-Threshold Criteria'!N447</f>
        <v>0</v>
      </c>
      <c r="O1541" s="3418">
        <f>'Part VIII-Threshold Criteria'!O447</f>
        <v>0</v>
      </c>
      <c r="P1541" s="3418">
        <f>'Part VIII-Threshold Criteria'!P447</f>
        <v>0</v>
      </c>
      <c r="Q1541" s="3418">
        <f>'Part VIII-Threshold Criteria'!Q447</f>
        <v>0</v>
      </c>
    </row>
    <row r="1542" spans="1:17">
      <c r="A1542" s="3318"/>
      <c r="B1542" s="3416"/>
      <c r="C1542" s="3421"/>
      <c r="D1542" s="3421"/>
      <c r="E1542" s="3421"/>
      <c r="F1542" s="3421"/>
      <c r="G1542" s="3421"/>
      <c r="H1542" s="3421"/>
      <c r="I1542" s="3421"/>
      <c r="J1542" s="3421"/>
      <c r="K1542" s="3421"/>
      <c r="L1542" s="3421"/>
      <c r="M1542" s="3421"/>
      <c r="Q1542" s="3318"/>
    </row>
    <row r="1543" spans="1:17">
      <c r="A1543" s="3301" t="s">
        <v>1627</v>
      </c>
      <c r="B1543" s="3300" t="s">
        <v>1628</v>
      </c>
      <c r="C1543" s="3300"/>
      <c r="D1543" s="3415"/>
      <c r="E1543" s="3421"/>
      <c r="F1543" s="3421"/>
      <c r="G1543" s="3421"/>
      <c r="H1543" s="3421"/>
      <c r="I1543" s="3421"/>
      <c r="J1543" s="3421"/>
      <c r="K1543" s="3421"/>
      <c r="L1543" s="3421"/>
      <c r="M1543" s="3421"/>
      <c r="O1543" s="3417" t="s">
        <v>1273</v>
      </c>
      <c r="P1543" s="3326">
        <f>'Part VIII-Threshold Criteria'!P449</f>
        <v>0</v>
      </c>
      <c r="Q1543" s="3326">
        <f>'Part VIII-Threshold Criteria'!Q449</f>
        <v>0</v>
      </c>
    </row>
    <row r="1544" spans="1:17">
      <c r="A1544" s="3301"/>
      <c r="B1544" s="3355" t="s">
        <v>1274</v>
      </c>
      <c r="D1544" s="3355"/>
      <c r="E1544" s="3355"/>
      <c r="F1544" s="3355"/>
      <c r="G1544" s="3355"/>
      <c r="H1544" s="3354"/>
      <c r="I1544" s="3416"/>
      <c r="J1544" s="3416"/>
      <c r="K1544" s="3416"/>
      <c r="L1544" s="3318"/>
      <c r="M1544" s="3318"/>
      <c r="N1544" s="3318"/>
      <c r="O1544" s="3318"/>
      <c r="P1544" s="3318"/>
      <c r="Q1544" s="3318"/>
    </row>
    <row r="1545" spans="1:17" ht="409.5">
      <c r="A1545" s="3418" t="str">
        <f>'Part VIII-Threshold Criteria'!A451</f>
        <v>The Mill at Stone Valley is in a stable area that brings safe, affordable housing to a community that currently has a need for workforce housing. The total development cost are well below the maximum. The property is located in an area that does not have an inventory of affordable housing. Outside debt has been leveraged as much as possible to offset DCA resources. The Project has maximized the number of units per acre that the zoning allows and it is a high density. The site is in close proximity to many desirables. The market study shows a huge demand for housing stock. Unit sizes, while marketable and functionable, are not oversized.</v>
      </c>
      <c r="B1545" s="3418">
        <f>'Part VIII-Threshold Criteria'!B451</f>
        <v>0</v>
      </c>
      <c r="C1545" s="3418">
        <f>'Part VIII-Threshold Criteria'!C451</f>
        <v>0</v>
      </c>
      <c r="D1545" s="3418">
        <f>'Part VIII-Threshold Criteria'!D451</f>
        <v>0</v>
      </c>
      <c r="E1545" s="3418">
        <f>'Part VIII-Threshold Criteria'!E451</f>
        <v>0</v>
      </c>
      <c r="F1545" s="3418">
        <f>'Part VIII-Threshold Criteria'!F451</f>
        <v>0</v>
      </c>
      <c r="G1545" s="3418">
        <f>'Part VIII-Threshold Criteria'!G451</f>
        <v>0</v>
      </c>
      <c r="H1545" s="3418">
        <f>'Part VIII-Threshold Criteria'!H451</f>
        <v>0</v>
      </c>
      <c r="I1545" s="3418">
        <f>'Part VIII-Threshold Criteria'!I451</f>
        <v>0</v>
      </c>
      <c r="J1545" s="3418">
        <f>'Part VIII-Threshold Criteria'!J451</f>
        <v>0</v>
      </c>
      <c r="K1545" s="3418">
        <f>'Part VIII-Threshold Criteria'!K451</f>
        <v>0</v>
      </c>
      <c r="L1545" s="3418">
        <f>'Part VIII-Threshold Criteria'!L451</f>
        <v>0</v>
      </c>
      <c r="M1545" s="3418">
        <f>'Part VIII-Threshold Criteria'!M451</f>
        <v>0</v>
      </c>
      <c r="N1545" s="3418">
        <f>'Part VIII-Threshold Criteria'!N451</f>
        <v>0</v>
      </c>
      <c r="O1545" s="3418">
        <f>'Part VIII-Threshold Criteria'!O451</f>
        <v>0</v>
      </c>
      <c r="P1545" s="3418">
        <f>'Part VIII-Threshold Criteria'!P451</f>
        <v>0</v>
      </c>
      <c r="Q1545" s="3418">
        <f>'Part VIII-Threshold Criteria'!Q451</f>
        <v>0</v>
      </c>
    </row>
    <row r="1546" spans="1:17">
      <c r="B1546" s="3419" t="s">
        <v>1276</v>
      </c>
      <c r="C1546" s="3420"/>
      <c r="D1546" s="3421"/>
      <c r="E1546" s="3421"/>
      <c r="F1546" s="3421"/>
      <c r="G1546" s="3421"/>
      <c r="H1546" s="3421"/>
      <c r="I1546" s="3421"/>
      <c r="J1546" s="3421"/>
      <c r="K1546" s="3421"/>
      <c r="L1546" s="3421"/>
      <c r="M1546" s="3421"/>
      <c r="N1546" s="3421"/>
      <c r="O1546" s="3421"/>
      <c r="P1546" s="3421"/>
      <c r="Q1546" s="3421"/>
    </row>
    <row r="1547" spans="1:17">
      <c r="A1547" s="3418">
        <f>'Part VIII-Threshold Criteria'!A453</f>
        <v>0</v>
      </c>
      <c r="B1547" s="3418">
        <f>'Part VIII-Threshold Criteria'!B453</f>
        <v>0</v>
      </c>
      <c r="C1547" s="3418">
        <f>'Part VIII-Threshold Criteria'!C453</f>
        <v>0</v>
      </c>
      <c r="D1547" s="3418">
        <f>'Part VIII-Threshold Criteria'!D453</f>
        <v>0</v>
      </c>
      <c r="E1547" s="3418">
        <f>'Part VIII-Threshold Criteria'!E453</f>
        <v>0</v>
      </c>
      <c r="F1547" s="3418">
        <f>'Part VIII-Threshold Criteria'!F453</f>
        <v>0</v>
      </c>
      <c r="G1547" s="3418">
        <f>'Part VIII-Threshold Criteria'!G453</f>
        <v>0</v>
      </c>
      <c r="H1547" s="3418">
        <f>'Part VIII-Threshold Criteria'!H453</f>
        <v>0</v>
      </c>
      <c r="I1547" s="3418">
        <f>'Part VIII-Threshold Criteria'!I453</f>
        <v>0</v>
      </c>
      <c r="J1547" s="3418">
        <f>'Part VIII-Threshold Criteria'!J453</f>
        <v>0</v>
      </c>
      <c r="K1547" s="3418">
        <f>'Part VIII-Threshold Criteria'!K453</f>
        <v>0</v>
      </c>
      <c r="L1547" s="3418">
        <f>'Part VIII-Threshold Criteria'!L453</f>
        <v>0</v>
      </c>
      <c r="M1547" s="3418">
        <f>'Part VIII-Threshold Criteria'!M453</f>
        <v>0</v>
      </c>
      <c r="N1547" s="3418">
        <f>'Part VIII-Threshold Criteria'!N453</f>
        <v>0</v>
      </c>
      <c r="O1547" s="3418">
        <f>'Part VIII-Threshold Criteria'!O453</f>
        <v>0</v>
      </c>
      <c r="P1547" s="3418">
        <f>'Part VIII-Threshold Criteria'!P453</f>
        <v>0</v>
      </c>
      <c r="Q1547" s="3418">
        <f>'Part VIII-Threshold Criteria'!Q453</f>
        <v>0</v>
      </c>
    </row>
    <row r="1555" spans="1:26">
      <c r="A1555" s="3300" t="str">
        <f>CONCATENATE("PART NINE - SCORING CRITERIA","  -  ",'Part I-Project Information'!$O$6," ",'Part I-Project Information'!$F$34,", ",'Part I-Project Information'!F1592,", ",'Part I-Project Information'!J1593," County")</f>
        <v>PART NINE - SCORING CRITERIA  -  2018-008 Mill at Stone Valley, ,  County</v>
      </c>
      <c r="B1555" s="3300"/>
      <c r="C1555" s="3300"/>
      <c r="D1555" s="3300"/>
      <c r="E1555" s="3300"/>
      <c r="F1555" s="3300"/>
      <c r="G1555" s="3300"/>
      <c r="H1555" s="3300"/>
      <c r="I1555" s="3300"/>
      <c r="J1555" s="3300"/>
      <c r="K1555" s="3300"/>
      <c r="L1555" s="3300"/>
      <c r="M1555" s="3300"/>
      <c r="N1555" s="3300"/>
      <c r="O1555" s="3300"/>
      <c r="P1555" s="3300"/>
    </row>
    <row r="1556" spans="1:26">
      <c r="A1556" s="358"/>
      <c r="B1556" s="358"/>
      <c r="C1556" s="3499"/>
      <c r="D1556" s="358"/>
      <c r="E1556" s="358"/>
      <c r="F1556" s="358"/>
      <c r="G1556" s="358"/>
      <c r="H1556" s="358"/>
      <c r="I1556" s="358"/>
      <c r="J1556" s="358"/>
      <c r="K1556" s="358"/>
      <c r="L1556" s="358"/>
      <c r="M1556" s="3416"/>
      <c r="N1556" s="3310"/>
      <c r="O1556" s="3319"/>
      <c r="P1556" s="3319"/>
    </row>
    <row r="1557" spans="1:26" ht="12.75" customHeight="1">
      <c r="A1557" s="3343" t="s">
        <v>4803</v>
      </c>
      <c r="B1557" s="3343"/>
      <c r="C1557" s="3343"/>
      <c r="D1557" s="3343"/>
      <c r="E1557" s="3343"/>
      <c r="F1557" s="3343"/>
      <c r="G1557" s="3343"/>
      <c r="H1557" s="3343"/>
      <c r="I1557" s="3343"/>
      <c r="J1557" s="3343"/>
      <c r="K1557" s="3343"/>
      <c r="L1557" s="3343"/>
      <c r="M1557" s="3324" t="s">
        <v>1745</v>
      </c>
      <c r="N1557" s="3310"/>
      <c r="O1557" s="3319" t="s">
        <v>1746</v>
      </c>
      <c r="P1557" s="3319" t="s">
        <v>1293</v>
      </c>
      <c r="Q1557" s="3111"/>
      <c r="R1557" s="3111"/>
      <c r="S1557" s="3111"/>
      <c r="T1557" s="3111"/>
      <c r="U1557" s="3111"/>
      <c r="V1557" s="3111"/>
      <c r="W1557" s="3111"/>
      <c r="X1557" s="3111"/>
      <c r="Y1557" s="3111"/>
      <c r="Z1557" s="3111"/>
    </row>
    <row r="1558" spans="1:26" ht="14.25">
      <c r="A1558" s="3343"/>
      <c r="B1558" s="3343"/>
      <c r="C1558" s="3343"/>
      <c r="D1558" s="3343"/>
      <c r="E1558" s="3343"/>
      <c r="F1558" s="3343"/>
      <c r="G1558" s="3343"/>
      <c r="H1558" s="3343"/>
      <c r="I1558" s="3343"/>
      <c r="J1558" s="3343"/>
      <c r="K1558" s="3343"/>
      <c r="L1558" s="3343"/>
      <c r="M1558" s="3324" t="s">
        <v>1747</v>
      </c>
      <c r="N1558" s="3300"/>
      <c r="O1558" s="3319" t="s">
        <v>1745</v>
      </c>
      <c r="P1558" s="3319" t="s">
        <v>1745</v>
      </c>
      <c r="Q1558" s="3500"/>
      <c r="R1558" s="3111"/>
      <c r="S1558" s="3111"/>
      <c r="T1558" s="3111"/>
      <c r="U1558" s="3111"/>
      <c r="V1558" s="3111"/>
      <c r="W1558" s="3500"/>
      <c r="X1558" s="3500"/>
      <c r="Y1558" s="3500"/>
      <c r="Z1558" s="3500"/>
    </row>
    <row r="1559" spans="1:26" ht="14.25">
      <c r="A1559" s="3111"/>
      <c r="B1559" s="3111"/>
      <c r="C1559" s="3111"/>
      <c r="D1559" s="3111"/>
      <c r="E1559" s="3111"/>
      <c r="F1559" s="3111"/>
      <c r="G1559" s="3111"/>
      <c r="H1559" s="3111"/>
      <c r="I1559" s="3111"/>
      <c r="J1559" s="3111"/>
      <c r="K1559" s="3111"/>
      <c r="L1559" s="3500"/>
      <c r="M1559" s="3501"/>
      <c r="N1559" s="3300"/>
      <c r="O1559" s="3319"/>
      <c r="P1559" s="3308"/>
      <c r="Q1559" s="3500"/>
      <c r="R1559" s="3500"/>
      <c r="S1559" s="3500"/>
      <c r="T1559" s="3500"/>
      <c r="U1559" s="3500"/>
      <c r="V1559" s="3500"/>
      <c r="W1559" s="3500"/>
      <c r="X1559" s="3500"/>
      <c r="Y1559" s="3500"/>
      <c r="Z1559" s="3500"/>
    </row>
    <row r="1560" spans="1:26" ht="15.75">
      <c r="A1560" s="3111"/>
      <c r="B1560" s="3111"/>
      <c r="C1560" s="3111"/>
      <c r="D1560" s="3111"/>
      <c r="E1560" s="3111"/>
      <c r="F1560" s="3111"/>
      <c r="G1560" s="3111"/>
      <c r="H1560" s="3111"/>
      <c r="I1560" s="3111"/>
      <c r="J1560" s="3111"/>
      <c r="K1560" s="3500"/>
      <c r="L1560" s="3502" t="s">
        <v>1748</v>
      </c>
      <c r="M1560" s="3503">
        <f>M1995</f>
        <v>95</v>
      </c>
      <c r="N1560" s="3379"/>
      <c r="O1560" s="3503">
        <f>O1995</f>
        <v>55</v>
      </c>
      <c r="P1560" s="3503">
        <f>P1995</f>
        <v>20</v>
      </c>
      <c r="Q1560" s="3500"/>
      <c r="R1560" s="3500"/>
      <c r="S1560" s="3500"/>
      <c r="T1560" s="3500"/>
      <c r="U1560" s="3500"/>
      <c r="V1560" s="3500"/>
      <c r="W1560" s="3500"/>
      <c r="X1560" s="3500"/>
      <c r="Y1560" s="3500"/>
      <c r="Z1560" s="3500"/>
    </row>
    <row r="1561" spans="1:26" ht="15">
      <c r="A1561" s="3111"/>
      <c r="B1561" s="3457"/>
      <c r="C1561" s="358"/>
      <c r="D1561" s="3312"/>
      <c r="E1561" s="3312"/>
      <c r="F1561" s="3312"/>
      <c r="G1561" s="3312"/>
      <c r="H1561" s="3312"/>
      <c r="I1561" s="3312"/>
      <c r="J1561" s="3312"/>
      <c r="K1561" s="3312"/>
      <c r="L1561" s="3111"/>
      <c r="M1561" s="3310"/>
      <c r="N1561" s="3306"/>
      <c r="O1561" s="3503"/>
      <c r="P1561" s="3319"/>
      <c r="Q1561" s="3504"/>
      <c r="R1561" s="3111"/>
      <c r="S1561" s="3111"/>
      <c r="T1561" s="3504"/>
      <c r="U1561" s="3504"/>
      <c r="V1561" s="3504"/>
      <c r="W1561" s="3504"/>
      <c r="X1561" s="3504"/>
      <c r="Y1561" s="3504"/>
      <c r="Z1561" s="3504"/>
    </row>
    <row r="1562" spans="1:26">
      <c r="A1562" s="3505" t="s">
        <v>9</v>
      </c>
      <c r="B1562" s="3506" t="s">
        <v>1749</v>
      </c>
      <c r="C1562" s="3300"/>
      <c r="D1562" s="3300"/>
      <c r="E1562" s="3300"/>
      <c r="F1562" s="3416"/>
      <c r="G1562" s="3111"/>
      <c r="H1562" s="3382" t="s">
        <v>4804</v>
      </c>
      <c r="I1562" s="3111"/>
      <c r="J1562" s="3111"/>
      <c r="K1562" s="3111"/>
      <c r="L1562" s="3111"/>
      <c r="M1562" s="3319">
        <v>10</v>
      </c>
      <c r="N1562" s="3507"/>
      <c r="O1562" s="3503">
        <f>'Part IX A-Scoring Criteria'!O8</f>
        <v>10</v>
      </c>
      <c r="P1562" s="3503">
        <f>'Part IX A-Scoring Criteria'!P8</f>
        <v>10</v>
      </c>
      <c r="Q1562" s="3319" t="s">
        <v>834</v>
      </c>
      <c r="R1562" s="3111"/>
      <c r="S1562" s="3111"/>
      <c r="T1562" s="3111"/>
      <c r="U1562" s="3111"/>
      <c r="V1562" s="3111"/>
      <c r="W1562" s="3111"/>
      <c r="X1562" s="3111"/>
      <c r="Y1562" s="3111"/>
      <c r="Z1562" s="3111"/>
    </row>
    <row r="1563" spans="1:26" ht="15">
      <c r="A1563" s="3111"/>
      <c r="B1563" s="3457"/>
      <c r="C1563" s="358"/>
      <c r="D1563" s="3312"/>
      <c r="E1563" s="3312"/>
      <c r="F1563" s="3312"/>
      <c r="G1563" s="3312"/>
      <c r="H1563" s="3312"/>
      <c r="I1563" s="3312"/>
      <c r="J1563" s="3312"/>
      <c r="K1563" s="3312"/>
      <c r="L1563" s="3111"/>
      <c r="M1563" s="3310"/>
      <c r="N1563" s="3306"/>
      <c r="O1563" s="3503"/>
      <c r="P1563" s="3319"/>
      <c r="Q1563" s="3504"/>
      <c r="R1563" s="3111"/>
      <c r="S1563" s="3111"/>
      <c r="T1563" s="3504"/>
      <c r="U1563" s="3504"/>
      <c r="V1563" s="3504"/>
      <c r="W1563" s="3504"/>
      <c r="X1563" s="3504"/>
      <c r="Y1563" s="3504"/>
      <c r="Z1563" s="3504"/>
    </row>
    <row r="1564" spans="1:26">
      <c r="A1564" s="3337" t="s">
        <v>110</v>
      </c>
      <c r="B1564" s="3326" t="s">
        <v>1751</v>
      </c>
      <c r="C1564" s="3111"/>
      <c r="D1564" s="3312"/>
      <c r="E1564" s="3312"/>
      <c r="F1564" s="3416"/>
      <c r="G1564" s="3111"/>
      <c r="H1564" s="3113" t="s">
        <v>1752</v>
      </c>
      <c r="I1564" s="3111"/>
      <c r="J1564" s="3111"/>
      <c r="K1564" s="3111"/>
      <c r="L1564" s="3111"/>
      <c r="M1564" s="3310"/>
      <c r="N1564" s="3459" t="s">
        <v>110</v>
      </c>
      <c r="O1564" s="3322">
        <f>'Part IX A-Scoring Criteria'!O10</f>
        <v>0</v>
      </c>
      <c r="P1564" s="3322">
        <f>F1569</f>
        <v>0</v>
      </c>
      <c r="Q1564" s="3111"/>
      <c r="R1564" s="3111"/>
      <c r="S1564" s="3111"/>
      <c r="T1564" s="3111"/>
      <c r="U1564" s="3111"/>
      <c r="V1564" s="3111"/>
      <c r="W1564" s="3111"/>
      <c r="X1564" s="3111"/>
      <c r="Y1564" s="3111"/>
      <c r="Z1564" s="3111"/>
    </row>
    <row r="1565" spans="1:26" ht="15">
      <c r="A1565" s="3337"/>
      <c r="B1565" s="3504"/>
      <c r="C1565" s="3312" t="s">
        <v>1753</v>
      </c>
      <c r="D1565" s="3312"/>
      <c r="E1565" s="3312"/>
      <c r="F1565" s="3416"/>
      <c r="G1565" s="3504"/>
      <c r="H1565" s="3113" t="s">
        <v>1754</v>
      </c>
      <c r="I1565" s="3504"/>
      <c r="J1565" s="3382"/>
      <c r="K1565" s="3504"/>
      <c r="L1565" s="3504"/>
      <c r="M1565" s="3310">
        <v>1</v>
      </c>
      <c r="N1565" s="3459"/>
      <c r="O1565" s="3322">
        <f>'Part IX A-Scoring Criteria'!O11</f>
        <v>0</v>
      </c>
      <c r="P1565" s="3322">
        <f>J1569</f>
        <v>0</v>
      </c>
      <c r="Q1565" s="3504"/>
      <c r="R1565" s="3504"/>
      <c r="S1565" s="3504"/>
      <c r="T1565" s="3504"/>
      <c r="U1565" s="3504"/>
      <c r="V1565" s="3504"/>
      <c r="W1565" s="3504"/>
      <c r="X1565" s="3504"/>
      <c r="Y1565" s="3504"/>
      <c r="Z1565" s="3504"/>
    </row>
    <row r="1566" spans="1:26">
      <c r="A1566" s="3337" t="s">
        <v>121</v>
      </c>
      <c r="B1566" s="3326" t="s">
        <v>1755</v>
      </c>
      <c r="C1566" s="3111"/>
      <c r="D1566" s="3312"/>
      <c r="E1566" s="3312"/>
      <c r="F1566" s="3416"/>
      <c r="G1566" s="3111"/>
      <c r="H1566" s="3113" t="s">
        <v>4805</v>
      </c>
      <c r="I1566" s="3111"/>
      <c r="J1566" s="3382"/>
      <c r="K1566" s="3111"/>
      <c r="L1566" s="3111"/>
      <c r="M1566" s="3310"/>
      <c r="N1566" s="3459" t="s">
        <v>121</v>
      </c>
      <c r="O1566" s="3322">
        <f>'Part IX A-Scoring Criteria'!O12</f>
        <v>0</v>
      </c>
      <c r="P1566" s="3322">
        <f>O1569</f>
        <v>0</v>
      </c>
      <c r="Q1566" s="3111"/>
      <c r="R1566" s="3111"/>
      <c r="S1566" s="3111"/>
      <c r="T1566" s="3111"/>
      <c r="U1566" s="3111"/>
      <c r="V1566" s="3111"/>
      <c r="W1566" s="3111"/>
      <c r="X1566" s="3111"/>
      <c r="Y1566" s="3111"/>
      <c r="Z1566" s="3111"/>
    </row>
    <row r="1567" spans="1:26" ht="20.25">
      <c r="A1567" s="3382"/>
      <c r="B1567" s="3111"/>
      <c r="C1567" s="3312" t="s">
        <v>1757</v>
      </c>
      <c r="D1567" s="358"/>
      <c r="E1567" s="358"/>
      <c r="F1567" s="358"/>
      <c r="G1567" s="3382"/>
      <c r="H1567" s="3113" t="s">
        <v>4805</v>
      </c>
      <c r="I1567" s="3382"/>
      <c r="J1567" s="3382"/>
      <c r="K1567" s="3382"/>
      <c r="L1567" s="3382"/>
      <c r="M1567" s="3382"/>
      <c r="N1567" s="3382"/>
      <c r="O1567" s="3322">
        <f>'Part IX A-Scoring Criteria'!O13</f>
        <v>0</v>
      </c>
      <c r="P1567" s="3322">
        <f>+O1583</f>
        <v>0</v>
      </c>
      <c r="Q1567" s="3111"/>
      <c r="R1567" s="3508"/>
      <c r="S1567" s="3509"/>
      <c r="T1567" s="3111"/>
      <c r="U1567" s="3111"/>
      <c r="V1567" s="3111"/>
      <c r="W1567" s="3111"/>
      <c r="X1567" s="3111"/>
      <c r="Y1567" s="3111"/>
      <c r="Z1567" s="3111"/>
    </row>
    <row r="1568" spans="1:26" ht="20.25" customHeight="1">
      <c r="A1568" s="3343" t="s">
        <v>1758</v>
      </c>
      <c r="B1568" s="3343"/>
      <c r="C1568" s="3343"/>
      <c r="D1568" s="3343"/>
      <c r="E1568" s="3343"/>
      <c r="F1568" s="3416" t="s">
        <v>1759</v>
      </c>
      <c r="G1568" s="3111"/>
      <c r="H1568" s="3111"/>
      <c r="I1568" s="3111"/>
      <c r="J1568" s="3416" t="s">
        <v>1759</v>
      </c>
      <c r="K1568" s="3416"/>
      <c r="L1568" s="3111"/>
      <c r="M1568" s="3111"/>
      <c r="N1568" s="3111"/>
      <c r="O1568" s="358" t="s">
        <v>1759</v>
      </c>
      <c r="P1568" s="358"/>
      <c r="Q1568" s="3111"/>
      <c r="R1568" s="3508"/>
      <c r="S1568" s="3509"/>
      <c r="T1568" s="3111"/>
      <c r="U1568" s="3111"/>
      <c r="V1568" s="3111"/>
      <c r="W1568" s="3111"/>
      <c r="X1568" s="3111"/>
      <c r="Y1568" s="3111"/>
      <c r="Z1568" s="3111"/>
    </row>
    <row r="1569" spans="1:26" ht="20.25" customHeight="1">
      <c r="A1569" s="3343"/>
      <c r="B1569" s="3343"/>
      <c r="C1569" s="3343"/>
      <c r="D1569" s="3343"/>
      <c r="E1569" s="3343"/>
      <c r="F1569" s="3319">
        <f>SUM(F1570:F1581)</f>
        <v>0</v>
      </c>
      <c r="G1569" s="3460" t="s">
        <v>1760</v>
      </c>
      <c r="H1569" s="3460"/>
      <c r="I1569" s="3460"/>
      <c r="J1569" s="3319">
        <f>SUM(J1570:J1581)</f>
        <v>0</v>
      </c>
      <c r="K1569" s="3415" t="s">
        <v>1761</v>
      </c>
      <c r="L1569" s="3415"/>
      <c r="M1569" s="3415"/>
      <c r="N1569" s="3415"/>
      <c r="O1569" s="3300">
        <f>SUM(O1570:O1581)</f>
        <v>0</v>
      </c>
      <c r="P1569" s="3300"/>
      <c r="Q1569" s="3508"/>
      <c r="R1569" s="3509"/>
      <c r="S1569" s="3111"/>
      <c r="T1569" s="3111"/>
      <c r="U1569" s="3111"/>
      <c r="V1569" s="3111"/>
      <c r="W1569" s="3111"/>
      <c r="X1569" s="3111"/>
      <c r="Y1569" s="3111"/>
      <c r="Z1569" s="3111"/>
    </row>
    <row r="1570" spans="1:26" ht="20.25">
      <c r="A1570" s="3189">
        <f>'Part IX A-Scoring Criteria'!A16</f>
        <v>1</v>
      </c>
      <c r="B1570" s="3189">
        <f>'Part IX A-Scoring Criteria'!B16</f>
        <v>0</v>
      </c>
      <c r="C1570" s="3189">
        <f>'Part IX A-Scoring Criteria'!C16</f>
        <v>0</v>
      </c>
      <c r="D1570" s="3189">
        <f>'Part IX A-Scoring Criteria'!D16</f>
        <v>0</v>
      </c>
      <c r="E1570" s="3189">
        <f>'Part IX A-Scoring Criteria'!E16</f>
        <v>0</v>
      </c>
      <c r="F1570" s="3510">
        <f>'Part IX A-Scoring Criteria'!F16</f>
        <v>0</v>
      </c>
      <c r="G1570" s="3189">
        <f>'Part IX A-Scoring Criteria'!G16</f>
        <v>1</v>
      </c>
      <c r="H1570" s="3189">
        <f>'Part IX A-Scoring Criteria'!H16</f>
        <v>0</v>
      </c>
      <c r="I1570" s="3189">
        <f>'Part IX A-Scoring Criteria'!I16</f>
        <v>0</v>
      </c>
      <c r="J1570" s="3511" t="s">
        <v>1762</v>
      </c>
      <c r="K1570" s="3189">
        <f>'Part IX A-Scoring Criteria'!K16</f>
        <v>1</v>
      </c>
      <c r="L1570" s="3189">
        <f>'Part IX A-Scoring Criteria'!L16</f>
        <v>0</v>
      </c>
      <c r="M1570" s="3189">
        <f>'Part IX A-Scoring Criteria'!M16</f>
        <v>0</v>
      </c>
      <c r="N1570" s="3189">
        <f>'Part IX A-Scoring Criteria'!N16</f>
        <v>0</v>
      </c>
      <c r="O1570" s="3493" t="s">
        <v>1762</v>
      </c>
      <c r="P1570" s="3493"/>
      <c r="Q1570" s="3512"/>
      <c r="R1570" s="3509"/>
      <c r="S1570" s="3111"/>
      <c r="T1570" s="3111"/>
      <c r="U1570" s="3111"/>
      <c r="V1570" s="3111"/>
      <c r="W1570" s="3111"/>
      <c r="X1570" s="3111"/>
      <c r="Y1570" s="3111"/>
      <c r="Z1570" s="3111"/>
    </row>
    <row r="1571" spans="1:26" ht="20.25">
      <c r="A1571" s="3189">
        <f>'Part IX A-Scoring Criteria'!A17</f>
        <v>2</v>
      </c>
      <c r="B1571" s="3189">
        <f>'Part IX A-Scoring Criteria'!B17</f>
        <v>0</v>
      </c>
      <c r="C1571" s="3189">
        <f>'Part IX A-Scoring Criteria'!C17</f>
        <v>0</v>
      </c>
      <c r="D1571" s="3189">
        <f>'Part IX A-Scoring Criteria'!D17</f>
        <v>0</v>
      </c>
      <c r="E1571" s="3189">
        <f>'Part IX A-Scoring Criteria'!E17</f>
        <v>0</v>
      </c>
      <c r="F1571" s="3510">
        <f>'Part IX A-Scoring Criteria'!F17</f>
        <v>0</v>
      </c>
      <c r="G1571" s="3189">
        <f>'Part IX A-Scoring Criteria'!G17</f>
        <v>2</v>
      </c>
      <c r="H1571" s="3189">
        <f>'Part IX A-Scoring Criteria'!H17</f>
        <v>0</v>
      </c>
      <c r="I1571" s="3189">
        <f>'Part IX A-Scoring Criteria'!I17</f>
        <v>0</v>
      </c>
      <c r="J1571" s="3510">
        <f>'Part IX A-Scoring Criteria'!J17</f>
        <v>0</v>
      </c>
      <c r="K1571" s="3189">
        <f>'Part IX A-Scoring Criteria'!K17</f>
        <v>2</v>
      </c>
      <c r="L1571" s="3189">
        <f>'Part IX A-Scoring Criteria'!L17</f>
        <v>0</v>
      </c>
      <c r="M1571" s="3189">
        <f>'Part IX A-Scoring Criteria'!M17</f>
        <v>0</v>
      </c>
      <c r="N1571" s="3189">
        <f>'Part IX A-Scoring Criteria'!N17</f>
        <v>0</v>
      </c>
      <c r="O1571" s="3513">
        <f>'Part IX A-Scoring Criteria'!O17</f>
        <v>0</v>
      </c>
      <c r="P1571" s="3513">
        <f>'Part IX A-Scoring Criteria'!P17</f>
        <v>0</v>
      </c>
      <c r="Q1571" s="3512"/>
      <c r="R1571" s="3509"/>
      <c r="S1571" s="3111"/>
      <c r="T1571" s="3111"/>
      <c r="U1571" s="3111"/>
      <c r="V1571" s="3111"/>
      <c r="W1571" s="3111"/>
      <c r="X1571" s="3111"/>
      <c r="Y1571" s="3111"/>
      <c r="Z1571" s="3111"/>
    </row>
    <row r="1572" spans="1:26" ht="20.25">
      <c r="A1572" s="3189">
        <f>'Part IX A-Scoring Criteria'!A18</f>
        <v>3</v>
      </c>
      <c r="B1572" s="3189">
        <f>'Part IX A-Scoring Criteria'!B18</f>
        <v>0</v>
      </c>
      <c r="C1572" s="3189">
        <f>'Part IX A-Scoring Criteria'!C18</f>
        <v>0</v>
      </c>
      <c r="D1572" s="3189">
        <f>'Part IX A-Scoring Criteria'!D18</f>
        <v>0</v>
      </c>
      <c r="E1572" s="3189">
        <f>'Part IX A-Scoring Criteria'!E18</f>
        <v>0</v>
      </c>
      <c r="F1572" s="3510">
        <f>'Part IX A-Scoring Criteria'!F18</f>
        <v>0</v>
      </c>
      <c r="G1572" s="3189">
        <f>'Part IX A-Scoring Criteria'!G18</f>
        <v>3</v>
      </c>
      <c r="H1572" s="3189">
        <f>'Part IX A-Scoring Criteria'!H18</f>
        <v>0</v>
      </c>
      <c r="I1572" s="3189">
        <f>'Part IX A-Scoring Criteria'!I18</f>
        <v>0</v>
      </c>
      <c r="J1572" s="3514" t="s">
        <v>1763</v>
      </c>
      <c r="K1572" s="3189">
        <f>'Part IX A-Scoring Criteria'!K18</f>
        <v>3</v>
      </c>
      <c r="L1572" s="3189">
        <f>'Part IX A-Scoring Criteria'!L18</f>
        <v>0</v>
      </c>
      <c r="M1572" s="3189">
        <f>'Part IX A-Scoring Criteria'!M18</f>
        <v>0</v>
      </c>
      <c r="N1572" s="3189">
        <f>'Part IX A-Scoring Criteria'!N18</f>
        <v>0</v>
      </c>
      <c r="O1572" s="3493" t="s">
        <v>1763</v>
      </c>
      <c r="P1572" s="3493"/>
      <c r="Q1572" s="3512"/>
      <c r="R1572" s="3509"/>
      <c r="S1572" s="3111"/>
      <c r="T1572" s="3111"/>
      <c r="U1572" s="3111"/>
      <c r="V1572" s="3111"/>
      <c r="W1572" s="3111"/>
      <c r="X1572" s="3111"/>
      <c r="Y1572" s="3111"/>
      <c r="Z1572" s="3111"/>
    </row>
    <row r="1573" spans="1:26" ht="20.25" customHeight="1">
      <c r="A1573" s="3189">
        <f>'Part IX A-Scoring Criteria'!A19</f>
        <v>4</v>
      </c>
      <c r="B1573" s="3189">
        <f>'Part IX A-Scoring Criteria'!B19</f>
        <v>0</v>
      </c>
      <c r="C1573" s="3189">
        <f>'Part IX A-Scoring Criteria'!C19</f>
        <v>0</v>
      </c>
      <c r="D1573" s="3189">
        <f>'Part IX A-Scoring Criteria'!D19</f>
        <v>0</v>
      </c>
      <c r="E1573" s="3189">
        <f>'Part IX A-Scoring Criteria'!E19</f>
        <v>0</v>
      </c>
      <c r="F1573" s="3510">
        <f>'Part IX A-Scoring Criteria'!F19</f>
        <v>0</v>
      </c>
      <c r="G1573" s="3189">
        <f>'Part IX A-Scoring Criteria'!G19</f>
        <v>4</v>
      </c>
      <c r="H1573" s="3189">
        <f>'Part IX A-Scoring Criteria'!H19</f>
        <v>0</v>
      </c>
      <c r="I1573" s="3189">
        <f>'Part IX A-Scoring Criteria'!I19</f>
        <v>0</v>
      </c>
      <c r="J1573" s="3510">
        <f>'Part IX A-Scoring Criteria'!J19</f>
        <v>0</v>
      </c>
      <c r="K1573" s="3189">
        <f>'Part IX A-Scoring Criteria'!K19</f>
        <v>4</v>
      </c>
      <c r="L1573" s="3189">
        <f>'Part IX A-Scoring Criteria'!L19</f>
        <v>0</v>
      </c>
      <c r="M1573" s="3189">
        <f>'Part IX A-Scoring Criteria'!M19</f>
        <v>0</v>
      </c>
      <c r="N1573" s="3189">
        <f>'Part IX A-Scoring Criteria'!N19</f>
        <v>0</v>
      </c>
      <c r="O1573" s="3493" t="s">
        <v>1763</v>
      </c>
      <c r="P1573" s="3493"/>
      <c r="Q1573" s="3512"/>
      <c r="R1573" s="3509"/>
      <c r="S1573" s="3111"/>
      <c r="T1573" s="3111"/>
      <c r="U1573" s="3111"/>
      <c r="V1573" s="3111"/>
      <c r="W1573" s="3111"/>
      <c r="X1573" s="3111"/>
      <c r="Y1573" s="3111"/>
      <c r="Z1573" s="3111"/>
    </row>
    <row r="1574" spans="1:26" ht="20.25">
      <c r="A1574" s="3189">
        <f>'Part IX A-Scoring Criteria'!A20</f>
        <v>5</v>
      </c>
      <c r="B1574" s="3189">
        <f>'Part IX A-Scoring Criteria'!B20</f>
        <v>0</v>
      </c>
      <c r="C1574" s="3189">
        <f>'Part IX A-Scoring Criteria'!C20</f>
        <v>0</v>
      </c>
      <c r="D1574" s="3189">
        <f>'Part IX A-Scoring Criteria'!D20</f>
        <v>0</v>
      </c>
      <c r="E1574" s="3189">
        <f>'Part IX A-Scoring Criteria'!E20</f>
        <v>0</v>
      </c>
      <c r="F1574" s="3510">
        <f>'Part IX A-Scoring Criteria'!F20</f>
        <v>0</v>
      </c>
      <c r="G1574" s="3189">
        <f>'Part IX A-Scoring Criteria'!G20</f>
        <v>5</v>
      </c>
      <c r="H1574" s="3189">
        <f>'Part IX A-Scoring Criteria'!H20</f>
        <v>0</v>
      </c>
      <c r="I1574" s="3189">
        <f>'Part IX A-Scoring Criteria'!I20</f>
        <v>0</v>
      </c>
      <c r="J1574" s="3514" t="s">
        <v>1764</v>
      </c>
      <c r="K1574" s="3189">
        <f>'Part IX A-Scoring Criteria'!K20</f>
        <v>5</v>
      </c>
      <c r="L1574" s="3189">
        <f>'Part IX A-Scoring Criteria'!L20</f>
        <v>0</v>
      </c>
      <c r="M1574" s="3189">
        <f>'Part IX A-Scoring Criteria'!M20</f>
        <v>0</v>
      </c>
      <c r="N1574" s="3189">
        <f>'Part IX A-Scoring Criteria'!N20</f>
        <v>0</v>
      </c>
      <c r="O1574" s="3513">
        <f>'Part IX A-Scoring Criteria'!O20</f>
        <v>0</v>
      </c>
      <c r="P1574" s="3513">
        <f>'Part IX A-Scoring Criteria'!P20</f>
        <v>0</v>
      </c>
      <c r="Q1574" s="3509"/>
      <c r="R1574" s="3509"/>
      <c r="S1574" s="3111"/>
      <c r="T1574" s="3111"/>
      <c r="U1574" s="3111"/>
      <c r="V1574" s="3111"/>
      <c r="W1574" s="3111"/>
      <c r="X1574" s="3111"/>
      <c r="Y1574" s="3111"/>
      <c r="Z1574" s="3111"/>
    </row>
    <row r="1575" spans="1:26" ht="20.25">
      <c r="A1575" s="3189">
        <f>'Part IX A-Scoring Criteria'!A21</f>
        <v>6</v>
      </c>
      <c r="B1575" s="3189">
        <f>'Part IX A-Scoring Criteria'!B21</f>
        <v>0</v>
      </c>
      <c r="C1575" s="3189">
        <f>'Part IX A-Scoring Criteria'!C21</f>
        <v>0</v>
      </c>
      <c r="D1575" s="3189">
        <f>'Part IX A-Scoring Criteria'!D21</f>
        <v>0</v>
      </c>
      <c r="E1575" s="3189">
        <f>'Part IX A-Scoring Criteria'!E21</f>
        <v>0</v>
      </c>
      <c r="F1575" s="3510">
        <f>'Part IX A-Scoring Criteria'!F21</f>
        <v>0</v>
      </c>
      <c r="G1575" s="3189">
        <f>'Part IX A-Scoring Criteria'!G21</f>
        <v>6</v>
      </c>
      <c r="H1575" s="3189">
        <f>'Part IX A-Scoring Criteria'!H21</f>
        <v>0</v>
      </c>
      <c r="I1575" s="3189">
        <f>'Part IX A-Scoring Criteria'!I21</f>
        <v>0</v>
      </c>
      <c r="J1575" s="3510">
        <f>'Part IX A-Scoring Criteria'!J21</f>
        <v>0</v>
      </c>
      <c r="K1575" s="3189">
        <f>'Part IX A-Scoring Criteria'!K21</f>
        <v>6</v>
      </c>
      <c r="L1575" s="3189">
        <f>'Part IX A-Scoring Criteria'!L21</f>
        <v>0</v>
      </c>
      <c r="M1575" s="3189">
        <f>'Part IX A-Scoring Criteria'!M21</f>
        <v>0</v>
      </c>
      <c r="N1575" s="3189">
        <f>'Part IX A-Scoring Criteria'!N21</f>
        <v>0</v>
      </c>
      <c r="O1575" s="3513">
        <f>'Part IX A-Scoring Criteria'!O21</f>
        <v>0</v>
      </c>
      <c r="P1575" s="3513">
        <f>'Part IX A-Scoring Criteria'!P21</f>
        <v>0</v>
      </c>
      <c r="Q1575" s="3509"/>
      <c r="R1575" s="3509"/>
      <c r="S1575" s="3111"/>
      <c r="T1575" s="3111"/>
      <c r="U1575" s="3111"/>
      <c r="V1575" s="3111"/>
      <c r="W1575" s="3111"/>
      <c r="X1575" s="3111"/>
      <c r="Y1575" s="3111"/>
      <c r="Z1575" s="3111"/>
    </row>
    <row r="1576" spans="1:26" ht="20.25">
      <c r="A1576" s="3189">
        <f>'Part IX A-Scoring Criteria'!A22</f>
        <v>7</v>
      </c>
      <c r="B1576" s="3189">
        <f>'Part IX A-Scoring Criteria'!B22</f>
        <v>0</v>
      </c>
      <c r="C1576" s="3189">
        <f>'Part IX A-Scoring Criteria'!C22</f>
        <v>0</v>
      </c>
      <c r="D1576" s="3189">
        <f>'Part IX A-Scoring Criteria'!D22</f>
        <v>0</v>
      </c>
      <c r="E1576" s="3189">
        <f>'Part IX A-Scoring Criteria'!E22</f>
        <v>0</v>
      </c>
      <c r="F1576" s="3510">
        <f>'Part IX A-Scoring Criteria'!F22</f>
        <v>0</v>
      </c>
      <c r="G1576" s="3189">
        <f>'Part IX A-Scoring Criteria'!G22</f>
        <v>7</v>
      </c>
      <c r="H1576" s="3189">
        <f>'Part IX A-Scoring Criteria'!H22</f>
        <v>0</v>
      </c>
      <c r="I1576" s="3189">
        <f>'Part IX A-Scoring Criteria'!I22</f>
        <v>0</v>
      </c>
      <c r="J1576" s="3514" t="s">
        <v>1765</v>
      </c>
      <c r="K1576" s="3189">
        <f>'Part IX A-Scoring Criteria'!K22</f>
        <v>7</v>
      </c>
      <c r="L1576" s="3189">
        <f>'Part IX A-Scoring Criteria'!L22</f>
        <v>0</v>
      </c>
      <c r="M1576" s="3189">
        <f>'Part IX A-Scoring Criteria'!M22</f>
        <v>0</v>
      </c>
      <c r="N1576" s="3189">
        <f>'Part IX A-Scoring Criteria'!N22</f>
        <v>0</v>
      </c>
      <c r="O1576" s="3513">
        <f>'Part IX A-Scoring Criteria'!O22</f>
        <v>0</v>
      </c>
      <c r="P1576" s="3513">
        <f>'Part IX A-Scoring Criteria'!P22</f>
        <v>0</v>
      </c>
      <c r="Q1576" s="3509"/>
      <c r="R1576" s="3509"/>
      <c r="S1576" s="3111"/>
      <c r="T1576" s="3111"/>
      <c r="U1576" s="3111"/>
      <c r="V1576" s="3111"/>
      <c r="W1576" s="3111"/>
      <c r="X1576" s="3111"/>
      <c r="Y1576" s="3111"/>
      <c r="Z1576" s="3111"/>
    </row>
    <row r="1577" spans="1:26" ht="20.25">
      <c r="A1577" s="3189">
        <f>'Part IX A-Scoring Criteria'!A23</f>
        <v>8</v>
      </c>
      <c r="B1577" s="3189">
        <f>'Part IX A-Scoring Criteria'!B23</f>
        <v>0</v>
      </c>
      <c r="C1577" s="3189">
        <f>'Part IX A-Scoring Criteria'!C23</f>
        <v>0</v>
      </c>
      <c r="D1577" s="3189">
        <f>'Part IX A-Scoring Criteria'!D23</f>
        <v>0</v>
      </c>
      <c r="E1577" s="3189">
        <f>'Part IX A-Scoring Criteria'!E23</f>
        <v>0</v>
      </c>
      <c r="F1577" s="3510">
        <f>'Part IX A-Scoring Criteria'!F23</f>
        <v>0</v>
      </c>
      <c r="G1577" s="3189">
        <f>'Part IX A-Scoring Criteria'!G23</f>
        <v>8</v>
      </c>
      <c r="H1577" s="3189">
        <f>'Part IX A-Scoring Criteria'!H23</f>
        <v>0</v>
      </c>
      <c r="I1577" s="3189">
        <f>'Part IX A-Scoring Criteria'!I23</f>
        <v>0</v>
      </c>
      <c r="J1577" s="3510">
        <f>'Part IX A-Scoring Criteria'!J23</f>
        <v>0</v>
      </c>
      <c r="K1577" s="3189">
        <f>'Part IX A-Scoring Criteria'!K23</f>
        <v>8</v>
      </c>
      <c r="L1577" s="3189">
        <f>'Part IX A-Scoring Criteria'!L23</f>
        <v>0</v>
      </c>
      <c r="M1577" s="3189">
        <f>'Part IX A-Scoring Criteria'!M23</f>
        <v>0</v>
      </c>
      <c r="N1577" s="3189">
        <f>'Part IX A-Scoring Criteria'!N23</f>
        <v>0</v>
      </c>
      <c r="O1577" s="3513">
        <f>'Part IX A-Scoring Criteria'!O23</f>
        <v>0</v>
      </c>
      <c r="P1577" s="3513">
        <f>'Part IX A-Scoring Criteria'!P23</f>
        <v>0</v>
      </c>
      <c r="Q1577" s="3509"/>
      <c r="R1577" s="3509"/>
      <c r="S1577" s="3111"/>
      <c r="T1577" s="3111"/>
      <c r="U1577" s="3111"/>
      <c r="V1577" s="3111"/>
      <c r="W1577" s="3111"/>
      <c r="X1577" s="3111"/>
      <c r="Y1577" s="3111"/>
      <c r="Z1577" s="3111"/>
    </row>
    <row r="1578" spans="1:26" ht="20.25">
      <c r="A1578" s="3189">
        <f>'Part IX A-Scoring Criteria'!A24</f>
        <v>9</v>
      </c>
      <c r="B1578" s="3189">
        <f>'Part IX A-Scoring Criteria'!B24</f>
        <v>0</v>
      </c>
      <c r="C1578" s="3189">
        <f>'Part IX A-Scoring Criteria'!C24</f>
        <v>0</v>
      </c>
      <c r="D1578" s="3189">
        <f>'Part IX A-Scoring Criteria'!D24</f>
        <v>0</v>
      </c>
      <c r="E1578" s="3189">
        <f>'Part IX A-Scoring Criteria'!E24</f>
        <v>0</v>
      </c>
      <c r="F1578" s="3510">
        <f>'Part IX A-Scoring Criteria'!F24</f>
        <v>0</v>
      </c>
      <c r="G1578" s="3189">
        <f>'Part IX A-Scoring Criteria'!G24</f>
        <v>9</v>
      </c>
      <c r="H1578" s="3189">
        <f>'Part IX A-Scoring Criteria'!H24</f>
        <v>0</v>
      </c>
      <c r="I1578" s="3189">
        <f>'Part IX A-Scoring Criteria'!I24</f>
        <v>0</v>
      </c>
      <c r="J1578" s="3514" t="s">
        <v>1766</v>
      </c>
      <c r="K1578" s="3189">
        <f>'Part IX A-Scoring Criteria'!K24</f>
        <v>9</v>
      </c>
      <c r="L1578" s="3189">
        <f>'Part IX A-Scoring Criteria'!L24</f>
        <v>0</v>
      </c>
      <c r="M1578" s="3189">
        <f>'Part IX A-Scoring Criteria'!M24</f>
        <v>0</v>
      </c>
      <c r="N1578" s="3189">
        <f>'Part IX A-Scoring Criteria'!N24</f>
        <v>0</v>
      </c>
      <c r="O1578" s="3513">
        <f>'Part IX A-Scoring Criteria'!O24</f>
        <v>0</v>
      </c>
      <c r="P1578" s="3513">
        <f>'Part IX A-Scoring Criteria'!P24</f>
        <v>0</v>
      </c>
      <c r="Q1578" s="3509"/>
      <c r="R1578" s="3509"/>
      <c r="S1578" s="3111"/>
      <c r="T1578" s="3111"/>
      <c r="U1578" s="3111"/>
      <c r="V1578" s="3111"/>
      <c r="W1578" s="3111"/>
      <c r="X1578" s="3111"/>
      <c r="Y1578" s="3111"/>
      <c r="Z1578" s="3111"/>
    </row>
    <row r="1579" spans="1:26" ht="20.25">
      <c r="A1579" s="3189">
        <f>'Part IX A-Scoring Criteria'!A25</f>
        <v>10</v>
      </c>
      <c r="B1579" s="3189">
        <f>'Part IX A-Scoring Criteria'!B25</f>
        <v>0</v>
      </c>
      <c r="C1579" s="3189">
        <f>'Part IX A-Scoring Criteria'!C25</f>
        <v>0</v>
      </c>
      <c r="D1579" s="3189">
        <f>'Part IX A-Scoring Criteria'!D25</f>
        <v>0</v>
      </c>
      <c r="E1579" s="3189">
        <f>'Part IX A-Scoring Criteria'!E25</f>
        <v>0</v>
      </c>
      <c r="F1579" s="3510">
        <f>'Part IX A-Scoring Criteria'!F25</f>
        <v>0</v>
      </c>
      <c r="G1579" s="3189">
        <f>'Part IX A-Scoring Criteria'!G25</f>
        <v>10</v>
      </c>
      <c r="H1579" s="3189">
        <f>'Part IX A-Scoring Criteria'!H25</f>
        <v>0</v>
      </c>
      <c r="I1579" s="3189">
        <f>'Part IX A-Scoring Criteria'!I25</f>
        <v>0</v>
      </c>
      <c r="J1579" s="3510">
        <f>'Part IX A-Scoring Criteria'!J25</f>
        <v>0</v>
      </c>
      <c r="K1579" s="3189">
        <f>'Part IX A-Scoring Criteria'!K25</f>
        <v>10</v>
      </c>
      <c r="L1579" s="3189">
        <f>'Part IX A-Scoring Criteria'!L25</f>
        <v>0</v>
      </c>
      <c r="M1579" s="3189">
        <f>'Part IX A-Scoring Criteria'!M25</f>
        <v>0</v>
      </c>
      <c r="N1579" s="3189">
        <f>'Part IX A-Scoring Criteria'!N25</f>
        <v>0</v>
      </c>
      <c r="O1579" s="3513">
        <f>'Part IX A-Scoring Criteria'!O25</f>
        <v>0</v>
      </c>
      <c r="P1579" s="3513">
        <f>'Part IX A-Scoring Criteria'!P25</f>
        <v>0</v>
      </c>
      <c r="Q1579" s="3509"/>
      <c r="R1579" s="3509"/>
      <c r="S1579" s="3111"/>
      <c r="T1579" s="3111"/>
      <c r="U1579" s="3111"/>
      <c r="V1579" s="3111"/>
      <c r="W1579" s="3111"/>
      <c r="X1579" s="3111"/>
      <c r="Y1579" s="3111"/>
      <c r="Z1579" s="3111"/>
    </row>
    <row r="1580" spans="1:26" ht="20.25">
      <c r="A1580" s="3189">
        <f>'Part IX A-Scoring Criteria'!A26</f>
        <v>11</v>
      </c>
      <c r="B1580" s="3189">
        <f>'Part IX A-Scoring Criteria'!B26</f>
        <v>0</v>
      </c>
      <c r="C1580" s="3189">
        <f>'Part IX A-Scoring Criteria'!C26</f>
        <v>0</v>
      </c>
      <c r="D1580" s="3189">
        <f>'Part IX A-Scoring Criteria'!D26</f>
        <v>0</v>
      </c>
      <c r="E1580" s="3189">
        <f>'Part IX A-Scoring Criteria'!E26</f>
        <v>0</v>
      </c>
      <c r="F1580" s="3510">
        <f>'Part IX A-Scoring Criteria'!F26</f>
        <v>0</v>
      </c>
      <c r="G1580" s="3189">
        <f>'Part IX A-Scoring Criteria'!G26</f>
        <v>11</v>
      </c>
      <c r="H1580" s="3189">
        <f>'Part IX A-Scoring Criteria'!H26</f>
        <v>0</v>
      </c>
      <c r="I1580" s="3189">
        <f>'Part IX A-Scoring Criteria'!I26</f>
        <v>0</v>
      </c>
      <c r="J1580" s="3514" t="s">
        <v>1767</v>
      </c>
      <c r="K1580" s="3189">
        <f>'Part IX A-Scoring Criteria'!K26</f>
        <v>11</v>
      </c>
      <c r="L1580" s="3189">
        <f>'Part IX A-Scoring Criteria'!L26</f>
        <v>0</v>
      </c>
      <c r="M1580" s="3189">
        <f>'Part IX A-Scoring Criteria'!M26</f>
        <v>0</v>
      </c>
      <c r="N1580" s="3189">
        <f>'Part IX A-Scoring Criteria'!N26</f>
        <v>0</v>
      </c>
      <c r="O1580" s="3513">
        <f>'Part IX A-Scoring Criteria'!O26</f>
        <v>0</v>
      </c>
      <c r="P1580" s="3513">
        <f>'Part IX A-Scoring Criteria'!P26</f>
        <v>0</v>
      </c>
      <c r="Q1580" s="3509"/>
      <c r="R1580" s="3509"/>
      <c r="S1580" s="3111"/>
      <c r="T1580" s="3111"/>
      <c r="U1580" s="3111"/>
      <c r="V1580" s="3111"/>
      <c r="W1580" s="3111"/>
      <c r="X1580" s="3111"/>
      <c r="Y1580" s="3111"/>
      <c r="Z1580" s="3111"/>
    </row>
    <row r="1581" spans="1:26">
      <c r="A1581" s="3189">
        <f>'Part IX A-Scoring Criteria'!A27</f>
        <v>12</v>
      </c>
      <c r="B1581" s="3189">
        <f>'Part IX A-Scoring Criteria'!B27</f>
        <v>0</v>
      </c>
      <c r="C1581" s="3189">
        <f>'Part IX A-Scoring Criteria'!C27</f>
        <v>0</v>
      </c>
      <c r="D1581" s="3189">
        <f>'Part IX A-Scoring Criteria'!D27</f>
        <v>0</v>
      </c>
      <c r="E1581" s="3189">
        <f>'Part IX A-Scoring Criteria'!E27</f>
        <v>0</v>
      </c>
      <c r="F1581" s="3510">
        <f>'Part IX A-Scoring Criteria'!F27</f>
        <v>0</v>
      </c>
      <c r="G1581" s="3189">
        <f>'Part IX A-Scoring Criteria'!G27</f>
        <v>12</v>
      </c>
      <c r="H1581" s="3189">
        <f>'Part IX A-Scoring Criteria'!H27</f>
        <v>0</v>
      </c>
      <c r="I1581" s="3189">
        <f>'Part IX A-Scoring Criteria'!I27</f>
        <v>0</v>
      </c>
      <c r="J1581" s="3510">
        <f>'Part IX A-Scoring Criteria'!J27</f>
        <v>0</v>
      </c>
      <c r="K1581" s="3189">
        <f>'Part IX A-Scoring Criteria'!K27</f>
        <v>12</v>
      </c>
      <c r="L1581" s="3189">
        <f>'Part IX A-Scoring Criteria'!L27</f>
        <v>0</v>
      </c>
      <c r="M1581" s="3189">
        <f>'Part IX A-Scoring Criteria'!M27</f>
        <v>0</v>
      </c>
      <c r="N1581" s="3189">
        <f>'Part IX A-Scoring Criteria'!N27</f>
        <v>0</v>
      </c>
      <c r="O1581" s="3513">
        <f>'Part IX A-Scoring Criteria'!O27</f>
        <v>0</v>
      </c>
      <c r="P1581" s="3513">
        <f>'Part IX A-Scoring Criteria'!P27</f>
        <v>0</v>
      </c>
      <c r="Q1581" s="3111"/>
      <c r="R1581" s="3111"/>
      <c r="S1581" s="3111"/>
      <c r="T1581" s="3111"/>
      <c r="U1581" s="3111"/>
      <c r="V1581" s="3111"/>
      <c r="W1581" s="3111"/>
      <c r="X1581" s="3111"/>
      <c r="Y1581" s="3111"/>
      <c r="Z1581" s="3111"/>
    </row>
    <row r="1582" spans="1:26" ht="15" customHeight="1">
      <c r="A1582" s="3504"/>
      <c r="B1582" s="3515"/>
      <c r="C1582" s="3515"/>
      <c r="D1582" s="3515"/>
      <c r="E1582" s="3515"/>
      <c r="F1582" s="3516" t="s">
        <v>4806</v>
      </c>
      <c r="G1582" s="3516"/>
      <c r="H1582" s="3516"/>
      <c r="I1582" s="3516"/>
      <c r="J1582" s="3516"/>
      <c r="K1582" s="3516"/>
      <c r="L1582" s="3516"/>
      <c r="M1582" s="3516"/>
      <c r="N1582" s="3516"/>
      <c r="O1582" s="3516"/>
      <c r="P1582" s="3516"/>
      <c r="Q1582" s="3319"/>
      <c r="R1582" s="3467"/>
      <c r="S1582" s="3504"/>
      <c r="T1582" s="3504"/>
      <c r="U1582" s="3504"/>
      <c r="V1582" s="3504"/>
      <c r="W1582" s="3504"/>
      <c r="X1582" s="3504"/>
      <c r="Y1582" s="3504"/>
      <c r="Z1582" s="3504"/>
    </row>
    <row r="1583" spans="1:26" ht="20.25">
      <c r="A1583" s="3113" t="s">
        <v>1770</v>
      </c>
      <c r="B1583" s="358" t="s">
        <v>1771</v>
      </c>
      <c r="C1583" s="358"/>
      <c r="D1583" s="358"/>
      <c r="E1583" s="3230" t="s">
        <v>1768</v>
      </c>
      <c r="F1583" s="358" t="s">
        <v>1772</v>
      </c>
      <c r="G1583" s="358"/>
      <c r="H1583" s="358"/>
      <c r="I1583" s="358"/>
      <c r="J1583" s="358"/>
      <c r="K1583" s="358"/>
      <c r="L1583" s="358"/>
      <c r="M1583" s="358"/>
      <c r="N1583" s="3517"/>
      <c r="O1583" s="3300">
        <f>SUM(O1584:O1595)</f>
        <v>0</v>
      </c>
      <c r="P1583" s="3300"/>
      <c r="Q1583" s="3508"/>
      <c r="R1583" s="3509"/>
      <c r="S1583" s="3111"/>
      <c r="T1583" s="3111"/>
      <c r="U1583" s="3111"/>
      <c r="V1583" s="3111"/>
      <c r="W1583" s="3111"/>
      <c r="X1583" s="3111"/>
      <c r="Y1583" s="3111"/>
      <c r="Z1583" s="3111"/>
    </row>
    <row r="1584" spans="1:26" ht="409.5">
      <c r="A1584" s="3518" t="s">
        <v>31</v>
      </c>
      <c r="B1584" s="3519" t="s">
        <v>1773</v>
      </c>
      <c r="C1584" s="3189"/>
      <c r="D1584" s="3189"/>
      <c r="E1584" s="3520">
        <f>'Part IX A-Scoring Criteria'!E30</f>
        <v>10</v>
      </c>
      <c r="F1584" s="3423" t="str">
        <f>'Part IX A-Scoring Criteria'!F30</f>
        <v>The Mill at Stone Valley is located in scenic Ball Ground, Cherokee County, Georgia.  The proposed site is conveniently located in close proximity to many desirable amenities and events, as well as downtown Ball Ground itself, including schools, churches, banking and postal centers, and dining.  A new emergency services and fire station is close to the property, and growth in the Ball Ground/Cherokee area is projected to lead to greater job opportunities and other forms of economic development.  There are not any undesirable characteristics located near the site, nor is it located in a USDA-designated "food desert".</v>
      </c>
      <c r="G1584" s="3423"/>
      <c r="H1584" s="3423"/>
      <c r="I1584" s="3423"/>
      <c r="J1584" s="3423"/>
      <c r="K1584" s="3423"/>
      <c r="L1584" s="3423"/>
      <c r="M1584" s="3423"/>
      <c r="N1584" s="3423"/>
      <c r="O1584" s="3460" t="s">
        <v>1762</v>
      </c>
      <c r="P1584" s="3460"/>
      <c r="Q1584" s="3512"/>
      <c r="R1584" s="3509"/>
      <c r="S1584" s="3111"/>
      <c r="T1584" s="3111"/>
      <c r="U1584" s="3111"/>
      <c r="V1584" s="3111"/>
      <c r="W1584" s="3111"/>
      <c r="X1584" s="3111"/>
      <c r="Y1584" s="3111"/>
      <c r="Z1584" s="3111"/>
    </row>
    <row r="1585" spans="1:26" ht="12.75" customHeight="1">
      <c r="A1585" s="3518" t="s">
        <v>108</v>
      </c>
      <c r="B1585" s="3519" t="s">
        <v>1774</v>
      </c>
      <c r="C1585" s="3189"/>
      <c r="D1585" s="3189"/>
      <c r="E1585" s="3520">
        <f>'Part IX A-Scoring Criteria'!E31</f>
        <v>2</v>
      </c>
      <c r="F1585" s="3423" t="str">
        <f>'Part IX A-Scoring Criteria'!F31</f>
        <v>The owner, developer, and sponsor of the Mill at Stone Valley commit to delivering a well-constructed, sustainable development, in accordance with the Earthcraft requirements.  The property will be Earthcraft House Multifamily-certified.  Please see the draft Earthcraft House Multifamily scoring sheet in Tab 29, along with a certification of the participation of Steve Johnson, one of the applicant's principals, in DCA's Green Building for Affordable Housing Training.    The developer and contractor have developed numerous properties under the Earthcraft program. 
The property will also meet the conditions for the High Performance Building Design.  On the latter, the design will demonstrate a worst-case HERS rating of 15% lower than the Energy Star index. Please refer to the report from Ed Foskey of Synergy Home Advantage in Dublin, Georgia, in Tab 29, detailing this, along with the draft HERS report and preliminary modeling report.</v>
      </c>
      <c r="G1585" s="3423"/>
      <c r="H1585" s="3423"/>
      <c r="I1585" s="3423"/>
      <c r="J1585" s="3423"/>
      <c r="K1585" s="3423"/>
      <c r="L1585" s="3423"/>
      <c r="M1585" s="3423"/>
      <c r="N1585" s="3423"/>
      <c r="O1585" s="3323">
        <f>'Part IX A-Scoring Criteria'!O31</f>
        <v>0</v>
      </c>
      <c r="P1585" s="3323">
        <f>'Part IX A-Scoring Criteria'!P31</f>
        <v>0</v>
      </c>
      <c r="Q1585" s="3281" t="str">
        <f>'Part IX A-Scoring Criteria'!Q31</f>
        <v/>
      </c>
      <c r="R1585" s="3281">
        <f>'Part IX A-Scoring Criteria'!R31</f>
        <v>0</v>
      </c>
      <c r="S1585" s="3281">
        <f>'Part IX A-Scoring Criteria'!S31</f>
        <v>0</v>
      </c>
      <c r="T1585" s="3111"/>
      <c r="U1585" s="3111"/>
      <c r="V1585" s="3111"/>
      <c r="W1585" s="3111"/>
      <c r="X1585" s="3111"/>
      <c r="Y1585" s="3111"/>
      <c r="Z1585" s="3111"/>
    </row>
    <row r="1586" spans="1:26" ht="12.75" customHeight="1">
      <c r="A1586" s="3518" t="s">
        <v>167</v>
      </c>
      <c r="B1586" s="3519" t="s">
        <v>1775</v>
      </c>
      <c r="C1586" s="3189"/>
      <c r="D1586" s="3189"/>
      <c r="E1586" s="3520">
        <f>'Part IX A-Scoring Criteria'!E32</f>
        <v>3</v>
      </c>
      <c r="F1586" s="3423" t="str">
        <f>'Part IX A-Scoring Criteria'!F32</f>
        <v>The Mill at Stone Valley will be located in the Cherokee County School District, which offers quality education in some of the highest-scoring schools in the state.   The property will be served by Ball Ground Elementary School (which is within walking distance), Creekland Middle School, and Creekview High School.  CCRPI score reports and attendance zone maps are offered in Tab 31.  Please note that between 2015 and 2016, the district shifted the 6th grade from Ball Ground Elementary to the middle school level; the "Grades Served" indicated above represent the current structure.
Unfortunately, the 2-mile radius around the property does not yield the minimum number of jobs for the Workforce Housing Need above.</v>
      </c>
      <c r="G1586" s="3423"/>
      <c r="H1586" s="3423"/>
      <c r="I1586" s="3423"/>
      <c r="J1586" s="3423"/>
      <c r="K1586" s="3423"/>
      <c r="L1586" s="3423"/>
      <c r="M1586" s="3423"/>
      <c r="N1586" s="3423"/>
      <c r="O1586" s="3460" t="s">
        <v>1763</v>
      </c>
      <c r="P1586" s="3460"/>
      <c r="Q1586" s="3281">
        <f>'Part IX A-Scoring Criteria'!Q32</f>
        <v>0</v>
      </c>
      <c r="R1586" s="3281">
        <f>'Part IX A-Scoring Criteria'!R32</f>
        <v>0</v>
      </c>
      <c r="S1586" s="3281">
        <f>'Part IX A-Scoring Criteria'!S32</f>
        <v>0</v>
      </c>
      <c r="T1586" s="3111"/>
      <c r="U1586" s="3111"/>
      <c r="V1586" s="3111"/>
      <c r="W1586" s="3111"/>
      <c r="X1586" s="3111"/>
      <c r="Y1586" s="3111"/>
      <c r="Z1586" s="3111"/>
    </row>
    <row r="1587" spans="1:26" ht="12.75" customHeight="1">
      <c r="A1587" s="3518" t="s">
        <v>173</v>
      </c>
      <c r="B1587" s="3519" t="s">
        <v>1776</v>
      </c>
      <c r="C1587" s="3189"/>
      <c r="D1587" s="3189"/>
      <c r="E1587" s="3520">
        <f>'Part IX A-Scoring Criteria'!E33</f>
        <v>0</v>
      </c>
      <c r="F1587" s="3423" t="str">
        <f>'Part IX A-Scoring Criteria'!F33</f>
        <v>The Mill at Stone Valley is not in a Community Revitalization Area, and as a Stable Community (see below) is ineligible regardless.  Therefore this section is intentionally left blank.</v>
      </c>
      <c r="G1587" s="3423"/>
      <c r="H1587" s="3423"/>
      <c r="I1587" s="3423"/>
      <c r="J1587" s="3423"/>
      <c r="K1587" s="3423"/>
      <c r="L1587" s="3423"/>
      <c r="M1587" s="3423"/>
      <c r="N1587" s="3423"/>
      <c r="O1587" s="3460" t="s">
        <v>1763</v>
      </c>
      <c r="P1587" s="3460"/>
      <c r="Q1587" s="3281">
        <f>'Part IX A-Scoring Criteria'!Q33</f>
        <v>0</v>
      </c>
      <c r="R1587" s="3281">
        <f>'Part IX A-Scoring Criteria'!R33</f>
        <v>0</v>
      </c>
      <c r="S1587" s="3281">
        <f>'Part IX A-Scoring Criteria'!S33</f>
        <v>0</v>
      </c>
      <c r="T1587" s="3111"/>
      <c r="U1587" s="3111"/>
      <c r="V1587" s="3111"/>
      <c r="W1587" s="3111"/>
      <c r="X1587" s="3111"/>
      <c r="Y1587" s="3111"/>
      <c r="Z1587" s="3111"/>
    </row>
    <row r="1588" spans="1:26" ht="12.75" customHeight="1">
      <c r="A1588" s="3518" t="s">
        <v>182</v>
      </c>
      <c r="B1588" s="3519" t="s">
        <v>1777</v>
      </c>
      <c r="C1588" s="3189"/>
      <c r="D1588" s="3189"/>
      <c r="E1588" s="3521" t="str">
        <f>'Part IX A-Scoring Criteria'!E34</f>
        <v>n/a</v>
      </c>
      <c r="F1588" s="3423" t="str">
        <f>'Part IX A-Scoring Criteria'!F34</f>
        <v>The Mill at Stone Valley is not subject to a Community Transformation Plan.  This section is intentionally left blank.</v>
      </c>
      <c r="G1588" s="3423"/>
      <c r="H1588" s="3423"/>
      <c r="I1588" s="3423"/>
      <c r="J1588" s="3423"/>
      <c r="K1588" s="3423"/>
      <c r="L1588" s="3423"/>
      <c r="M1588" s="3423"/>
      <c r="N1588" s="3423"/>
      <c r="O1588" s="3323">
        <f>'Part IX A-Scoring Criteria'!O34</f>
        <v>0</v>
      </c>
      <c r="P1588" s="3323">
        <f>'Part IX A-Scoring Criteria'!P34</f>
        <v>0</v>
      </c>
      <c r="Q1588" s="3281">
        <f>'Part IX A-Scoring Criteria'!Q34</f>
        <v>0</v>
      </c>
      <c r="R1588" s="3281">
        <f>'Part IX A-Scoring Criteria'!R34</f>
        <v>0</v>
      </c>
      <c r="S1588" s="3281">
        <f>'Part IX A-Scoring Criteria'!S34</f>
        <v>0</v>
      </c>
      <c r="T1588" s="3111"/>
      <c r="U1588" s="3111"/>
      <c r="V1588" s="3111"/>
      <c r="W1588" s="3111"/>
      <c r="X1588" s="3111"/>
      <c r="Y1588" s="3111"/>
      <c r="Z1588" s="3111"/>
    </row>
    <row r="1589" spans="1:26" ht="12.75" customHeight="1">
      <c r="A1589" s="3518" t="s">
        <v>195</v>
      </c>
      <c r="B1589" s="3519" t="s">
        <v>1778</v>
      </c>
      <c r="C1589" s="3189"/>
      <c r="D1589" s="3189"/>
      <c r="E1589" s="3520">
        <f>'Part IX A-Scoring Criteria'!E35</f>
        <v>0</v>
      </c>
      <c r="F1589" s="3423" t="str">
        <f>'Part IX A-Scoring Criteria'!F35</f>
        <v>The Mill at Stone Valley is subject to neither HUD Choice Neignborhood nor Purpose Built Communities program designations.</v>
      </c>
      <c r="G1589" s="3423"/>
      <c r="H1589" s="3423"/>
      <c r="I1589" s="3423"/>
      <c r="J1589" s="3423"/>
      <c r="K1589" s="3423"/>
      <c r="L1589" s="3423"/>
      <c r="M1589" s="3423"/>
      <c r="N1589" s="3423"/>
      <c r="O1589" s="3323">
        <f>'Part IX A-Scoring Criteria'!O35</f>
        <v>0</v>
      </c>
      <c r="P1589" s="3323">
        <f>'Part IX A-Scoring Criteria'!P35</f>
        <v>0</v>
      </c>
      <c r="Q1589" s="3281">
        <f>'Part IX A-Scoring Criteria'!Q35</f>
        <v>0</v>
      </c>
      <c r="R1589" s="3281">
        <f>'Part IX A-Scoring Criteria'!R35</f>
        <v>0</v>
      </c>
      <c r="S1589" s="3281">
        <f>'Part IX A-Scoring Criteria'!S35</f>
        <v>0</v>
      </c>
      <c r="T1589" s="3111"/>
      <c r="U1589" s="3111"/>
      <c r="V1589" s="3111"/>
      <c r="W1589" s="3111"/>
      <c r="X1589" s="3111"/>
      <c r="Y1589" s="3111"/>
      <c r="Z1589" s="3111"/>
    </row>
    <row r="1590" spans="1:26" ht="12.75" customHeight="1">
      <c r="A1590" s="3518" t="s">
        <v>260</v>
      </c>
      <c r="B1590" s="3519" t="s">
        <v>1779</v>
      </c>
      <c r="C1590" s="3189"/>
      <c r="D1590" s="3189"/>
      <c r="E1590" s="3521">
        <f>'Part IX A-Scoring Criteria'!E36</f>
        <v>1</v>
      </c>
      <c r="F1590" s="3423" t="str">
        <f>'Part IX A-Scoring Criteria'!F36</f>
        <v>The Mill at Stone Valley is the only application being submitted by this development team; therefore, the team claims the one Priority Point here.</v>
      </c>
      <c r="G1590" s="3423"/>
      <c r="H1590" s="3423"/>
      <c r="I1590" s="3423"/>
      <c r="J1590" s="3423"/>
      <c r="K1590" s="3423"/>
      <c r="L1590" s="3423"/>
      <c r="M1590" s="3423"/>
      <c r="N1590" s="3423"/>
      <c r="O1590" s="3323">
        <f>'Part IX A-Scoring Criteria'!O36</f>
        <v>0</v>
      </c>
      <c r="P1590" s="3323">
        <f>'Part IX A-Scoring Criteria'!P36</f>
        <v>0</v>
      </c>
      <c r="Q1590" s="3281">
        <f>'Part IX A-Scoring Criteria'!Q36</f>
        <v>0</v>
      </c>
      <c r="R1590" s="3281">
        <f>'Part IX A-Scoring Criteria'!R36</f>
        <v>0</v>
      </c>
      <c r="S1590" s="3281">
        <f>'Part IX A-Scoring Criteria'!S36</f>
        <v>0</v>
      </c>
      <c r="T1590" s="3111"/>
      <c r="U1590" s="3111"/>
      <c r="V1590" s="3111"/>
      <c r="W1590" s="3111"/>
      <c r="X1590" s="3111"/>
      <c r="Y1590" s="3111"/>
      <c r="Z1590" s="3111"/>
    </row>
    <row r="1591" spans="1:26" ht="12.75" customHeight="1">
      <c r="A1591" s="3518" t="s">
        <v>1780</v>
      </c>
      <c r="B1591" s="3519" t="s">
        <v>1781</v>
      </c>
      <c r="C1591" s="3189"/>
      <c r="D1591" s="3189"/>
      <c r="E1591" s="3521">
        <f>'Part IX A-Scoring Criteria'!E37</f>
        <v>4</v>
      </c>
      <c r="F1591" s="3423" t="str">
        <f>'Part IX A-Scoring Criteria'!F37</f>
        <v>There has never been a 9% Credit award to a property in the City of Ball Ground.</v>
      </c>
      <c r="G1591" s="3423"/>
      <c r="H1591" s="3423"/>
      <c r="I1591" s="3423"/>
      <c r="J1591" s="3423"/>
      <c r="K1591" s="3423"/>
      <c r="L1591" s="3423"/>
      <c r="M1591" s="3423"/>
      <c r="N1591" s="3423"/>
      <c r="O1591" s="3323">
        <f>'Part IX A-Scoring Criteria'!O37</f>
        <v>0</v>
      </c>
      <c r="P1591" s="3323">
        <f>'Part IX A-Scoring Criteria'!P37</f>
        <v>0</v>
      </c>
      <c r="Q1591" s="3281">
        <f>'Part IX A-Scoring Criteria'!Q37</f>
        <v>0</v>
      </c>
      <c r="R1591" s="3281">
        <f>'Part IX A-Scoring Criteria'!R37</f>
        <v>0</v>
      </c>
      <c r="S1591" s="3281">
        <f>'Part IX A-Scoring Criteria'!S37</f>
        <v>0</v>
      </c>
      <c r="T1591" s="3111"/>
      <c r="U1591" s="3111"/>
      <c r="V1591" s="3111"/>
      <c r="W1591" s="3111"/>
      <c r="X1591" s="3111"/>
      <c r="Y1591" s="3111"/>
      <c r="Z1591" s="3111"/>
    </row>
    <row r="1592" spans="1:26" ht="12.75" customHeight="1">
      <c r="A1592" s="3518" t="s">
        <v>1482</v>
      </c>
      <c r="B1592" s="3519" t="s">
        <v>1782</v>
      </c>
      <c r="C1592" s="3189"/>
      <c r="D1592" s="3189"/>
      <c r="E1592" s="3520">
        <f>'Part IX A-Scoring Criteria'!E38</f>
        <v>0</v>
      </c>
      <c r="F1592" s="3423" t="str">
        <f>'Part IX A-Scoring Criteria'!F38</f>
        <v>The Mill at Stone Valley is located in neither a GICH Community nor a Georgia-designated Military Zone</v>
      </c>
      <c r="G1592" s="3423"/>
      <c r="H1592" s="3423"/>
      <c r="I1592" s="3423"/>
      <c r="J1592" s="3423"/>
      <c r="K1592" s="3423"/>
      <c r="L1592" s="3423"/>
      <c r="M1592" s="3423"/>
      <c r="N1592" s="3423"/>
      <c r="O1592" s="3323">
        <f>'Part IX A-Scoring Criteria'!O38</f>
        <v>0</v>
      </c>
      <c r="P1592" s="3323">
        <f>'Part IX A-Scoring Criteria'!P38</f>
        <v>0</v>
      </c>
      <c r="Q1592" s="3281">
        <f>'Part IX A-Scoring Criteria'!Q38</f>
        <v>0</v>
      </c>
      <c r="R1592" s="3281">
        <f>'Part IX A-Scoring Criteria'!R38</f>
        <v>0</v>
      </c>
      <c r="S1592" s="3281">
        <f>'Part IX A-Scoring Criteria'!S38</f>
        <v>0</v>
      </c>
      <c r="T1592" s="3111"/>
      <c r="U1592" s="3111"/>
      <c r="V1592" s="3111"/>
      <c r="W1592" s="3111"/>
      <c r="X1592" s="3111"/>
      <c r="Y1592" s="3111"/>
      <c r="Z1592" s="3111"/>
    </row>
    <row r="1593" spans="1:26" ht="12.75" customHeight="1">
      <c r="A1593" s="3518" t="s">
        <v>1486</v>
      </c>
      <c r="B1593" s="3519" t="s">
        <v>1783</v>
      </c>
      <c r="C1593" s="3189"/>
      <c r="D1593" s="3189"/>
      <c r="E1593" s="3520">
        <f>'Part IX A-Scoring Criteria'!E39</f>
        <v>0</v>
      </c>
      <c r="F1593" s="3423" t="str">
        <f>'Part IX A-Scoring Criteria'!F39</f>
        <v>The owner, developer, and sponsor of the Mill at Stone Valley will be leveraging the private investment incentivized by the 9% Credit with conventional financing.  Therefore, no points will be claimed here.</v>
      </c>
      <c r="G1593" s="3423"/>
      <c r="H1593" s="3423"/>
      <c r="I1593" s="3423"/>
      <c r="J1593" s="3423"/>
      <c r="K1593" s="3423"/>
      <c r="L1593" s="3423"/>
      <c r="M1593" s="3423"/>
      <c r="N1593" s="3423"/>
      <c r="O1593" s="3323">
        <f>'Part IX A-Scoring Criteria'!O39</f>
        <v>0</v>
      </c>
      <c r="P1593" s="3323">
        <f>'Part IX A-Scoring Criteria'!P39</f>
        <v>0</v>
      </c>
      <c r="Q1593" s="3281">
        <f>'Part IX A-Scoring Criteria'!Q39</f>
        <v>0</v>
      </c>
      <c r="R1593" s="3281">
        <f>'Part IX A-Scoring Criteria'!R39</f>
        <v>0</v>
      </c>
      <c r="S1593" s="3281">
        <f>'Part IX A-Scoring Criteria'!S39</f>
        <v>0</v>
      </c>
      <c r="T1593" s="3111"/>
      <c r="U1593" s="3111"/>
      <c r="V1593" s="3111"/>
      <c r="W1593" s="3111"/>
      <c r="X1593" s="3111"/>
      <c r="Y1593" s="3111"/>
      <c r="Z1593" s="3111"/>
    </row>
    <row r="1594" spans="1:26" ht="12.75" customHeight="1">
      <c r="A1594" s="3518" t="s">
        <v>1517</v>
      </c>
      <c r="B1594" s="3519" t="s">
        <v>1784</v>
      </c>
      <c r="C1594" s="3189"/>
      <c r="D1594" s="3189"/>
      <c r="E1594" s="3520">
        <f>'Part IX A-Scoring Criteria'!E40</f>
        <v>2</v>
      </c>
      <c r="F1594" s="3423" t="str">
        <f>'Part IX A-Scoring Criteria'!F40</f>
        <v>The owner, developer, and sponsor of the Mill at Stone Valley agrees to assist DCA in meeting its obligations under the Olmstead Settlement by accepting Section 811 or other DCA rental assistance for up to 10% of the units in the property for Persons with Disabilities, as defined above.  Furthermore, at least 10% of the low-income units in the property will be one-bedroom units, as stipulated above.</v>
      </c>
      <c r="G1594" s="3423"/>
      <c r="H1594" s="3423"/>
      <c r="I1594" s="3423"/>
      <c r="J1594" s="3423"/>
      <c r="K1594" s="3423"/>
      <c r="L1594" s="3423"/>
      <c r="M1594" s="3423"/>
      <c r="N1594" s="3423"/>
      <c r="O1594" s="3323">
        <f>'Part IX A-Scoring Criteria'!O40</f>
        <v>0</v>
      </c>
      <c r="P1594" s="3323">
        <f>'Part IX A-Scoring Criteria'!P40</f>
        <v>0</v>
      </c>
      <c r="Q1594" s="3281">
        <f>'Part IX A-Scoring Criteria'!Q40</f>
        <v>0</v>
      </c>
      <c r="R1594" s="3281">
        <f>'Part IX A-Scoring Criteria'!R40</f>
        <v>0</v>
      </c>
      <c r="S1594" s="3281">
        <f>'Part IX A-Scoring Criteria'!S40</f>
        <v>0</v>
      </c>
      <c r="T1594" s="3111"/>
      <c r="U1594" s="3111"/>
      <c r="V1594" s="3111"/>
      <c r="W1594" s="3111"/>
      <c r="X1594" s="3111"/>
      <c r="Y1594" s="3111"/>
      <c r="Z1594" s="3111"/>
    </row>
    <row r="1595" spans="1:26" ht="12.75" customHeight="1">
      <c r="A1595" s="3518" t="s">
        <v>1530</v>
      </c>
      <c r="B1595" s="3519" t="s">
        <v>1785</v>
      </c>
      <c r="C1595" s="3189"/>
      <c r="D1595" s="3189"/>
      <c r="E1595" s="3521">
        <f>'Part IX A-Scoring Criteria'!E41</f>
        <v>0</v>
      </c>
      <c r="F1595" s="3423" t="str">
        <f>'Part IX A-Scoring Criteria'!F41</f>
        <v>The Mill at Stone Valley is the development of new affordable housing in Ball Ground, Cherokee County, Georgia, and is thus not subject to scoring for Historic Preservation.</v>
      </c>
      <c r="G1595" s="3423"/>
      <c r="H1595" s="3423"/>
      <c r="I1595" s="3423"/>
      <c r="J1595" s="3423"/>
      <c r="K1595" s="3423"/>
      <c r="L1595" s="3423"/>
      <c r="M1595" s="3423"/>
      <c r="N1595" s="3423"/>
      <c r="O1595" s="3323">
        <f>'Part IX A-Scoring Criteria'!O41</f>
        <v>0</v>
      </c>
      <c r="P1595" s="3323">
        <f>'Part IX A-Scoring Criteria'!P41</f>
        <v>0</v>
      </c>
      <c r="Q1595" s="3281">
        <f>'Part IX A-Scoring Criteria'!Q41</f>
        <v>0</v>
      </c>
      <c r="R1595" s="3281">
        <f>'Part IX A-Scoring Criteria'!R41</f>
        <v>0</v>
      </c>
      <c r="S1595" s="3281">
        <f>'Part IX A-Scoring Criteria'!S41</f>
        <v>0</v>
      </c>
      <c r="T1595" s="3111"/>
      <c r="U1595" s="3111"/>
      <c r="V1595" s="3111"/>
      <c r="W1595" s="3111"/>
      <c r="X1595" s="3111"/>
      <c r="Y1595" s="3111"/>
      <c r="Z1595" s="3111"/>
    </row>
    <row r="1596" spans="1:26" ht="15">
      <c r="A1596" s="3504"/>
      <c r="B1596" s="3504"/>
      <c r="C1596" s="3504"/>
      <c r="D1596" s="358"/>
      <c r="E1596" s="358"/>
      <c r="F1596" s="3319"/>
      <c r="G1596" s="3319"/>
      <c r="H1596" s="3319"/>
      <c r="I1596" s="3319"/>
      <c r="J1596" s="3354"/>
      <c r="K1596" s="3354"/>
      <c r="L1596" s="3354"/>
      <c r="M1596" s="3416"/>
      <c r="N1596" s="3319"/>
      <c r="O1596" s="3308"/>
      <c r="P1596" s="3503"/>
      <c r="Q1596" s="3504"/>
      <c r="R1596" s="3504"/>
      <c r="S1596" s="3504"/>
      <c r="T1596" s="3504"/>
      <c r="U1596" s="3504"/>
      <c r="V1596" s="3504"/>
      <c r="W1596" s="3504"/>
      <c r="X1596" s="3504"/>
      <c r="Y1596" s="3504"/>
      <c r="Z1596" s="3504"/>
    </row>
    <row r="1597" spans="1:26" ht="15">
      <c r="A1597" s="3505" t="s">
        <v>13</v>
      </c>
      <c r="B1597" s="3506" t="s">
        <v>1786</v>
      </c>
      <c r="C1597" s="3522"/>
      <c r="D1597" s="3522"/>
      <c r="E1597" s="358"/>
      <c r="F1597" s="3522"/>
      <c r="G1597" s="3415"/>
      <c r="H1597" s="358"/>
      <c r="I1597" s="3523" t="s">
        <v>1787</v>
      </c>
      <c r="J1597" s="3522"/>
      <c r="K1597" s="3522"/>
      <c r="L1597" s="3522"/>
      <c r="M1597" s="3319">
        <v>3</v>
      </c>
      <c r="N1597" s="3310"/>
      <c r="O1597" s="3503">
        <f>'Part IX A-Scoring Criteria'!O43</f>
        <v>2</v>
      </c>
      <c r="P1597" s="3503">
        <f>'Part IX A-Scoring Criteria'!P43</f>
        <v>0</v>
      </c>
      <c r="Q1597" s="3319" t="s">
        <v>834</v>
      </c>
      <c r="R1597" s="3467" t="str">
        <f>IF(OR($O1597=$M1597,$O1597=0,$O1597=""),"","* * Check Score! * *")</f>
        <v>* * Check Score! * *</v>
      </c>
      <c r="S1597" s="3522"/>
      <c r="T1597" s="3522"/>
      <c r="U1597" s="3522"/>
      <c r="V1597" s="3522"/>
      <c r="W1597" s="3522"/>
      <c r="X1597" s="3522"/>
      <c r="Y1597" s="3522"/>
      <c r="Z1597" s="3522"/>
    </row>
    <row r="1598" spans="1:26" ht="15">
      <c r="A1598" s="3524"/>
      <c r="B1598" s="3525"/>
      <c r="C1598" s="3504"/>
      <c r="D1598" s="3504"/>
      <c r="E1598" s="358"/>
      <c r="F1598" s="3504"/>
      <c r="G1598" s="3376"/>
      <c r="H1598" s="358"/>
      <c r="I1598" s="3523"/>
      <c r="J1598" s="3504"/>
      <c r="K1598" s="3243"/>
      <c r="L1598" s="3526"/>
      <c r="M1598" s="3319"/>
      <c r="N1598" s="3310"/>
      <c r="O1598" s="3503"/>
      <c r="P1598" s="3503"/>
      <c r="Q1598" s="3319"/>
      <c r="R1598" s="3467"/>
      <c r="S1598" s="3504"/>
      <c r="T1598" s="3504"/>
      <c r="U1598" s="3504"/>
      <c r="V1598" s="3504"/>
      <c r="W1598" s="3504"/>
      <c r="X1598" s="3504"/>
      <c r="Y1598" s="3504"/>
      <c r="Z1598" s="3504"/>
    </row>
    <row r="1599" spans="1:26" ht="15" customHeight="1">
      <c r="A1599" s="3337" t="s">
        <v>110</v>
      </c>
      <c r="B1599" s="3527" t="s">
        <v>1788</v>
      </c>
      <c r="C1599" s="3504"/>
      <c r="D1599" s="3504"/>
      <c r="E1599" s="358"/>
      <c r="F1599" s="3504"/>
      <c r="G1599" s="3376"/>
      <c r="H1599" s="3274" t="s">
        <v>1789</v>
      </c>
      <c r="I1599" s="3274"/>
      <c r="J1599" s="3526">
        <f>'Part VI-Revenues &amp; Expenses'!$O$60</f>
        <v>72</v>
      </c>
      <c r="K1599" s="3528"/>
      <c r="L1599" s="3504"/>
      <c r="M1599" s="3319"/>
      <c r="N1599" s="3310"/>
      <c r="O1599" s="3504"/>
      <c r="P1599" s="3504"/>
      <c r="Q1599" s="3310"/>
      <c r="R1599" s="3467"/>
      <c r="S1599" s="3504"/>
      <c r="T1599" s="3504"/>
      <c r="U1599" s="3504"/>
      <c r="V1599" s="3504"/>
      <c r="W1599" s="3504"/>
      <c r="X1599" s="3504"/>
      <c r="Y1599" s="3504"/>
      <c r="Z1599" s="3504"/>
    </row>
    <row r="1600" spans="1:26" ht="15" customHeight="1">
      <c r="A1600" s="3337"/>
      <c r="B1600" s="3274" t="s">
        <v>1790</v>
      </c>
      <c r="C1600" s="3274"/>
      <c r="D1600" s="3274"/>
      <c r="E1600" s="3274"/>
      <c r="F1600" s="3274"/>
      <c r="G1600" s="3460"/>
      <c r="H1600" s="3529" t="s">
        <v>1569</v>
      </c>
      <c r="I1600" s="3529" t="s">
        <v>1791</v>
      </c>
      <c r="J1600" s="3460"/>
      <c r="K1600" s="358" t="s">
        <v>1792</v>
      </c>
      <c r="L1600" s="358"/>
      <c r="M1600" s="3319"/>
      <c r="N1600" s="3310"/>
      <c r="O1600" s="3522"/>
      <c r="P1600" s="3522"/>
      <c r="Q1600" s="3310"/>
      <c r="R1600" s="3467"/>
      <c r="S1600" s="3522"/>
      <c r="T1600" s="3522"/>
      <c r="U1600" s="3522"/>
      <c r="V1600" s="3522"/>
      <c r="W1600" s="3522"/>
      <c r="X1600" s="3522"/>
      <c r="Y1600" s="3522"/>
      <c r="Z1600" s="3522"/>
    </row>
    <row r="1601" spans="1:26" ht="15" customHeight="1">
      <c r="A1601" s="3522"/>
      <c r="B1601" s="3274"/>
      <c r="C1601" s="3274"/>
      <c r="D1601" s="3274"/>
      <c r="E1601" s="3274"/>
      <c r="F1601" s="3274"/>
      <c r="G1601" s="3383" t="s">
        <v>1793</v>
      </c>
      <c r="H1601" s="3383"/>
      <c r="I1601" s="3383"/>
      <c r="J1601" s="3383"/>
      <c r="K1601" s="3249" t="s">
        <v>1569</v>
      </c>
      <c r="L1601" s="3249" t="s">
        <v>1791</v>
      </c>
      <c r="M1601" s="3318">
        <v>2</v>
      </c>
      <c r="N1601" s="3530" t="s">
        <v>110</v>
      </c>
      <c r="O1601" s="3531">
        <f>'Part IX A-Scoring Criteria'!O47</f>
        <v>2</v>
      </c>
      <c r="P1601" s="3531">
        <f>'Part IX A-Scoring Criteria'!P47</f>
        <v>0</v>
      </c>
      <c r="Q1601" s="3522"/>
      <c r="R1601" s="3522"/>
      <c r="S1601" s="3522"/>
      <c r="T1601" s="3522"/>
      <c r="U1601" s="3522"/>
      <c r="V1601" s="3522"/>
      <c r="W1601" s="3522"/>
      <c r="X1601" s="3522"/>
      <c r="Y1601" s="3522"/>
      <c r="Z1601" s="3522"/>
    </row>
    <row r="1602" spans="1:26" ht="15">
      <c r="A1602" s="3532"/>
      <c r="B1602" s="3533" t="s">
        <v>379</v>
      </c>
      <c r="C1602" s="3534">
        <v>0.15</v>
      </c>
      <c r="D1602" s="3443" t="s">
        <v>1794</v>
      </c>
      <c r="E1602" s="3535"/>
      <c r="F1602" s="3535"/>
      <c r="G1602" s="3535"/>
      <c r="H1602" s="3536">
        <f>'Part IX A-Scoring Criteria'!H48</f>
        <v>0</v>
      </c>
      <c r="I1602" s="3536">
        <f>'Part IX A-Scoring Criteria'!I48</f>
        <v>0</v>
      </c>
      <c r="J1602" s="3535"/>
      <c r="K1602" s="3465">
        <f>'Part IX A-Scoring Criteria'!K48</f>
        <v>0</v>
      </c>
      <c r="L1602" s="3465">
        <f>'Part IX A-Scoring Criteria'!L48</f>
        <v>0</v>
      </c>
      <c r="M1602" s="3313">
        <v>1</v>
      </c>
      <c r="N1602" s="3530" t="s">
        <v>379</v>
      </c>
      <c r="O1602" s="3531">
        <f>'Part IX A-Scoring Criteria'!O48</f>
        <v>0</v>
      </c>
      <c r="P1602" s="3531">
        <f>'Part IX A-Scoring Criteria'!P48</f>
        <v>0</v>
      </c>
      <c r="Q1602" s="3535"/>
      <c r="R1602" s="3535"/>
      <c r="S1602" s="3535"/>
      <c r="T1602" s="3535"/>
      <c r="U1602" s="3535"/>
      <c r="V1602" s="3535"/>
      <c r="W1602" s="3535"/>
      <c r="X1602" s="3535"/>
      <c r="Y1602" s="3535"/>
      <c r="Z1602" s="3535"/>
    </row>
    <row r="1603" spans="1:26" ht="15">
      <c r="A1603" s="3424" t="s">
        <v>1795</v>
      </c>
      <c r="B1603" s="3533" t="s">
        <v>389</v>
      </c>
      <c r="C1603" s="3534">
        <v>0.2</v>
      </c>
      <c r="D1603" s="3443" t="s">
        <v>1794</v>
      </c>
      <c r="E1603" s="3535"/>
      <c r="F1603" s="3535"/>
      <c r="G1603" s="3535"/>
      <c r="H1603" s="3536">
        <f>'Part IX A-Scoring Criteria'!H49</f>
        <v>15</v>
      </c>
      <c r="I1603" s="3536">
        <f>'Part IX A-Scoring Criteria'!I49</f>
        <v>0</v>
      </c>
      <c r="J1603" s="3535"/>
      <c r="K1603" s="3465">
        <f>'Part IX A-Scoring Criteria'!K49</f>
        <v>0.20833333333333334</v>
      </c>
      <c r="L1603" s="3465">
        <f>'Part IX A-Scoring Criteria'!L49</f>
        <v>0</v>
      </c>
      <c r="M1603" s="3313">
        <v>2</v>
      </c>
      <c r="N1603" s="3530" t="s">
        <v>389</v>
      </c>
      <c r="O1603" s="3531">
        <f>'Part IX A-Scoring Criteria'!O49</f>
        <v>2</v>
      </c>
      <c r="P1603" s="3531">
        <f>'Part IX A-Scoring Criteria'!P49</f>
        <v>0</v>
      </c>
      <c r="Q1603" s="3535"/>
      <c r="R1603" s="3535"/>
      <c r="S1603" s="3535"/>
      <c r="T1603" s="3535"/>
      <c r="U1603" s="3535"/>
      <c r="V1603" s="3535"/>
      <c r="W1603" s="3535"/>
      <c r="X1603" s="3535"/>
      <c r="Y1603" s="3535"/>
      <c r="Z1603" s="3535"/>
    </row>
    <row r="1604" spans="1:26" ht="15">
      <c r="A1604" s="3424"/>
      <c r="B1604" s="3533"/>
      <c r="C1604" s="3534"/>
      <c r="D1604" s="3443"/>
      <c r="E1604" s="3535"/>
      <c r="F1604" s="3535"/>
      <c r="G1604" s="3535"/>
      <c r="H1604" s="3535"/>
      <c r="I1604" s="3535"/>
      <c r="J1604" s="3535"/>
      <c r="K1604" s="3465"/>
      <c r="L1604" s="3465"/>
      <c r="M1604" s="3313"/>
      <c r="N1604" s="3530"/>
      <c r="O1604" s="3531"/>
      <c r="P1604" s="3531"/>
      <c r="Q1604" s="3535"/>
      <c r="R1604" s="3535"/>
      <c r="S1604" s="3535"/>
      <c r="T1604" s="3535"/>
      <c r="U1604" s="3535"/>
      <c r="V1604" s="3535"/>
      <c r="W1604" s="3535"/>
      <c r="X1604" s="3535"/>
      <c r="Y1604" s="3535"/>
      <c r="Z1604" s="3535"/>
    </row>
    <row r="1605" spans="1:26" ht="15" customHeight="1">
      <c r="A1605" s="3337" t="s">
        <v>121</v>
      </c>
      <c r="B1605" s="3527" t="s">
        <v>4807</v>
      </c>
      <c r="C1605" s="3535"/>
      <c r="D1605" s="3535"/>
      <c r="E1605" s="3481"/>
      <c r="F1605" s="3535"/>
      <c r="G1605" s="3535"/>
      <c r="H1605" s="3383" t="s">
        <v>1797</v>
      </c>
      <c r="I1605" s="3383"/>
      <c r="J1605" s="3535"/>
      <c r="K1605" s="3535"/>
      <c r="L1605" s="3535"/>
      <c r="M1605" s="3318">
        <v>3</v>
      </c>
      <c r="N1605" s="3469" t="s">
        <v>121</v>
      </c>
      <c r="O1605" s="3531">
        <f>'Part IX A-Scoring Criteria'!O51</f>
        <v>0</v>
      </c>
      <c r="P1605" s="3531">
        <f>'Part IX A-Scoring Criteria'!P51</f>
        <v>0</v>
      </c>
      <c r="Q1605" s="3535"/>
      <c r="R1605" s="3535"/>
      <c r="S1605" s="3535"/>
      <c r="T1605" s="3535"/>
      <c r="U1605" s="3535"/>
      <c r="V1605" s="3535"/>
      <c r="W1605" s="3535"/>
      <c r="X1605" s="3535"/>
      <c r="Y1605" s="3535"/>
      <c r="Z1605" s="3535"/>
    </row>
    <row r="1606" spans="1:26" ht="15">
      <c r="A1606" s="3532"/>
      <c r="B1606" s="3533" t="s">
        <v>379</v>
      </c>
      <c r="C1606" s="3534">
        <v>0.3</v>
      </c>
      <c r="D1606" s="3443" t="s">
        <v>1798</v>
      </c>
      <c r="E1606" s="3481"/>
      <c r="F1606" s="3492"/>
      <c r="G1606" s="3535"/>
      <c r="H1606" s="3536">
        <f>'Part IX A-Scoring Criteria'!H52</f>
        <v>0</v>
      </c>
      <c r="I1606" s="3536">
        <f>'Part IX A-Scoring Criteria'!I52</f>
        <v>0</v>
      </c>
      <c r="J1606" s="3537"/>
      <c r="K1606" s="3465">
        <f>'Part IX A-Scoring Criteria'!K52</f>
        <v>0</v>
      </c>
      <c r="L1606" s="3465">
        <f>'Part IX A-Scoring Criteria'!L52</f>
        <v>0</v>
      </c>
      <c r="M1606" s="3313"/>
      <c r="N1606" s="3530" t="s">
        <v>379</v>
      </c>
      <c r="O1606" s="3531" t="str">
        <f>'Part IX A-Scoring Criteria'!O52</f>
        <v>No</v>
      </c>
      <c r="P1606" s="3531" t="str">
        <f>'Part IX A-Scoring Criteria'!P52</f>
        <v>No</v>
      </c>
      <c r="Q1606" s="3535"/>
      <c r="R1606" s="3535"/>
      <c r="S1606" s="3535"/>
      <c r="T1606" s="3535"/>
      <c r="U1606" s="3535"/>
      <c r="V1606" s="3535"/>
      <c r="W1606" s="3535"/>
      <c r="X1606" s="3535"/>
      <c r="Y1606" s="3535"/>
      <c r="Z1606" s="3535"/>
    </row>
    <row r="1607" spans="1:26" ht="15">
      <c r="A1607" s="3424"/>
      <c r="B1607" s="3533" t="s">
        <v>389</v>
      </c>
      <c r="C1607" s="3492" t="s">
        <v>1799</v>
      </c>
      <c r="D1607" s="3535"/>
      <c r="E1607" s="3538"/>
      <c r="F1607" s="3492"/>
      <c r="G1607" s="3535"/>
      <c r="H1607" s="3535"/>
      <c r="I1607" s="3499"/>
      <c r="J1607" s="3499"/>
      <c r="K1607" s="3499"/>
      <c r="L1607" s="3499"/>
      <c r="M1607" s="3499"/>
      <c r="N1607" s="3530" t="s">
        <v>389</v>
      </c>
      <c r="O1607" s="3424">
        <f>'Part IX A-Scoring Criteria'!O53</f>
        <v>0</v>
      </c>
      <c r="P1607" s="3424">
        <f>'Part IX A-Scoring Criteria'!P53</f>
        <v>0</v>
      </c>
      <c r="Q1607" s="3535"/>
      <c r="R1607" s="3535"/>
      <c r="S1607" s="3535"/>
      <c r="T1607" s="3535"/>
      <c r="U1607" s="3535"/>
      <c r="V1607" s="3535"/>
      <c r="W1607" s="3535"/>
      <c r="X1607" s="3535"/>
      <c r="Y1607" s="3535"/>
      <c r="Z1607" s="3535"/>
    </row>
    <row r="1608" spans="1:26" ht="15">
      <c r="A1608" s="3111"/>
      <c r="B1608" s="3382" t="s">
        <v>1276</v>
      </c>
      <c r="C1608" s="3535"/>
      <c r="D1608" s="3419"/>
      <c r="E1608" s="3421"/>
      <c r="F1608" s="3421"/>
      <c r="G1608" s="3421"/>
      <c r="H1608" s="3421"/>
      <c r="I1608" s="3421"/>
      <c r="J1608" s="3421"/>
      <c r="K1608" s="3421"/>
      <c r="L1608" s="3421"/>
      <c r="M1608" s="3421"/>
      <c r="N1608" s="3539"/>
      <c r="O1608" s="3510"/>
      <c r="P1608" s="3319"/>
      <c r="Q1608" s="3535"/>
      <c r="R1608" s="3504"/>
      <c r="S1608" s="3504"/>
      <c r="T1608" s="3504"/>
      <c r="U1608" s="3504"/>
      <c r="V1608" s="3504"/>
      <c r="W1608" s="3504"/>
      <c r="X1608" s="3504"/>
      <c r="Y1608" s="3504"/>
      <c r="Z1608" s="3504"/>
    </row>
    <row r="1609" spans="1:26" ht="15.75">
      <c r="A1609" s="3418">
        <f>'Part IX A-Scoring Criteria'!A55</f>
        <v>0</v>
      </c>
      <c r="B1609" s="3418">
        <f>'Part IX A-Scoring Criteria'!B55</f>
        <v>0</v>
      </c>
      <c r="C1609" s="3418">
        <f>'Part IX A-Scoring Criteria'!C55</f>
        <v>0</v>
      </c>
      <c r="D1609" s="3418">
        <f>'Part IX A-Scoring Criteria'!D55</f>
        <v>0</v>
      </c>
      <c r="E1609" s="3418">
        <f>'Part IX A-Scoring Criteria'!E55</f>
        <v>0</v>
      </c>
      <c r="F1609" s="3418">
        <f>'Part IX A-Scoring Criteria'!F55</f>
        <v>0</v>
      </c>
      <c r="G1609" s="3418">
        <f>'Part IX A-Scoring Criteria'!G55</f>
        <v>0</v>
      </c>
      <c r="H1609" s="3418">
        <f>'Part IX A-Scoring Criteria'!H55</f>
        <v>0</v>
      </c>
      <c r="I1609" s="3418">
        <f>'Part IX A-Scoring Criteria'!I55</f>
        <v>0</v>
      </c>
      <c r="J1609" s="3418">
        <f>'Part IX A-Scoring Criteria'!J55</f>
        <v>0</v>
      </c>
      <c r="K1609" s="3418">
        <f>'Part IX A-Scoring Criteria'!K55</f>
        <v>0</v>
      </c>
      <c r="L1609" s="3418">
        <f>'Part IX A-Scoring Criteria'!L55</f>
        <v>0</v>
      </c>
      <c r="M1609" s="3418">
        <f>'Part IX A-Scoring Criteria'!M55</f>
        <v>0</v>
      </c>
      <c r="N1609" s="3418">
        <f>'Part IX A-Scoring Criteria'!N55</f>
        <v>0</v>
      </c>
      <c r="O1609" s="3418">
        <f>'Part IX A-Scoring Criteria'!O55</f>
        <v>0</v>
      </c>
      <c r="P1609" s="3418">
        <f>'Part IX A-Scoring Criteria'!P55</f>
        <v>0</v>
      </c>
      <c r="Q1609" s="3512"/>
      <c r="R1609" s="3504"/>
      <c r="S1609" s="3504"/>
      <c r="T1609" s="3504"/>
      <c r="U1609" s="3504"/>
      <c r="V1609" s="3504"/>
      <c r="W1609" s="3504"/>
      <c r="X1609" s="3504"/>
      <c r="Y1609" s="3504"/>
      <c r="Z1609" s="3504"/>
    </row>
    <row r="1610" spans="1:26">
      <c r="N1610" s="3306"/>
      <c r="O1610" s="3308"/>
      <c r="P1610" s="3308"/>
    </row>
    <row r="1611" spans="1:26" ht="15.75" customHeight="1">
      <c r="A1611" s="3505" t="s">
        <v>31</v>
      </c>
      <c r="B1611" s="3506" t="s">
        <v>1800</v>
      </c>
      <c r="C1611" s="3504"/>
      <c r="D1611" s="3540"/>
      <c r="E1611" s="3504"/>
      <c r="F1611" s="3504"/>
      <c r="G1611" s="3504"/>
      <c r="H1611" s="3504"/>
      <c r="I1611" s="3274" t="s">
        <v>1801</v>
      </c>
      <c r="J1611" s="3274"/>
      <c r="K1611" s="3274"/>
      <c r="L1611" s="3274"/>
      <c r="M1611" s="3319">
        <v>10</v>
      </c>
      <c r="N1611" s="3459"/>
      <c r="O1611" s="3503">
        <f>'Part IX A-Scoring Criteria'!O57</f>
        <v>10</v>
      </c>
      <c r="P1611" s="3503">
        <f>'Part IX A-Scoring Criteria'!P57</f>
        <v>0</v>
      </c>
      <c r="Q1611" s="3319" t="s">
        <v>834</v>
      </c>
      <c r="R1611" s="3504"/>
      <c r="S1611" s="3504"/>
      <c r="T1611" s="3504"/>
      <c r="U1611" s="3504"/>
      <c r="V1611" s="3504"/>
      <c r="W1611" s="3504"/>
      <c r="X1611" s="3504"/>
      <c r="Y1611" s="3504"/>
      <c r="Z1611" s="3504"/>
    </row>
    <row r="1612" spans="1:26" ht="15">
      <c r="A1612" s="3111"/>
      <c r="B1612" s="3504"/>
      <c r="C1612" s="3504"/>
      <c r="D1612" s="358"/>
      <c r="E1612" s="358"/>
      <c r="F1612" s="3319"/>
      <c r="G1612" s="3319"/>
      <c r="H1612" s="3274"/>
      <c r="I1612" s="3274"/>
      <c r="J1612" s="3274"/>
      <c r="K1612" s="3274"/>
      <c r="L1612" s="3274"/>
      <c r="M1612" s="3416"/>
      <c r="N1612" s="3319"/>
      <c r="O1612" s="3308"/>
      <c r="P1612" s="3503"/>
      <c r="Q1612" s="3504"/>
      <c r="R1612" s="3504"/>
      <c r="S1612" s="3504"/>
      <c r="T1612" s="3504"/>
      <c r="U1612" s="3504"/>
      <c r="V1612" s="3504"/>
      <c r="W1612" s="3504"/>
      <c r="X1612" s="3504"/>
      <c r="Y1612" s="3504"/>
      <c r="Z1612" s="3504"/>
    </row>
    <row r="1613" spans="1:26" ht="15">
      <c r="A1613" s="3337"/>
      <c r="B1613" s="943" t="s">
        <v>1802</v>
      </c>
      <c r="C1613" s="3504"/>
      <c r="D1613" s="3111"/>
      <c r="E1613" s="3504"/>
      <c r="F1613" s="3504"/>
      <c r="G1613" s="3504"/>
      <c r="H1613" s="3504"/>
      <c r="I1613" s="3504"/>
      <c r="J1613" s="3504"/>
      <c r="K1613" s="3504"/>
      <c r="L1613" s="3504"/>
      <c r="M1613" s="3504"/>
      <c r="N1613" s="3459"/>
      <c r="O1613" s="3424" t="str">
        <f>'Part IX A-Scoring Criteria'!O59</f>
        <v>Yes</v>
      </c>
      <c r="P1613" s="3424">
        <f>'Part IX A-Scoring Criteria'!P59</f>
        <v>0</v>
      </c>
      <c r="Q1613" s="3504"/>
      <c r="R1613" s="3504"/>
      <c r="S1613" s="3504"/>
      <c r="T1613" s="3504"/>
      <c r="U1613" s="3504"/>
      <c r="V1613" s="3504"/>
      <c r="W1613" s="3504"/>
      <c r="X1613" s="3504"/>
      <c r="Y1613" s="3504"/>
      <c r="Z1613" s="3504"/>
    </row>
    <row r="1614" spans="1:26" ht="15" customHeight="1">
      <c r="A1614" s="3337" t="s">
        <v>110</v>
      </c>
      <c r="B1614" s="3326" t="s">
        <v>1803</v>
      </c>
      <c r="C1614" s="3300"/>
      <c r="D1614" s="3300"/>
      <c r="E1614" s="3504"/>
      <c r="F1614" s="3104"/>
      <c r="G1614" s="3113" t="s">
        <v>1804</v>
      </c>
      <c r="H1614" s="3504"/>
      <c r="I1614" s="3343" t="s">
        <v>4808</v>
      </c>
      <c r="J1614" s="3343"/>
      <c r="K1614" s="3343"/>
      <c r="L1614" s="3343"/>
      <c r="M1614" s="3310">
        <v>10</v>
      </c>
      <c r="N1614" s="3541" t="s">
        <v>110</v>
      </c>
      <c r="O1614" s="3542">
        <f>'Part IX A-Scoring Criteria'!O60</f>
        <v>10</v>
      </c>
      <c r="P1614" s="3542">
        <f>'Part IX A-Scoring Criteria'!P60</f>
        <v>0</v>
      </c>
      <c r="Q1614" s="3543" t="str">
        <f>IF(OR($O1614=$M1614,$O1614=0,$O1614=""),"","*CHECK!*")</f>
        <v/>
      </c>
      <c r="R1614" s="3544" t="s">
        <v>1806</v>
      </c>
      <c r="S1614" s="3504"/>
      <c r="T1614" s="3504"/>
      <c r="U1614" s="3504"/>
      <c r="V1614" s="3504"/>
      <c r="W1614" s="3504"/>
      <c r="X1614" s="3504"/>
      <c r="Y1614" s="3504"/>
      <c r="Z1614" s="3504"/>
    </row>
    <row r="1615" spans="1:26" ht="16.5">
      <c r="A1615" s="3337" t="s">
        <v>121</v>
      </c>
      <c r="B1615" s="3326" t="s">
        <v>1807</v>
      </c>
      <c r="C1615" s="3504"/>
      <c r="D1615" s="3540"/>
      <c r="E1615" s="3504"/>
      <c r="F1615" s="3545"/>
      <c r="G1615" s="3113" t="s">
        <v>1808</v>
      </c>
      <c r="H1615" s="3504"/>
      <c r="I1615" s="3343"/>
      <c r="J1615" s="3343"/>
      <c r="K1615" s="3343"/>
      <c r="L1615" s="3343"/>
      <c r="M1615" s="3416" t="s">
        <v>1809</v>
      </c>
      <c r="N1615" s="3459" t="s">
        <v>121</v>
      </c>
      <c r="O1615" s="3542">
        <f>'Part IX A-Scoring Criteria'!O61</f>
        <v>0</v>
      </c>
      <c r="P1615" s="3542">
        <f>'Part IX A-Scoring Criteria'!P61</f>
        <v>0</v>
      </c>
      <c r="Q1615" s="3504"/>
      <c r="R1615" s="3544" t="s">
        <v>1806</v>
      </c>
      <c r="S1615" s="3504"/>
      <c r="T1615" s="3504"/>
      <c r="U1615" s="3504"/>
      <c r="V1615" s="3504"/>
      <c r="W1615" s="3504"/>
      <c r="X1615" s="3504"/>
      <c r="Y1615" s="3504"/>
      <c r="Z1615" s="3504"/>
    </row>
    <row r="1616" spans="1:26" ht="15">
      <c r="A1616" s="3111"/>
      <c r="B1616" s="3523" t="s">
        <v>1810</v>
      </c>
      <c r="C1616" s="3111"/>
      <c r="D1616" s="3312"/>
      <c r="E1616" s="3312"/>
      <c r="F1616" s="3312"/>
      <c r="G1616" s="3312"/>
      <c r="H1616" s="358"/>
      <c r="I1616" s="3343"/>
      <c r="J1616" s="3343"/>
      <c r="K1616" s="3343"/>
      <c r="L1616" s="3343"/>
      <c r="M1616" s="3310"/>
      <c r="N1616" s="3306"/>
      <c r="O1616" s="3503"/>
      <c r="P1616" s="3308"/>
      <c r="Q1616" s="3504"/>
      <c r="R1616" s="3504"/>
      <c r="S1616" s="3504"/>
      <c r="T1616" s="3504"/>
      <c r="U1616" s="3504"/>
      <c r="V1616" s="3504"/>
      <c r="W1616" s="3504"/>
      <c r="X1616" s="3504"/>
      <c r="Y1616" s="3504"/>
      <c r="Z1616" s="3504"/>
    </row>
    <row r="1617" spans="1:26" ht="409.5">
      <c r="A1617" s="3418" t="str">
        <f>'Part IX A-Scoring Criteria'!A63</f>
        <v>The Mill at Stone Valley is located in scenic Ball Ground, Cherokee County, Georgia.  The proposed site is conveniently located in close proximity to many desirable amenities and events, as well as downtown Ball Ground itself, including schools, churches, banking and postal centers, and dining.  A new emergency services and fire station is close to the property, and growth in the Ball Ground/Cherokee area is projected to lead to greater job opportunities and other forms of economic development.  There are not any undesirable characteristics located near the site, nor is it located in a USDA-designated "food desert".</v>
      </c>
      <c r="B1617" s="3418">
        <f>'Part IX A-Scoring Criteria'!B63</f>
        <v>0</v>
      </c>
      <c r="C1617" s="3418">
        <f>'Part IX A-Scoring Criteria'!C63</f>
        <v>0</v>
      </c>
      <c r="D1617" s="3418">
        <f>'Part IX A-Scoring Criteria'!D63</f>
        <v>0</v>
      </c>
      <c r="E1617" s="3418">
        <f>'Part IX A-Scoring Criteria'!E63</f>
        <v>0</v>
      </c>
      <c r="F1617" s="3418">
        <f>'Part IX A-Scoring Criteria'!F63</f>
        <v>0</v>
      </c>
      <c r="G1617" s="3418">
        <f>'Part IX A-Scoring Criteria'!G63</f>
        <v>0</v>
      </c>
      <c r="H1617" s="3418">
        <f>'Part IX A-Scoring Criteria'!H63</f>
        <v>0</v>
      </c>
      <c r="I1617" s="3418">
        <f>'Part IX A-Scoring Criteria'!I63</f>
        <v>0</v>
      </c>
      <c r="J1617" s="3418">
        <f>'Part IX A-Scoring Criteria'!J63</f>
        <v>0</v>
      </c>
      <c r="K1617" s="3418">
        <f>'Part IX A-Scoring Criteria'!K63</f>
        <v>0</v>
      </c>
      <c r="L1617" s="3418">
        <f>'Part IX A-Scoring Criteria'!L63</f>
        <v>0</v>
      </c>
      <c r="M1617" s="3418">
        <f>'Part IX A-Scoring Criteria'!M63</f>
        <v>0</v>
      </c>
      <c r="N1617" s="3418">
        <f>'Part IX A-Scoring Criteria'!N63</f>
        <v>0</v>
      </c>
      <c r="O1617" s="3418">
        <f>'Part IX A-Scoring Criteria'!O63</f>
        <v>0</v>
      </c>
      <c r="P1617" s="3418">
        <f>'Part IX A-Scoring Criteria'!P63</f>
        <v>0</v>
      </c>
      <c r="Q1617" s="3512"/>
      <c r="R1617" s="3512"/>
      <c r="S1617" s="3504"/>
      <c r="T1617" s="3504"/>
      <c r="U1617" s="3504"/>
      <c r="V1617" s="3504"/>
      <c r="W1617" s="3504"/>
      <c r="X1617" s="3504"/>
      <c r="Y1617" s="3504"/>
      <c r="Z1617" s="3504"/>
    </row>
    <row r="1618" spans="1:26" ht="15">
      <c r="A1618" s="3111"/>
      <c r="B1618" s="3382" t="s">
        <v>1276</v>
      </c>
      <c r="C1618" s="3111"/>
      <c r="D1618" s="3419"/>
      <c r="E1618" s="3421"/>
      <c r="F1618" s="3421"/>
      <c r="G1618" s="3421"/>
      <c r="H1618" s="3421"/>
      <c r="I1618" s="3421"/>
      <c r="J1618" s="3421"/>
      <c r="K1618" s="3421"/>
      <c r="L1618" s="3421"/>
      <c r="M1618" s="3421"/>
      <c r="N1618" s="3539"/>
      <c r="O1618" s="3510"/>
      <c r="P1618" s="3319"/>
      <c r="Q1618" s="3535"/>
      <c r="R1618" s="3535"/>
      <c r="S1618" s="3504"/>
      <c r="T1618" s="3504"/>
      <c r="U1618" s="3504"/>
      <c r="V1618" s="3504"/>
      <c r="W1618" s="3504"/>
      <c r="X1618" s="3504"/>
      <c r="Y1618" s="3504"/>
      <c r="Z1618" s="3504"/>
    </row>
    <row r="1619" spans="1:26" ht="15.75">
      <c r="A1619" s="3418">
        <f>'Part IX A-Scoring Criteria'!A65</f>
        <v>0</v>
      </c>
      <c r="B1619" s="3418">
        <f>'Part IX A-Scoring Criteria'!B65</f>
        <v>0</v>
      </c>
      <c r="C1619" s="3418">
        <f>'Part IX A-Scoring Criteria'!C65</f>
        <v>0</v>
      </c>
      <c r="D1619" s="3418">
        <f>'Part IX A-Scoring Criteria'!D65</f>
        <v>0</v>
      </c>
      <c r="E1619" s="3418">
        <f>'Part IX A-Scoring Criteria'!E65</f>
        <v>0</v>
      </c>
      <c r="F1619" s="3418">
        <f>'Part IX A-Scoring Criteria'!F65</f>
        <v>0</v>
      </c>
      <c r="G1619" s="3418">
        <f>'Part IX A-Scoring Criteria'!G65</f>
        <v>0</v>
      </c>
      <c r="H1619" s="3418">
        <f>'Part IX A-Scoring Criteria'!H65</f>
        <v>0</v>
      </c>
      <c r="I1619" s="3418">
        <f>'Part IX A-Scoring Criteria'!I65</f>
        <v>0</v>
      </c>
      <c r="J1619" s="3418">
        <f>'Part IX A-Scoring Criteria'!J65</f>
        <v>0</v>
      </c>
      <c r="K1619" s="3418">
        <f>'Part IX A-Scoring Criteria'!K65</f>
        <v>0</v>
      </c>
      <c r="L1619" s="3418">
        <f>'Part IX A-Scoring Criteria'!L65</f>
        <v>0</v>
      </c>
      <c r="M1619" s="3418">
        <f>'Part IX A-Scoring Criteria'!M65</f>
        <v>0</v>
      </c>
      <c r="N1619" s="3418">
        <f>'Part IX A-Scoring Criteria'!N65</f>
        <v>0</v>
      </c>
      <c r="O1619" s="3418">
        <f>'Part IX A-Scoring Criteria'!O65</f>
        <v>0</v>
      </c>
      <c r="P1619" s="3418">
        <f>'Part IX A-Scoring Criteria'!P65</f>
        <v>0</v>
      </c>
      <c r="Q1619" s="3512"/>
      <c r="R1619" s="3512"/>
      <c r="S1619" s="3504"/>
      <c r="T1619" s="3504"/>
      <c r="U1619" s="3504"/>
      <c r="V1619" s="3504"/>
      <c r="W1619" s="3504"/>
      <c r="X1619" s="3504"/>
      <c r="Y1619" s="3504"/>
      <c r="Z1619" s="3504"/>
    </row>
    <row r="1620" spans="1:26">
      <c r="M1620" s="3111"/>
      <c r="N1620" s="3310"/>
      <c r="O1620" s="3319"/>
      <c r="P1620" s="3319"/>
    </row>
    <row r="1621" spans="1:26" ht="15.75" customHeight="1">
      <c r="A1621" s="3505" t="s">
        <v>57</v>
      </c>
      <c r="B1621" s="3506" t="s">
        <v>1811</v>
      </c>
      <c r="C1621" s="3504"/>
      <c r="D1621" s="3540"/>
      <c r="E1621" s="3504"/>
      <c r="F1621" s="3504"/>
      <c r="G1621" s="3504"/>
      <c r="H1621" s="3504"/>
      <c r="I1621" s="3504"/>
      <c r="J1621" s="3504"/>
      <c r="K1621" s="3546" t="s">
        <v>1812</v>
      </c>
      <c r="L1621" s="3504"/>
      <c r="M1621" s="3319">
        <v>6</v>
      </c>
      <c r="N1621" s="3459"/>
      <c r="O1621" s="3503">
        <f>'Part IX A-Scoring Criteria'!O67</f>
        <v>2</v>
      </c>
      <c r="P1621" s="3503">
        <f>'Part IX A-Scoring Criteria'!P67</f>
        <v>0</v>
      </c>
      <c r="Q1621" s="3319" t="s">
        <v>834</v>
      </c>
      <c r="R1621" s="3547" t="s">
        <v>4809</v>
      </c>
      <c r="S1621" s="3547"/>
      <c r="T1621" s="3547"/>
      <c r="U1621" s="3547"/>
      <c r="V1621" s="3504"/>
      <c r="W1621" s="3504"/>
      <c r="X1621" s="3504"/>
      <c r="Y1621" s="3504"/>
      <c r="Z1621" s="3504"/>
    </row>
    <row r="1622" spans="1:26" ht="15">
      <c r="A1622" s="3505"/>
      <c r="B1622" s="3312" t="s">
        <v>1814</v>
      </c>
      <c r="C1622" s="3504"/>
      <c r="D1622" s="3540"/>
      <c r="E1622" s="3504"/>
      <c r="F1622" s="3504"/>
      <c r="G1622" s="3504"/>
      <c r="H1622" s="3326" t="s">
        <v>1815</v>
      </c>
      <c r="I1622" s="3361"/>
      <c r="J1622" s="3326" t="str">
        <f>'Part I-Project Information'!$H$100</f>
        <v>Rural</v>
      </c>
      <c r="K1622" s="3312"/>
      <c r="L1622" s="3504"/>
      <c r="M1622" s="3319"/>
      <c r="N1622" s="3459"/>
      <c r="O1622" s="3548" t="s">
        <v>1816</v>
      </c>
      <c r="P1622" s="3548" t="s">
        <v>1817</v>
      </c>
      <c r="Q1622" s="3319"/>
      <c r="R1622" s="3547"/>
      <c r="S1622" s="3547"/>
      <c r="T1622" s="3547"/>
      <c r="U1622" s="3547"/>
      <c r="V1622" s="3504"/>
      <c r="W1622" s="3504"/>
      <c r="X1622" s="3504"/>
      <c r="Y1622" s="3504"/>
      <c r="Z1622" s="3504"/>
    </row>
    <row r="1623" spans="1:26" ht="15">
      <c r="A1623" s="3505"/>
      <c r="B1623" s="3549" t="s">
        <v>379</v>
      </c>
      <c r="C1623" s="943" t="s">
        <v>1818</v>
      </c>
      <c r="D1623" s="3540"/>
      <c r="E1623" s="3504"/>
      <c r="F1623" s="3504"/>
      <c r="G1623" s="3504"/>
      <c r="H1623" s="3523"/>
      <c r="I1623" s="3382"/>
      <c r="J1623" s="3312"/>
      <c r="K1623" s="3312"/>
      <c r="L1623" s="3504"/>
      <c r="M1623" s="3319"/>
      <c r="N1623" s="3459"/>
      <c r="O1623" s="3424" t="str">
        <f>'Part IX A-Scoring Criteria'!O69</f>
        <v>Yes</v>
      </c>
      <c r="P1623" s="3424">
        <f>'Part IX A-Scoring Criteria'!P69</f>
        <v>0</v>
      </c>
      <c r="Q1623" s="3319"/>
      <c r="R1623" s="3547"/>
      <c r="S1623" s="3547"/>
      <c r="T1623" s="3547"/>
      <c r="U1623" s="3547"/>
      <c r="V1623" s="3504"/>
      <c r="W1623" s="3504"/>
      <c r="X1623" s="3504"/>
      <c r="Y1623" s="3504"/>
      <c r="Z1623" s="3504"/>
    </row>
    <row r="1624" spans="1:26" ht="15">
      <c r="A1624" s="3505"/>
      <c r="B1624" s="3549" t="s">
        <v>389</v>
      </c>
      <c r="C1624" s="943" t="s">
        <v>1819</v>
      </c>
      <c r="D1624" s="3540"/>
      <c r="E1624" s="3504"/>
      <c r="F1624" s="3504"/>
      <c r="G1624" s="3504"/>
      <c r="H1624" s="3523"/>
      <c r="I1624" s="3382"/>
      <c r="J1624" s="3312"/>
      <c r="K1624" s="3312"/>
      <c r="L1624" s="3504"/>
      <c r="M1624" s="3504"/>
      <c r="N1624" s="3459"/>
      <c r="O1624" s="3424" t="str">
        <f>'Part IX A-Scoring Criteria'!O70</f>
        <v>Yes</v>
      </c>
      <c r="P1624" s="3424">
        <f>'Part IX A-Scoring Criteria'!P70</f>
        <v>0</v>
      </c>
      <c r="Q1624" s="3319"/>
      <c r="R1624" s="3547"/>
      <c r="S1624" s="3547"/>
      <c r="T1624" s="3547"/>
      <c r="U1624" s="3547"/>
      <c r="V1624" s="3504"/>
      <c r="W1624" s="3504"/>
      <c r="X1624" s="3504"/>
      <c r="Y1624" s="3504"/>
      <c r="Z1624" s="3504"/>
    </row>
    <row r="1625" spans="1:26" ht="15">
      <c r="A1625" s="3505"/>
      <c r="B1625" s="3549" t="s">
        <v>393</v>
      </c>
      <c r="C1625" s="943" t="s">
        <v>1820</v>
      </c>
      <c r="D1625" s="3540"/>
      <c r="E1625" s="3504"/>
      <c r="F1625" s="3504"/>
      <c r="G1625" s="3504"/>
      <c r="H1625" s="3523"/>
      <c r="I1625" s="3382"/>
      <c r="J1625" s="3312"/>
      <c r="K1625" s="3312"/>
      <c r="L1625" s="3504"/>
      <c r="M1625" s="3504"/>
      <c r="N1625" s="3459"/>
      <c r="O1625" s="3424" t="str">
        <f>'Part IX A-Scoring Criteria'!O71</f>
        <v>Yes</v>
      </c>
      <c r="P1625" s="3424">
        <f>'Part IX A-Scoring Criteria'!P71</f>
        <v>0</v>
      </c>
      <c r="Q1625" s="3319"/>
      <c r="R1625" s="3547"/>
      <c r="S1625" s="3547"/>
      <c r="T1625" s="3547"/>
      <c r="U1625" s="3547"/>
      <c r="V1625" s="3504"/>
      <c r="W1625" s="3504"/>
      <c r="X1625" s="3504"/>
      <c r="Y1625" s="3504"/>
      <c r="Z1625" s="3504"/>
    </row>
    <row r="1626" spans="1:26" ht="15">
      <c r="A1626" s="3505"/>
      <c r="B1626" s="3506"/>
      <c r="C1626" s="3504"/>
      <c r="D1626" s="3540"/>
      <c r="E1626" s="3504"/>
      <c r="F1626" s="3504"/>
      <c r="G1626" s="3504"/>
      <c r="H1626" s="3523"/>
      <c r="I1626" s="3382"/>
      <c r="J1626" s="3312"/>
      <c r="K1626" s="3312"/>
      <c r="L1626" s="3504"/>
      <c r="M1626" s="3319"/>
      <c r="N1626" s="3459"/>
      <c r="O1626" s="3503"/>
      <c r="P1626" s="3503"/>
      <c r="Q1626" s="3319"/>
      <c r="R1626" s="3547"/>
      <c r="S1626" s="3547"/>
      <c r="T1626" s="3547"/>
      <c r="U1626" s="3547"/>
      <c r="V1626" s="3504"/>
      <c r="W1626" s="3504"/>
      <c r="X1626" s="3504"/>
      <c r="Y1626" s="3504"/>
      <c r="Z1626" s="3504"/>
    </row>
    <row r="1627" spans="1:26" ht="15">
      <c r="A1627" s="3505"/>
      <c r="B1627" s="3312" t="s">
        <v>1821</v>
      </c>
      <c r="C1627" s="3504"/>
      <c r="D1627" s="3540"/>
      <c r="E1627" s="3504"/>
      <c r="F1627" s="3312" t="s">
        <v>70</v>
      </c>
      <c r="G1627" s="3312"/>
      <c r="H1627" s="3312"/>
      <c r="I1627" s="3312"/>
      <c r="J1627" s="3312" t="s">
        <v>71</v>
      </c>
      <c r="K1627" s="3312"/>
      <c r="L1627" s="3312"/>
      <c r="M1627" s="3312"/>
      <c r="N1627" s="3459"/>
      <c r="O1627" s="3275" t="s">
        <v>4810</v>
      </c>
      <c r="P1627" s="3550"/>
      <c r="Q1627" s="3319"/>
      <c r="R1627" s="3547"/>
      <c r="S1627" s="3547"/>
      <c r="T1627" s="3547"/>
      <c r="U1627" s="3547"/>
      <c r="V1627" s="3504"/>
      <c r="W1627" s="3504"/>
      <c r="X1627" s="3504"/>
      <c r="Y1627" s="3504"/>
      <c r="Z1627" s="3504"/>
    </row>
    <row r="1628" spans="1:26" ht="15">
      <c r="A1628" s="3505"/>
      <c r="B1628" s="3504"/>
      <c r="C1628" s="3312" t="s">
        <v>1823</v>
      </c>
      <c r="D1628" s="3196"/>
      <c r="E1628" s="3119"/>
      <c r="F1628" s="3123">
        <f>'Part IX A-Scoring Criteria'!F74</f>
        <v>34.329286000000003</v>
      </c>
      <c r="G1628" s="3123">
        <f>'Part IX A-Scoring Criteria'!G74</f>
        <v>0</v>
      </c>
      <c r="H1628" s="3123">
        <f>'Part IX A-Scoring Criteria'!H74</f>
        <v>0</v>
      </c>
      <c r="I1628" s="3123">
        <f>'Part IX A-Scoring Criteria'!I74</f>
        <v>0</v>
      </c>
      <c r="J1628" s="3123">
        <f>'Part IX A-Scoring Criteria'!J74</f>
        <v>-84.386528999999996</v>
      </c>
      <c r="K1628" s="3123">
        <f>'Part IX A-Scoring Criteria'!K74</f>
        <v>0</v>
      </c>
      <c r="L1628" s="3123">
        <f>'Part IX A-Scoring Criteria'!L74</f>
        <v>0</v>
      </c>
      <c r="M1628" s="3123">
        <f>'Part IX A-Scoring Criteria'!M74</f>
        <v>0</v>
      </c>
      <c r="N1628" s="3459"/>
      <c r="O1628" s="3504"/>
      <c r="P1628" s="3504"/>
      <c r="Q1628" s="3319"/>
      <c r="R1628" s="3547"/>
      <c r="S1628" s="3547"/>
      <c r="T1628" s="3547"/>
      <c r="U1628" s="3547"/>
      <c r="V1628" s="3504"/>
      <c r="W1628" s="3504"/>
      <c r="X1628" s="3504"/>
      <c r="Y1628" s="3504"/>
      <c r="Z1628" s="3504"/>
    </row>
    <row r="1629" spans="1:26" ht="15">
      <c r="A1629" s="3504"/>
      <c r="B1629" s="3409"/>
      <c r="C1629" s="3504"/>
      <c r="D1629" s="358" t="s">
        <v>1824</v>
      </c>
      <c r="E1629" s="3119"/>
      <c r="F1629" s="3123">
        <f>'Part IX A-Scoring Criteria'!F75</f>
        <v>34.329286000000003</v>
      </c>
      <c r="G1629" s="3123">
        <f>'Part IX A-Scoring Criteria'!G75</f>
        <v>0</v>
      </c>
      <c r="H1629" s="3123">
        <f>'Part IX A-Scoring Criteria'!H75</f>
        <v>0</v>
      </c>
      <c r="I1629" s="3123">
        <f>'Part IX A-Scoring Criteria'!I75</f>
        <v>0</v>
      </c>
      <c r="J1629" s="3123">
        <f>'Part IX A-Scoring Criteria'!J75</f>
        <v>-84.386528999999996</v>
      </c>
      <c r="K1629" s="3123">
        <f>'Part IX A-Scoring Criteria'!K75</f>
        <v>0</v>
      </c>
      <c r="L1629" s="3123">
        <f>'Part IX A-Scoring Criteria'!L75</f>
        <v>0</v>
      </c>
      <c r="M1629" s="3123">
        <f>'Part IX A-Scoring Criteria'!M75</f>
        <v>0</v>
      </c>
      <c r="N1629" s="3459"/>
      <c r="O1629" s="3551">
        <f>'Part IX A-Scoring Criteria'!O75</f>
        <v>0</v>
      </c>
      <c r="P1629" s="3551">
        <f>'Part IX A-Scoring Criteria'!P75</f>
        <v>0</v>
      </c>
      <c r="Q1629" s="3319"/>
      <c r="R1629" s="3547"/>
      <c r="S1629" s="3547"/>
      <c r="T1629" s="3547"/>
      <c r="U1629" s="3547"/>
      <c r="V1629" s="3504"/>
      <c r="W1629" s="3504"/>
      <c r="X1629" s="3504"/>
      <c r="Y1629" s="3504"/>
      <c r="Z1629" s="3504"/>
    </row>
    <row r="1630" spans="1:26" ht="15" customHeight="1">
      <c r="A1630" s="3409" t="s">
        <v>1825</v>
      </c>
      <c r="B1630" s="3409"/>
      <c r="C1630" s="3312" t="s">
        <v>1826</v>
      </c>
      <c r="D1630" s="3196"/>
      <c r="E1630" s="3119"/>
      <c r="F1630" s="3123">
        <f>'Part IX A-Scoring Criteria'!F76</f>
        <v>0</v>
      </c>
      <c r="G1630" s="3123">
        <f>'Part IX A-Scoring Criteria'!G76</f>
        <v>0</v>
      </c>
      <c r="H1630" s="3123">
        <f>'Part IX A-Scoring Criteria'!H76</f>
        <v>0</v>
      </c>
      <c r="I1630" s="3123">
        <f>'Part IX A-Scoring Criteria'!I76</f>
        <v>0</v>
      </c>
      <c r="J1630" s="3123">
        <f>'Part IX A-Scoring Criteria'!J76</f>
        <v>0</v>
      </c>
      <c r="K1630" s="3123">
        <f>'Part IX A-Scoring Criteria'!K76</f>
        <v>0</v>
      </c>
      <c r="L1630" s="3123">
        <f>'Part IX A-Scoring Criteria'!L76</f>
        <v>0</v>
      </c>
      <c r="M1630" s="3123">
        <f>'Part IX A-Scoring Criteria'!M76</f>
        <v>0</v>
      </c>
      <c r="N1630" s="3459"/>
      <c r="O1630" s="3551">
        <f>'Part IX A-Scoring Criteria'!O76</f>
        <v>0</v>
      </c>
      <c r="P1630" s="3551">
        <f>'Part IX A-Scoring Criteria'!P76</f>
        <v>0</v>
      </c>
      <c r="Q1630" s="3319"/>
      <c r="R1630" s="3547"/>
      <c r="S1630" s="3547"/>
      <c r="T1630" s="3547"/>
      <c r="U1630" s="3547"/>
      <c r="V1630" s="3504"/>
      <c r="W1630" s="3504"/>
      <c r="X1630" s="3504"/>
      <c r="Y1630" s="3504"/>
      <c r="Z1630" s="3504"/>
    </row>
    <row r="1631" spans="1:26" ht="15">
      <c r="A1631" s="3409"/>
      <c r="B1631" s="3409"/>
      <c r="C1631" s="3504"/>
      <c r="D1631" s="358" t="s">
        <v>1827</v>
      </c>
      <c r="E1631" s="3119"/>
      <c r="F1631" s="3123">
        <f>'Part IX A-Scoring Criteria'!F77</f>
        <v>0</v>
      </c>
      <c r="G1631" s="3123">
        <f>'Part IX A-Scoring Criteria'!G77</f>
        <v>0</v>
      </c>
      <c r="H1631" s="3123">
        <f>'Part IX A-Scoring Criteria'!H77</f>
        <v>0</v>
      </c>
      <c r="I1631" s="3123">
        <f>'Part IX A-Scoring Criteria'!I77</f>
        <v>0</v>
      </c>
      <c r="J1631" s="3123">
        <f>'Part IX A-Scoring Criteria'!J77</f>
        <v>0</v>
      </c>
      <c r="K1631" s="3123">
        <f>'Part IX A-Scoring Criteria'!K77</f>
        <v>0</v>
      </c>
      <c r="L1631" s="3123">
        <f>'Part IX A-Scoring Criteria'!L77</f>
        <v>0</v>
      </c>
      <c r="M1631" s="3123">
        <f>'Part IX A-Scoring Criteria'!M77</f>
        <v>0</v>
      </c>
      <c r="N1631" s="3459"/>
      <c r="O1631" s="3551">
        <f>'Part IX A-Scoring Criteria'!O77</f>
        <v>0</v>
      </c>
      <c r="P1631" s="3551">
        <f>'Part IX A-Scoring Criteria'!P77</f>
        <v>0</v>
      </c>
      <c r="Q1631" s="3319"/>
      <c r="R1631" s="3547"/>
      <c r="S1631" s="3547"/>
      <c r="T1631" s="3547"/>
      <c r="U1631" s="3547"/>
      <c r="V1631" s="3504"/>
      <c r="W1631" s="3504"/>
      <c r="X1631" s="3504"/>
      <c r="Y1631" s="3504"/>
      <c r="Z1631" s="3504"/>
    </row>
    <row r="1632" spans="1:26" ht="15">
      <c r="A1632" s="3505"/>
      <c r="B1632" s="3506"/>
      <c r="C1632" s="3504"/>
      <c r="D1632" s="3540"/>
      <c r="E1632" s="3504"/>
      <c r="F1632" s="3504"/>
      <c r="G1632" s="3504"/>
      <c r="H1632" s="3523"/>
      <c r="I1632" s="3382"/>
      <c r="J1632" s="3312"/>
      <c r="K1632" s="3312"/>
      <c r="L1632" s="3504"/>
      <c r="M1632" s="3319"/>
      <c r="N1632" s="3459"/>
      <c r="O1632" s="3503"/>
      <c r="P1632" s="3503"/>
      <c r="Q1632" s="3319"/>
      <c r="R1632" s="3547"/>
      <c r="S1632" s="3547"/>
      <c r="T1632" s="3547"/>
      <c r="U1632" s="3547"/>
      <c r="V1632" s="3504"/>
      <c r="W1632" s="3504"/>
      <c r="X1632" s="3504"/>
      <c r="Y1632" s="3504"/>
      <c r="Z1632" s="3504"/>
    </row>
    <row r="1633" spans="1:26" ht="15">
      <c r="A1633" s="3552" t="s">
        <v>1828</v>
      </c>
      <c r="B1633" s="3506"/>
      <c r="C1633" s="3504"/>
      <c r="D1633" s="3540"/>
      <c r="E1633" s="3504"/>
      <c r="F1633" s="3553" t="s">
        <v>4811</v>
      </c>
      <c r="G1633" s="3504"/>
      <c r="H1633" s="3504"/>
      <c r="I1633" s="3504"/>
      <c r="J1633" s="3504"/>
      <c r="K1633" s="3504"/>
      <c r="L1633" s="3504"/>
      <c r="M1633" s="3319"/>
      <c r="N1633" s="3319"/>
      <c r="O1633" s="3319"/>
      <c r="P1633" s="3319"/>
      <c r="Q1633" s="3319"/>
      <c r="R1633" s="3547"/>
      <c r="S1633" s="3547"/>
      <c r="T1633" s="3547"/>
      <c r="U1633" s="3547"/>
      <c r="V1633" s="3504"/>
      <c r="W1633" s="3504"/>
      <c r="X1633" s="3504"/>
      <c r="Y1633" s="3504"/>
      <c r="Z1633" s="3504"/>
    </row>
    <row r="1634" spans="1:26" ht="15" customHeight="1">
      <c r="A1634" s="3458" t="s">
        <v>110</v>
      </c>
      <c r="B1634" s="3326" t="s">
        <v>1830</v>
      </c>
      <c r="C1634" s="3504"/>
      <c r="D1634" s="3540"/>
      <c r="E1634" s="3504"/>
      <c r="F1634" s="3523" t="s">
        <v>4812</v>
      </c>
      <c r="G1634" s="3504"/>
      <c r="H1634" s="3504"/>
      <c r="I1634" s="3554" t="s">
        <v>4813</v>
      </c>
      <c r="J1634" s="3554"/>
      <c r="K1634" s="3554"/>
      <c r="L1634" s="3554"/>
      <c r="M1634" s="3319">
        <v>6</v>
      </c>
      <c r="N1634" s="3530" t="s">
        <v>110</v>
      </c>
      <c r="O1634" s="3379">
        <f>'Part IX A-Scoring Criteria'!O80</f>
        <v>0</v>
      </c>
      <c r="P1634" s="3379">
        <f>'Part IX A-Scoring Criteria'!P80</f>
        <v>0</v>
      </c>
      <c r="Q1634" s="3319"/>
      <c r="R1634" s="3504"/>
      <c r="S1634" s="3504"/>
      <c r="T1634" s="3504"/>
      <c r="U1634" s="3504"/>
      <c r="V1634" s="3504"/>
      <c r="W1634" s="3504"/>
      <c r="X1634" s="3504"/>
      <c r="Y1634" s="3504"/>
      <c r="Z1634" s="3504"/>
    </row>
    <row r="1635" spans="1:26" ht="15" customHeight="1">
      <c r="A1635" s="3555"/>
      <c r="B1635" s="3556" t="s">
        <v>379</v>
      </c>
      <c r="C1635" s="3418" t="s">
        <v>4814</v>
      </c>
      <c r="D1635" s="3418"/>
      <c r="E1635" s="3418"/>
      <c r="F1635" s="3418"/>
      <c r="G1635" s="3418"/>
      <c r="H1635" s="3418"/>
      <c r="I1635" s="3554"/>
      <c r="J1635" s="3554"/>
      <c r="K1635" s="3554"/>
      <c r="L1635" s="3554"/>
      <c r="M1635" s="3557">
        <v>5</v>
      </c>
      <c r="N1635" s="3549" t="s">
        <v>379</v>
      </c>
      <c r="O1635" s="3542">
        <f>'Part IX A-Scoring Criteria'!O81</f>
        <v>0</v>
      </c>
      <c r="P1635" s="3542">
        <f>'Part IX A-Scoring Criteria'!P81</f>
        <v>0</v>
      </c>
      <c r="Q1635" s="3543" t="str">
        <f>IF(OR($O1635=$M1635,$O1635=0,$O1635=""),"","*CHECK!*")</f>
        <v/>
      </c>
      <c r="R1635" s="3544" t="s">
        <v>1806</v>
      </c>
      <c r="S1635" s="3555"/>
      <c r="T1635" s="3555"/>
      <c r="U1635" s="3555"/>
      <c r="V1635" s="3555"/>
      <c r="W1635" s="3555"/>
      <c r="X1635" s="3555"/>
      <c r="Y1635" s="3555"/>
      <c r="Z1635" s="3555"/>
    </row>
    <row r="1636" spans="1:26" ht="15" customHeight="1">
      <c r="A1636" s="3424" t="s">
        <v>515</v>
      </c>
      <c r="B1636" s="3556" t="s">
        <v>389</v>
      </c>
      <c r="C1636" s="3443" t="s">
        <v>4815</v>
      </c>
      <c r="D1636" s="3443"/>
      <c r="E1636" s="3443"/>
      <c r="F1636" s="3443"/>
      <c r="G1636" s="3443"/>
      <c r="H1636" s="3443"/>
      <c r="I1636" s="3554"/>
      <c r="J1636" s="3554"/>
      <c r="K1636" s="3554"/>
      <c r="L1636" s="3554"/>
      <c r="M1636" s="3557">
        <v>4</v>
      </c>
      <c r="N1636" s="3549" t="s">
        <v>389</v>
      </c>
      <c r="O1636" s="3542">
        <f>'Part IX A-Scoring Criteria'!O82</f>
        <v>0</v>
      </c>
      <c r="P1636" s="3542">
        <f>'Part IX A-Scoring Criteria'!P82</f>
        <v>0</v>
      </c>
      <c r="Q1636" s="3543" t="str">
        <f t="shared" ref="Q1636:Q1637" si="321">IF(OR($O1636=$M1636,$O1636=0,$O1636=""),"","*CHECK!*")</f>
        <v/>
      </c>
      <c r="R1636" s="3544" t="s">
        <v>1806</v>
      </c>
      <c r="S1636" s="3555"/>
      <c r="T1636" s="3555"/>
      <c r="U1636" s="3555"/>
      <c r="V1636" s="3555"/>
      <c r="W1636" s="3555"/>
      <c r="X1636" s="3555"/>
      <c r="Y1636" s="3555"/>
      <c r="Z1636" s="3555"/>
    </row>
    <row r="1637" spans="1:26" ht="15" customHeight="1">
      <c r="A1637" s="3555"/>
      <c r="B1637" s="3556" t="s">
        <v>393</v>
      </c>
      <c r="C1637" s="3443" t="s">
        <v>1835</v>
      </c>
      <c r="D1637" s="3443"/>
      <c r="E1637" s="3443"/>
      <c r="F1637" s="3443"/>
      <c r="G1637" s="3459" t="s">
        <v>1836</v>
      </c>
      <c r="H1637" s="3451" t="str">
        <f>'Part I-Project Information'!$H$78</f>
        <v>Family</v>
      </c>
      <c r="I1637" s="3189" t="str">
        <f>'Part IX A-Scoring Criteria'!I83</f>
        <v>Cherokee Area Transportation Service</v>
      </c>
      <c r="J1637" s="3189">
        <f>'Part IX A-Scoring Criteria'!J83</f>
        <v>0</v>
      </c>
      <c r="K1637" s="3189">
        <f>'Part IX A-Scoring Criteria'!K83</f>
        <v>0</v>
      </c>
      <c r="L1637" s="3558">
        <f>'Part IX A-Scoring Criteria'!L83</f>
        <v>7703456238</v>
      </c>
      <c r="M1637" s="3557">
        <v>1</v>
      </c>
      <c r="N1637" s="3549" t="s">
        <v>393</v>
      </c>
      <c r="O1637" s="3542">
        <f>'Part IX A-Scoring Criteria'!O83</f>
        <v>0</v>
      </c>
      <c r="P1637" s="3542">
        <f>'Part IX A-Scoring Criteria'!P83</f>
        <v>0</v>
      </c>
      <c r="Q1637" s="3543" t="str">
        <f t="shared" si="321"/>
        <v/>
      </c>
      <c r="R1637" s="3544" t="s">
        <v>1806</v>
      </c>
      <c r="S1637" s="3555"/>
      <c r="T1637" s="3555"/>
      <c r="U1637" s="3555"/>
      <c r="V1637" s="3555"/>
      <c r="W1637" s="3555"/>
      <c r="X1637" s="3555"/>
      <c r="Y1637" s="3555"/>
      <c r="Z1637" s="3555"/>
    </row>
    <row r="1638" spans="1:26" ht="15">
      <c r="A1638" s="3458" t="s">
        <v>121</v>
      </c>
      <c r="B1638" s="3559" t="s">
        <v>1837</v>
      </c>
      <c r="C1638" s="1084"/>
      <c r="D1638" s="1084"/>
      <c r="E1638" s="1084"/>
      <c r="F1638" s="3560" t="s">
        <v>4816</v>
      </c>
      <c r="G1638" s="3555"/>
      <c r="H1638" s="3555"/>
      <c r="I1638" s="3189">
        <f>'Part IX A-Scoring Criteria'!I84</f>
        <v>0</v>
      </c>
      <c r="J1638" s="3189">
        <f>'Part IX A-Scoring Criteria'!J84</f>
        <v>0</v>
      </c>
      <c r="K1638" s="3189">
        <f>'Part IX A-Scoring Criteria'!K84</f>
        <v>0</v>
      </c>
      <c r="L1638" s="3558">
        <f>'Part IX A-Scoring Criteria'!L84</f>
        <v>0</v>
      </c>
      <c r="M1638" s="3561">
        <v>3</v>
      </c>
      <c r="N1638" s="3469" t="s">
        <v>121</v>
      </c>
      <c r="O1638" s="3379">
        <f>'Part IX A-Scoring Criteria'!O84</f>
        <v>0</v>
      </c>
      <c r="P1638" s="3379">
        <f>'Part IX A-Scoring Criteria'!P84</f>
        <v>0</v>
      </c>
      <c r="Q1638" s="3562"/>
      <c r="R1638" s="3358"/>
      <c r="S1638" s="3555"/>
      <c r="T1638" s="3555"/>
      <c r="U1638" s="3555"/>
      <c r="V1638" s="3555"/>
      <c r="W1638" s="3555"/>
      <c r="X1638" s="3555"/>
      <c r="Y1638" s="3555"/>
      <c r="Z1638" s="3555"/>
    </row>
    <row r="1639" spans="1:26" ht="15" customHeight="1">
      <c r="A1639" s="3337"/>
      <c r="B1639" s="3556" t="s">
        <v>379</v>
      </c>
      <c r="C1639" s="3383" t="s">
        <v>4817</v>
      </c>
      <c r="D1639" s="3383"/>
      <c r="E1639" s="3383"/>
      <c r="F1639" s="3383"/>
      <c r="G1639" s="3383"/>
      <c r="H1639" s="3383"/>
      <c r="I1639" s="3189" t="str">
        <f>'Part IX A-Scoring Criteria'!I85</f>
        <v>http://www.cherokeega.com/Transportation/canton-fixed-route-service/</v>
      </c>
      <c r="J1639" s="3189">
        <f>'Part IX A-Scoring Criteria'!J85</f>
        <v>0</v>
      </c>
      <c r="K1639" s="3189">
        <f>'Part IX A-Scoring Criteria'!K85</f>
        <v>0</v>
      </c>
      <c r="L1639" s="3189">
        <f>'Part IX A-Scoring Criteria'!L85</f>
        <v>0</v>
      </c>
      <c r="M1639" s="3557">
        <v>3</v>
      </c>
      <c r="N1639" s="3549" t="s">
        <v>379</v>
      </c>
      <c r="O1639" s="3542">
        <f>'Part IX A-Scoring Criteria'!O85</f>
        <v>0</v>
      </c>
      <c r="P1639" s="3542">
        <f>'Part IX A-Scoring Criteria'!P85</f>
        <v>0</v>
      </c>
      <c r="Q1639" s="3543" t="str">
        <f>IF(OR($O1639=$M1639,$O1639=0,$O1639=""),"","*CHECK!*")</f>
        <v/>
      </c>
      <c r="R1639" s="3544" t="s">
        <v>1806</v>
      </c>
      <c r="S1639" s="3555"/>
      <c r="T1639" s="3555"/>
      <c r="U1639" s="3555"/>
      <c r="V1639" s="3555"/>
      <c r="W1639" s="3555"/>
      <c r="X1639" s="3555"/>
      <c r="Y1639" s="3555"/>
      <c r="Z1639" s="3555"/>
    </row>
    <row r="1640" spans="1:26" ht="15" customHeight="1">
      <c r="A1640" s="3470" t="s">
        <v>515</v>
      </c>
      <c r="B1640" s="3556" t="s">
        <v>389</v>
      </c>
      <c r="C1640" s="3383" t="s">
        <v>4818</v>
      </c>
      <c r="D1640" s="3383"/>
      <c r="E1640" s="3383"/>
      <c r="F1640" s="3383"/>
      <c r="G1640" s="3383"/>
      <c r="H1640" s="3383"/>
      <c r="I1640" s="3189">
        <f>'Part IX A-Scoring Criteria'!I86</f>
        <v>0</v>
      </c>
      <c r="J1640" s="3189">
        <f>'Part IX A-Scoring Criteria'!J86</f>
        <v>0</v>
      </c>
      <c r="K1640" s="3189">
        <f>'Part IX A-Scoring Criteria'!K86</f>
        <v>0</v>
      </c>
      <c r="L1640" s="3189">
        <f>'Part IX A-Scoring Criteria'!L86</f>
        <v>0</v>
      </c>
      <c r="M1640" s="3557">
        <v>2</v>
      </c>
      <c r="N1640" s="3549" t="s">
        <v>389</v>
      </c>
      <c r="O1640" s="3542">
        <f>'Part IX A-Scoring Criteria'!O86</f>
        <v>0</v>
      </c>
      <c r="P1640" s="3542">
        <f>'Part IX A-Scoring Criteria'!P86</f>
        <v>0</v>
      </c>
      <c r="Q1640" s="3543" t="str">
        <f t="shared" ref="Q1640:Q1641" si="322">IF(OR($O1640=$M1640,$O1640=0,$O1640=""),"","*CHECK!*")</f>
        <v/>
      </c>
      <c r="R1640" s="3544" t="s">
        <v>1806</v>
      </c>
      <c r="S1640" s="3504"/>
      <c r="T1640" s="3504"/>
      <c r="U1640" s="3504"/>
      <c r="V1640" s="3504"/>
      <c r="W1640" s="3504"/>
      <c r="X1640" s="3504"/>
      <c r="Y1640" s="3504"/>
      <c r="Z1640" s="3504"/>
    </row>
    <row r="1641" spans="1:26" ht="15" customHeight="1">
      <c r="A1641" s="3470" t="s">
        <v>515</v>
      </c>
      <c r="B1641" s="3556" t="s">
        <v>393</v>
      </c>
      <c r="C1641" s="3418" t="s">
        <v>4819</v>
      </c>
      <c r="D1641" s="3418"/>
      <c r="E1641" s="3418"/>
      <c r="F1641" s="3418"/>
      <c r="G1641" s="3418"/>
      <c r="H1641" s="3418"/>
      <c r="I1641" s="3189" t="str">
        <f>'Part IX A-Scoring Criteria'!I87</f>
        <v>http://www.cherokeega.com/Transportation/canton-fixed-route-service/</v>
      </c>
      <c r="J1641" s="3189">
        <f>'Part IX A-Scoring Criteria'!J87</f>
        <v>0</v>
      </c>
      <c r="K1641" s="3189">
        <f>'Part IX A-Scoring Criteria'!K87</f>
        <v>0</v>
      </c>
      <c r="L1641" s="3189">
        <f>'Part IX A-Scoring Criteria'!L87</f>
        <v>0</v>
      </c>
      <c r="M1641" s="3557">
        <v>1</v>
      </c>
      <c r="N1641" s="3549" t="s">
        <v>393</v>
      </c>
      <c r="O1641" s="3542">
        <f>'Part IX A-Scoring Criteria'!O87</f>
        <v>0</v>
      </c>
      <c r="P1641" s="3542">
        <f>'Part IX A-Scoring Criteria'!P87</f>
        <v>0</v>
      </c>
      <c r="Q1641" s="3543" t="str">
        <f t="shared" si="322"/>
        <v/>
      </c>
      <c r="R1641" s="3544" t="s">
        <v>1806</v>
      </c>
      <c r="S1641" s="3504"/>
      <c r="T1641" s="3504"/>
      <c r="U1641" s="3504"/>
      <c r="V1641" s="3504"/>
      <c r="W1641" s="3504"/>
      <c r="X1641" s="3504"/>
      <c r="Y1641" s="3504"/>
      <c r="Z1641" s="3504"/>
    </row>
    <row r="1642" spans="1:26" ht="15">
      <c r="A1642" s="3552" t="s">
        <v>1842</v>
      </c>
      <c r="B1642" s="3326"/>
      <c r="C1642" s="3504"/>
      <c r="D1642" s="3504"/>
      <c r="E1642" s="3540"/>
      <c r="F1642" s="3504"/>
      <c r="G1642" s="3504"/>
      <c r="H1642" s="3504"/>
      <c r="I1642" s="3189">
        <f>'Part IX A-Scoring Criteria'!I88</f>
        <v>0</v>
      </c>
      <c r="J1642" s="3189">
        <f>'Part IX A-Scoring Criteria'!J88</f>
        <v>0</v>
      </c>
      <c r="K1642" s="3189">
        <f>'Part IX A-Scoring Criteria'!K88</f>
        <v>0</v>
      </c>
      <c r="L1642" s="3189">
        <f>'Part IX A-Scoring Criteria'!L88</f>
        <v>0</v>
      </c>
      <c r="M1642" s="3310"/>
      <c r="N1642" s="3310"/>
      <c r="O1642" s="3310"/>
      <c r="P1642" s="3310"/>
      <c r="Q1642" s="3467"/>
      <c r="R1642" s="3467"/>
      <c r="S1642" s="3504"/>
      <c r="T1642" s="3504"/>
      <c r="U1642" s="3504"/>
      <c r="V1642" s="3504"/>
      <c r="W1642" s="3504"/>
      <c r="X1642" s="3504"/>
      <c r="Y1642" s="3504"/>
      <c r="Z1642" s="3504"/>
    </row>
    <row r="1643" spans="1:26" ht="15">
      <c r="A1643" s="3337"/>
      <c r="B1643" s="3556" t="s">
        <v>445</v>
      </c>
      <c r="C1643" s="3326" t="s">
        <v>4820</v>
      </c>
      <c r="D1643" s="3326"/>
      <c r="E1643" s="3326"/>
      <c r="F1643" s="3326"/>
      <c r="G1643" s="3326"/>
      <c r="H1643" s="3326"/>
      <c r="I1643" s="3326"/>
      <c r="J1643" s="3326"/>
      <c r="K1643" s="3326"/>
      <c r="L1643" s="3326"/>
      <c r="M1643" s="3310">
        <v>2</v>
      </c>
      <c r="N1643" s="3549" t="s">
        <v>445</v>
      </c>
      <c r="O1643" s="3503">
        <f>'Part IX A-Scoring Criteria'!O89</f>
        <v>2</v>
      </c>
      <c r="P1643" s="3503">
        <f>'Part IX A-Scoring Criteria'!P89</f>
        <v>0</v>
      </c>
      <c r="Q1643" s="3543" t="str">
        <f>IF(OR($O1643=$M1643,$O1643=0,$O1643=""),"","*CHECK!*")</f>
        <v/>
      </c>
      <c r="R1643" s="3544" t="s">
        <v>1806</v>
      </c>
      <c r="S1643" s="3522"/>
      <c r="T1643" s="3522"/>
      <c r="U1643" s="3522"/>
      <c r="V1643" s="3522"/>
      <c r="W1643" s="3522"/>
      <c r="X1643" s="3522"/>
      <c r="Y1643" s="3522"/>
      <c r="Z1643" s="3522"/>
    </row>
    <row r="1644" spans="1:26" ht="15">
      <c r="A1644" s="358" t="s">
        <v>4821</v>
      </c>
      <c r="B1644" s="3326"/>
      <c r="C1644" s="3504"/>
      <c r="D1644" s="3504"/>
      <c r="E1644" s="3540"/>
      <c r="F1644" s="3504"/>
      <c r="G1644" s="3504"/>
      <c r="H1644" s="3504"/>
      <c r="I1644" s="3504"/>
      <c r="J1644" s="3504"/>
      <c r="K1644" s="3312"/>
      <c r="L1644" s="3504"/>
      <c r="M1644" s="3310"/>
      <c r="N1644" s="3310"/>
      <c r="O1644" s="3310"/>
      <c r="P1644" s="3310"/>
      <c r="Q1644" s="3467"/>
      <c r="R1644" s="3467"/>
      <c r="S1644" s="3504"/>
      <c r="T1644" s="3504"/>
      <c r="U1644" s="3504"/>
      <c r="V1644" s="3504"/>
      <c r="W1644" s="3504"/>
      <c r="X1644" s="3504"/>
      <c r="Y1644" s="3504"/>
      <c r="Z1644" s="3504"/>
    </row>
    <row r="1645" spans="1:26" ht="15">
      <c r="A1645" s="3111"/>
      <c r="B1645" s="3382" t="s">
        <v>1276</v>
      </c>
      <c r="C1645" s="3111"/>
      <c r="D1645" s="3382"/>
      <c r="E1645" s="3348"/>
      <c r="F1645" s="3348"/>
      <c r="G1645" s="3348"/>
      <c r="H1645" s="3348"/>
      <c r="I1645" s="3348"/>
      <c r="J1645" s="3348"/>
      <c r="K1645" s="3348"/>
      <c r="L1645" s="3348"/>
      <c r="M1645" s="3348"/>
      <c r="N1645" s="3445"/>
      <c r="O1645" s="3324"/>
      <c r="P1645" s="3319"/>
      <c r="Q1645" s="3535"/>
      <c r="R1645" s="3522"/>
      <c r="S1645" s="3522"/>
      <c r="T1645" s="3522"/>
      <c r="U1645" s="3522"/>
      <c r="V1645" s="3522"/>
      <c r="W1645" s="3522"/>
      <c r="X1645" s="3522"/>
      <c r="Y1645" s="3522"/>
      <c r="Z1645" s="3522"/>
    </row>
    <row r="1646" spans="1:26" ht="15.75">
      <c r="A1646" s="3418">
        <f>'Part IX A-Scoring Criteria'!A92</f>
        <v>0</v>
      </c>
      <c r="B1646" s="3418">
        <f>'Part IX A-Scoring Criteria'!B92</f>
        <v>0</v>
      </c>
      <c r="C1646" s="3418">
        <f>'Part IX A-Scoring Criteria'!C92</f>
        <v>0</v>
      </c>
      <c r="D1646" s="3418">
        <f>'Part IX A-Scoring Criteria'!D92</f>
        <v>0</v>
      </c>
      <c r="E1646" s="3418">
        <f>'Part IX A-Scoring Criteria'!E92</f>
        <v>0</v>
      </c>
      <c r="F1646" s="3418">
        <f>'Part IX A-Scoring Criteria'!F92</f>
        <v>0</v>
      </c>
      <c r="G1646" s="3418">
        <f>'Part IX A-Scoring Criteria'!G92</f>
        <v>0</v>
      </c>
      <c r="H1646" s="3418">
        <f>'Part IX A-Scoring Criteria'!H92</f>
        <v>0</v>
      </c>
      <c r="I1646" s="3418">
        <f>'Part IX A-Scoring Criteria'!I92</f>
        <v>0</v>
      </c>
      <c r="J1646" s="3418">
        <f>'Part IX A-Scoring Criteria'!J92</f>
        <v>0</v>
      </c>
      <c r="K1646" s="3418">
        <f>'Part IX A-Scoring Criteria'!K92</f>
        <v>0</v>
      </c>
      <c r="L1646" s="3418">
        <f>'Part IX A-Scoring Criteria'!L92</f>
        <v>0</v>
      </c>
      <c r="M1646" s="3418">
        <f>'Part IX A-Scoring Criteria'!M92</f>
        <v>0</v>
      </c>
      <c r="N1646" s="3418">
        <f>'Part IX A-Scoring Criteria'!N92</f>
        <v>0</v>
      </c>
      <c r="O1646" s="3418">
        <f>'Part IX A-Scoring Criteria'!O92</f>
        <v>0</v>
      </c>
      <c r="P1646" s="3418">
        <f>'Part IX A-Scoring Criteria'!P92</f>
        <v>0</v>
      </c>
      <c r="Q1646" s="3512"/>
      <c r="R1646" s="3504"/>
      <c r="S1646" s="3504"/>
      <c r="T1646" s="3504"/>
      <c r="U1646" s="3504"/>
      <c r="V1646" s="3504"/>
      <c r="W1646" s="3504"/>
      <c r="X1646" s="3504"/>
      <c r="Y1646" s="3504"/>
      <c r="Z1646" s="3504"/>
    </row>
    <row r="1647" spans="1:26" ht="15">
      <c r="N1647" s="3306"/>
      <c r="O1647" s="3308"/>
      <c r="P1647" s="3308"/>
      <c r="R1647" s="3504"/>
    </row>
    <row r="1648" spans="1:26" ht="15">
      <c r="A1648" s="3505" t="s">
        <v>108</v>
      </c>
      <c r="B1648" s="3506" t="s">
        <v>1845</v>
      </c>
      <c r="C1648" s="3504"/>
      <c r="D1648" s="358"/>
      <c r="E1648" s="358"/>
      <c r="F1648" s="3504"/>
      <c r="G1648" s="3563"/>
      <c r="H1648" s="3564"/>
      <c r="I1648" s="3564"/>
      <c r="J1648" s="3564"/>
      <c r="K1648" s="3564"/>
      <c r="L1648" s="3564"/>
      <c r="M1648" s="3319">
        <v>3</v>
      </c>
      <c r="N1648" s="3565"/>
      <c r="O1648" s="3503">
        <f>'Part IX A-Scoring Criteria'!O94</f>
        <v>2</v>
      </c>
      <c r="P1648" s="3503">
        <f>'Part IX A-Scoring Criteria'!P94</f>
        <v>0</v>
      </c>
      <c r="Q1648" s="3319" t="s">
        <v>834</v>
      </c>
      <c r="R1648" s="3504"/>
      <c r="S1648" s="3504"/>
      <c r="T1648" s="3504"/>
      <c r="U1648" s="3504"/>
      <c r="V1648" s="3504"/>
      <c r="W1648" s="3504"/>
      <c r="X1648" s="3504"/>
      <c r="Y1648" s="3504"/>
      <c r="Z1648" s="3504"/>
    </row>
    <row r="1649" spans="1:26" ht="15" customHeight="1">
      <c r="A1649" s="3504"/>
      <c r="B1649" s="3566" t="s">
        <v>4822</v>
      </c>
      <c r="C1649" s="3566"/>
      <c r="D1649" s="3566"/>
      <c r="E1649" s="3566"/>
      <c r="F1649" s="3566"/>
      <c r="G1649" s="3566"/>
      <c r="H1649" s="3566"/>
      <c r="I1649" s="3504"/>
      <c r="J1649" s="3504"/>
      <c r="K1649" s="3504"/>
      <c r="L1649" s="3504"/>
      <c r="M1649" s="3504"/>
      <c r="N1649" s="3504"/>
      <c r="O1649" s="3323" t="str">
        <f>IF(OR(AND(P1656&gt;0,P1657&gt;0),AND(P1657&gt;0,P1658&gt;0),AND(P1656&gt;0,P1658&gt;0)),"Choose A, B, or C.  See instructions.",IF(AND(P1658&gt;0,P1659&gt;0),"Choose A or B when choosing D.  See instructions.",""))</f>
        <v/>
      </c>
      <c r="P1649" s="3323"/>
      <c r="Q1649" s="3319"/>
      <c r="R1649" s="3504"/>
      <c r="S1649" s="3504"/>
      <c r="T1649" s="3504"/>
      <c r="U1649" s="3504"/>
      <c r="V1649" s="3504"/>
      <c r="W1649" s="3504"/>
      <c r="X1649" s="3504"/>
      <c r="Y1649" s="3504"/>
      <c r="Z1649" s="3504"/>
    </row>
    <row r="1650" spans="1:26" ht="13.5">
      <c r="A1650" s="3567"/>
      <c r="B1650" s="3566"/>
      <c r="C1650" s="3566"/>
      <c r="D1650" s="3566"/>
      <c r="E1650" s="3566"/>
      <c r="F1650" s="3566"/>
      <c r="G1650" s="3566"/>
      <c r="H1650" s="3566"/>
      <c r="I1650" s="3177" t="str">
        <f>'Part IX A-Scoring Criteria'!I96</f>
        <v>Earth Craft House Multifamily</v>
      </c>
      <c r="J1650" s="3177">
        <f>'Part IX A-Scoring Criteria'!J96</f>
        <v>0</v>
      </c>
      <c r="K1650" s="3177">
        <f>'Part IX A-Scoring Criteria'!K96</f>
        <v>0</v>
      </c>
      <c r="L1650" s="3177">
        <f>'Part IX A-Scoring Criteria'!L96</f>
        <v>0</v>
      </c>
      <c r="M1650" s="3567"/>
      <c r="N1650" s="3567"/>
      <c r="O1650" s="3323"/>
      <c r="P1650" s="3323"/>
      <c r="Q1650" s="3567"/>
      <c r="R1650" s="3567"/>
      <c r="S1650" s="3567"/>
      <c r="T1650" s="3567"/>
      <c r="U1650" s="3567"/>
      <c r="V1650" s="3567"/>
      <c r="W1650" s="3567"/>
      <c r="X1650" s="3567"/>
      <c r="Y1650" s="3567"/>
      <c r="Z1650" s="3567"/>
    </row>
    <row r="1651" spans="1:26" ht="15">
      <c r="A1651" s="3504"/>
      <c r="B1651" s="3326" t="s">
        <v>1815</v>
      </c>
      <c r="C1651" s="3504"/>
      <c r="D1651" s="3504"/>
      <c r="E1651" s="3504"/>
      <c r="F1651" s="3504"/>
      <c r="G1651" s="3540"/>
      <c r="H1651" s="3540"/>
      <c r="I1651" s="3568" t="str">
        <f>'Part I-Project Information'!$H$100</f>
        <v>Rural</v>
      </c>
      <c r="J1651" s="3504"/>
      <c r="L1651" s="3504"/>
      <c r="M1651" s="3319"/>
      <c r="N1651" s="3565"/>
      <c r="O1651" s="3323"/>
      <c r="P1651" s="3323"/>
      <c r="Q1651" s="3504"/>
      <c r="R1651" s="3504"/>
      <c r="S1651" s="3504"/>
      <c r="T1651" s="3504"/>
      <c r="U1651" s="3504"/>
      <c r="V1651" s="3504"/>
      <c r="W1651" s="3504"/>
      <c r="X1651" s="3504"/>
      <c r="Y1651" s="3504"/>
      <c r="Z1651" s="3504"/>
    </row>
    <row r="1652" spans="1:26" ht="15">
      <c r="A1652" s="3504"/>
      <c r="B1652" s="3326" t="s">
        <v>1848</v>
      </c>
      <c r="C1652" s="3504"/>
      <c r="D1652" s="3504"/>
      <c r="E1652" s="3504"/>
      <c r="F1652" s="3504"/>
      <c r="G1652" s="3540"/>
      <c r="H1652" s="3540"/>
      <c r="I1652" s="3415"/>
      <c r="J1652" s="3504"/>
      <c r="L1652" s="3504"/>
      <c r="M1652" s="3319"/>
      <c r="N1652" s="3565"/>
      <c r="O1652" s="3323"/>
      <c r="P1652" s="3323"/>
      <c r="Q1652" s="3504"/>
      <c r="R1652" s="3504"/>
      <c r="S1652" s="3504"/>
      <c r="T1652" s="3504"/>
      <c r="U1652" s="3504"/>
      <c r="V1652" s="3504"/>
      <c r="W1652" s="3504"/>
      <c r="X1652" s="3504"/>
      <c r="Y1652" s="3504"/>
      <c r="Z1652" s="3504"/>
    </row>
    <row r="1653" spans="1:26" ht="13.5">
      <c r="A1653" s="3567"/>
      <c r="B1653" s="3567"/>
      <c r="C1653" s="3124" t="s">
        <v>1849</v>
      </c>
      <c r="D1653" s="3567"/>
      <c r="E1653" s="3567"/>
      <c r="F1653" s="3567"/>
      <c r="G1653" s="3567"/>
      <c r="H1653" s="3567"/>
      <c r="I1653" s="3503">
        <f>'Part IX A-Scoring Criteria'!I99</f>
        <v>100</v>
      </c>
      <c r="J1653" s="3503">
        <f>'Part IX A-Scoring Criteria'!J99</f>
        <v>0</v>
      </c>
      <c r="K1653" s="3358"/>
      <c r="L1653" s="3567"/>
      <c r="M1653" s="3567"/>
      <c r="N1653" s="3567"/>
      <c r="O1653" s="3323"/>
      <c r="P1653" s="3323"/>
      <c r="Q1653" s="3567"/>
      <c r="R1653" s="3567"/>
      <c r="S1653" s="3567"/>
      <c r="T1653" s="3567"/>
      <c r="U1653" s="3567"/>
      <c r="V1653" s="3567"/>
      <c r="W1653" s="3567"/>
      <c r="X1653" s="3567"/>
      <c r="Y1653" s="3567"/>
      <c r="Z1653" s="3567"/>
    </row>
    <row r="1654" spans="1:26" ht="13.5">
      <c r="A1654" s="3567"/>
      <c r="B1654" s="3567"/>
      <c r="C1654" s="3124" t="s">
        <v>1850</v>
      </c>
      <c r="D1654" s="3567"/>
      <c r="E1654" s="3567"/>
      <c r="F1654" s="3567"/>
      <c r="G1654" s="3567"/>
      <c r="H1654" s="3567"/>
      <c r="I1654" s="3503">
        <f>'Part IX A-Scoring Criteria'!I100</f>
        <v>205</v>
      </c>
      <c r="J1654" s="3503">
        <f>'Part IX A-Scoring Criteria'!J100</f>
        <v>0</v>
      </c>
      <c r="K1654" s="3358"/>
      <c r="L1654" s="3567"/>
      <c r="M1654" s="3567"/>
      <c r="N1654" s="3567"/>
      <c r="O1654" s="3567" t="s">
        <v>1851</v>
      </c>
      <c r="P1654" s="3567"/>
      <c r="Q1654" s="3567"/>
      <c r="R1654" s="3567"/>
      <c r="S1654" s="3567"/>
      <c r="T1654" s="3567"/>
      <c r="U1654" s="3567"/>
      <c r="V1654" s="3567"/>
      <c r="W1654" s="3567"/>
      <c r="X1654" s="3567"/>
      <c r="Y1654" s="3567"/>
      <c r="Z1654" s="3567"/>
    </row>
    <row r="1655" spans="1:26" ht="15">
      <c r="A1655" s="3505"/>
      <c r="B1655" s="3415"/>
      <c r="C1655" s="3504"/>
      <c r="D1655" s="3504"/>
      <c r="E1655" s="3504"/>
      <c r="F1655" s="3504"/>
      <c r="G1655" s="3540"/>
      <c r="H1655" s="3540"/>
      <c r="I1655" s="3415"/>
      <c r="J1655" s="3504"/>
      <c r="L1655" s="3504"/>
      <c r="M1655" s="3319"/>
      <c r="N1655" s="3319"/>
      <c r="O1655" s="3319"/>
      <c r="P1655" s="3319"/>
      <c r="Q1655" s="3319"/>
      <c r="R1655" s="3504"/>
      <c r="S1655" s="3504"/>
      <c r="T1655" s="3504"/>
      <c r="U1655" s="3504"/>
      <c r="V1655" s="3504"/>
      <c r="W1655" s="3504"/>
      <c r="X1655" s="3504"/>
      <c r="Y1655" s="3504"/>
      <c r="Z1655" s="3504"/>
    </row>
    <row r="1656" spans="1:26" ht="13.5" customHeight="1">
      <c r="A1656" s="3337" t="s">
        <v>110</v>
      </c>
      <c r="B1656" s="3326" t="s">
        <v>4823</v>
      </c>
      <c r="D1656" s="3111"/>
      <c r="K1656" s="3281" t="str">
        <f>IF(OR(AND(O1656&gt;0,O1657&gt;0),AND(O1657&gt;0,O1658&gt;0),AND(O1656&gt;0,O1658&gt;0)),"Choose A, B, or C.  See instructions.",IF(AND(O1658&gt;0,O1659&gt;0),"Choose A or B when choosing D.  See instructions.",""))</f>
        <v/>
      </c>
      <c r="L1656" s="3281"/>
      <c r="M1656" s="3557">
        <v>2</v>
      </c>
      <c r="N1656" s="3459" t="s">
        <v>110</v>
      </c>
      <c r="O1656" s="3542">
        <f>'Part IX A-Scoring Criteria'!O102</f>
        <v>0</v>
      </c>
      <c r="P1656" s="3542">
        <f>'Part IX A-Scoring Criteria'!P102</f>
        <v>0</v>
      </c>
      <c r="Q1656" s="3543" t="str">
        <f>IF(OR($O1656=$M1656,$O1656=0,$O1656=""),"","*CHECK!*")</f>
        <v/>
      </c>
      <c r="R1656" s="3544" t="s">
        <v>1806</v>
      </c>
    </row>
    <row r="1657" spans="1:26" ht="13.5" customHeight="1">
      <c r="A1657" s="3337" t="s">
        <v>121</v>
      </c>
      <c r="B1657" s="3326" t="s">
        <v>1853</v>
      </c>
      <c r="D1657" s="3111"/>
      <c r="E1657" s="3111"/>
      <c r="K1657" s="3281"/>
      <c r="L1657" s="3281"/>
      <c r="M1657" s="3557">
        <v>1</v>
      </c>
      <c r="N1657" s="3459" t="s">
        <v>121</v>
      </c>
      <c r="O1657" s="3542">
        <f>'Part IX A-Scoring Criteria'!O103</f>
        <v>1</v>
      </c>
      <c r="P1657" s="3542">
        <f>'Part IX A-Scoring Criteria'!P103</f>
        <v>0</v>
      </c>
      <c r="Q1657" s="3543" t="str">
        <f t="shared" ref="Q1657:Q1659" si="323">IF(OR($O1657=$M1657,$O1657=0,$O1657=""),"","*CHECK!*")</f>
        <v/>
      </c>
      <c r="R1657" s="3544" t="s">
        <v>1806</v>
      </c>
    </row>
    <row r="1658" spans="1:26" ht="13.5" customHeight="1">
      <c r="A1658" s="3337" t="s">
        <v>123</v>
      </c>
      <c r="B1658" s="3326" t="s">
        <v>4824</v>
      </c>
      <c r="D1658" s="3111"/>
      <c r="E1658" s="3111"/>
      <c r="F1658" s="3111"/>
      <c r="K1658" s="3281"/>
      <c r="L1658" s="3281"/>
      <c r="M1658" s="3557">
        <v>3</v>
      </c>
      <c r="N1658" s="3459" t="s">
        <v>123</v>
      </c>
      <c r="O1658" s="3542">
        <f>'Part IX A-Scoring Criteria'!O104</f>
        <v>0</v>
      </c>
      <c r="P1658" s="3542">
        <f>'Part IX A-Scoring Criteria'!P104</f>
        <v>0</v>
      </c>
      <c r="Q1658" s="3543" t="str">
        <f t="shared" si="323"/>
        <v/>
      </c>
      <c r="R1658" s="3544" t="s">
        <v>1806</v>
      </c>
    </row>
    <row r="1659" spans="1:26" ht="13.5" customHeight="1">
      <c r="A1659" s="3337" t="s">
        <v>126</v>
      </c>
      <c r="B1659" s="3326" t="s">
        <v>1855</v>
      </c>
      <c r="D1659" s="3111"/>
      <c r="E1659" s="3111"/>
      <c r="F1659" s="358" t="s">
        <v>1856</v>
      </c>
      <c r="J1659" s="3319">
        <f>'Part IX A-Scoring Criteria'!J105</f>
        <v>1</v>
      </c>
      <c r="K1659" s="3281"/>
      <c r="L1659" s="3281"/>
      <c r="M1659" s="3557">
        <v>1</v>
      </c>
      <c r="N1659" s="3459" t="s">
        <v>126</v>
      </c>
      <c r="O1659" s="3542">
        <f>'Part IX A-Scoring Criteria'!O105</f>
        <v>1</v>
      </c>
      <c r="P1659" s="3542">
        <f>'Part IX A-Scoring Criteria'!P105</f>
        <v>0</v>
      </c>
      <c r="Q1659" s="3543" t="str">
        <f t="shared" si="323"/>
        <v/>
      </c>
      <c r="R1659" s="3544" t="s">
        <v>1806</v>
      </c>
    </row>
    <row r="1660" spans="1:26" ht="15">
      <c r="A1660" s="3111"/>
      <c r="B1660" s="3523" t="s">
        <v>1810</v>
      </c>
      <c r="C1660" s="3111"/>
      <c r="D1660" s="3312"/>
      <c r="E1660" s="3312"/>
      <c r="F1660" s="3312"/>
      <c r="G1660" s="3312"/>
      <c r="H1660" s="3522"/>
      <c r="I1660" s="3522"/>
      <c r="J1660" s="3522"/>
      <c r="K1660" s="358"/>
      <c r="L1660" s="3522"/>
      <c r="M1660" s="3310"/>
      <c r="N1660" s="3310"/>
      <c r="O1660" s="3503"/>
      <c r="P1660" s="3319"/>
      <c r="Q1660" s="3522"/>
      <c r="R1660" s="3522"/>
      <c r="S1660" s="3522"/>
      <c r="T1660" s="3522"/>
      <c r="U1660" s="3522"/>
      <c r="V1660" s="3522"/>
      <c r="W1660" s="3522"/>
      <c r="X1660" s="3522"/>
      <c r="Y1660" s="3522"/>
      <c r="Z1660" s="3522"/>
    </row>
    <row r="1661" spans="1:26" ht="409.5">
      <c r="A1661" s="3189" t="str">
        <f>'Part IX A-Scoring Criteria'!A107</f>
        <v>The owner, developer, and sponsor of the Mill at Stone Valley commit to delivering a well-constructed, sustainable development, in accordance with the Earthcraft requirements.  The property will be Earthcraft House Multifamily-certified.  Please see the draft Earthcraft House Multifamily scoring sheet in Tab 29, along with a certification of the participation of Steve Johnson, one of the applicant's principals, in DCA's Green Building for Affordable Housing Training.    The developer and contractor have developed numerous properties under the Earthcraft program. 
The property will also meet the conditions for the High Performance Building Design.  On the latter, the design will demonstrate a worst-case HERS rating of 15% lower than the Energy Star index. Please refer to the report from Ed Foskey of Synergy Home Advantage in Dublin, Georgia, in Tab 29, detailing this, along with the draft HERS report and preliminary modeling report.</v>
      </c>
      <c r="B1661" s="3189">
        <f>'Part IX A-Scoring Criteria'!B107</f>
        <v>0</v>
      </c>
      <c r="C1661" s="3189">
        <f>'Part IX A-Scoring Criteria'!C107</f>
        <v>0</v>
      </c>
      <c r="D1661" s="3189">
        <f>'Part IX A-Scoring Criteria'!D107</f>
        <v>0</v>
      </c>
      <c r="E1661" s="3189">
        <f>'Part IX A-Scoring Criteria'!E107</f>
        <v>0</v>
      </c>
      <c r="F1661" s="3189">
        <f>'Part IX A-Scoring Criteria'!F107</f>
        <v>0</v>
      </c>
      <c r="G1661" s="3189">
        <f>'Part IX A-Scoring Criteria'!G107</f>
        <v>0</v>
      </c>
      <c r="H1661" s="3189">
        <f>'Part IX A-Scoring Criteria'!H107</f>
        <v>0</v>
      </c>
      <c r="I1661" s="3189">
        <f>'Part IX A-Scoring Criteria'!I107</f>
        <v>0</v>
      </c>
      <c r="J1661" s="3189">
        <f>'Part IX A-Scoring Criteria'!J107</f>
        <v>0</v>
      </c>
      <c r="K1661" s="3189">
        <f>'Part IX A-Scoring Criteria'!K107</f>
        <v>0</v>
      </c>
      <c r="L1661" s="3189">
        <f>'Part IX A-Scoring Criteria'!L107</f>
        <v>0</v>
      </c>
      <c r="M1661" s="3189">
        <f>'Part IX A-Scoring Criteria'!M107</f>
        <v>0</v>
      </c>
      <c r="N1661" s="3189">
        <f>'Part IX A-Scoring Criteria'!N107</f>
        <v>0</v>
      </c>
      <c r="O1661" s="3189">
        <f>'Part IX A-Scoring Criteria'!O107</f>
        <v>0</v>
      </c>
      <c r="P1661" s="3189">
        <f>'Part IX A-Scoring Criteria'!P107</f>
        <v>0</v>
      </c>
      <c r="Q1661" s="3512"/>
      <c r="R1661" s="3504"/>
      <c r="S1661" s="3504"/>
      <c r="T1661" s="3504"/>
      <c r="U1661" s="3504"/>
      <c r="V1661" s="3504"/>
      <c r="W1661" s="3504"/>
      <c r="X1661" s="3504"/>
      <c r="Y1661" s="3504"/>
      <c r="Z1661" s="3504"/>
    </row>
    <row r="1662" spans="1:26" ht="15">
      <c r="A1662" s="3504"/>
      <c r="B1662" s="3382" t="s">
        <v>1276</v>
      </c>
      <c r="C1662" s="3111"/>
      <c r="D1662" s="3419"/>
      <c r="E1662" s="3421"/>
      <c r="F1662" s="3421"/>
      <c r="G1662" s="3421"/>
      <c r="H1662" s="3421"/>
      <c r="I1662" s="3421"/>
      <c r="J1662" s="3421"/>
      <c r="K1662" s="3421"/>
      <c r="L1662" s="3421"/>
      <c r="M1662" s="3421"/>
      <c r="N1662" s="3539"/>
      <c r="O1662" s="3510"/>
      <c r="P1662" s="3319"/>
      <c r="Q1662" s="3535"/>
      <c r="R1662" s="3504"/>
      <c r="S1662" s="3504"/>
      <c r="T1662" s="3504"/>
      <c r="U1662" s="3504"/>
      <c r="V1662" s="3504"/>
      <c r="W1662" s="3504"/>
      <c r="X1662" s="3504"/>
      <c r="Y1662" s="3504"/>
      <c r="Z1662" s="3504"/>
    </row>
    <row r="1663" spans="1:26" ht="15.75">
      <c r="A1663" s="3189">
        <f>'Part IX A-Scoring Criteria'!A109</f>
        <v>0</v>
      </c>
      <c r="B1663" s="3189">
        <f>'Part IX A-Scoring Criteria'!B109</f>
        <v>0</v>
      </c>
      <c r="C1663" s="3189">
        <f>'Part IX A-Scoring Criteria'!C109</f>
        <v>0</v>
      </c>
      <c r="D1663" s="3189">
        <f>'Part IX A-Scoring Criteria'!D109</f>
        <v>0</v>
      </c>
      <c r="E1663" s="3189">
        <f>'Part IX A-Scoring Criteria'!E109</f>
        <v>0</v>
      </c>
      <c r="F1663" s="3189">
        <f>'Part IX A-Scoring Criteria'!F109</f>
        <v>0</v>
      </c>
      <c r="G1663" s="3189">
        <f>'Part IX A-Scoring Criteria'!G109</f>
        <v>0</v>
      </c>
      <c r="H1663" s="3189">
        <f>'Part IX A-Scoring Criteria'!H109</f>
        <v>0</v>
      </c>
      <c r="I1663" s="3189">
        <f>'Part IX A-Scoring Criteria'!I109</f>
        <v>0</v>
      </c>
      <c r="J1663" s="3189">
        <f>'Part IX A-Scoring Criteria'!J109</f>
        <v>0</v>
      </c>
      <c r="K1663" s="3189">
        <f>'Part IX A-Scoring Criteria'!K109</f>
        <v>0</v>
      </c>
      <c r="L1663" s="3189">
        <f>'Part IX A-Scoring Criteria'!L109</f>
        <v>0</v>
      </c>
      <c r="M1663" s="3189">
        <f>'Part IX A-Scoring Criteria'!M109</f>
        <v>0</v>
      </c>
      <c r="N1663" s="3189">
        <f>'Part IX A-Scoring Criteria'!N109</f>
        <v>0</v>
      </c>
      <c r="O1663" s="3189">
        <f>'Part IX A-Scoring Criteria'!O109</f>
        <v>0</v>
      </c>
      <c r="P1663" s="3189">
        <f>'Part IX A-Scoring Criteria'!P109</f>
        <v>0</v>
      </c>
      <c r="Q1663" s="3512"/>
      <c r="R1663" s="3504"/>
      <c r="S1663" s="3504"/>
      <c r="T1663" s="3504"/>
      <c r="U1663" s="3504"/>
      <c r="V1663" s="3504"/>
      <c r="W1663" s="3504"/>
      <c r="X1663" s="3504"/>
      <c r="Y1663" s="3504"/>
      <c r="Z1663" s="3504"/>
    </row>
    <row r="1664" spans="1:26" ht="15">
      <c r="A1664" s="3111"/>
      <c r="B1664" s="3504"/>
      <c r="C1664" s="3504"/>
      <c r="D1664" s="358"/>
      <c r="E1664" s="358"/>
      <c r="F1664" s="3319"/>
      <c r="G1664" s="3319"/>
      <c r="H1664" s="3319"/>
      <c r="I1664" s="3319"/>
      <c r="J1664" s="3354"/>
      <c r="K1664" s="3354"/>
      <c r="L1664" s="3354"/>
      <c r="M1664" s="3416"/>
      <c r="N1664" s="3319"/>
      <c r="O1664" s="3308"/>
      <c r="P1664" s="3503"/>
      <c r="Q1664" s="3504"/>
      <c r="R1664" s="3504"/>
      <c r="S1664" s="3504"/>
      <c r="T1664" s="3504"/>
      <c r="U1664" s="3504"/>
      <c r="V1664" s="3504"/>
      <c r="W1664" s="3504"/>
      <c r="X1664" s="3504"/>
      <c r="Y1664" s="3504"/>
      <c r="Z1664" s="3504"/>
    </row>
    <row r="1665" spans="1:26" ht="15">
      <c r="A1665" s="3505" t="s">
        <v>150</v>
      </c>
      <c r="B1665" s="3506" t="s">
        <v>1857</v>
      </c>
      <c r="C1665" s="3504"/>
      <c r="D1665" s="358"/>
      <c r="E1665" s="358"/>
      <c r="F1665" s="3319"/>
      <c r="G1665" s="3319"/>
      <c r="H1665" s="3319"/>
      <c r="I1665" s="3553" t="s">
        <v>4811</v>
      </c>
      <c r="J1665" s="3354"/>
      <c r="K1665" s="3354"/>
      <c r="L1665" s="3354"/>
      <c r="M1665" s="3319">
        <v>3</v>
      </c>
      <c r="N1665" s="3319"/>
      <c r="O1665" s="3503">
        <f>'Part IX A-Scoring Criteria'!O111</f>
        <v>3</v>
      </c>
      <c r="P1665" s="3503">
        <f>'Part IX A-Scoring Criteria'!P111</f>
        <v>0</v>
      </c>
      <c r="Q1665" s="3319" t="s">
        <v>834</v>
      </c>
      <c r="R1665" s="3504"/>
      <c r="S1665" s="3504"/>
      <c r="T1665" s="3504"/>
      <c r="U1665" s="3504"/>
      <c r="V1665" s="3504"/>
      <c r="W1665" s="3504"/>
      <c r="X1665" s="3504"/>
      <c r="Y1665" s="3504"/>
      <c r="Z1665" s="3504"/>
    </row>
    <row r="1666" spans="1:26" ht="15">
      <c r="A1666" s="3111"/>
      <c r="B1666" s="3504"/>
      <c r="C1666" s="3504"/>
      <c r="D1666" s="358"/>
      <c r="E1666" s="358"/>
      <c r="F1666" s="3319"/>
      <c r="G1666" s="3319"/>
      <c r="H1666" s="3319"/>
      <c r="I1666" s="3319"/>
      <c r="J1666" s="3354"/>
      <c r="K1666" s="3354"/>
      <c r="L1666" s="3354"/>
      <c r="M1666" s="3416"/>
      <c r="N1666" s="3319"/>
      <c r="O1666" s="3308"/>
      <c r="P1666" s="3503"/>
      <c r="Q1666" s="3504"/>
      <c r="R1666" s="3504"/>
      <c r="S1666" s="3504"/>
      <c r="T1666" s="3504"/>
      <c r="U1666" s="3504"/>
      <c r="V1666" s="3504"/>
      <c r="W1666" s="3504"/>
      <c r="X1666" s="3504"/>
      <c r="Y1666" s="3504"/>
      <c r="Z1666" s="3504"/>
    </row>
    <row r="1667" spans="1:26" ht="15">
      <c r="A1667" s="3337" t="s">
        <v>110</v>
      </c>
      <c r="B1667" s="3326" t="s">
        <v>1858</v>
      </c>
      <c r="C1667" s="3522"/>
      <c r="D1667" s="3540"/>
      <c r="E1667" s="943" t="s">
        <v>1859</v>
      </c>
      <c r="F1667" s="3504"/>
      <c r="G1667" s="3451"/>
      <c r="H1667" s="3504"/>
      <c r="I1667" s="3459" t="s">
        <v>1836</v>
      </c>
      <c r="J1667" s="3451" t="str">
        <f>'Part I-Project Information'!$H$78</f>
        <v>Family</v>
      </c>
      <c r="K1667" s="3540"/>
      <c r="L1667" s="3467" t="str">
        <f>IF(OR($O1667=$M1667,$O1667=0,$O1667=""),"","* * Check Score! * *")</f>
        <v/>
      </c>
      <c r="M1667" s="3310">
        <v>3</v>
      </c>
      <c r="N1667" s="3459" t="s">
        <v>110</v>
      </c>
      <c r="O1667" s="3503">
        <f>'Part IX A-Scoring Criteria'!O113</f>
        <v>0</v>
      </c>
      <c r="P1667" s="3503">
        <f>'Part IX A-Scoring Criteria'!P113</f>
        <v>0</v>
      </c>
      <c r="Q1667" s="3543" t="str">
        <f>IF(OR($O1667=$M1667,$O1667=0,$O1667=""),"","*CHECK!*")</f>
        <v/>
      </c>
      <c r="R1667" s="3544" t="s">
        <v>1806</v>
      </c>
      <c r="S1667" s="3504"/>
      <c r="T1667" s="3504"/>
      <c r="U1667" s="3504"/>
      <c r="V1667" s="3504"/>
      <c r="W1667" s="3504"/>
      <c r="X1667" s="3504"/>
      <c r="Y1667" s="3504"/>
      <c r="Z1667" s="3504"/>
    </row>
    <row r="1668" spans="1:26" ht="15">
      <c r="A1668" s="3111"/>
      <c r="B1668" s="3504"/>
      <c r="C1668" s="3504"/>
      <c r="D1668" s="358"/>
      <c r="E1668" s="358"/>
      <c r="F1668" s="3319"/>
      <c r="G1668" s="3319"/>
      <c r="H1668" s="3319"/>
      <c r="I1668" s="3319"/>
      <c r="J1668" s="3354"/>
      <c r="K1668" s="3354"/>
      <c r="L1668" s="3354"/>
      <c r="M1668" s="3416"/>
      <c r="N1668" s="3319"/>
      <c r="O1668" s="3308"/>
      <c r="P1668" s="3503"/>
      <c r="Q1668" s="3504"/>
      <c r="R1668" s="3504"/>
      <c r="S1668" s="3504"/>
      <c r="T1668" s="3504"/>
      <c r="U1668" s="3504"/>
      <c r="V1668" s="3504"/>
      <c r="W1668" s="3504"/>
      <c r="X1668" s="3504"/>
      <c r="Y1668" s="3504"/>
      <c r="Z1668" s="3504"/>
    </row>
    <row r="1669" spans="1:26" ht="18.75">
      <c r="A1669" s="3337" t="s">
        <v>121</v>
      </c>
      <c r="B1669" s="3326" t="s">
        <v>1860</v>
      </c>
      <c r="C1669" s="3522"/>
      <c r="D1669" s="3569"/>
      <c r="E1669" s="3163" t="s">
        <v>1861</v>
      </c>
      <c r="F1669" s="3504"/>
      <c r="G1669" s="3451"/>
      <c r="H1669" s="3504"/>
      <c r="I1669" s="3570"/>
      <c r="J1669" s="3540"/>
      <c r="K1669" s="3504"/>
      <c r="L1669" s="3467" t="str">
        <f>IF(OR($O1669&lt;=$M1669,$O1669=0,$O1669=""),"","* * Check Score! * *")</f>
        <v/>
      </c>
      <c r="M1669" s="3306">
        <v>3</v>
      </c>
      <c r="N1669" s="3459" t="s">
        <v>121</v>
      </c>
      <c r="O1669" s="3503">
        <f>'Part IX A-Scoring Criteria'!O115</f>
        <v>3</v>
      </c>
      <c r="P1669" s="3503">
        <f>'Part IX A-Scoring Criteria'!P115</f>
        <v>0</v>
      </c>
      <c r="Q1669" s="3571"/>
      <c r="R1669" s="3571"/>
      <c r="S1669" s="3571"/>
      <c r="T1669" s="3571"/>
      <c r="U1669" s="3504"/>
      <c r="V1669" s="3504"/>
      <c r="W1669" s="3504"/>
      <c r="X1669" s="3504"/>
      <c r="Y1669" s="3504"/>
      <c r="Z1669" s="3504"/>
    </row>
    <row r="1670" spans="1:26" ht="18.75">
      <c r="A1670" s="3457"/>
      <c r="B1670" s="3572" t="s">
        <v>1862</v>
      </c>
      <c r="C1670" s="3354"/>
      <c r="D1670" s="3487"/>
      <c r="E1670" s="3487"/>
      <c r="F1670" s="3487"/>
      <c r="G1670" s="358"/>
      <c r="H1670" s="3573" t="str">
        <f>'Part IX A-Scoring Criteria'!H116</f>
        <v>Publicly available</v>
      </c>
      <c r="I1670" s="3487"/>
      <c r="J1670" s="3487"/>
      <c r="K1670" s="3487"/>
      <c r="L1670" s="3487"/>
      <c r="M1670" s="3416"/>
      <c r="N1670" s="3541"/>
      <c r="O1670" s="358"/>
      <c r="P1670" s="358"/>
      <c r="Q1670" s="3571"/>
      <c r="R1670" s="3571"/>
      <c r="S1670" s="3571"/>
      <c r="T1670" s="3571"/>
      <c r="U1670" s="358"/>
      <c r="V1670" s="358"/>
      <c r="W1670" s="358"/>
      <c r="X1670" s="358"/>
      <c r="Y1670" s="358"/>
      <c r="Z1670" s="358"/>
    </row>
    <row r="1671" spans="1:26" ht="90">
      <c r="A1671" s="3457"/>
      <c r="B1671" s="358"/>
      <c r="C1671" s="3574" t="s">
        <v>1863</v>
      </c>
      <c r="D1671" s="3383" t="str">
        <f>'Part IX A-Scoring Criteria'!D117</f>
        <v>Northside Hospital Community Health Needs Assessment (CHNA); Wellstar CHNA</v>
      </c>
      <c r="E1671" s="3383">
        <f>'Part IX A-Scoring Criteria'!E117</f>
        <v>0</v>
      </c>
      <c r="F1671" s="3383">
        <f>'Part IX A-Scoring Criteria'!F117</f>
        <v>0</v>
      </c>
      <c r="G1671" s="3383">
        <f>'Part IX A-Scoring Criteria'!G117</f>
        <v>0</v>
      </c>
      <c r="H1671" s="3383">
        <f>'Part IX A-Scoring Criteria'!H117</f>
        <v>0</v>
      </c>
      <c r="I1671" s="3383">
        <f>'Part IX A-Scoring Criteria'!I117</f>
        <v>0</v>
      </c>
      <c r="J1671" s="3383">
        <f>'Part IX A-Scoring Criteria'!J117</f>
        <v>0</v>
      </c>
      <c r="K1671" s="3383">
        <f>'Part IX A-Scoring Criteria'!K117</f>
        <v>0</v>
      </c>
      <c r="L1671" s="3383">
        <f>'Part IX A-Scoring Criteria'!L117</f>
        <v>0</v>
      </c>
      <c r="M1671" s="3383">
        <f>'Part IX A-Scoring Criteria'!M117</f>
        <v>0</v>
      </c>
      <c r="N1671" s="3383">
        <f>'Part IX A-Scoring Criteria'!N117</f>
        <v>0</v>
      </c>
      <c r="O1671" s="3383">
        <f>'Part IX A-Scoring Criteria'!O117</f>
        <v>0</v>
      </c>
      <c r="P1671" s="3383">
        <f>'Part IX A-Scoring Criteria'!P117</f>
        <v>0</v>
      </c>
      <c r="Q1671" s="3571"/>
      <c r="R1671" s="3571"/>
      <c r="S1671" s="3571"/>
      <c r="T1671" s="3571"/>
      <c r="U1671" s="358"/>
      <c r="V1671" s="358"/>
      <c r="W1671" s="358"/>
      <c r="X1671" s="358"/>
      <c r="Y1671" s="358"/>
      <c r="Z1671" s="358"/>
    </row>
    <row r="1672" spans="1:26" ht="18.75">
      <c r="A1672" s="3111"/>
      <c r="B1672" s="3504"/>
      <c r="C1672" s="3504"/>
      <c r="D1672" s="358"/>
      <c r="E1672" s="358"/>
      <c r="F1672" s="3319"/>
      <c r="G1672" s="3504"/>
      <c r="H1672" s="3319"/>
      <c r="I1672" s="3319"/>
      <c r="J1672" s="3354"/>
      <c r="K1672" s="3354"/>
      <c r="L1672" s="3354"/>
      <c r="M1672" s="3416"/>
      <c r="N1672" s="3319"/>
      <c r="O1672" s="3308"/>
      <c r="P1672" s="3503"/>
      <c r="Q1672" s="3571"/>
      <c r="R1672" s="3571"/>
      <c r="S1672" s="3571"/>
      <c r="T1672" s="3571"/>
      <c r="U1672" s="3504"/>
      <c r="V1672" s="3504"/>
      <c r="W1672" s="3504"/>
      <c r="X1672" s="3504"/>
      <c r="Y1672" s="3504"/>
      <c r="Z1672" s="3504"/>
    </row>
    <row r="1673" spans="1:26" ht="18.75">
      <c r="A1673" s="3337"/>
      <c r="B1673" s="3575" t="s">
        <v>379</v>
      </c>
      <c r="C1673" s="3326" t="s">
        <v>1864</v>
      </c>
      <c r="D1673" s="3522"/>
      <c r="E1673" s="3522"/>
      <c r="F1673" s="358"/>
      <c r="G1673" s="358"/>
      <c r="H1673" s="3522"/>
      <c r="I1673" s="3522"/>
      <c r="J1673" s="3522"/>
      <c r="K1673" s="3522"/>
      <c r="L1673" s="3467" t="str">
        <f>IF(OR($O1673=$M1673,$O1673=0,$O1673=""),"","* * Check Score! * *")</f>
        <v/>
      </c>
      <c r="M1673" s="3313">
        <v>2</v>
      </c>
      <c r="N1673" s="3541" t="s">
        <v>379</v>
      </c>
      <c r="O1673" s="3503">
        <f>'Part IX A-Scoring Criteria'!O119</f>
        <v>2</v>
      </c>
      <c r="P1673" s="3503">
        <f>'Part IX A-Scoring Criteria'!P119</f>
        <v>0</v>
      </c>
      <c r="Q1673" s="3543" t="str">
        <f>IF(OR($O1673=$M1673,$O1673=0,$O1673=""),"","*CHECK!*")</f>
        <v/>
      </c>
      <c r="R1673" s="3544" t="s">
        <v>1806</v>
      </c>
      <c r="S1673" s="3571"/>
      <c r="T1673" s="3571"/>
      <c r="U1673" s="3522"/>
      <c r="V1673" s="3522"/>
      <c r="W1673" s="3522"/>
      <c r="X1673" s="3522"/>
      <c r="Y1673" s="3522"/>
      <c r="Z1673" s="3522"/>
    </row>
    <row r="1674" spans="1:26" ht="18.75">
      <c r="A1674" s="3337"/>
      <c r="B1674" s="3575"/>
      <c r="C1674" s="358" t="s">
        <v>1865</v>
      </c>
      <c r="D1674" s="3522"/>
      <c r="E1674" s="358"/>
      <c r="F1674" s="358"/>
      <c r="G1674" s="358"/>
      <c r="H1674" s="3522"/>
      <c r="I1674" s="3522"/>
      <c r="J1674" s="3522"/>
      <c r="K1674" s="3522"/>
      <c r="L1674" s="3522"/>
      <c r="M1674" s="3313"/>
      <c r="N1674" s="3313"/>
      <c r="O1674" s="3424" t="str">
        <f>'Part IX A-Scoring Criteria'!O120</f>
        <v>Yes</v>
      </c>
      <c r="P1674" s="3424">
        <f>'Part IX A-Scoring Criteria'!P120</f>
        <v>0</v>
      </c>
      <c r="Q1674" s="3571"/>
      <c r="R1674" s="3571"/>
      <c r="S1674" s="3571"/>
      <c r="T1674" s="3571"/>
      <c r="U1674" s="3522"/>
      <c r="V1674" s="3522"/>
      <c r="W1674" s="3522"/>
      <c r="X1674" s="3522"/>
      <c r="Y1674" s="3522"/>
      <c r="Z1674" s="3522"/>
    </row>
    <row r="1675" spans="1:26" ht="51">
      <c r="A1675" s="3337"/>
      <c r="B1675" s="3575"/>
      <c r="C1675" s="358" t="s">
        <v>4825</v>
      </c>
      <c r="D1675" s="3113" t="s">
        <v>1867</v>
      </c>
      <c r="E1675" s="3522"/>
      <c r="F1675" s="358"/>
      <c r="G1675" s="358"/>
      <c r="H1675" s="3274" t="str">
        <f>'Part IX A-Scoring Criteria'!H121</f>
        <v>Horizon Housing Foundation; Coordinated Services (CSV)</v>
      </c>
      <c r="I1675" s="3274">
        <f>'Part IX A-Scoring Criteria'!I121</f>
        <v>0</v>
      </c>
      <c r="J1675" s="3274">
        <f>'Part IX A-Scoring Criteria'!J121</f>
        <v>0</v>
      </c>
      <c r="K1675" s="3274">
        <f>'Part IX A-Scoring Criteria'!K121</f>
        <v>0</v>
      </c>
      <c r="L1675" s="3274">
        <f>'Part IX A-Scoring Criteria'!L121</f>
        <v>0</v>
      </c>
      <c r="M1675" s="3274">
        <f>'Part IX A-Scoring Criteria'!M121</f>
        <v>0</v>
      </c>
      <c r="N1675" s="3274">
        <f>'Part IX A-Scoring Criteria'!N121</f>
        <v>0</v>
      </c>
      <c r="O1675" s="3274">
        <f>'Part IX A-Scoring Criteria'!O121</f>
        <v>0</v>
      </c>
      <c r="P1675" s="3274">
        <f>'Part IX A-Scoring Criteria'!P121</f>
        <v>0</v>
      </c>
      <c r="Q1675" s="3571"/>
      <c r="R1675" s="3571"/>
      <c r="S1675" s="3571"/>
      <c r="T1675" s="3571"/>
      <c r="U1675" s="3522"/>
      <c r="V1675" s="3522"/>
      <c r="W1675" s="3522"/>
      <c r="X1675" s="3522"/>
      <c r="Y1675" s="3522"/>
      <c r="Z1675" s="3522"/>
    </row>
    <row r="1676" spans="1:26" ht="18.75">
      <c r="A1676" s="3337"/>
      <c r="B1676" s="358"/>
      <c r="C1676" s="358" t="s">
        <v>1868</v>
      </c>
      <c r="D1676" s="3522"/>
      <c r="E1676" s="358"/>
      <c r="F1676" s="358"/>
      <c r="G1676" s="358"/>
      <c r="H1676" s="3522"/>
      <c r="I1676" s="3522"/>
      <c r="J1676" s="3522"/>
      <c r="K1676" s="3522"/>
      <c r="L1676" s="3522"/>
      <c r="M1676" s="3310"/>
      <c r="N1676" s="3469" t="s">
        <v>1869</v>
      </c>
      <c r="O1676" s="3424" t="str">
        <f>'Part IX A-Scoring Criteria'!O122</f>
        <v>Yes</v>
      </c>
      <c r="P1676" s="3424">
        <f>'Part IX A-Scoring Criteria'!P122</f>
        <v>0</v>
      </c>
      <c r="Q1676" s="3571"/>
      <c r="R1676" s="3571"/>
      <c r="S1676" s="3571"/>
      <c r="T1676" s="3571"/>
      <c r="U1676" s="3522"/>
      <c r="V1676" s="3522"/>
      <c r="W1676" s="3522"/>
      <c r="X1676" s="3522"/>
      <c r="Y1676" s="3522"/>
      <c r="Z1676" s="3522"/>
    </row>
    <row r="1677" spans="1:26" ht="18.75">
      <c r="A1677" s="3457"/>
      <c r="B1677" s="3576"/>
      <c r="C1677" s="358" t="s">
        <v>1870</v>
      </c>
      <c r="D1677" s="358"/>
      <c r="E1677" s="358"/>
      <c r="F1677" s="358"/>
      <c r="G1677" s="358"/>
      <c r="H1677" s="358"/>
      <c r="I1677" s="358"/>
      <c r="J1677" s="358"/>
      <c r="K1677" s="358"/>
      <c r="L1677" s="358"/>
      <c r="M1677" s="3416"/>
      <c r="N1677" s="3459" t="s">
        <v>1871</v>
      </c>
      <c r="O1677" s="3424" t="str">
        <f>'Part IX A-Scoring Criteria'!O123</f>
        <v>Yes</v>
      </c>
      <c r="P1677" s="3424">
        <f>'Part IX A-Scoring Criteria'!P123</f>
        <v>0</v>
      </c>
      <c r="Q1677" s="3571"/>
      <c r="R1677" s="3571"/>
      <c r="S1677" s="3571"/>
      <c r="T1677" s="3571"/>
      <c r="U1677" s="358"/>
      <c r="V1677" s="358"/>
      <c r="W1677" s="358"/>
      <c r="X1677" s="358"/>
      <c r="Y1677" s="358"/>
      <c r="Z1677" s="358"/>
    </row>
    <row r="1678" spans="1:26">
      <c r="A1678" s="3457"/>
      <c r="B1678" s="943"/>
      <c r="C1678" s="943" t="s">
        <v>1872</v>
      </c>
      <c r="D1678" s="943"/>
      <c r="E1678" s="358"/>
      <c r="F1678" s="358"/>
      <c r="G1678" s="358"/>
      <c r="H1678" s="943"/>
      <c r="I1678" s="943"/>
      <c r="J1678" s="943"/>
      <c r="K1678" s="943"/>
      <c r="L1678" s="3481" t="s">
        <v>1873</v>
      </c>
      <c r="M1678" s="3481"/>
      <c r="N1678" s="3481"/>
      <c r="O1678" s="3481" t="s">
        <v>1874</v>
      </c>
      <c r="P1678" s="3481"/>
      <c r="Q1678" s="358"/>
      <c r="R1678" s="943"/>
      <c r="S1678" s="943"/>
      <c r="T1678" s="943"/>
      <c r="U1678" s="943"/>
      <c r="V1678" s="943"/>
      <c r="W1678" s="943"/>
      <c r="X1678" s="943"/>
      <c r="Y1678" s="943"/>
      <c r="Z1678" s="943"/>
    </row>
    <row r="1679" spans="1:26" ht="22.5">
      <c r="A1679" s="3457"/>
      <c r="B1679" s="3459"/>
      <c r="C1679" s="3418" t="str">
        <f>'Part IX A-Scoring Criteria'!C125</f>
        <v>Immunizations</v>
      </c>
      <c r="D1679" s="3418">
        <f>'Part IX A-Scoring Criteria'!D125</f>
        <v>0</v>
      </c>
      <c r="E1679" s="3418">
        <f>'Part IX A-Scoring Criteria'!E125</f>
        <v>0</v>
      </c>
      <c r="F1679" s="3418">
        <f>'Part IX A-Scoring Criteria'!F125</f>
        <v>0</v>
      </c>
      <c r="G1679" s="3418">
        <f>'Part IX A-Scoring Criteria'!G125</f>
        <v>0</v>
      </c>
      <c r="H1679" s="3418">
        <f>'Part IX A-Scoring Criteria'!H125</f>
        <v>0</v>
      </c>
      <c r="I1679" s="3418">
        <f>'Part IX A-Scoring Criteria'!I125</f>
        <v>0</v>
      </c>
      <c r="J1679" s="3418">
        <f>'Part IX A-Scoring Criteria'!J125</f>
        <v>0</v>
      </c>
      <c r="K1679" s="3418">
        <f>'Part IX A-Scoring Criteria'!K125</f>
        <v>0</v>
      </c>
      <c r="L1679" s="3443" t="str">
        <f>'Part IX A-Scoring Criteria'!L125</f>
        <v>monthly</v>
      </c>
      <c r="M1679" s="3443">
        <f>'Part IX A-Scoring Criteria'!M125</f>
        <v>0</v>
      </c>
      <c r="N1679" s="3443">
        <f>'Part IX A-Scoring Criteria'!N125</f>
        <v>0</v>
      </c>
      <c r="O1679" s="3577">
        <f>'Part IX A-Scoring Criteria'!O125</f>
        <v>0</v>
      </c>
      <c r="P1679" s="3577">
        <f>'Part IX A-Scoring Criteria'!P125</f>
        <v>0</v>
      </c>
      <c r="Q1679" s="3415" t="str">
        <f>IF(O1679&gt;15, "Too much!","")</f>
        <v/>
      </c>
      <c r="R1679" s="943"/>
      <c r="S1679" s="943"/>
      <c r="T1679" s="943"/>
      <c r="U1679" s="943"/>
      <c r="V1679" s="943"/>
      <c r="W1679" s="943"/>
      <c r="X1679" s="943"/>
      <c r="Y1679" s="943"/>
      <c r="Z1679" s="943"/>
    </row>
    <row r="1680" spans="1:26" ht="22.5">
      <c r="A1680" s="3457"/>
      <c r="B1680" s="3469"/>
      <c r="C1680" s="3418" t="str">
        <f>'Part IX A-Scoring Criteria'!C126</f>
        <v>Diabetes Screenings</v>
      </c>
      <c r="D1680" s="3418">
        <f>'Part IX A-Scoring Criteria'!D126</f>
        <v>0</v>
      </c>
      <c r="E1680" s="3418">
        <f>'Part IX A-Scoring Criteria'!E126</f>
        <v>0</v>
      </c>
      <c r="F1680" s="3418">
        <f>'Part IX A-Scoring Criteria'!F126</f>
        <v>0</v>
      </c>
      <c r="G1680" s="3418">
        <f>'Part IX A-Scoring Criteria'!G126</f>
        <v>0</v>
      </c>
      <c r="H1680" s="3418">
        <f>'Part IX A-Scoring Criteria'!H126</f>
        <v>0</v>
      </c>
      <c r="I1680" s="3418">
        <f>'Part IX A-Scoring Criteria'!I126</f>
        <v>0</v>
      </c>
      <c r="J1680" s="3418">
        <f>'Part IX A-Scoring Criteria'!J126</f>
        <v>0</v>
      </c>
      <c r="K1680" s="3418">
        <f>'Part IX A-Scoring Criteria'!K126</f>
        <v>0</v>
      </c>
      <c r="L1680" s="3443" t="str">
        <f>'Part IX A-Scoring Criteria'!L126</f>
        <v>monthly</v>
      </c>
      <c r="M1680" s="3443">
        <f>'Part IX A-Scoring Criteria'!M126</f>
        <v>0</v>
      </c>
      <c r="N1680" s="3443">
        <f>'Part IX A-Scoring Criteria'!N126</f>
        <v>0</v>
      </c>
      <c r="O1680" s="3577">
        <f>'Part IX A-Scoring Criteria'!O126</f>
        <v>0</v>
      </c>
      <c r="P1680" s="3577">
        <f>'Part IX A-Scoring Criteria'!P126</f>
        <v>0</v>
      </c>
      <c r="Q1680" s="3415" t="str">
        <f t="shared" ref="Q1680:Q1682" si="324">IF(O1680&gt;15, "Too much!","")</f>
        <v/>
      </c>
      <c r="R1680" s="943"/>
      <c r="S1680" s="943"/>
      <c r="T1680" s="943"/>
      <c r="U1680" s="943"/>
      <c r="V1680" s="943"/>
      <c r="W1680" s="943"/>
      <c r="X1680" s="943"/>
      <c r="Y1680" s="943"/>
      <c r="Z1680" s="943"/>
    </row>
    <row r="1681" spans="1:26">
      <c r="A1681" s="3457"/>
      <c r="B1681" s="3459"/>
      <c r="C1681" s="3418" t="str">
        <f>'Part IX A-Scoring Criteria'!C127</f>
        <v>HIV Tests</v>
      </c>
      <c r="D1681" s="3418">
        <f>'Part IX A-Scoring Criteria'!D127</f>
        <v>0</v>
      </c>
      <c r="E1681" s="3418">
        <f>'Part IX A-Scoring Criteria'!E127</f>
        <v>0</v>
      </c>
      <c r="F1681" s="3418">
        <f>'Part IX A-Scoring Criteria'!F127</f>
        <v>0</v>
      </c>
      <c r="G1681" s="3418">
        <f>'Part IX A-Scoring Criteria'!G127</f>
        <v>0</v>
      </c>
      <c r="H1681" s="3418">
        <f>'Part IX A-Scoring Criteria'!H127</f>
        <v>0</v>
      </c>
      <c r="I1681" s="3418">
        <f>'Part IX A-Scoring Criteria'!I127</f>
        <v>0</v>
      </c>
      <c r="J1681" s="3418">
        <f>'Part IX A-Scoring Criteria'!J127</f>
        <v>0</v>
      </c>
      <c r="K1681" s="3418">
        <f>'Part IX A-Scoring Criteria'!K127</f>
        <v>0</v>
      </c>
      <c r="L1681" s="3443" t="str">
        <f>'Part IX A-Scoring Criteria'!L127</f>
        <v>semi-monthly</v>
      </c>
      <c r="M1681" s="3443">
        <f>'Part IX A-Scoring Criteria'!M127</f>
        <v>0</v>
      </c>
      <c r="N1681" s="3443">
        <f>'Part IX A-Scoring Criteria'!N127</f>
        <v>0</v>
      </c>
      <c r="O1681" s="3577">
        <f>'Part IX A-Scoring Criteria'!O127</f>
        <v>0</v>
      </c>
      <c r="P1681" s="3577">
        <f>'Part IX A-Scoring Criteria'!P127</f>
        <v>0</v>
      </c>
      <c r="Q1681" s="3415" t="str">
        <f t="shared" si="324"/>
        <v/>
      </c>
      <c r="R1681" s="943"/>
      <c r="S1681" s="943"/>
      <c r="T1681" s="943"/>
      <c r="U1681" s="943"/>
      <c r="V1681" s="943"/>
      <c r="W1681" s="943"/>
      <c r="X1681" s="943"/>
      <c r="Y1681" s="943"/>
      <c r="Z1681" s="943"/>
    </row>
    <row r="1682" spans="1:26">
      <c r="A1682" s="3457"/>
      <c r="B1682" s="3459"/>
      <c r="C1682" s="3418">
        <f>'Part IX A-Scoring Criteria'!C128</f>
        <v>0</v>
      </c>
      <c r="D1682" s="3418">
        <f>'Part IX A-Scoring Criteria'!D128</f>
        <v>0</v>
      </c>
      <c r="E1682" s="3418">
        <f>'Part IX A-Scoring Criteria'!E128</f>
        <v>0</v>
      </c>
      <c r="F1682" s="3418">
        <f>'Part IX A-Scoring Criteria'!F128</f>
        <v>0</v>
      </c>
      <c r="G1682" s="3418">
        <f>'Part IX A-Scoring Criteria'!G128</f>
        <v>0</v>
      </c>
      <c r="H1682" s="3418">
        <f>'Part IX A-Scoring Criteria'!H128</f>
        <v>0</v>
      </c>
      <c r="I1682" s="3418">
        <f>'Part IX A-Scoring Criteria'!I128</f>
        <v>0</v>
      </c>
      <c r="J1682" s="3418">
        <f>'Part IX A-Scoring Criteria'!J128</f>
        <v>0</v>
      </c>
      <c r="K1682" s="3418">
        <f>'Part IX A-Scoring Criteria'!K128</f>
        <v>0</v>
      </c>
      <c r="L1682" s="3443" t="str">
        <f>'Part IX A-Scoring Criteria'!L128</f>
        <v>&lt;&lt; Select &gt;&gt;</v>
      </c>
      <c r="M1682" s="3443">
        <f>'Part IX A-Scoring Criteria'!M128</f>
        <v>0</v>
      </c>
      <c r="N1682" s="3443">
        <f>'Part IX A-Scoring Criteria'!N128</f>
        <v>0</v>
      </c>
      <c r="O1682" s="3577">
        <f>'Part IX A-Scoring Criteria'!O128</f>
        <v>0</v>
      </c>
      <c r="P1682" s="3577">
        <f>'Part IX A-Scoring Criteria'!P128</f>
        <v>0</v>
      </c>
      <c r="Q1682" s="3415" t="str">
        <f t="shared" si="324"/>
        <v/>
      </c>
      <c r="R1682" s="943"/>
      <c r="S1682" s="943"/>
      <c r="T1682" s="943"/>
      <c r="U1682" s="943"/>
      <c r="V1682" s="943"/>
      <c r="W1682" s="943"/>
      <c r="X1682" s="943"/>
      <c r="Y1682" s="943"/>
      <c r="Z1682" s="943"/>
    </row>
    <row r="1683" spans="1:26" ht="15">
      <c r="A1683" s="3522"/>
      <c r="B1683" s="3575"/>
      <c r="C1683" s="358" t="s">
        <v>4826</v>
      </c>
      <c r="D1683" s="358" t="s">
        <v>1877</v>
      </c>
      <c r="E1683" s="358"/>
      <c r="F1683" s="358"/>
      <c r="G1683" s="358"/>
      <c r="H1683" s="3522"/>
      <c r="I1683" s="3522"/>
      <c r="J1683" s="3522"/>
      <c r="K1683" s="3522"/>
      <c r="L1683" s="3522"/>
      <c r="M1683" s="3522"/>
      <c r="N1683" s="3469" t="s">
        <v>1869</v>
      </c>
      <c r="O1683" s="3424" t="str">
        <f>'Part IX A-Scoring Criteria'!O129</f>
        <v>Yes</v>
      </c>
      <c r="P1683" s="3424">
        <f>'Part IX A-Scoring Criteria'!P129</f>
        <v>0</v>
      </c>
      <c r="Q1683" s="3113"/>
      <c r="R1683" s="943"/>
      <c r="S1683" s="943"/>
      <c r="T1683" s="943"/>
      <c r="U1683" s="943"/>
      <c r="V1683" s="3522"/>
      <c r="W1683" s="3522"/>
      <c r="X1683" s="3522"/>
      <c r="Y1683" s="3522"/>
      <c r="Z1683" s="3522"/>
    </row>
    <row r="1684" spans="1:26" ht="15">
      <c r="A1684" s="3337"/>
      <c r="B1684" s="358"/>
      <c r="C1684" s="3522"/>
      <c r="D1684" s="358" t="s">
        <v>1878</v>
      </c>
      <c r="E1684" s="358"/>
      <c r="F1684" s="358"/>
      <c r="G1684" s="358"/>
      <c r="H1684" s="3522"/>
      <c r="I1684" s="3522"/>
      <c r="J1684" s="3522"/>
      <c r="K1684" s="3522"/>
      <c r="L1684" s="3522"/>
      <c r="M1684" s="3310"/>
      <c r="N1684" s="3459" t="s">
        <v>1871</v>
      </c>
      <c r="O1684" s="3424" t="str">
        <f>'Part IX A-Scoring Criteria'!O130</f>
        <v>Yes</v>
      </c>
      <c r="P1684" s="3424">
        <f>'Part IX A-Scoring Criteria'!P130</f>
        <v>0</v>
      </c>
      <c r="Q1684" s="3113"/>
      <c r="R1684" s="943"/>
      <c r="S1684" s="943"/>
      <c r="T1684" s="943"/>
      <c r="U1684" s="943"/>
      <c r="V1684" s="3522"/>
      <c r="W1684" s="3522"/>
      <c r="X1684" s="3522"/>
      <c r="Y1684" s="3522"/>
      <c r="Z1684" s="3522"/>
    </row>
    <row r="1685" spans="1:26">
      <c r="A1685" s="3457"/>
      <c r="B1685" s="3576"/>
      <c r="C1685" s="358"/>
      <c r="D1685" s="943" t="s">
        <v>1879</v>
      </c>
      <c r="E1685" s="358"/>
      <c r="F1685" s="358"/>
      <c r="G1685" s="358"/>
      <c r="H1685" s="358"/>
      <c r="I1685" s="358"/>
      <c r="J1685" s="358"/>
      <c r="K1685" s="358"/>
      <c r="L1685" s="358"/>
      <c r="M1685" s="3416"/>
      <c r="N1685" s="358"/>
      <c r="O1685" s="358"/>
      <c r="P1685" s="358"/>
      <c r="Q1685" s="358"/>
      <c r="R1685" s="943"/>
      <c r="S1685" s="943"/>
      <c r="T1685" s="943"/>
      <c r="U1685" s="943"/>
      <c r="V1685" s="358"/>
      <c r="W1685" s="358"/>
      <c r="X1685" s="358"/>
      <c r="Y1685" s="358"/>
      <c r="Z1685" s="358"/>
    </row>
    <row r="1686" spans="1:26">
      <c r="A1686" s="3457"/>
      <c r="B1686" s="3457"/>
      <c r="C1686" s="3354" t="s">
        <v>1880</v>
      </c>
      <c r="D1686" s="3457"/>
      <c r="E1686" s="3457"/>
      <c r="F1686" s="3457"/>
      <c r="G1686" s="3424" t="str">
        <f>'Part IX A-Scoring Criteria'!G132</f>
        <v>Yes</v>
      </c>
      <c r="H1686" s="3424">
        <f>'Part IX A-Scoring Criteria'!H132</f>
        <v>0</v>
      </c>
      <c r="I1686" s="3354" t="s">
        <v>1881</v>
      </c>
      <c r="J1686" s="943"/>
      <c r="K1686" s="943"/>
      <c r="L1686" s="3457"/>
      <c r="M1686" s="3457"/>
      <c r="N1686" s="3457"/>
      <c r="O1686" s="3424" t="str">
        <f>'Part IX A-Scoring Criteria'!O132</f>
        <v>Yes</v>
      </c>
      <c r="P1686" s="3424">
        <f>'Part IX A-Scoring Criteria'!P132</f>
        <v>0</v>
      </c>
      <c r="Q1686" s="358"/>
      <c r="R1686" s="943"/>
      <c r="S1686" s="943"/>
      <c r="T1686" s="943"/>
      <c r="U1686" s="943"/>
      <c r="V1686" s="943"/>
      <c r="W1686" s="943"/>
      <c r="X1686" s="943"/>
      <c r="Y1686" s="943"/>
      <c r="Z1686" s="943"/>
    </row>
    <row r="1687" spans="1:26">
      <c r="A1687" s="3457"/>
      <c r="B1687" s="3457"/>
      <c r="C1687" s="3354" t="s">
        <v>4614</v>
      </c>
      <c r="D1687" s="3457"/>
      <c r="E1687" s="3457"/>
      <c r="F1687" s="3457"/>
      <c r="G1687" s="3424" t="str">
        <f>'Part IX A-Scoring Criteria'!G133</f>
        <v>Yes</v>
      </c>
      <c r="H1687" s="3424">
        <f>'Part IX A-Scoring Criteria'!H133</f>
        <v>0</v>
      </c>
      <c r="I1687" s="358" t="s">
        <v>1883</v>
      </c>
      <c r="J1687" s="943"/>
      <c r="K1687" s="943"/>
      <c r="L1687" s="3457"/>
      <c r="M1687" s="3457"/>
      <c r="N1687" s="3457"/>
      <c r="O1687" s="3424" t="str">
        <f>'Part IX A-Scoring Criteria'!O133</f>
        <v>Yes</v>
      </c>
      <c r="P1687" s="3424">
        <f>'Part IX A-Scoring Criteria'!P133</f>
        <v>0</v>
      </c>
      <c r="Q1687" s="358"/>
      <c r="R1687" s="943"/>
      <c r="S1687" s="943"/>
      <c r="T1687" s="943"/>
      <c r="U1687" s="943"/>
      <c r="V1687" s="943"/>
      <c r="W1687" s="943"/>
      <c r="X1687" s="943"/>
      <c r="Y1687" s="943"/>
      <c r="Z1687" s="943"/>
    </row>
    <row r="1688" spans="1:26">
      <c r="A1688" s="3457"/>
      <c r="B1688" s="3457"/>
      <c r="C1688" s="3354" t="s">
        <v>1884</v>
      </c>
      <c r="D1688" s="3457"/>
      <c r="E1688" s="3457"/>
      <c r="F1688" s="3457"/>
      <c r="G1688" s="3424" t="str">
        <f>'Part IX A-Scoring Criteria'!G134</f>
        <v>Yes</v>
      </c>
      <c r="H1688" s="3424">
        <f>'Part IX A-Scoring Criteria'!H134</f>
        <v>0</v>
      </c>
      <c r="I1688" s="3354" t="s">
        <v>1885</v>
      </c>
      <c r="J1688" s="943"/>
      <c r="K1688" s="943"/>
      <c r="L1688" s="3457"/>
      <c r="M1688" s="3457"/>
      <c r="N1688" s="3457"/>
      <c r="O1688" s="3424" t="str">
        <f>'Part IX A-Scoring Criteria'!O134</f>
        <v>Yes</v>
      </c>
      <c r="P1688" s="3424">
        <f>'Part IX A-Scoring Criteria'!P134</f>
        <v>0</v>
      </c>
      <c r="Q1688" s="358"/>
      <c r="R1688" s="943"/>
      <c r="S1688" s="943"/>
      <c r="T1688" s="943"/>
      <c r="U1688" s="943"/>
      <c r="V1688" s="943"/>
      <c r="W1688" s="943"/>
      <c r="X1688" s="943"/>
      <c r="Y1688" s="943"/>
      <c r="Z1688" s="943"/>
    </row>
    <row r="1689" spans="1:26" ht="12.75" customHeight="1">
      <c r="A1689" s="3457"/>
      <c r="B1689" s="3457"/>
      <c r="C1689" s="3274" t="str">
        <f>'Part IX A-Scoring Criteria'!C135</f>
        <v>• Other: Describe here</v>
      </c>
      <c r="D1689" s="3274">
        <f>'Part IX A-Scoring Criteria'!D135</f>
        <v>0</v>
      </c>
      <c r="E1689" s="3274">
        <f>'Part IX A-Scoring Criteria'!E135</f>
        <v>0</v>
      </c>
      <c r="F1689" s="3274">
        <f>'Part IX A-Scoring Criteria'!F135</f>
        <v>0</v>
      </c>
      <c r="G1689" s="3424">
        <f>'Part IX A-Scoring Criteria'!G135</f>
        <v>0</v>
      </c>
      <c r="H1689" s="3424">
        <f>'Part IX A-Scoring Criteria'!H135</f>
        <v>0</v>
      </c>
      <c r="I1689" s="3274" t="str">
        <f>'Part IX A-Scoring Criteria'!I135</f>
        <v xml:space="preserve">    • Other: Describe here</v>
      </c>
      <c r="J1689" s="3274">
        <f>'Part IX A-Scoring Criteria'!J135</f>
        <v>0</v>
      </c>
      <c r="K1689" s="3274">
        <f>'Part IX A-Scoring Criteria'!K135</f>
        <v>0</v>
      </c>
      <c r="L1689" s="3274">
        <f>'Part IX A-Scoring Criteria'!L135</f>
        <v>0</v>
      </c>
      <c r="M1689" s="3274">
        <f>'Part IX A-Scoring Criteria'!M135</f>
        <v>0</v>
      </c>
      <c r="N1689" s="3274">
        <f>'Part IX A-Scoring Criteria'!N135</f>
        <v>0</v>
      </c>
      <c r="O1689" s="3424">
        <f>'Part IX A-Scoring Criteria'!O135</f>
        <v>0</v>
      </c>
      <c r="P1689" s="3424">
        <f>'Part IX A-Scoring Criteria'!P135</f>
        <v>0</v>
      </c>
      <c r="Q1689" s="358"/>
      <c r="R1689" s="943"/>
      <c r="S1689" s="943"/>
      <c r="T1689" s="943"/>
      <c r="U1689" s="943"/>
      <c r="V1689" s="943"/>
      <c r="W1689" s="943"/>
      <c r="X1689" s="943"/>
      <c r="Y1689" s="943"/>
      <c r="Z1689" s="943"/>
    </row>
    <row r="1690" spans="1:26" ht="15">
      <c r="A1690" s="3458"/>
      <c r="B1690" s="3555"/>
      <c r="C1690" s="3578"/>
      <c r="D1690" s="3578"/>
      <c r="E1690" s="3578"/>
      <c r="F1690" s="3578"/>
      <c r="G1690" s="3578"/>
      <c r="H1690" s="3578"/>
      <c r="I1690" s="3578"/>
      <c r="J1690" s="3578"/>
      <c r="K1690" s="3578"/>
      <c r="L1690" s="3578"/>
      <c r="M1690" s="3557"/>
      <c r="N1690" s="3579"/>
      <c r="O1690" s="3579"/>
      <c r="P1690" s="3579"/>
      <c r="Q1690" s="3519"/>
      <c r="R1690" s="3555"/>
      <c r="S1690" s="3555"/>
      <c r="T1690" s="3555"/>
      <c r="U1690" s="3555"/>
      <c r="V1690" s="3555"/>
      <c r="W1690" s="3555"/>
      <c r="X1690" s="3555"/>
      <c r="Y1690" s="3555"/>
      <c r="Z1690" s="3555"/>
    </row>
    <row r="1691" spans="1:26" ht="18.75">
      <c r="A1691" s="3458"/>
      <c r="B1691" s="3580" t="s">
        <v>389</v>
      </c>
      <c r="C1691" s="3559" t="s">
        <v>1888</v>
      </c>
      <c r="D1691" s="3443"/>
      <c r="E1691" s="3555"/>
      <c r="F1691" s="3443"/>
      <c r="G1691" s="3443"/>
      <c r="H1691" s="3443"/>
      <c r="I1691" s="3443"/>
      <c r="J1691" s="3443"/>
      <c r="K1691" s="3443"/>
      <c r="L1691" s="3467" t="str">
        <f>IF(OR($O1691=$M1691,$O1691=0,$O1691=""),"","* * Check Score! * *")</f>
        <v/>
      </c>
      <c r="M1691" s="1080">
        <v>1</v>
      </c>
      <c r="N1691" s="3541" t="s">
        <v>389</v>
      </c>
      <c r="O1691" s="3503">
        <f>'Part IX A-Scoring Criteria'!O137</f>
        <v>1</v>
      </c>
      <c r="P1691" s="3503">
        <f>'Part IX A-Scoring Criteria'!P137</f>
        <v>0</v>
      </c>
      <c r="Q1691" s="3543" t="str">
        <f>IF(OR($O1691=$M1691,$O1691=0,$O1691=""),"","*CHECK!*")</f>
        <v/>
      </c>
      <c r="R1691" s="3544" t="s">
        <v>1806</v>
      </c>
      <c r="S1691" s="3571"/>
      <c r="T1691" s="3571"/>
      <c r="U1691" s="3571"/>
      <c r="V1691" s="3555"/>
      <c r="W1691" s="3555"/>
      <c r="X1691" s="3555"/>
      <c r="Y1691" s="3555"/>
      <c r="Z1691" s="3555"/>
    </row>
    <row r="1692" spans="1:26" ht="18.75">
      <c r="A1692" s="3457"/>
      <c r="B1692" s="358"/>
      <c r="C1692" s="358" t="s">
        <v>1889</v>
      </c>
      <c r="D1692" s="3487"/>
      <c r="E1692" s="3487"/>
      <c r="F1692" s="3487"/>
      <c r="G1692" s="3487"/>
      <c r="H1692" s="3487"/>
      <c r="I1692" s="3487"/>
      <c r="J1692" s="3487"/>
      <c r="K1692" s="3487"/>
      <c r="L1692" s="3487"/>
      <c r="M1692" s="3416"/>
      <c r="N1692" s="358"/>
      <c r="O1692" s="3424" t="str">
        <f>'Part IX A-Scoring Criteria'!O138</f>
        <v>Agree</v>
      </c>
      <c r="P1692" s="3424">
        <f>'Part IX A-Scoring Criteria'!P138</f>
        <v>0</v>
      </c>
      <c r="Q1692" s="358"/>
      <c r="R1692" s="3571"/>
      <c r="S1692" s="3571"/>
      <c r="T1692" s="3571"/>
      <c r="U1692" s="3571"/>
      <c r="V1692" s="358"/>
      <c r="W1692" s="358"/>
      <c r="X1692" s="358"/>
      <c r="Y1692" s="358"/>
      <c r="Z1692" s="358"/>
    </row>
    <row r="1693" spans="1:26" ht="18.75">
      <c r="A1693" s="3457"/>
      <c r="B1693" s="3575"/>
      <c r="C1693" s="358" t="s">
        <v>4827</v>
      </c>
      <c r="D1693" s="3487"/>
      <c r="E1693" s="3487"/>
      <c r="F1693" s="3487"/>
      <c r="G1693" s="3354" t="s">
        <v>1891</v>
      </c>
      <c r="H1693" s="358"/>
      <c r="I1693" s="3487"/>
      <c r="J1693" s="3487"/>
      <c r="K1693" s="3487"/>
      <c r="L1693" s="3487"/>
      <c r="M1693" s="3459" t="s">
        <v>1359</v>
      </c>
      <c r="N1693" s="3459" t="s">
        <v>1869</v>
      </c>
      <c r="O1693" s="3424" t="str">
        <f>'Part IX A-Scoring Criteria'!O139</f>
        <v>Yes</v>
      </c>
      <c r="P1693" s="3424">
        <f>'Part IX A-Scoring Criteria'!P139</f>
        <v>0</v>
      </c>
      <c r="Q1693" s="358"/>
      <c r="R1693" s="3571"/>
      <c r="S1693" s="3571"/>
      <c r="T1693" s="3571"/>
      <c r="U1693" s="3571"/>
      <c r="V1693" s="358"/>
      <c r="W1693" s="358"/>
      <c r="X1693" s="358"/>
      <c r="Y1693" s="358"/>
      <c r="Z1693" s="358"/>
    </row>
    <row r="1694" spans="1:26" ht="18.75">
      <c r="A1694" s="3457"/>
      <c r="B1694" s="3576"/>
      <c r="C1694" s="358"/>
      <c r="D1694" s="3487"/>
      <c r="E1694" s="3487"/>
      <c r="F1694" s="3487"/>
      <c r="G1694" s="3354" t="s">
        <v>1892</v>
      </c>
      <c r="H1694" s="358"/>
      <c r="I1694" s="3487"/>
      <c r="J1694" s="3487"/>
      <c r="K1694" s="3487"/>
      <c r="L1694" s="3487"/>
      <c r="M1694" s="3416"/>
      <c r="N1694" s="3469" t="s">
        <v>1871</v>
      </c>
      <c r="O1694" s="3424" t="str">
        <f>'Part IX A-Scoring Criteria'!O140</f>
        <v>Yes</v>
      </c>
      <c r="P1694" s="3424">
        <f>'Part IX A-Scoring Criteria'!P140</f>
        <v>0</v>
      </c>
      <c r="Q1694" s="358"/>
      <c r="R1694" s="3571"/>
      <c r="S1694" s="3571"/>
      <c r="T1694" s="3571"/>
      <c r="U1694" s="3571"/>
      <c r="V1694" s="358"/>
      <c r="W1694" s="358"/>
      <c r="X1694" s="358"/>
      <c r="Y1694" s="358"/>
      <c r="Z1694" s="358"/>
    </row>
    <row r="1695" spans="1:26" ht="18.75">
      <c r="A1695" s="3459"/>
      <c r="B1695" s="3576"/>
      <c r="C1695" s="358"/>
      <c r="D1695" s="3487"/>
      <c r="E1695" s="3487"/>
      <c r="F1695" s="3487"/>
      <c r="G1695" s="3354" t="s">
        <v>1893</v>
      </c>
      <c r="H1695" s="358"/>
      <c r="I1695" s="3487"/>
      <c r="J1695" s="3487"/>
      <c r="K1695" s="3487"/>
      <c r="L1695" s="3487"/>
      <c r="M1695" s="3416"/>
      <c r="N1695" s="3459" t="s">
        <v>1894</v>
      </c>
      <c r="O1695" s="3424" t="str">
        <f>'Part IX A-Scoring Criteria'!O141</f>
        <v>Yes</v>
      </c>
      <c r="P1695" s="3424">
        <f>'Part IX A-Scoring Criteria'!P141</f>
        <v>0</v>
      </c>
      <c r="Q1695" s="358"/>
      <c r="R1695" s="3571"/>
      <c r="S1695" s="3571"/>
      <c r="T1695" s="3571"/>
      <c r="U1695" s="3571"/>
      <c r="V1695" s="358"/>
      <c r="W1695" s="358"/>
      <c r="X1695" s="358"/>
      <c r="Y1695" s="358"/>
      <c r="Z1695" s="358"/>
    </row>
    <row r="1696" spans="1:26" ht="18.75">
      <c r="A1696" s="3457"/>
      <c r="B1696" s="3576"/>
      <c r="C1696" s="358"/>
      <c r="D1696" s="3487"/>
      <c r="E1696" s="3487"/>
      <c r="F1696" s="3487"/>
      <c r="G1696" s="3354" t="s">
        <v>1895</v>
      </c>
      <c r="H1696" s="358"/>
      <c r="I1696" s="3487"/>
      <c r="J1696" s="3487"/>
      <c r="K1696" s="3487"/>
      <c r="L1696" s="3487"/>
      <c r="M1696" s="3416"/>
      <c r="N1696" s="3459" t="s">
        <v>1896</v>
      </c>
      <c r="O1696" s="3424" t="str">
        <f>'Part IX A-Scoring Criteria'!O142</f>
        <v>Yes</v>
      </c>
      <c r="P1696" s="3424">
        <f>'Part IX A-Scoring Criteria'!P142</f>
        <v>0</v>
      </c>
      <c r="Q1696" s="358"/>
      <c r="R1696" s="3571"/>
      <c r="S1696" s="3571"/>
      <c r="T1696" s="3571"/>
      <c r="U1696" s="3571"/>
      <c r="V1696" s="358"/>
      <c r="W1696" s="358"/>
      <c r="X1696" s="358"/>
      <c r="Y1696" s="358"/>
      <c r="Z1696" s="358"/>
    </row>
    <row r="1697" spans="1:26">
      <c r="A1697" s="3457"/>
      <c r="B1697" s="3576"/>
      <c r="C1697" s="358"/>
      <c r="D1697" s="3487"/>
      <c r="E1697" s="3487"/>
      <c r="F1697" s="3487"/>
      <c r="G1697" s="3354" t="s">
        <v>1897</v>
      </c>
      <c r="H1697" s="358"/>
      <c r="I1697" s="3487"/>
      <c r="J1697" s="3487"/>
      <c r="K1697" s="3487"/>
      <c r="L1697" s="3487"/>
      <c r="M1697" s="3416"/>
      <c r="N1697" s="3469" t="s">
        <v>1898</v>
      </c>
      <c r="O1697" s="3424" t="str">
        <f>'Part IX A-Scoring Criteria'!O143</f>
        <v>Yes</v>
      </c>
      <c r="P1697" s="3424">
        <f>'Part IX A-Scoring Criteria'!P143</f>
        <v>0</v>
      </c>
      <c r="Q1697" s="358"/>
      <c r="R1697" s="358"/>
      <c r="S1697" s="358"/>
      <c r="T1697" s="358"/>
      <c r="U1697" s="358"/>
      <c r="V1697" s="358"/>
      <c r="W1697" s="358"/>
      <c r="X1697" s="358"/>
      <c r="Y1697" s="358"/>
      <c r="Z1697" s="358"/>
    </row>
    <row r="1698" spans="1:26">
      <c r="A1698" s="3457"/>
      <c r="B1698" s="3575"/>
      <c r="C1698" s="3354" t="s">
        <v>4828</v>
      </c>
      <c r="D1698" s="3487"/>
      <c r="E1698" s="3487"/>
      <c r="F1698" s="3487"/>
      <c r="G1698" s="3487"/>
      <c r="H1698" s="3487"/>
      <c r="I1698" s="3487"/>
      <c r="J1698" s="3487"/>
      <c r="K1698" s="3487"/>
      <c r="L1698" s="3487"/>
      <c r="M1698" s="3459"/>
      <c r="N1698" s="3459" t="s">
        <v>1361</v>
      </c>
      <c r="O1698" s="3424" t="str">
        <f>'Part IX A-Scoring Criteria'!O144</f>
        <v>Yes</v>
      </c>
      <c r="P1698" s="3424">
        <f>'Part IX A-Scoring Criteria'!P144</f>
        <v>0</v>
      </c>
      <c r="Q1698" s="358"/>
      <c r="R1698" s="358"/>
      <c r="S1698" s="358"/>
      <c r="T1698" s="358"/>
      <c r="U1698" s="358"/>
      <c r="V1698" s="358"/>
      <c r="W1698" s="358"/>
      <c r="X1698" s="358"/>
      <c r="Y1698" s="358"/>
      <c r="Z1698" s="358"/>
    </row>
    <row r="1699" spans="1:26">
      <c r="A1699" s="3457"/>
      <c r="B1699" s="3556"/>
      <c r="C1699" s="943" t="s">
        <v>1900</v>
      </c>
      <c r="D1699" s="943"/>
      <c r="E1699" s="358"/>
      <c r="F1699" s="358"/>
      <c r="G1699" s="943" t="s">
        <v>1901</v>
      </c>
      <c r="H1699" s="943"/>
      <c r="I1699" s="943"/>
      <c r="J1699" s="943"/>
      <c r="K1699" s="943"/>
      <c r="L1699" s="943"/>
      <c r="M1699" s="3481"/>
      <c r="N1699" s="3481"/>
      <c r="O1699" s="3481"/>
      <c r="P1699" s="3481"/>
      <c r="Q1699" s="358"/>
      <c r="R1699" s="943"/>
      <c r="S1699" s="943"/>
      <c r="T1699" s="943"/>
      <c r="U1699" s="943"/>
      <c r="V1699" s="943"/>
      <c r="W1699" s="943"/>
      <c r="X1699" s="943"/>
      <c r="Y1699" s="943"/>
      <c r="Z1699" s="943"/>
    </row>
    <row r="1700" spans="1:26" ht="123.75">
      <c r="A1700" s="3457"/>
      <c r="B1700" s="3459"/>
      <c r="C1700" s="3418" t="str">
        <f>'Part IX A-Scoring Criteria'!C146</f>
        <v>Monthly handouts and information distribution</v>
      </c>
      <c r="D1700" s="3418">
        <f>'Part IX A-Scoring Criteria'!D146</f>
        <v>0</v>
      </c>
      <c r="E1700" s="3418">
        <f>'Part IX A-Scoring Criteria'!E146</f>
        <v>0</v>
      </c>
      <c r="F1700" s="3418">
        <f>'Part IX A-Scoring Criteria'!F146</f>
        <v>0</v>
      </c>
      <c r="G1700" s="3418" t="str">
        <f>'Part IX A-Scoring Criteria'!G146</f>
        <v>Healthy eating habits, shopping tips (reading labels, fresh foods), dining-out tips (ordering options), alternatives to sodium</v>
      </c>
      <c r="H1700" s="3418">
        <f>'Part IX A-Scoring Criteria'!H146</f>
        <v>0</v>
      </c>
      <c r="I1700" s="3418">
        <f>'Part IX A-Scoring Criteria'!I146</f>
        <v>0</v>
      </c>
      <c r="J1700" s="3418">
        <f>'Part IX A-Scoring Criteria'!J146</f>
        <v>0</v>
      </c>
      <c r="K1700" s="3418">
        <f>'Part IX A-Scoring Criteria'!K146</f>
        <v>0</v>
      </c>
      <c r="L1700" s="3418">
        <f>'Part IX A-Scoring Criteria'!L146</f>
        <v>0</v>
      </c>
      <c r="M1700" s="3418">
        <f>'Part IX A-Scoring Criteria'!M146</f>
        <v>0</v>
      </c>
      <c r="N1700" s="3418">
        <f>'Part IX A-Scoring Criteria'!N146</f>
        <v>0</v>
      </c>
      <c r="O1700" s="3418">
        <f>'Part IX A-Scoring Criteria'!O146</f>
        <v>0</v>
      </c>
      <c r="P1700" s="3418">
        <f>'Part IX A-Scoring Criteria'!P146</f>
        <v>0</v>
      </c>
      <c r="Q1700" s="358"/>
      <c r="R1700" s="943"/>
      <c r="S1700" s="943"/>
      <c r="T1700" s="943"/>
      <c r="U1700" s="943"/>
      <c r="V1700" s="943"/>
      <c r="W1700" s="943"/>
      <c r="X1700" s="943"/>
      <c r="Y1700" s="943"/>
      <c r="Z1700" s="943"/>
    </row>
    <row r="1701" spans="1:26" ht="67.5">
      <c r="A1701" s="3457"/>
      <c r="B1701" s="3469"/>
      <c r="C1701" s="3418" t="str">
        <f>'Part IX A-Scoring Criteria'!C147</f>
        <v>Cooking classes</v>
      </c>
      <c r="D1701" s="3418">
        <f>'Part IX A-Scoring Criteria'!D147</f>
        <v>0</v>
      </c>
      <c r="E1701" s="3418">
        <f>'Part IX A-Scoring Criteria'!E147</f>
        <v>0</v>
      </c>
      <c r="F1701" s="3418">
        <f>'Part IX A-Scoring Criteria'!F147</f>
        <v>0</v>
      </c>
      <c r="G1701" s="3418" t="str">
        <f>'Part IX A-Scoring Criteria'!G147</f>
        <v>Cooking from scratch, fruit and vegetable preparation, meal planning</v>
      </c>
      <c r="H1701" s="3418">
        <f>'Part IX A-Scoring Criteria'!H147</f>
        <v>0</v>
      </c>
      <c r="I1701" s="3418">
        <f>'Part IX A-Scoring Criteria'!I147</f>
        <v>0</v>
      </c>
      <c r="J1701" s="3418">
        <f>'Part IX A-Scoring Criteria'!J147</f>
        <v>0</v>
      </c>
      <c r="K1701" s="3418">
        <f>'Part IX A-Scoring Criteria'!K147</f>
        <v>0</v>
      </c>
      <c r="L1701" s="3418">
        <f>'Part IX A-Scoring Criteria'!L147</f>
        <v>0</v>
      </c>
      <c r="M1701" s="3418">
        <f>'Part IX A-Scoring Criteria'!M147</f>
        <v>0</v>
      </c>
      <c r="N1701" s="3418">
        <f>'Part IX A-Scoring Criteria'!N147</f>
        <v>0</v>
      </c>
      <c r="O1701" s="3418">
        <f>'Part IX A-Scoring Criteria'!O147</f>
        <v>0</v>
      </c>
      <c r="P1701" s="3418">
        <f>'Part IX A-Scoring Criteria'!P147</f>
        <v>0</v>
      </c>
      <c r="Q1701" s="358"/>
      <c r="R1701" s="943"/>
      <c r="S1701" s="943"/>
      <c r="T1701" s="943"/>
      <c r="U1701" s="943"/>
      <c r="V1701" s="943"/>
      <c r="W1701" s="943"/>
      <c r="X1701" s="943"/>
      <c r="Y1701" s="943"/>
      <c r="Z1701" s="943"/>
    </row>
    <row r="1702" spans="1:26" ht="12.75" customHeight="1">
      <c r="A1702" s="3274" t="s">
        <v>1902</v>
      </c>
      <c r="B1702" s="3274"/>
      <c r="C1702" s="3418" t="str">
        <f>'Part IX A-Scoring Criteria'!C148</f>
        <v>Community garden information</v>
      </c>
      <c r="D1702" s="3418">
        <f>'Part IX A-Scoring Criteria'!D148</f>
        <v>0</v>
      </c>
      <c r="E1702" s="3418">
        <f>'Part IX A-Scoring Criteria'!E148</f>
        <v>0</v>
      </c>
      <c r="F1702" s="3418">
        <f>'Part IX A-Scoring Criteria'!F148</f>
        <v>0</v>
      </c>
      <c r="G1702" s="3418" t="str">
        <f>'Part IX A-Scoring Criteria'!G148</f>
        <v>Nutritional information for fruits and vegetables grown in the community garden</v>
      </c>
      <c r="H1702" s="3418">
        <f>'Part IX A-Scoring Criteria'!H148</f>
        <v>0</v>
      </c>
      <c r="I1702" s="3418">
        <f>'Part IX A-Scoring Criteria'!I148</f>
        <v>0</v>
      </c>
      <c r="J1702" s="3418">
        <f>'Part IX A-Scoring Criteria'!J148</f>
        <v>0</v>
      </c>
      <c r="K1702" s="3418">
        <f>'Part IX A-Scoring Criteria'!K148</f>
        <v>0</v>
      </c>
      <c r="L1702" s="3418">
        <f>'Part IX A-Scoring Criteria'!L148</f>
        <v>0</v>
      </c>
      <c r="M1702" s="3418">
        <f>'Part IX A-Scoring Criteria'!M148</f>
        <v>0</v>
      </c>
      <c r="N1702" s="3418">
        <f>'Part IX A-Scoring Criteria'!N148</f>
        <v>0</v>
      </c>
      <c r="O1702" s="3418">
        <f>'Part IX A-Scoring Criteria'!O148</f>
        <v>0</v>
      </c>
      <c r="P1702" s="3418">
        <f>'Part IX A-Scoring Criteria'!P148</f>
        <v>0</v>
      </c>
      <c r="Q1702" s="358"/>
      <c r="R1702" s="943"/>
      <c r="S1702" s="943"/>
      <c r="T1702" s="943"/>
      <c r="U1702" s="943"/>
      <c r="V1702" s="943"/>
      <c r="W1702" s="943"/>
      <c r="X1702" s="943"/>
      <c r="Y1702" s="943"/>
      <c r="Z1702" s="943"/>
    </row>
    <row r="1703" spans="1:26" ht="56.25">
      <c r="A1703" s="3274"/>
      <c r="B1703" s="3274"/>
      <c r="C1703" s="3418" t="str">
        <f>'Part IX A-Scoring Criteria'!C149</f>
        <v>Individualized information</v>
      </c>
      <c r="D1703" s="3418">
        <f>'Part IX A-Scoring Criteria'!D149</f>
        <v>0</v>
      </c>
      <c r="E1703" s="3418">
        <f>'Part IX A-Scoring Criteria'!E149</f>
        <v>0</v>
      </c>
      <c r="F1703" s="3418">
        <f>'Part IX A-Scoring Criteria'!F149</f>
        <v>0</v>
      </c>
      <c r="G1703" s="3418" t="str">
        <f>'Part IX A-Scoring Criteria'!G149</f>
        <v>Diabetes management, blood pressure concerns</v>
      </c>
      <c r="H1703" s="3418">
        <f>'Part IX A-Scoring Criteria'!H149</f>
        <v>0</v>
      </c>
      <c r="I1703" s="3418">
        <f>'Part IX A-Scoring Criteria'!I149</f>
        <v>0</v>
      </c>
      <c r="J1703" s="3418">
        <f>'Part IX A-Scoring Criteria'!J149</f>
        <v>0</v>
      </c>
      <c r="K1703" s="3418">
        <f>'Part IX A-Scoring Criteria'!K149</f>
        <v>0</v>
      </c>
      <c r="L1703" s="3418">
        <f>'Part IX A-Scoring Criteria'!L149</f>
        <v>0</v>
      </c>
      <c r="M1703" s="3418">
        <f>'Part IX A-Scoring Criteria'!M149</f>
        <v>0</v>
      </c>
      <c r="N1703" s="3418">
        <f>'Part IX A-Scoring Criteria'!N149</f>
        <v>0</v>
      </c>
      <c r="O1703" s="3418">
        <f>'Part IX A-Scoring Criteria'!O149</f>
        <v>0</v>
      </c>
      <c r="P1703" s="3418">
        <f>'Part IX A-Scoring Criteria'!P149</f>
        <v>0</v>
      </c>
      <c r="Q1703" s="358"/>
      <c r="R1703" s="943"/>
      <c r="S1703" s="943"/>
      <c r="T1703" s="943"/>
      <c r="U1703" s="943"/>
      <c r="V1703" s="943"/>
      <c r="W1703" s="943"/>
      <c r="X1703" s="943"/>
      <c r="Y1703" s="943"/>
      <c r="Z1703" s="943"/>
    </row>
    <row r="1704" spans="1:26" ht="15">
      <c r="A1704" s="3274"/>
      <c r="B1704" s="3274"/>
      <c r="C1704" s="3111"/>
      <c r="D1704" s="3419"/>
      <c r="E1704" s="3421"/>
      <c r="F1704" s="3421"/>
      <c r="G1704" s="3421"/>
      <c r="H1704" s="3421"/>
      <c r="I1704" s="3421"/>
      <c r="J1704" s="3421"/>
      <c r="K1704" s="3421"/>
      <c r="L1704" s="3421"/>
      <c r="M1704" s="3421"/>
      <c r="N1704" s="3539"/>
      <c r="O1704" s="3510"/>
      <c r="P1704" s="3319"/>
      <c r="Q1704" s="3535"/>
      <c r="R1704" s="3504"/>
      <c r="S1704" s="3504"/>
      <c r="T1704" s="3504"/>
      <c r="U1704" s="3504"/>
      <c r="V1704" s="3504"/>
      <c r="W1704" s="3504"/>
      <c r="X1704" s="3504"/>
      <c r="Y1704" s="3504"/>
      <c r="Z1704" s="3504"/>
    </row>
    <row r="1705" spans="1:26" ht="15.75">
      <c r="A1705" s="3418">
        <f>'Part IX A-Scoring Criteria'!A151</f>
        <v>0</v>
      </c>
      <c r="B1705" s="3418">
        <f>'Part IX A-Scoring Criteria'!B151</f>
        <v>0</v>
      </c>
      <c r="C1705" s="3418">
        <f>'Part IX A-Scoring Criteria'!C151</f>
        <v>0</v>
      </c>
      <c r="D1705" s="3418">
        <f>'Part IX A-Scoring Criteria'!D151</f>
        <v>0</v>
      </c>
      <c r="E1705" s="3418">
        <f>'Part IX A-Scoring Criteria'!E151</f>
        <v>0</v>
      </c>
      <c r="F1705" s="3418">
        <f>'Part IX A-Scoring Criteria'!F151</f>
        <v>0</v>
      </c>
      <c r="G1705" s="3418">
        <f>'Part IX A-Scoring Criteria'!G151</f>
        <v>0</v>
      </c>
      <c r="H1705" s="3418">
        <f>'Part IX A-Scoring Criteria'!H151</f>
        <v>0</v>
      </c>
      <c r="I1705" s="3418">
        <f>'Part IX A-Scoring Criteria'!I151</f>
        <v>0</v>
      </c>
      <c r="J1705" s="3418">
        <f>'Part IX A-Scoring Criteria'!J151</f>
        <v>0</v>
      </c>
      <c r="K1705" s="3418">
        <f>'Part IX A-Scoring Criteria'!K151</f>
        <v>0</v>
      </c>
      <c r="L1705" s="3418">
        <f>'Part IX A-Scoring Criteria'!L151</f>
        <v>0</v>
      </c>
      <c r="M1705" s="3418">
        <f>'Part IX A-Scoring Criteria'!M151</f>
        <v>0</v>
      </c>
      <c r="N1705" s="3418">
        <f>'Part IX A-Scoring Criteria'!N151</f>
        <v>0</v>
      </c>
      <c r="O1705" s="3418">
        <f>'Part IX A-Scoring Criteria'!O151</f>
        <v>0</v>
      </c>
      <c r="P1705" s="3418">
        <f>'Part IX A-Scoring Criteria'!P151</f>
        <v>0</v>
      </c>
      <c r="Q1705" s="3512"/>
      <c r="R1705" s="3504"/>
      <c r="S1705" s="3504"/>
      <c r="T1705" s="3504"/>
      <c r="U1705" s="3504"/>
      <c r="V1705" s="3504"/>
      <c r="W1705" s="3504"/>
      <c r="X1705" s="3504"/>
      <c r="Y1705" s="3504"/>
      <c r="Z1705" s="3504"/>
    </row>
    <row r="1706" spans="1:26" ht="15">
      <c r="A1706" s="3111"/>
      <c r="B1706" s="3504"/>
      <c r="C1706" s="3421"/>
      <c r="D1706" s="3421"/>
      <c r="E1706" s="3421"/>
      <c r="F1706" s="3421"/>
      <c r="G1706" s="3421"/>
      <c r="H1706" s="3421"/>
      <c r="I1706" s="3421"/>
      <c r="J1706" s="3421"/>
      <c r="K1706" s="3421"/>
      <c r="L1706" s="3421"/>
      <c r="M1706" s="3421"/>
      <c r="N1706" s="3539"/>
      <c r="O1706" s="3510"/>
      <c r="P1706" s="3319"/>
      <c r="Q1706" s="3504"/>
      <c r="R1706" s="3504"/>
      <c r="S1706" s="3504"/>
      <c r="T1706" s="3504"/>
      <c r="U1706" s="3504"/>
      <c r="V1706" s="3504"/>
      <c r="W1706" s="3504"/>
      <c r="X1706" s="3504"/>
      <c r="Y1706" s="3504"/>
      <c r="Z1706" s="3504"/>
    </row>
    <row r="1707" spans="1:26" ht="15">
      <c r="A1707" s="3505" t="s">
        <v>167</v>
      </c>
      <c r="B1707" s="3506" t="s">
        <v>1903</v>
      </c>
      <c r="C1707" s="3421"/>
      <c r="D1707" s="3421"/>
      <c r="E1707" s="3421"/>
      <c r="F1707" s="3421"/>
      <c r="G1707" s="3421"/>
      <c r="H1707" s="3421"/>
      <c r="I1707" s="3421"/>
      <c r="J1707" s="3421"/>
      <c r="K1707" s="3421"/>
      <c r="L1707" s="3421"/>
      <c r="M1707" s="3319">
        <v>5</v>
      </c>
      <c r="N1707" s="3539"/>
      <c r="O1707" s="3503">
        <f>'Part IX A-Scoring Criteria'!O153</f>
        <v>3</v>
      </c>
      <c r="P1707" s="3503">
        <f>'Part IX A-Scoring Criteria'!P153</f>
        <v>0</v>
      </c>
      <c r="Q1707" s="3319" t="s">
        <v>834</v>
      </c>
      <c r="R1707" s="3504"/>
      <c r="S1707" s="3504"/>
      <c r="T1707" s="3504"/>
      <c r="U1707" s="3504"/>
      <c r="V1707" s="3504"/>
      <c r="W1707" s="3504"/>
      <c r="X1707" s="3504"/>
      <c r="Y1707" s="3504"/>
      <c r="Z1707" s="3504"/>
    </row>
    <row r="1708" spans="1:26" ht="15">
      <c r="A1708" s="3111"/>
      <c r="B1708" s="3504"/>
      <c r="C1708" s="3421"/>
      <c r="D1708" s="3421"/>
      <c r="E1708" s="3421"/>
      <c r="F1708" s="3421"/>
      <c r="G1708" s="3421"/>
      <c r="H1708" s="3421"/>
      <c r="I1708" s="3421"/>
      <c r="J1708" s="3421"/>
      <c r="K1708" s="3421"/>
      <c r="L1708" s="3421"/>
      <c r="M1708" s="3421"/>
      <c r="N1708" s="3539"/>
      <c r="O1708" s="3510"/>
      <c r="P1708" s="3319"/>
      <c r="Q1708" s="3504"/>
      <c r="R1708" s="3504"/>
      <c r="S1708" s="3504"/>
      <c r="T1708" s="3504"/>
      <c r="U1708" s="3504"/>
      <c r="V1708" s="3504"/>
      <c r="W1708" s="3504"/>
      <c r="X1708" s="3504"/>
      <c r="Y1708" s="3504"/>
      <c r="Z1708" s="3504"/>
    </row>
    <row r="1709" spans="1:26" ht="15">
      <c r="A1709" s="3337" t="s">
        <v>110</v>
      </c>
      <c r="B1709" s="3300" t="s">
        <v>1904</v>
      </c>
      <c r="C1709" s="3522"/>
      <c r="D1709" s="3569"/>
      <c r="E1709" s="3569"/>
      <c r="F1709" s="3522"/>
      <c r="G1709" s="3569"/>
      <c r="H1709" s="3569"/>
      <c r="I1709" s="3569"/>
      <c r="J1709" s="3569"/>
      <c r="K1709" s="3569"/>
      <c r="L1709" s="3569"/>
      <c r="M1709" s="3310">
        <v>3</v>
      </c>
      <c r="N1709" s="3541"/>
      <c r="O1709" s="3310">
        <f>'Part IX A-Scoring Criteria'!O155</f>
        <v>3</v>
      </c>
      <c r="P1709" s="3310">
        <f>'Part IX A-Scoring Criteria'!P155</f>
        <v>0</v>
      </c>
      <c r="Q1709" s="3522"/>
      <c r="R1709" s="3113"/>
      <c r="S1709" s="3522"/>
      <c r="T1709" s="3522"/>
      <c r="U1709" s="3522"/>
      <c r="V1709" s="3522"/>
      <c r="W1709" s="3522"/>
      <c r="X1709" s="3522"/>
      <c r="Y1709" s="3522"/>
      <c r="Z1709" s="3522"/>
    </row>
    <row r="1710" spans="1:26" ht="15">
      <c r="A1710" s="3504"/>
      <c r="B1710" s="3354" t="s">
        <v>1905</v>
      </c>
      <c r="C1710" s="3492"/>
      <c r="D1710" s="3492"/>
      <c r="E1710" s="3492"/>
      <c r="F1710" s="3492"/>
      <c r="G1710" s="3492"/>
      <c r="H1710" s="3492"/>
      <c r="I1710" s="3492"/>
      <c r="J1710" s="3492"/>
      <c r="K1710" s="3492"/>
      <c r="L1710" s="3492"/>
      <c r="M1710" s="3492"/>
      <c r="N1710" s="3492"/>
      <c r="O1710" s="3424" t="str">
        <f>'Part IX A-Scoring Criteria'!O156</f>
        <v>Yes</v>
      </c>
      <c r="P1710" s="3424">
        <f>'Part IX A-Scoring Criteria'!P156</f>
        <v>0</v>
      </c>
      <c r="Q1710" s="3504"/>
      <c r="R1710" s="3467"/>
      <c r="S1710" s="3504"/>
      <c r="T1710" s="3504"/>
      <c r="U1710" s="3504"/>
      <c r="V1710" s="3504"/>
      <c r="W1710" s="3504"/>
      <c r="X1710" s="3504"/>
      <c r="Y1710" s="3504"/>
      <c r="Z1710" s="3504"/>
    </row>
    <row r="1711" spans="1:26" ht="15">
      <c r="A1711" s="3337"/>
      <c r="B1711" s="3426"/>
      <c r="C1711" s="3426"/>
      <c r="D1711" s="3426"/>
      <c r="E1711" s="3426"/>
      <c r="F1711" s="3426"/>
      <c r="G1711" s="3426"/>
      <c r="H1711" s="3426"/>
      <c r="I1711" s="3426"/>
      <c r="J1711" s="3426"/>
      <c r="K1711" s="3426"/>
      <c r="L1711" s="3426"/>
      <c r="M1711" s="3426"/>
      <c r="N1711" s="3504"/>
      <c r="O1711" s="3504"/>
      <c r="P1711" s="3504"/>
      <c r="Q1711" s="3504"/>
      <c r="R1711" s="3467"/>
      <c r="S1711" s="3504"/>
      <c r="T1711" s="3504"/>
      <c r="U1711" s="3504"/>
      <c r="V1711" s="3504"/>
      <c r="W1711" s="3504"/>
      <c r="X1711" s="3504"/>
      <c r="Y1711" s="3504"/>
      <c r="Z1711" s="3504"/>
    </row>
    <row r="1712" spans="1:26" ht="15" customHeight="1">
      <c r="A1712" s="3337"/>
      <c r="B1712" s="3418" t="s">
        <v>4829</v>
      </c>
      <c r="C1712" s="3418"/>
      <c r="D1712" s="3418"/>
      <c r="E1712" s="358" t="s">
        <v>1907</v>
      </c>
      <c r="F1712" s="3522"/>
      <c r="G1712" s="358"/>
      <c r="H1712" s="3522"/>
      <c r="I1712" s="3383" t="str">
        <f>'Part IX A-Scoring Criteria'!I158</f>
        <v>Cherokee County School District</v>
      </c>
      <c r="J1712" s="3383">
        <f>'Part IX A-Scoring Criteria'!J158</f>
        <v>0</v>
      </c>
      <c r="K1712" s="3383">
        <f>'Part IX A-Scoring Criteria'!K158</f>
        <v>0</v>
      </c>
      <c r="L1712" s="3383">
        <f>'Part IX A-Scoring Criteria'!L158</f>
        <v>0</v>
      </c>
      <c r="M1712" s="3504"/>
      <c r="N1712" s="3504"/>
      <c r="O1712" s="3504"/>
      <c r="P1712" s="3504"/>
      <c r="Q1712" s="3504"/>
      <c r="R1712" s="3504"/>
      <c r="S1712" s="3504"/>
      <c r="T1712" s="3504"/>
      <c r="U1712" s="3504"/>
      <c r="V1712" s="3504"/>
      <c r="W1712" s="3504"/>
      <c r="X1712" s="3504"/>
      <c r="Y1712" s="3504"/>
      <c r="Z1712" s="3504"/>
    </row>
    <row r="1713" spans="1:26" ht="15">
      <c r="A1713" s="3337"/>
      <c r="B1713" s="3418"/>
      <c r="C1713" s="3418"/>
      <c r="D1713" s="3418"/>
      <c r="E1713" s="3354" t="s">
        <v>1908</v>
      </c>
      <c r="F1713" s="3467"/>
      <c r="G1713" s="3522"/>
      <c r="H1713" s="3522"/>
      <c r="I1713" s="3354"/>
      <c r="J1713" s="3348"/>
      <c r="K1713" s="3348"/>
      <c r="L1713" s="3348"/>
      <c r="M1713" s="3522"/>
      <c r="N1713" s="3383"/>
      <c r="O1713" s="3424" t="str">
        <f>'Part IX A-Scoring Criteria'!O159</f>
        <v>N/a</v>
      </c>
      <c r="P1713" s="3424">
        <f>'Part IX A-Scoring Criteria'!P159</f>
        <v>0</v>
      </c>
      <c r="Q1713" s="3383"/>
      <c r="R1713" s="3504"/>
      <c r="S1713" s="3504"/>
      <c r="T1713" s="3504"/>
      <c r="U1713" s="3504"/>
      <c r="V1713" s="3504"/>
      <c r="W1713" s="3504"/>
      <c r="X1713" s="3504"/>
      <c r="Y1713" s="3504"/>
      <c r="Z1713" s="3504"/>
    </row>
    <row r="1714" spans="1:26" ht="15">
      <c r="A1714" s="3111"/>
      <c r="B1714" s="3504"/>
      <c r="C1714" s="3421"/>
      <c r="D1714" s="3421"/>
      <c r="E1714" s="358" t="s">
        <v>1909</v>
      </c>
      <c r="F1714" s="358" t="str">
        <f>'Part I-Project Information'!$H$78</f>
        <v>Family</v>
      </c>
      <c r="G1714" s="358"/>
      <c r="H1714" s="3504"/>
      <c r="I1714" s="3421"/>
      <c r="J1714" s="3421"/>
      <c r="K1714" s="3421"/>
      <c r="L1714" s="3421"/>
      <c r="M1714" s="3421"/>
      <c r="N1714" s="3539"/>
      <c r="O1714" s="3510"/>
      <c r="P1714" s="3319"/>
      <c r="Q1714" s="3504"/>
      <c r="R1714" s="3504"/>
      <c r="S1714" s="3504"/>
      <c r="T1714" s="3504"/>
      <c r="U1714" s="3504"/>
      <c r="V1714" s="3504"/>
      <c r="W1714" s="3504"/>
      <c r="X1714" s="3504"/>
      <c r="Y1714" s="3504"/>
      <c r="Z1714" s="3504"/>
    </row>
    <row r="1715" spans="1:26" ht="15" customHeight="1">
      <c r="A1715" s="3337"/>
      <c r="B1715" s="3230"/>
      <c r="C1715" s="3390"/>
      <c r="D1715" s="3390"/>
      <c r="E1715" s="3581"/>
      <c r="F1715" s="3504"/>
      <c r="G1715" s="3504"/>
      <c r="H1715" s="3426" t="s">
        <v>1910</v>
      </c>
      <c r="I1715" s="3383" t="s">
        <v>1911</v>
      </c>
      <c r="J1715" s="3383"/>
      <c r="K1715" s="3383"/>
      <c r="L1715" s="3383"/>
      <c r="M1715" s="3191" t="s">
        <v>1912</v>
      </c>
      <c r="N1715" s="3191"/>
      <c r="O1715" s="3191" t="s">
        <v>1913</v>
      </c>
      <c r="P1715" s="3191"/>
      <c r="Q1715" s="3383"/>
      <c r="R1715" s="3504"/>
      <c r="S1715" s="3504"/>
      <c r="T1715" s="3504"/>
      <c r="U1715" s="3504"/>
      <c r="V1715" s="3504"/>
      <c r="W1715" s="3504"/>
      <c r="X1715" s="3504"/>
      <c r="Y1715" s="3504"/>
      <c r="Z1715" s="3504"/>
    </row>
    <row r="1716" spans="1:26" ht="23.25">
      <c r="A1716" s="3337"/>
      <c r="B1716" s="3582" t="s">
        <v>1914</v>
      </c>
      <c r="C1716" s="3348"/>
      <c r="D1716" s="3113" t="s">
        <v>4830</v>
      </c>
      <c r="E1716" s="3113"/>
      <c r="F1716" s="3113"/>
      <c r="G1716" s="3442" t="s">
        <v>1916</v>
      </c>
      <c r="H1716" s="3426"/>
      <c r="I1716" s="3468">
        <v>2014</v>
      </c>
      <c r="J1716" s="3468">
        <v>2015</v>
      </c>
      <c r="K1716" s="3468">
        <v>2016</v>
      </c>
      <c r="L1716" s="3468">
        <v>2017</v>
      </c>
      <c r="M1716" s="3191"/>
      <c r="N1716" s="3191"/>
      <c r="O1716" s="3191"/>
      <c r="P1716" s="3191"/>
      <c r="Q1716" s="3583" t="s">
        <v>1917</v>
      </c>
      <c r="R1716" s="3583"/>
      <c r="S1716" s="3504"/>
      <c r="T1716" s="3504"/>
      <c r="U1716" s="3504"/>
      <c r="V1716" s="3504"/>
      <c r="W1716" s="3504"/>
      <c r="X1716" s="3504"/>
      <c r="Y1716" s="3504"/>
      <c r="Z1716" s="3504"/>
    </row>
    <row r="1717" spans="1:26" ht="33.75">
      <c r="A1717" s="3459" t="s">
        <v>1359</v>
      </c>
      <c r="B1717" s="3390" t="s">
        <v>1918</v>
      </c>
      <c r="C1717" s="3504"/>
      <c r="D1717" s="3383" t="str">
        <f>'Part IX A-Scoring Criteria'!D163</f>
        <v>Ball Ground Elementary School</v>
      </c>
      <c r="E1717" s="3383">
        <f>'Part IX A-Scoring Criteria'!E163</f>
        <v>0</v>
      </c>
      <c r="F1717" s="3383">
        <f>'Part IX A-Scoring Criteria'!F163</f>
        <v>0</v>
      </c>
      <c r="G1717" s="3584" t="str">
        <f>'Part IX A-Scoring Criteria'!G163</f>
        <v>Pre-K - 5</v>
      </c>
      <c r="H1717" s="3450" t="str">
        <f>'Part IX A-Scoring Criteria'!H163</f>
        <v>No</v>
      </c>
      <c r="I1717" s="3585">
        <f>'Part IX A-Scoring Criteria'!I163</f>
        <v>0</v>
      </c>
      <c r="J1717" s="3585">
        <f>'Part IX A-Scoring Criteria'!J163</f>
        <v>68.900000000000006</v>
      </c>
      <c r="K1717" s="3585">
        <f>'Part IX A-Scoring Criteria'!K163</f>
        <v>75.7</v>
      </c>
      <c r="L1717" s="3585">
        <f>'Part IX A-Scoring Criteria'!L163</f>
        <v>82.7</v>
      </c>
      <c r="M1717" s="3586">
        <f>IF(I1717+J1717+K1717+L1717=0,"",AVERAGE(I1717,J1717,K1717,L1717))</f>
        <v>56.825000000000003</v>
      </c>
      <c r="N1717" s="3586"/>
      <c r="O1717" s="3313" t="str">
        <f>IF(M1717="","",IF(M1717&gt;Q1717,"Yes",IF(M1717&lt;Q1717,"No","")))</f>
        <v>No</v>
      </c>
      <c r="P1717" s="3504"/>
      <c r="Q1717" s="3124">
        <v>73.400000000000006</v>
      </c>
      <c r="R1717" s="3124"/>
      <c r="S1717" s="3504"/>
      <c r="T1717" s="3504"/>
      <c r="U1717" s="3504"/>
      <c r="V1717" s="3504"/>
      <c r="W1717" s="3504"/>
      <c r="X1717" s="3504"/>
      <c r="Y1717" s="3504"/>
      <c r="Z1717" s="3504"/>
    </row>
    <row r="1718" spans="1:26" ht="22.5">
      <c r="A1718" s="3469" t="s">
        <v>1361</v>
      </c>
      <c r="B1718" s="3390" t="s">
        <v>1919</v>
      </c>
      <c r="C1718" s="3504"/>
      <c r="D1718" s="3383" t="str">
        <f>'Part IX A-Scoring Criteria'!D164</f>
        <v>Creekland Middle School</v>
      </c>
      <c r="E1718" s="3383">
        <f>'Part IX A-Scoring Criteria'!E164</f>
        <v>0</v>
      </c>
      <c r="F1718" s="3383">
        <f>'Part IX A-Scoring Criteria'!F164</f>
        <v>0</v>
      </c>
      <c r="G1718" s="3584" t="str">
        <f>'Part IX A-Scoring Criteria'!G164</f>
        <v>6-8</v>
      </c>
      <c r="H1718" s="3450" t="str">
        <f>'Part IX A-Scoring Criteria'!H164</f>
        <v>No</v>
      </c>
      <c r="I1718" s="3585">
        <f>'Part IX A-Scoring Criteria'!I164</f>
        <v>0</v>
      </c>
      <c r="J1718" s="3585">
        <f>'Part IX A-Scoring Criteria'!J164</f>
        <v>78.900000000000006</v>
      </c>
      <c r="K1718" s="3585">
        <f>'Part IX A-Scoring Criteria'!K164</f>
        <v>84.4</v>
      </c>
      <c r="L1718" s="3585">
        <f>'Part IX A-Scoring Criteria'!L164</f>
        <v>82.7</v>
      </c>
      <c r="M1718" s="3586">
        <f>IF(I1718+J1718+K1718+L1718=0,"",AVERAGE(I1718,J1718,K1718,L1718))</f>
        <v>61.5</v>
      </c>
      <c r="N1718" s="3586"/>
      <c r="O1718" s="3313" t="str">
        <f>IF(M1718="","",IF(M1718&gt;Q1718,"Yes",IF(M1718&lt;Q1718,"No","")))</f>
        <v>No</v>
      </c>
      <c r="P1718" s="3504"/>
      <c r="Q1718" s="3124">
        <v>72.099999999999994</v>
      </c>
      <c r="R1718" s="3124"/>
      <c r="S1718" s="3504"/>
      <c r="T1718" s="3504"/>
      <c r="U1718" s="3504"/>
      <c r="V1718" s="3504"/>
      <c r="W1718" s="3504"/>
      <c r="X1718" s="3504"/>
      <c r="Y1718" s="3504"/>
      <c r="Z1718" s="3504"/>
    </row>
    <row r="1719" spans="1:26" ht="22.5">
      <c r="A1719" s="3459" t="s">
        <v>1363</v>
      </c>
      <c r="B1719" s="3390" t="s">
        <v>1920</v>
      </c>
      <c r="C1719" s="3504"/>
      <c r="D1719" s="3383" t="str">
        <f>'Part IX A-Scoring Criteria'!D165</f>
        <v>Creekview High School</v>
      </c>
      <c r="E1719" s="3383">
        <f>'Part IX A-Scoring Criteria'!E165</f>
        <v>0</v>
      </c>
      <c r="F1719" s="3383">
        <f>'Part IX A-Scoring Criteria'!F165</f>
        <v>0</v>
      </c>
      <c r="G1719" s="3584" t="str">
        <f>'Part IX A-Scoring Criteria'!G165</f>
        <v>9-12</v>
      </c>
      <c r="H1719" s="3450" t="str">
        <f>'Part IX A-Scoring Criteria'!H165</f>
        <v>No</v>
      </c>
      <c r="I1719" s="3585">
        <f>'Part IX A-Scoring Criteria'!I165</f>
        <v>0</v>
      </c>
      <c r="J1719" s="3585">
        <f>'Part IX A-Scoring Criteria'!J165</f>
        <v>82.9</v>
      </c>
      <c r="K1719" s="3585">
        <f>'Part IX A-Scoring Criteria'!K165</f>
        <v>88.7</v>
      </c>
      <c r="L1719" s="3585">
        <f>'Part IX A-Scoring Criteria'!L165</f>
        <v>88.4</v>
      </c>
      <c r="M1719" s="3586">
        <f>IF(I1719+J1719+K1719+L1719=0,"",AVERAGE(I1719,J1719,K1719,L1719))</f>
        <v>65</v>
      </c>
      <c r="N1719" s="3586"/>
      <c r="O1719" s="3313" t="str">
        <f>IF(M1719="","",IF(M1719&gt;Q1719,"Yes",IF(M1719&lt;Q1719,"No","")))</f>
        <v>No</v>
      </c>
      <c r="P1719" s="3504"/>
      <c r="Q1719" s="3124">
        <v>73.3</v>
      </c>
      <c r="R1719" s="3124"/>
      <c r="S1719" s="3504"/>
      <c r="T1719" s="3504"/>
      <c r="U1719" s="3504"/>
      <c r="V1719" s="3504"/>
      <c r="W1719" s="3504"/>
      <c r="X1719" s="3504"/>
      <c r="Y1719" s="3504"/>
      <c r="Z1719" s="3504"/>
    </row>
    <row r="1720" spans="1:26" ht="15">
      <c r="A1720" s="3459"/>
      <c r="B1720" s="3390"/>
      <c r="C1720" s="3504"/>
      <c r="D1720" s="3504"/>
      <c r="E1720" s="3504"/>
      <c r="F1720" s="3504"/>
      <c r="G1720" s="3504"/>
      <c r="H1720" s="3504"/>
      <c r="I1720" s="3504"/>
      <c r="J1720" s="3504"/>
      <c r="K1720" s="3504"/>
      <c r="L1720" s="3504"/>
      <c r="M1720" s="3504"/>
      <c r="N1720" s="3504"/>
      <c r="O1720" s="3504"/>
      <c r="P1720" s="3504"/>
      <c r="Q1720" s="3504"/>
      <c r="R1720" s="3504"/>
      <c r="S1720" s="3504"/>
      <c r="T1720" s="3504"/>
      <c r="U1720" s="3504"/>
      <c r="V1720" s="3504"/>
      <c r="W1720" s="3504"/>
      <c r="X1720" s="3504"/>
      <c r="Y1720" s="3504"/>
      <c r="Z1720" s="3504"/>
    </row>
    <row r="1721" spans="1:26" ht="15">
      <c r="A1721" s="3459" t="s">
        <v>1921</v>
      </c>
      <c r="B1721" s="3482" t="s">
        <v>1918</v>
      </c>
      <c r="C1721" s="3504"/>
      <c r="D1721" s="3492" t="str">
        <f>IF(D1717="","",D1717)</f>
        <v>Ball Ground Elementary School</v>
      </c>
      <c r="E1721" s="3504"/>
      <c r="F1721" s="3504"/>
      <c r="G1721" s="3468" t="str">
        <f t="shared" ref="G1721:H1723" si="325">IF(G1717="","",G1717)</f>
        <v>Pre-K - 5</v>
      </c>
      <c r="H1721" s="3468" t="str">
        <f t="shared" si="325"/>
        <v>No</v>
      </c>
      <c r="I1721" s="3585">
        <f>'Part IX A-Scoring Criteria'!I167</f>
        <v>0</v>
      </c>
      <c r="J1721" s="3585">
        <f>'Part IX A-Scoring Criteria'!J167</f>
        <v>0</v>
      </c>
      <c r="K1721" s="3585">
        <f>'Part IX A-Scoring Criteria'!K167</f>
        <v>0</v>
      </c>
      <c r="L1721" s="3585">
        <f>'Part IX A-Scoring Criteria'!L167</f>
        <v>0</v>
      </c>
      <c r="M1721" s="3586" t="str">
        <f>IF(I1721+J1721+K1721+L1721=0,"",AVERAGE(I1721,J1721,K1721,L1721))</f>
        <v/>
      </c>
      <c r="N1721" s="3586"/>
      <c r="O1721" s="3504"/>
      <c r="P1721" s="3313" t="str">
        <f>IF(M1721="","",IF(M1721&gt;Q1717,"Yes",IF(M1721&lt;Q1717,"No","")))</f>
        <v/>
      </c>
      <c r="Q1721" s="3504"/>
      <c r="R1721" s="3504"/>
      <c r="S1721" s="3504"/>
      <c r="T1721" s="3504"/>
      <c r="U1721" s="3504"/>
      <c r="V1721" s="3504"/>
      <c r="W1721" s="3504"/>
      <c r="X1721" s="3504"/>
      <c r="Y1721" s="3504"/>
      <c r="Z1721" s="3504"/>
    </row>
    <row r="1722" spans="1:26" ht="15">
      <c r="A1722" s="3469" t="s">
        <v>1922</v>
      </c>
      <c r="B1722" s="3482" t="s">
        <v>1923</v>
      </c>
      <c r="C1722" s="3504"/>
      <c r="D1722" s="3492" t="str">
        <f>IF(D1718="","",D1718)</f>
        <v>Creekland Middle School</v>
      </c>
      <c r="E1722" s="3504"/>
      <c r="F1722" s="3504"/>
      <c r="G1722" s="3468" t="str">
        <f t="shared" si="325"/>
        <v>6-8</v>
      </c>
      <c r="H1722" s="3468" t="str">
        <f t="shared" si="325"/>
        <v>No</v>
      </c>
      <c r="I1722" s="3585">
        <f>'Part IX A-Scoring Criteria'!I168</f>
        <v>0</v>
      </c>
      <c r="J1722" s="3585">
        <f>'Part IX A-Scoring Criteria'!J168</f>
        <v>0</v>
      </c>
      <c r="K1722" s="3585">
        <f>'Part IX A-Scoring Criteria'!K168</f>
        <v>0</v>
      </c>
      <c r="L1722" s="3585">
        <f>'Part IX A-Scoring Criteria'!L168</f>
        <v>0</v>
      </c>
      <c r="M1722" s="3586" t="str">
        <f>IF(I1722+J1722+K1722+L1722=0,"",AVERAGE(I1722,J1722,K1722,L1722))</f>
        <v/>
      </c>
      <c r="N1722" s="3586"/>
      <c r="O1722" s="3504"/>
      <c r="P1722" s="3313" t="str">
        <f>IF(M1722="","",IF(M1722&gt;Q1718,"Yes",IF(M1722&lt;Q1718,"No","")))</f>
        <v/>
      </c>
      <c r="Q1722" s="3504"/>
      <c r="R1722" s="3504"/>
      <c r="S1722" s="3504"/>
      <c r="T1722" s="3504"/>
      <c r="U1722" s="3504"/>
      <c r="V1722" s="3504"/>
      <c r="W1722" s="3504"/>
      <c r="X1722" s="3504"/>
      <c r="Y1722" s="3504"/>
      <c r="Z1722" s="3504"/>
    </row>
    <row r="1723" spans="1:26" ht="15">
      <c r="A1723" s="3459" t="s">
        <v>1924</v>
      </c>
      <c r="B1723" s="3482" t="s">
        <v>1920</v>
      </c>
      <c r="C1723" s="3504"/>
      <c r="D1723" s="3492" t="str">
        <f>IF(D1719="","",D1719)</f>
        <v>Creekview High School</v>
      </c>
      <c r="E1723" s="3504"/>
      <c r="F1723" s="3504"/>
      <c r="G1723" s="3468" t="str">
        <f t="shared" si="325"/>
        <v>9-12</v>
      </c>
      <c r="H1723" s="3468" t="str">
        <f t="shared" si="325"/>
        <v>No</v>
      </c>
      <c r="I1723" s="3585">
        <f>'Part IX A-Scoring Criteria'!I169</f>
        <v>0</v>
      </c>
      <c r="J1723" s="3585">
        <f>'Part IX A-Scoring Criteria'!J169</f>
        <v>0</v>
      </c>
      <c r="K1723" s="3585">
        <f>'Part IX A-Scoring Criteria'!K169</f>
        <v>0</v>
      </c>
      <c r="L1723" s="3585">
        <f>'Part IX A-Scoring Criteria'!L169</f>
        <v>0</v>
      </c>
      <c r="M1723" s="3586" t="str">
        <f>IF(I1723+J1723+K1723+L1723=0,"",AVERAGE(I1723,J1723,K1723,L1723))</f>
        <v/>
      </c>
      <c r="N1723" s="3586"/>
      <c r="O1723" s="3504"/>
      <c r="P1723" s="3313" t="str">
        <f>IF(M1723="","",IF(M1723&gt;Q1719,"Yes",IF(M1723&lt;Q1719,"No","")))</f>
        <v/>
      </c>
      <c r="Q1723" s="3504"/>
      <c r="R1723" s="3504"/>
      <c r="S1723" s="3504"/>
      <c r="T1723" s="3504"/>
      <c r="U1723" s="3504"/>
      <c r="V1723" s="3504"/>
      <c r="W1723" s="3504"/>
      <c r="X1723" s="3504"/>
      <c r="Y1723" s="3504"/>
      <c r="Z1723" s="3504"/>
    </row>
    <row r="1724" spans="1:26" ht="15">
      <c r="A1724" s="3111"/>
      <c r="B1724" s="3504"/>
      <c r="C1724" s="3421"/>
      <c r="D1724" s="3421"/>
      <c r="E1724" s="3421"/>
      <c r="F1724" s="3421"/>
      <c r="G1724" s="3421"/>
      <c r="H1724" s="3421"/>
      <c r="I1724" s="3421"/>
      <c r="J1724" s="3421"/>
      <c r="K1724" s="3421"/>
      <c r="L1724" s="3421"/>
      <c r="M1724" s="3421"/>
      <c r="N1724" s="3539"/>
      <c r="O1724" s="3510"/>
      <c r="P1724" s="3319"/>
      <c r="Q1724" s="3504"/>
      <c r="R1724" s="3504"/>
      <c r="S1724" s="3504"/>
      <c r="T1724" s="3504"/>
      <c r="U1724" s="3504"/>
      <c r="V1724" s="3504"/>
      <c r="W1724" s="3504"/>
      <c r="X1724" s="3504"/>
      <c r="Y1724" s="3504"/>
      <c r="Z1724" s="3504"/>
    </row>
    <row r="1725" spans="1:26" ht="15">
      <c r="A1725" s="3337" t="s">
        <v>121</v>
      </c>
      <c r="B1725" s="3300" t="s">
        <v>1925</v>
      </c>
      <c r="C1725" s="3522"/>
      <c r="D1725" s="3569"/>
      <c r="E1725" s="3569"/>
      <c r="F1725" s="3553" t="s">
        <v>1926</v>
      </c>
      <c r="G1725" s="3522"/>
      <c r="H1725" s="3354" t="s">
        <v>1927</v>
      </c>
      <c r="I1725" s="3522"/>
      <c r="J1725" s="3522"/>
      <c r="K1725" s="3522"/>
      <c r="L1725" s="3522"/>
      <c r="M1725" s="3310">
        <v>2</v>
      </c>
      <c r="N1725" s="3541"/>
      <c r="O1725" s="3503">
        <f>'Part IX A-Scoring Criteria'!O171</f>
        <v>0</v>
      </c>
      <c r="P1725" s="3503">
        <f>'Part IX A-Scoring Criteria'!P171</f>
        <v>0</v>
      </c>
      <c r="Q1725" s="3319"/>
      <c r="R1725" s="3587"/>
      <c r="S1725" s="3522"/>
      <c r="T1725" s="3522"/>
      <c r="U1725" s="3522"/>
      <c r="V1725" s="3522"/>
      <c r="W1725" s="3522"/>
      <c r="X1725" s="3522"/>
      <c r="Y1725" s="3522"/>
      <c r="Z1725" s="3522"/>
    </row>
    <row r="1726" spans="1:26" ht="12.75" customHeight="1">
      <c r="A1726" s="943"/>
      <c r="B1726" s="943"/>
      <c r="C1726" s="943"/>
      <c r="D1726" s="943"/>
      <c r="E1726" s="3588" t="s">
        <v>1928</v>
      </c>
      <c r="F1726" s="3588" t="s">
        <v>1929</v>
      </c>
      <c r="G1726" s="3314" t="s">
        <v>1930</v>
      </c>
      <c r="H1726" s="3314"/>
      <c r="I1726" s="3314"/>
      <c r="J1726" s="3314"/>
      <c r="K1726" s="3314"/>
      <c r="L1726" s="3314"/>
      <c r="M1726" s="3314"/>
      <c r="N1726" s="3314"/>
      <c r="O1726" s="943"/>
      <c r="P1726" s="3493"/>
      <c r="Q1726" s="943"/>
      <c r="R1726" s="943" t="s">
        <v>1931</v>
      </c>
      <c r="S1726" s="943"/>
      <c r="T1726" s="3481" t="str">
        <f>'Part I-Project Information'!$F$38</f>
        <v>Ball Ground</v>
      </c>
      <c r="U1726" s="3481"/>
      <c r="V1726" s="3481"/>
      <c r="W1726" s="3481"/>
      <c r="X1726" s="3481"/>
      <c r="Y1726" s="943"/>
      <c r="Z1726" s="943"/>
    </row>
    <row r="1727" spans="1:26" ht="12.75" customHeight="1">
      <c r="A1727" s="3457"/>
      <c r="B1727" s="3588" t="s">
        <v>1932</v>
      </c>
      <c r="C1727" s="3588"/>
      <c r="D1727" s="3588"/>
      <c r="E1727" s="3588"/>
      <c r="F1727" s="3588"/>
      <c r="G1727" s="3418" t="s">
        <v>1933</v>
      </c>
      <c r="H1727" s="3418"/>
      <c r="I1727" s="3418"/>
      <c r="J1727" s="3418"/>
      <c r="K1727" s="3418"/>
      <c r="L1727" s="3418"/>
      <c r="M1727" s="3418"/>
      <c r="N1727" s="3418"/>
      <c r="O1727" s="3588" t="s">
        <v>1934</v>
      </c>
      <c r="P1727" s="3588"/>
      <c r="Q1727" s="943"/>
      <c r="R1727" s="3481" t="s">
        <v>1935</v>
      </c>
      <c r="S1727" s="943"/>
      <c r="T1727" s="3481" t="str">
        <f>'Part I-Project Information'!$J$39</f>
        <v>Cherokee</v>
      </c>
      <c r="U1727" s="3481"/>
      <c r="V1727" s="3481"/>
      <c r="W1727" s="3481"/>
      <c r="X1727" s="3481"/>
      <c r="Y1727" s="943"/>
      <c r="Z1727" s="943"/>
    </row>
    <row r="1728" spans="1:26">
      <c r="A1728" s="3457"/>
      <c r="B1728" s="358" t="s">
        <v>1936</v>
      </c>
      <c r="C1728" s="358"/>
      <c r="D1728" s="358"/>
      <c r="E1728" s="3589">
        <v>3000</v>
      </c>
      <c r="F1728" s="3589">
        <v>6000</v>
      </c>
      <c r="G1728" s="3590">
        <v>15000</v>
      </c>
      <c r="H1728" s="3590"/>
      <c r="I1728" s="3590"/>
      <c r="J1728" s="3590"/>
      <c r="K1728" s="3590"/>
      <c r="L1728" s="3590"/>
      <c r="M1728" s="3590"/>
      <c r="N1728" s="3590"/>
      <c r="O1728" s="3590">
        <v>20000</v>
      </c>
      <c r="P1728" s="3590"/>
      <c r="Q1728" s="943"/>
      <c r="R1728" s="3492" t="s">
        <v>1937</v>
      </c>
      <c r="S1728" s="943"/>
      <c r="T1728" s="3481" t="str">
        <f>'Part I-Project Information'!$O$40</f>
        <v>Atlanta-Sandy Springs-Marietta</v>
      </c>
      <c r="U1728" s="3481"/>
      <c r="V1728" s="3481"/>
      <c r="W1728" s="3481"/>
      <c r="X1728" s="3481"/>
      <c r="Y1728" s="943"/>
      <c r="Z1728" s="943"/>
    </row>
    <row r="1729" spans="1:26" ht="12.75" customHeight="1">
      <c r="A1729" s="3457"/>
      <c r="B1729" s="3383" t="s">
        <v>1938</v>
      </c>
      <c r="C1729" s="3383"/>
      <c r="D1729" s="3383"/>
      <c r="E1729" s="3589">
        <v>4500</v>
      </c>
      <c r="F1729" s="3589">
        <v>9000</v>
      </c>
      <c r="G1729" s="3590">
        <v>22500</v>
      </c>
      <c r="H1729" s="3590"/>
      <c r="I1729" s="3590"/>
      <c r="J1729" s="3590"/>
      <c r="K1729" s="3590"/>
      <c r="L1729" s="3590"/>
      <c r="M1729" s="3590"/>
      <c r="N1729" s="3590"/>
      <c r="O1729" s="3590">
        <v>30000</v>
      </c>
      <c r="P1729" s="3590"/>
      <c r="Q1729" s="358"/>
      <c r="R1729" s="3354" t="s">
        <v>1939</v>
      </c>
      <c r="S1729" s="358"/>
      <c r="T1729" s="358" t="str">
        <f>VLOOKUP('Part I-Project Information'!$J$39,'DCA Underwriting Assumptions'!$G$155:$J$314,4)</f>
        <v>MSA</v>
      </c>
      <c r="U1729" s="358"/>
      <c r="V1729" s="358"/>
      <c r="W1729" s="358"/>
      <c r="X1729" s="358"/>
      <c r="Y1729" s="358"/>
      <c r="Z1729" s="358"/>
    </row>
    <row r="1730" spans="1:26">
      <c r="A1730" s="3457"/>
      <c r="B1730" s="3457"/>
      <c r="C1730" s="943"/>
      <c r="D1730" s="943"/>
      <c r="E1730" s="943"/>
      <c r="F1730" s="943"/>
      <c r="G1730" s="943"/>
      <c r="H1730" s="943"/>
      <c r="I1730" s="943"/>
      <c r="J1730" s="943"/>
      <c r="K1730" s="3468"/>
      <c r="L1730" s="3468"/>
      <c r="M1730" s="943"/>
      <c r="N1730" s="943"/>
      <c r="O1730" s="943"/>
      <c r="P1730" s="943"/>
      <c r="Q1730" s="943"/>
      <c r="R1730" s="943"/>
      <c r="S1730" s="943"/>
      <c r="T1730" s="943"/>
      <c r="U1730" s="943"/>
      <c r="V1730" s="943"/>
      <c r="W1730" s="943"/>
      <c r="X1730" s="943"/>
      <c r="Y1730" s="943"/>
      <c r="Z1730" s="943"/>
    </row>
    <row r="1731" spans="1:26">
      <c r="A1731" s="943"/>
      <c r="B1731" s="3591" t="s">
        <v>1940</v>
      </c>
      <c r="C1731" s="943"/>
      <c r="D1731" s="943"/>
      <c r="E1731" s="3592"/>
      <c r="F1731" s="3592"/>
      <c r="G1731" s="3592"/>
      <c r="H1731" s="943"/>
      <c r="I1731" s="3592">
        <f>'Part IX A-Scoring Criteria'!I177</f>
        <v>0</v>
      </c>
      <c r="J1731" s="3592">
        <f>'Part IX A-Scoring Criteria'!J177</f>
        <v>0</v>
      </c>
      <c r="K1731" s="943"/>
      <c r="L1731" s="943"/>
      <c r="M1731" s="943"/>
      <c r="N1731" s="943"/>
      <c r="O1731" s="943"/>
      <c r="P1731" s="943"/>
      <c r="Q1731" s="943"/>
      <c r="R1731" s="943" t="s">
        <v>1941</v>
      </c>
      <c r="S1731" s="943"/>
      <c r="T1731" s="3481" t="str">
        <f>'Part I-Project Information'!$K$40</f>
        <v>Rural</v>
      </c>
      <c r="U1731" s="3481"/>
      <c r="V1731" s="3481"/>
      <c r="W1731" s="3481"/>
      <c r="X1731" s="3481"/>
      <c r="Y1731" s="943"/>
      <c r="Z1731" s="943"/>
    </row>
    <row r="1732" spans="1:26" ht="13.5">
      <c r="A1732" s="3482"/>
      <c r="B1732" s="3492" t="s">
        <v>1942</v>
      </c>
      <c r="C1732" s="943"/>
      <c r="D1732" s="943"/>
      <c r="E1732" s="943"/>
      <c r="F1732" s="943"/>
      <c r="G1732" s="943"/>
      <c r="H1732" s="3593" t="str">
        <f>IF(I1732&lt;I1731,"Threshold not met!","")</f>
        <v/>
      </c>
      <c r="I1732" s="3592">
        <f>'Part IX A-Scoring Criteria'!I178</f>
        <v>0</v>
      </c>
      <c r="J1732" s="3592">
        <f>'Part IX A-Scoring Criteria'!J178</f>
        <v>0</v>
      </c>
      <c r="K1732" s="3376" t="str">
        <f>IF(J1732&lt;J1731,"Threshold not met!","")</f>
        <v/>
      </c>
      <c r="L1732" s="943"/>
      <c r="M1732" s="943"/>
      <c r="N1732" s="943"/>
      <c r="O1732" s="943"/>
      <c r="P1732" s="943"/>
      <c r="Q1732" s="943"/>
      <c r="R1732" s="943"/>
      <c r="S1732" s="943"/>
      <c r="T1732" s="943"/>
      <c r="U1732" s="943"/>
      <c r="V1732" s="943"/>
      <c r="W1732" s="943"/>
      <c r="X1732" s="943"/>
      <c r="Y1732" s="943"/>
      <c r="Z1732" s="943"/>
    </row>
    <row r="1733" spans="1:26" ht="13.5">
      <c r="A1733" s="3482"/>
      <c r="B1733" s="3492"/>
      <c r="C1733" s="943"/>
      <c r="D1733" s="943"/>
      <c r="E1733" s="943"/>
      <c r="F1733" s="943"/>
      <c r="G1733" s="943"/>
      <c r="H1733" s="943"/>
      <c r="I1733" s="943"/>
      <c r="J1733" s="943"/>
      <c r="K1733" s="943"/>
      <c r="L1733" s="943"/>
      <c r="M1733" s="943"/>
      <c r="N1733" s="943"/>
      <c r="O1733" s="943"/>
      <c r="P1733" s="943"/>
      <c r="Q1733" s="943"/>
      <c r="R1733" s="943"/>
      <c r="S1733" s="943"/>
      <c r="T1733" s="943"/>
      <c r="U1733" s="943"/>
      <c r="V1733" s="943"/>
      <c r="W1733" s="943"/>
      <c r="X1733" s="943"/>
      <c r="Y1733" s="943"/>
      <c r="Z1733" s="943"/>
    </row>
    <row r="1734" spans="1:26">
      <c r="A1734" s="943"/>
      <c r="B1734" s="3533" t="s">
        <v>379</v>
      </c>
      <c r="C1734" s="358" t="s">
        <v>1943</v>
      </c>
      <c r="D1734" s="3481"/>
      <c r="E1734" s="3481"/>
      <c r="F1734" s="3481"/>
      <c r="G1734" s="3481"/>
      <c r="H1734" s="3594" t="s">
        <v>379</v>
      </c>
      <c r="I1734" s="3465" t="str">
        <f>'Part IX A-Scoring Criteria'!I180</f>
        <v/>
      </c>
      <c r="J1734" s="3465" t="str">
        <f>'Part IX A-Scoring Criteria'!J180</f>
        <v/>
      </c>
      <c r="K1734" s="943"/>
      <c r="L1734" s="943"/>
      <c r="M1734" s="943"/>
      <c r="N1734" s="943"/>
      <c r="O1734" s="943"/>
      <c r="P1734" s="943"/>
      <c r="Q1734" s="943"/>
      <c r="R1734" s="943"/>
      <c r="S1734" s="943"/>
      <c r="T1734" s="943"/>
      <c r="U1734" s="943"/>
      <c r="V1734" s="943"/>
      <c r="W1734" s="943"/>
      <c r="X1734" s="943"/>
      <c r="Y1734" s="943"/>
      <c r="Z1734" s="943"/>
    </row>
    <row r="1735" spans="1:26">
      <c r="A1735" s="3475" t="s">
        <v>515</v>
      </c>
      <c r="B1735" s="3533" t="s">
        <v>389</v>
      </c>
      <c r="C1735" s="358" t="s">
        <v>1944</v>
      </c>
      <c r="D1735" s="3581"/>
      <c r="E1735" s="3581"/>
      <c r="F1735" s="3581"/>
      <c r="G1735" s="943"/>
      <c r="H1735" s="3594" t="s">
        <v>389</v>
      </c>
      <c r="I1735" s="3595" t="str">
        <f>'Part IX A-Scoring Criteria'!I181</f>
        <v/>
      </c>
      <c r="J1735" s="3595" t="str">
        <f>'Part IX A-Scoring Criteria'!J181</f>
        <v/>
      </c>
      <c r="K1735" s="943"/>
      <c r="L1735" s="943"/>
      <c r="M1735" s="943"/>
      <c r="N1735" s="943"/>
      <c r="O1735" s="943"/>
      <c r="P1735" s="943"/>
      <c r="Q1735" s="943"/>
      <c r="R1735" s="943"/>
      <c r="S1735" s="943"/>
      <c r="T1735" s="943"/>
      <c r="U1735" s="943"/>
      <c r="V1735" s="943"/>
      <c r="W1735" s="943"/>
      <c r="X1735" s="943"/>
      <c r="Y1735" s="943"/>
      <c r="Z1735" s="943"/>
    </row>
    <row r="1736" spans="1:26">
      <c r="A1736" s="3475"/>
      <c r="B1736" s="3337"/>
      <c r="C1736" s="3492" t="s">
        <v>1945</v>
      </c>
      <c r="D1736" s="3581"/>
      <c r="E1736" s="3581"/>
      <c r="F1736" s="3581"/>
      <c r="G1736" s="3570"/>
      <c r="H1736" s="943"/>
      <c r="I1736" s="3474">
        <f>'Part IX A-Scoring Criteria'!I182</f>
        <v>0</v>
      </c>
      <c r="J1736" s="3474">
        <f>'Part IX A-Scoring Criteria'!J182</f>
        <v>0</v>
      </c>
      <c r="K1736" s="943"/>
      <c r="L1736" s="943"/>
      <c r="M1736" s="3468"/>
      <c r="N1736" s="943"/>
      <c r="O1736" s="943"/>
      <c r="P1736" s="943"/>
      <c r="Q1736" s="943"/>
      <c r="R1736" s="943"/>
      <c r="S1736" s="943"/>
      <c r="T1736" s="943"/>
      <c r="U1736" s="943"/>
      <c r="V1736" s="943"/>
      <c r="W1736" s="943"/>
      <c r="X1736" s="943"/>
      <c r="Y1736" s="943"/>
      <c r="Z1736" s="943"/>
    </row>
    <row r="1737" spans="1:26">
      <c r="A1737" s="3457"/>
      <c r="B1737" s="3457"/>
      <c r="C1737" s="943"/>
      <c r="D1737" s="943"/>
      <c r="E1737" s="943"/>
      <c r="F1737" s="943"/>
      <c r="G1737" s="943"/>
      <c r="H1737" s="943"/>
      <c r="I1737" s="943"/>
      <c r="J1737" s="943"/>
      <c r="K1737" s="3468"/>
      <c r="L1737" s="3468"/>
      <c r="M1737" s="943"/>
      <c r="N1737" s="943"/>
      <c r="O1737" s="943"/>
      <c r="P1737" s="943"/>
      <c r="Q1737" s="943"/>
      <c r="R1737" s="943"/>
      <c r="S1737" s="943"/>
      <c r="T1737" s="943"/>
      <c r="U1737" s="943"/>
      <c r="V1737" s="943"/>
      <c r="W1737" s="943"/>
      <c r="X1737" s="943"/>
      <c r="Y1737" s="943"/>
      <c r="Z1737" s="943"/>
    </row>
    <row r="1738" spans="1:26" ht="15">
      <c r="A1738" s="3111"/>
      <c r="B1738" s="3523" t="s">
        <v>1810</v>
      </c>
      <c r="C1738" s="3111"/>
      <c r="D1738" s="3312"/>
      <c r="E1738" s="3312"/>
      <c r="F1738" s="3312"/>
      <c r="G1738" s="3312"/>
      <c r="H1738" s="358"/>
      <c r="I1738" s="358"/>
      <c r="J1738" s="358"/>
      <c r="K1738" s="358"/>
      <c r="L1738" s="3504"/>
      <c r="M1738" s="3310"/>
      <c r="N1738" s="3306"/>
      <c r="O1738" s="3503"/>
      <c r="P1738" s="3308"/>
      <c r="Q1738" s="3504"/>
      <c r="R1738" s="3504"/>
      <c r="S1738" s="3504"/>
      <c r="T1738" s="3504"/>
      <c r="U1738" s="3504"/>
      <c r="V1738" s="3504"/>
      <c r="W1738" s="3504"/>
      <c r="X1738" s="3504"/>
      <c r="Y1738" s="3504"/>
      <c r="Z1738" s="3504"/>
    </row>
    <row r="1739" spans="1:26" ht="409.5">
      <c r="A1739" s="3418" t="str">
        <f>'Part IX A-Scoring Criteria'!A185</f>
        <v>The Mill at Stone Valley will be located in the Cherokee County School District, which offers quality education in some of the highest-scoring schools in the state.   The property will be served by Ball Ground Elementary School (which is within walking distance), Creekland Middle School, and Creekview High School.  CCRPI score reports and attendance zone maps are offered in Tab 31.  Please note that between 2015 and 2016, the district shifted the 6th grade from Ball Ground Elementary to the middle school level; the "Grades Served" indicated above represent the current structure.
Unfortunately, the 2-mile radius around the property does not yield the minimum number of jobs for the Workforce Housing Need above.</v>
      </c>
      <c r="B1739" s="3418">
        <f>'Part IX A-Scoring Criteria'!B185</f>
        <v>0</v>
      </c>
      <c r="C1739" s="3418">
        <f>'Part IX A-Scoring Criteria'!C185</f>
        <v>0</v>
      </c>
      <c r="D1739" s="3418">
        <f>'Part IX A-Scoring Criteria'!D185</f>
        <v>0</v>
      </c>
      <c r="E1739" s="3418">
        <f>'Part IX A-Scoring Criteria'!E185</f>
        <v>0</v>
      </c>
      <c r="F1739" s="3418">
        <f>'Part IX A-Scoring Criteria'!F185</f>
        <v>0</v>
      </c>
      <c r="G1739" s="3418">
        <f>'Part IX A-Scoring Criteria'!G185</f>
        <v>0</v>
      </c>
      <c r="H1739" s="3418">
        <f>'Part IX A-Scoring Criteria'!H185</f>
        <v>0</v>
      </c>
      <c r="I1739" s="3418">
        <f>'Part IX A-Scoring Criteria'!I185</f>
        <v>0</v>
      </c>
      <c r="J1739" s="3418">
        <f>'Part IX A-Scoring Criteria'!J185</f>
        <v>0</v>
      </c>
      <c r="K1739" s="3418">
        <f>'Part IX A-Scoring Criteria'!K185</f>
        <v>0</v>
      </c>
      <c r="L1739" s="3418">
        <f>'Part IX A-Scoring Criteria'!L185</f>
        <v>0</v>
      </c>
      <c r="M1739" s="3418">
        <f>'Part IX A-Scoring Criteria'!M185</f>
        <v>0</v>
      </c>
      <c r="N1739" s="3418">
        <f>'Part IX A-Scoring Criteria'!N185</f>
        <v>0</v>
      </c>
      <c r="O1739" s="3418">
        <f>'Part IX A-Scoring Criteria'!O185</f>
        <v>0</v>
      </c>
      <c r="P1739" s="3418">
        <f>'Part IX A-Scoring Criteria'!P185</f>
        <v>0</v>
      </c>
      <c r="Q1739" s="3512"/>
      <c r="R1739" s="3504"/>
      <c r="S1739" s="3504"/>
      <c r="T1739" s="3504"/>
      <c r="U1739" s="3504"/>
      <c r="V1739" s="3504"/>
      <c r="W1739" s="3504"/>
      <c r="X1739" s="3504"/>
      <c r="Y1739" s="3504"/>
      <c r="Z1739" s="3504"/>
    </row>
    <row r="1740" spans="1:26" ht="15">
      <c r="A1740" s="3111"/>
      <c r="B1740" s="3419" t="s">
        <v>1276</v>
      </c>
      <c r="C1740" s="3111"/>
      <c r="D1740" s="3419"/>
      <c r="E1740" s="3421"/>
      <c r="F1740" s="3421"/>
      <c r="G1740" s="3421"/>
      <c r="H1740" s="3421"/>
      <c r="I1740" s="3421"/>
      <c r="J1740" s="3421"/>
      <c r="K1740" s="3421"/>
      <c r="L1740" s="3421"/>
      <c r="M1740" s="3421"/>
      <c r="N1740" s="3539"/>
      <c r="O1740" s="3510"/>
      <c r="P1740" s="3319"/>
      <c r="Q1740" s="3535"/>
      <c r="R1740" s="3504"/>
      <c r="S1740" s="3504"/>
      <c r="T1740" s="3504"/>
      <c r="U1740" s="3504"/>
      <c r="V1740" s="3504"/>
      <c r="W1740" s="3504"/>
      <c r="X1740" s="3504"/>
      <c r="Y1740" s="3504"/>
      <c r="Z1740" s="3504"/>
    </row>
    <row r="1741" spans="1:26" ht="15.75">
      <c r="A1741" s="3418">
        <f>'Part IX A-Scoring Criteria'!A187</f>
        <v>0</v>
      </c>
      <c r="B1741" s="3418">
        <f>'Part IX A-Scoring Criteria'!B187</f>
        <v>0</v>
      </c>
      <c r="C1741" s="3418">
        <f>'Part IX A-Scoring Criteria'!C187</f>
        <v>0</v>
      </c>
      <c r="D1741" s="3418">
        <f>'Part IX A-Scoring Criteria'!D187</f>
        <v>0</v>
      </c>
      <c r="E1741" s="3418">
        <f>'Part IX A-Scoring Criteria'!E187</f>
        <v>0</v>
      </c>
      <c r="F1741" s="3418">
        <f>'Part IX A-Scoring Criteria'!F187</f>
        <v>0</v>
      </c>
      <c r="G1741" s="3418">
        <f>'Part IX A-Scoring Criteria'!G187</f>
        <v>0</v>
      </c>
      <c r="H1741" s="3418">
        <f>'Part IX A-Scoring Criteria'!H187</f>
        <v>0</v>
      </c>
      <c r="I1741" s="3418">
        <f>'Part IX A-Scoring Criteria'!I187</f>
        <v>0</v>
      </c>
      <c r="J1741" s="3418">
        <f>'Part IX A-Scoring Criteria'!J187</f>
        <v>0</v>
      </c>
      <c r="K1741" s="3418">
        <f>'Part IX A-Scoring Criteria'!K187</f>
        <v>0</v>
      </c>
      <c r="L1741" s="3418">
        <f>'Part IX A-Scoring Criteria'!L187</f>
        <v>0</v>
      </c>
      <c r="M1741" s="3418">
        <f>'Part IX A-Scoring Criteria'!M187</f>
        <v>0</v>
      </c>
      <c r="N1741" s="3418">
        <f>'Part IX A-Scoring Criteria'!N187</f>
        <v>0</v>
      </c>
      <c r="O1741" s="3418">
        <f>'Part IX A-Scoring Criteria'!O187</f>
        <v>0</v>
      </c>
      <c r="P1741" s="3418">
        <f>'Part IX A-Scoring Criteria'!P187</f>
        <v>0</v>
      </c>
      <c r="Q1741" s="3512"/>
      <c r="R1741" s="3504"/>
      <c r="S1741" s="3504"/>
      <c r="T1741" s="3504"/>
      <c r="U1741" s="3504"/>
      <c r="V1741" s="3504"/>
      <c r="W1741" s="3504"/>
      <c r="X1741" s="3504"/>
      <c r="Y1741" s="3504"/>
      <c r="Z1741" s="3504"/>
    </row>
    <row r="1742" spans="1:26" ht="15">
      <c r="A1742" s="3111"/>
      <c r="B1742" s="3504"/>
      <c r="C1742" s="3421"/>
      <c r="D1742" s="3421"/>
      <c r="E1742" s="3421"/>
      <c r="F1742" s="3421"/>
      <c r="G1742" s="3421"/>
      <c r="H1742" s="3421"/>
      <c r="I1742" s="3421"/>
      <c r="J1742" s="3421"/>
      <c r="K1742" s="3421"/>
      <c r="L1742" s="3421"/>
      <c r="M1742" s="3421"/>
      <c r="N1742" s="3539"/>
      <c r="O1742" s="3510"/>
      <c r="P1742" s="3319"/>
      <c r="Q1742" s="3504"/>
      <c r="R1742" s="3504"/>
      <c r="S1742" s="3504"/>
      <c r="T1742" s="3504"/>
      <c r="U1742" s="3504"/>
      <c r="V1742" s="3504"/>
      <c r="W1742" s="3504"/>
      <c r="X1742" s="3504"/>
      <c r="Y1742" s="3504"/>
      <c r="Z1742" s="3504"/>
    </row>
    <row r="1743" spans="1:26" ht="15">
      <c r="A1743" s="3505" t="s">
        <v>173</v>
      </c>
      <c r="B1743" s="3506" t="s">
        <v>1946</v>
      </c>
      <c r="C1743" s="3522"/>
      <c r="D1743" s="3523"/>
      <c r="E1743" s="3523"/>
      <c r="F1743" s="3522"/>
      <c r="G1743" s="3522"/>
      <c r="H1743" s="3355" t="s">
        <v>1947</v>
      </c>
      <c r="I1743" s="3596"/>
      <c r="J1743" s="3596"/>
      <c r="K1743" s="3416"/>
      <c r="L1743" s="3416"/>
      <c r="M1743" s="3319">
        <v>7</v>
      </c>
      <c r="N1743" s="3310"/>
      <c r="O1743" s="3503">
        <f>'Part IX A-Scoring Criteria'!O189</f>
        <v>0</v>
      </c>
      <c r="P1743" s="3503">
        <f>'Part IX A-Scoring Criteria'!P189</f>
        <v>0</v>
      </c>
      <c r="Q1743" s="3319" t="s">
        <v>834</v>
      </c>
      <c r="R1743" s="3504"/>
      <c r="S1743" s="3522"/>
      <c r="T1743" s="3522"/>
      <c r="U1743" s="3522"/>
      <c r="V1743" s="3522"/>
      <c r="W1743" s="3522"/>
      <c r="X1743" s="3522"/>
      <c r="Y1743" s="3522"/>
      <c r="Z1743" s="3522"/>
    </row>
    <row r="1744" spans="1:26" ht="18.75">
      <c r="A1744" s="3457"/>
      <c r="B1744" s="3492"/>
      <c r="D1744" s="3468"/>
      <c r="E1744" s="3492"/>
      <c r="G1744" s="3597"/>
      <c r="H1744" s="3492"/>
      <c r="I1744" s="3354"/>
      <c r="K1744" s="3354"/>
      <c r="R1744" s="3571"/>
      <c r="S1744" s="3571"/>
    </row>
    <row r="1745" spans="1:26" ht="15">
      <c r="A1745" s="3319"/>
      <c r="B1745" s="3326" t="s">
        <v>4831</v>
      </c>
      <c r="C1745" s="3326"/>
      <c r="D1745" s="3326"/>
      <c r="E1745" s="3113" t="s">
        <v>1949</v>
      </c>
      <c r="F1745" s="3326"/>
      <c r="G1745" s="3326"/>
      <c r="H1745" s="3326"/>
      <c r="I1745" s="3326"/>
      <c r="J1745" s="3326"/>
      <c r="K1745" s="3326"/>
      <c r="L1745" s="3326"/>
      <c r="M1745" s="3326"/>
      <c r="N1745" s="3326"/>
      <c r="O1745" s="3326"/>
      <c r="P1745" s="3326"/>
      <c r="Q1745" s="3504"/>
      <c r="R1745" s="3504"/>
      <c r="S1745" s="3504"/>
      <c r="T1745" s="3504"/>
      <c r="U1745" s="3504"/>
      <c r="V1745" s="3504"/>
      <c r="W1745" s="3504"/>
      <c r="X1745" s="3504"/>
      <c r="Y1745" s="3504"/>
      <c r="Z1745" s="3504"/>
    </row>
    <row r="1746" spans="1:26" ht="15">
      <c r="A1746" s="3319"/>
      <c r="B1746" s="3504"/>
      <c r="C1746" s="3326"/>
      <c r="D1746" s="3326"/>
      <c r="E1746" s="3326"/>
      <c r="F1746" s="3326"/>
      <c r="G1746" s="3326"/>
      <c r="H1746" s="3326"/>
      <c r="I1746" s="3326"/>
      <c r="J1746" s="3326"/>
      <c r="K1746" s="3468" t="s">
        <v>437</v>
      </c>
      <c r="L1746" s="3468" t="s">
        <v>437</v>
      </c>
      <c r="M1746" s="3504"/>
      <c r="N1746" s="3481"/>
      <c r="O1746" s="3504"/>
      <c r="P1746" s="3481"/>
      <c r="Q1746" s="3504"/>
      <c r="R1746" s="3504"/>
      <c r="S1746" s="3504"/>
      <c r="T1746" s="3504"/>
      <c r="U1746" s="3504"/>
      <c r="V1746" s="3504"/>
      <c r="W1746" s="3504"/>
      <c r="X1746" s="3504"/>
      <c r="Y1746" s="3504"/>
      <c r="Z1746" s="3504"/>
    </row>
    <row r="1747" spans="1:26" ht="12.75" customHeight="1">
      <c r="A1747" s="3435"/>
      <c r="B1747" s="3469" t="s">
        <v>1359</v>
      </c>
      <c r="C1747" s="3418" t="s">
        <v>1950</v>
      </c>
      <c r="D1747" s="3418"/>
      <c r="E1747" s="3418"/>
      <c r="F1747" s="3418"/>
      <c r="G1747" s="3418"/>
      <c r="H1747" s="3418"/>
      <c r="I1747" s="3418"/>
      <c r="J1747" s="3469" t="s">
        <v>1359</v>
      </c>
      <c r="K1747" s="3424">
        <f>'Part IX A-Scoring Criteria'!K193</f>
        <v>0</v>
      </c>
      <c r="L1747" s="3424">
        <f>'Part IX A-Scoring Criteria'!L193</f>
        <v>0</v>
      </c>
      <c r="M1747" s="3598" t="str">
        <f>'Part IX A-Scoring Criteria'!M193</f>
        <v>&lt;Enter page nbr(s) from Plan&gt;</v>
      </c>
      <c r="N1747" s="3598">
        <f>'Part IX A-Scoring Criteria'!N193</f>
        <v>0</v>
      </c>
      <c r="O1747" s="3598">
        <f>'Part IX A-Scoring Criteria'!O193</f>
        <v>0</v>
      </c>
      <c r="P1747" s="3598">
        <f>'Part IX A-Scoring Criteria'!P193</f>
        <v>0</v>
      </c>
      <c r="Q1747" s="3435"/>
      <c r="R1747" s="3435"/>
      <c r="S1747" s="3435"/>
      <c r="T1747" s="3435"/>
      <c r="U1747" s="3435"/>
      <c r="V1747" s="3435"/>
      <c r="W1747" s="3435"/>
      <c r="X1747" s="3435"/>
      <c r="Y1747" s="3435"/>
      <c r="Z1747" s="3435"/>
    </row>
    <row r="1748" spans="1:26" ht="15">
      <c r="A1748" s="3308"/>
      <c r="B1748" s="3459"/>
      <c r="C1748" s="3418"/>
      <c r="D1748" s="3418"/>
      <c r="E1748" s="3418"/>
      <c r="F1748" s="3418"/>
      <c r="G1748" s="3418"/>
      <c r="H1748" s="3418"/>
      <c r="I1748" s="3418"/>
      <c r="J1748" s="3504"/>
      <c r="K1748" s="3599"/>
      <c r="L1748" s="3599"/>
      <c r="M1748" s="3504"/>
      <c r="N1748" s="3504"/>
      <c r="O1748" s="3504"/>
      <c r="P1748" s="3504"/>
      <c r="Q1748" s="3504"/>
      <c r="R1748" s="3504"/>
      <c r="S1748" s="3504"/>
      <c r="T1748" s="3504"/>
      <c r="U1748" s="3504"/>
      <c r="V1748" s="3504"/>
      <c r="W1748" s="3504"/>
      <c r="X1748" s="3504"/>
      <c r="Y1748" s="3504"/>
      <c r="Z1748" s="3504"/>
    </row>
    <row r="1749" spans="1:26" ht="15" customHeight="1">
      <c r="A1749" s="3308"/>
      <c r="B1749" s="3469" t="s">
        <v>1361</v>
      </c>
      <c r="C1749" s="3418" t="s">
        <v>4832</v>
      </c>
      <c r="D1749" s="3418"/>
      <c r="E1749" s="3418"/>
      <c r="F1749" s="3418"/>
      <c r="G1749" s="3418"/>
      <c r="H1749" s="3504"/>
      <c r="I1749" s="3504"/>
      <c r="J1749" s="3459" t="s">
        <v>1361</v>
      </c>
      <c r="K1749" s="3424">
        <f>'Part IX A-Scoring Criteria'!K195</f>
        <v>0</v>
      </c>
      <c r="L1749" s="3424">
        <f>'Part IX A-Scoring Criteria'!L195</f>
        <v>0</v>
      </c>
      <c r="M1749" s="3598" t="str">
        <f>'Part IX A-Scoring Criteria'!M195</f>
        <v>&lt;Enter page nbr(s) from Plan&gt;</v>
      </c>
      <c r="N1749" s="3598">
        <f>'Part IX A-Scoring Criteria'!N195</f>
        <v>0</v>
      </c>
      <c r="O1749" s="3598">
        <f>'Part IX A-Scoring Criteria'!O195</f>
        <v>0</v>
      </c>
      <c r="P1749" s="3598">
        <f>'Part IX A-Scoring Criteria'!P195</f>
        <v>0</v>
      </c>
      <c r="Q1749" s="3504"/>
      <c r="R1749" s="3504"/>
      <c r="S1749" s="3504"/>
      <c r="T1749" s="3504"/>
      <c r="U1749" s="3504"/>
      <c r="V1749" s="3504"/>
      <c r="W1749" s="3504"/>
      <c r="X1749" s="3504"/>
      <c r="Y1749" s="3504"/>
      <c r="Z1749" s="3504"/>
    </row>
    <row r="1750" spans="1:26" ht="12.75" customHeight="1">
      <c r="A1750" s="3435"/>
      <c r="B1750" s="3469" t="s">
        <v>1363</v>
      </c>
      <c r="C1750" s="3443" t="s">
        <v>1953</v>
      </c>
      <c r="D1750" s="3443"/>
      <c r="E1750" s="3443"/>
      <c r="F1750" s="3443"/>
      <c r="G1750" s="3443"/>
      <c r="H1750" s="3443"/>
      <c r="I1750" s="3435"/>
      <c r="J1750" s="3469" t="s">
        <v>1363</v>
      </c>
      <c r="K1750" s="3424">
        <f>'Part IX A-Scoring Criteria'!K196</f>
        <v>0</v>
      </c>
      <c r="L1750" s="3424">
        <f>'Part IX A-Scoring Criteria'!L196</f>
        <v>0</v>
      </c>
      <c r="M1750" s="3598" t="str">
        <f>'Part IX A-Scoring Criteria'!M196</f>
        <v>&lt;Enter page nbr(s) from Plan&gt;</v>
      </c>
      <c r="N1750" s="3598">
        <f>'Part IX A-Scoring Criteria'!N196</f>
        <v>0</v>
      </c>
      <c r="O1750" s="3598">
        <f>'Part IX A-Scoring Criteria'!O196</f>
        <v>0</v>
      </c>
      <c r="P1750" s="3598">
        <f>'Part IX A-Scoring Criteria'!P196</f>
        <v>0</v>
      </c>
      <c r="Q1750" s="3435"/>
      <c r="R1750" s="3435"/>
      <c r="S1750" s="3435"/>
      <c r="T1750" s="3435"/>
      <c r="U1750" s="3435"/>
      <c r="V1750" s="3435"/>
      <c r="W1750" s="3435"/>
      <c r="X1750" s="3435"/>
      <c r="Y1750" s="3435"/>
      <c r="Z1750" s="3435"/>
    </row>
    <row r="1751" spans="1:26" ht="12.75" customHeight="1">
      <c r="A1751" s="3435"/>
      <c r="B1751" s="3469" t="s">
        <v>1921</v>
      </c>
      <c r="C1751" s="3519" t="s">
        <v>1954</v>
      </c>
      <c r="D1751" s="3443"/>
      <c r="E1751" s="3443"/>
      <c r="F1751" s="3443"/>
      <c r="G1751" s="3443"/>
      <c r="H1751" s="3443"/>
      <c r="I1751" s="3435"/>
      <c r="J1751" s="3469" t="s">
        <v>1921</v>
      </c>
      <c r="K1751" s="3424">
        <f>'Part IX A-Scoring Criteria'!K197</f>
        <v>0</v>
      </c>
      <c r="L1751" s="3424">
        <f>'Part IX A-Scoring Criteria'!L197</f>
        <v>0</v>
      </c>
      <c r="M1751" s="3598" t="str">
        <f>'Part IX A-Scoring Criteria'!M197</f>
        <v>&lt;Enter page nbr(s) from Plan&gt;</v>
      </c>
      <c r="N1751" s="3598">
        <f>'Part IX A-Scoring Criteria'!N197</f>
        <v>0</v>
      </c>
      <c r="O1751" s="3598">
        <f>'Part IX A-Scoring Criteria'!O197</f>
        <v>0</v>
      </c>
      <c r="P1751" s="3598">
        <f>'Part IX A-Scoring Criteria'!P197</f>
        <v>0</v>
      </c>
      <c r="Q1751" s="3435"/>
      <c r="R1751" s="3435"/>
      <c r="S1751" s="3435"/>
      <c r="T1751" s="3435"/>
      <c r="U1751" s="3435"/>
      <c r="V1751" s="3435"/>
      <c r="W1751" s="3435"/>
      <c r="X1751" s="3435"/>
      <c r="Y1751" s="3435"/>
      <c r="Z1751" s="3435"/>
    </row>
    <row r="1752" spans="1:26">
      <c r="A1752" s="3435"/>
      <c r="B1752" s="3469"/>
      <c r="C1752" s="3435"/>
      <c r="D1752" s="3443" t="s">
        <v>1955</v>
      </c>
      <c r="E1752" s="3443"/>
      <c r="F1752" s="3435"/>
      <c r="G1752" s="3435"/>
      <c r="H1752" s="3443"/>
      <c r="I1752" s="3435"/>
      <c r="J1752" s="3469"/>
      <c r="K1752" s="3424">
        <f>'Part IX A-Scoring Criteria'!K198</f>
        <v>0</v>
      </c>
      <c r="L1752" s="3424">
        <f>'Part IX A-Scoring Criteria'!L198</f>
        <v>0</v>
      </c>
      <c r="M1752" s="3435"/>
      <c r="N1752" s="3435"/>
      <c r="O1752" s="3435"/>
      <c r="P1752" s="3435"/>
      <c r="Q1752" s="3435"/>
      <c r="R1752" s="3435"/>
      <c r="S1752" s="3435"/>
      <c r="T1752" s="3435"/>
      <c r="U1752" s="3435"/>
      <c r="V1752" s="3435"/>
      <c r="W1752" s="3435"/>
      <c r="X1752" s="3435"/>
      <c r="Y1752" s="3435"/>
      <c r="Z1752" s="3435"/>
    </row>
    <row r="1753" spans="1:26" ht="12.75" customHeight="1">
      <c r="A1753" s="3435"/>
      <c r="B1753" s="3469" t="s">
        <v>1922</v>
      </c>
      <c r="C1753" s="3443" t="s">
        <v>1956</v>
      </c>
      <c r="D1753" s="3443"/>
      <c r="E1753" s="3443"/>
      <c r="F1753" s="3443"/>
      <c r="G1753" s="3443"/>
      <c r="H1753" s="3443"/>
      <c r="I1753" s="3435"/>
      <c r="J1753" s="3469" t="s">
        <v>1922</v>
      </c>
      <c r="K1753" s="3424">
        <f>'Part IX A-Scoring Criteria'!K199</f>
        <v>0</v>
      </c>
      <c r="L1753" s="3424">
        <f>'Part IX A-Scoring Criteria'!L199</f>
        <v>0</v>
      </c>
      <c r="M1753" s="3598" t="str">
        <f>'Part IX A-Scoring Criteria'!M199</f>
        <v>&lt;Enter page nbr(s) from Plan&gt;</v>
      </c>
      <c r="N1753" s="3598">
        <f>'Part IX A-Scoring Criteria'!N199</f>
        <v>0</v>
      </c>
      <c r="O1753" s="3598">
        <f>'Part IX A-Scoring Criteria'!O199</f>
        <v>0</v>
      </c>
      <c r="P1753" s="3598">
        <f>'Part IX A-Scoring Criteria'!P199</f>
        <v>0</v>
      </c>
      <c r="Q1753" s="3435"/>
      <c r="R1753" s="3435"/>
      <c r="S1753" s="3435"/>
      <c r="T1753" s="3435"/>
      <c r="U1753" s="3435"/>
      <c r="V1753" s="3435"/>
      <c r="W1753" s="3435"/>
      <c r="X1753" s="3435"/>
      <c r="Y1753" s="3435"/>
      <c r="Z1753" s="3435"/>
    </row>
    <row r="1754" spans="1:26" ht="12.75" customHeight="1">
      <c r="A1754" s="3435"/>
      <c r="B1754" s="3469" t="s">
        <v>1924</v>
      </c>
      <c r="C1754" s="3443" t="s">
        <v>1957</v>
      </c>
      <c r="D1754" s="3443"/>
      <c r="E1754" s="3443"/>
      <c r="F1754" s="3443"/>
      <c r="G1754" s="3443"/>
      <c r="H1754" s="3435"/>
      <c r="I1754" s="3435"/>
      <c r="J1754" s="3469" t="s">
        <v>1924</v>
      </c>
      <c r="K1754" s="3424">
        <f>'Part IX A-Scoring Criteria'!K200</f>
        <v>0</v>
      </c>
      <c r="L1754" s="3424">
        <f>'Part IX A-Scoring Criteria'!L200</f>
        <v>0</v>
      </c>
      <c r="M1754" s="3598" t="str">
        <f>'Part IX A-Scoring Criteria'!M200</f>
        <v>&lt;Enter page nbr(s) from Plan&gt;</v>
      </c>
      <c r="N1754" s="3598">
        <f>'Part IX A-Scoring Criteria'!N200</f>
        <v>0</v>
      </c>
      <c r="O1754" s="3598">
        <f>'Part IX A-Scoring Criteria'!O200</f>
        <v>0</v>
      </c>
      <c r="P1754" s="3598">
        <f>'Part IX A-Scoring Criteria'!P200</f>
        <v>0</v>
      </c>
      <c r="Q1754" s="3435"/>
      <c r="R1754" s="3435"/>
      <c r="S1754" s="3435"/>
      <c r="T1754" s="3435"/>
      <c r="U1754" s="3435"/>
      <c r="V1754" s="3435"/>
      <c r="W1754" s="3435"/>
      <c r="X1754" s="3435"/>
      <c r="Y1754" s="3435"/>
      <c r="Z1754" s="3435"/>
    </row>
    <row r="1755" spans="1:26">
      <c r="A1755" s="3435"/>
      <c r="B1755" s="3469" t="s">
        <v>1958</v>
      </c>
      <c r="C1755" s="3443" t="s">
        <v>1959</v>
      </c>
      <c r="D1755" s="3443"/>
      <c r="E1755" s="3443"/>
      <c r="F1755" s="3443"/>
      <c r="G1755" s="3435"/>
      <c r="H1755" s="3435"/>
      <c r="I1755" s="3435"/>
      <c r="J1755" s="3469" t="s">
        <v>1958</v>
      </c>
      <c r="K1755" s="3424">
        <f>'Part IX A-Scoring Criteria'!K201</f>
        <v>0</v>
      </c>
      <c r="L1755" s="3424">
        <f>'Part IX A-Scoring Criteria'!L201</f>
        <v>0</v>
      </c>
      <c r="M1755" s="3435"/>
      <c r="N1755" s="3435"/>
      <c r="O1755" s="3435"/>
      <c r="P1755" s="3435"/>
      <c r="Q1755" s="3435"/>
      <c r="R1755" s="3435"/>
      <c r="S1755" s="3435"/>
      <c r="T1755" s="3435"/>
      <c r="U1755" s="3435"/>
      <c r="V1755" s="3435"/>
      <c r="W1755" s="3435"/>
      <c r="X1755" s="3435"/>
      <c r="Y1755" s="3435"/>
      <c r="Z1755" s="3435"/>
    </row>
    <row r="1756" spans="1:26">
      <c r="A1756" s="3435"/>
      <c r="B1756" s="3469"/>
      <c r="C1756" s="3443"/>
      <c r="D1756" s="3443" t="s">
        <v>1960</v>
      </c>
      <c r="E1756" s="3443"/>
      <c r="F1756" s="3600">
        <f>'Part IX A-Scoring Criteria'!F202</f>
        <v>0</v>
      </c>
      <c r="G1756" s="3600">
        <f>'Part IX A-Scoring Criteria'!G202</f>
        <v>0</v>
      </c>
      <c r="H1756" s="3435"/>
      <c r="I1756" s="3443" t="s">
        <v>1961</v>
      </c>
      <c r="J1756" s="3435"/>
      <c r="K1756" s="3600">
        <f>'Part IX A-Scoring Criteria'!K202</f>
        <v>0</v>
      </c>
      <c r="L1756" s="3600">
        <f>'Part IX A-Scoring Criteria'!L202</f>
        <v>0</v>
      </c>
      <c r="M1756" s="3435"/>
      <c r="N1756" s="3435"/>
      <c r="O1756" s="3435"/>
      <c r="P1756" s="3435"/>
      <c r="Q1756" s="3435"/>
      <c r="R1756" s="3435"/>
      <c r="S1756" s="3435"/>
      <c r="T1756" s="3435"/>
      <c r="U1756" s="3435"/>
      <c r="V1756" s="3435"/>
      <c r="W1756" s="3435"/>
      <c r="X1756" s="3435"/>
      <c r="Y1756" s="3435"/>
      <c r="Z1756" s="3435"/>
    </row>
    <row r="1757" spans="1:26">
      <c r="A1757" s="3435"/>
      <c r="B1757" s="3469" t="s">
        <v>1962</v>
      </c>
      <c r="C1757" s="3443" t="s">
        <v>4833</v>
      </c>
      <c r="D1757" s="3443"/>
      <c r="E1757" s="3443"/>
      <c r="F1757" s="3443"/>
      <c r="G1757" s="3435"/>
      <c r="H1757" s="3435"/>
      <c r="I1757" s="3435"/>
      <c r="J1757" s="3469" t="s">
        <v>1962</v>
      </c>
      <c r="K1757" s="3424">
        <f>'Part IX A-Scoring Criteria'!K203</f>
        <v>0</v>
      </c>
      <c r="L1757" s="3424">
        <f>'Part IX A-Scoring Criteria'!L203</f>
        <v>0</v>
      </c>
      <c r="M1757" s="3435"/>
      <c r="N1757" s="3435"/>
      <c r="O1757" s="3435"/>
      <c r="P1757" s="3435"/>
      <c r="Q1757" s="3435"/>
      <c r="R1757" s="3435"/>
      <c r="S1757" s="3435"/>
      <c r="T1757" s="3435"/>
      <c r="U1757" s="3435"/>
      <c r="V1757" s="3435"/>
      <c r="W1757" s="3435"/>
      <c r="X1757" s="3435"/>
      <c r="Y1757" s="3435"/>
      <c r="Z1757" s="3435"/>
    </row>
    <row r="1758" spans="1:26">
      <c r="A1758" s="3457"/>
      <c r="B1758" s="3492"/>
      <c r="D1758" s="3468"/>
      <c r="E1758" s="3492"/>
      <c r="G1758" s="3597"/>
      <c r="H1758" s="3492"/>
      <c r="I1758" s="3354"/>
      <c r="K1758" s="3354"/>
    </row>
    <row r="1759" spans="1:26">
      <c r="B1759" s="3451" t="s">
        <v>1964</v>
      </c>
      <c r="E1759" s="3111"/>
      <c r="G1759" s="3566">
        <f>'Part IX A-Scoring Criteria'!G205</f>
        <v>0</v>
      </c>
      <c r="H1759" s="3566">
        <f>'Part IX A-Scoring Criteria'!H205</f>
        <v>0</v>
      </c>
      <c r="I1759" s="3566">
        <f>'Part IX A-Scoring Criteria'!I205</f>
        <v>0</v>
      </c>
      <c r="J1759" s="3566">
        <f>'Part IX A-Scoring Criteria'!J205</f>
        <v>0</v>
      </c>
      <c r="K1759" s="3566">
        <f>'Part IX A-Scoring Criteria'!K205</f>
        <v>0</v>
      </c>
      <c r="L1759" s="3566">
        <f>'Part IX A-Scoring Criteria'!L205</f>
        <v>0</v>
      </c>
      <c r="M1759" s="3566">
        <f>'Part IX A-Scoring Criteria'!M205</f>
        <v>0</v>
      </c>
      <c r="N1759" s="3566">
        <f>'Part IX A-Scoring Criteria'!N205</f>
        <v>0</v>
      </c>
      <c r="O1759" s="3566">
        <f>'Part IX A-Scoring Criteria'!O205</f>
        <v>0</v>
      </c>
      <c r="P1759" s="3566">
        <f>'Part IX A-Scoring Criteria'!P205</f>
        <v>0</v>
      </c>
      <c r="Q1759" s="3587"/>
    </row>
    <row r="1760" spans="1:26">
      <c r="B1760" s="3459"/>
      <c r="C1760" s="358"/>
      <c r="K1760" s="3354"/>
      <c r="M1760" s="3308"/>
      <c r="N1760" s="3308"/>
      <c r="O1760" s="3308"/>
      <c r="P1760" s="3308"/>
    </row>
    <row r="1761" spans="1:26">
      <c r="A1761" s="3337" t="s">
        <v>110</v>
      </c>
      <c r="B1761" s="3326" t="s">
        <v>1965</v>
      </c>
      <c r="M1761" s="3310">
        <v>5</v>
      </c>
      <c r="N1761" s="3457" t="s">
        <v>110</v>
      </c>
      <c r="O1761" s="3601">
        <f>'Part IX A-Scoring Criteria'!O207</f>
        <v>0</v>
      </c>
      <c r="P1761" s="3601">
        <f>'Part IX A-Scoring Criteria'!P207</f>
        <v>0</v>
      </c>
      <c r="Q1761" s="3163"/>
      <c r="X1761" s="3308"/>
      <c r="Y1761" s="3459"/>
    </row>
    <row r="1762" spans="1:26" ht="12.75" customHeight="1">
      <c r="A1762" s="3457"/>
      <c r="B1762" s="3580" t="s">
        <v>379</v>
      </c>
      <c r="C1762" s="3418" t="s">
        <v>4834</v>
      </c>
      <c r="D1762" s="3418"/>
      <c r="E1762" s="3418"/>
      <c r="F1762" s="3418"/>
      <c r="G1762" s="3418"/>
      <c r="H1762" s="3418"/>
      <c r="I1762" s="3418"/>
      <c r="J1762" s="3418"/>
      <c r="K1762" s="3418"/>
      <c r="L1762" s="3467" t="str">
        <f>IF(OR($O1762=$M1762,$O1762=0,$O1762=""),"","* * Check Score! * *")</f>
        <v/>
      </c>
      <c r="M1762" s="3473">
        <v>3</v>
      </c>
      <c r="N1762" s="3549" t="s">
        <v>379</v>
      </c>
      <c r="O1762" s="3542">
        <f>'Part IX A-Scoring Criteria'!O208</f>
        <v>0</v>
      </c>
      <c r="P1762" s="3542">
        <f>'Part IX A-Scoring Criteria'!P208</f>
        <v>0</v>
      </c>
      <c r="Q1762" s="3543" t="str">
        <f>IF(OR($O1762=$M1762,$O1762=0,$O1762=""),"","*CHECK!*")</f>
        <v/>
      </c>
      <c r="R1762" s="3108" t="s">
        <v>1806</v>
      </c>
    </row>
    <row r="1763" spans="1:26" ht="12.75" customHeight="1">
      <c r="A1763" s="3457"/>
      <c r="B1763" s="3580" t="s">
        <v>389</v>
      </c>
      <c r="C1763" s="3493" t="s">
        <v>4835</v>
      </c>
      <c r="D1763" s="3493"/>
      <c r="E1763" s="3493"/>
      <c r="F1763" s="3493"/>
      <c r="G1763" s="3493"/>
      <c r="H1763" s="3493"/>
      <c r="I1763" s="3493"/>
      <c r="J1763" s="3493"/>
      <c r="K1763" s="3493"/>
      <c r="L1763" s="3467" t="str">
        <f>IF(OR($O1763=$M1763,$O1763=0,$O1763=""),"","* * Check Score! * *")</f>
        <v/>
      </c>
      <c r="M1763" s="3473">
        <v>2</v>
      </c>
      <c r="N1763" s="3549" t="s">
        <v>389</v>
      </c>
      <c r="O1763" s="3542">
        <f>'Part IX A-Scoring Criteria'!O209</f>
        <v>0</v>
      </c>
      <c r="P1763" s="3542">
        <f>'Part IX A-Scoring Criteria'!P209</f>
        <v>0</v>
      </c>
      <c r="Q1763" s="3543" t="str">
        <f>IF(OR($O1763=$M1763,$O1763=0,$O1763=""),"","*CHECK!*")</f>
        <v/>
      </c>
      <c r="R1763" s="3108" t="s">
        <v>1806</v>
      </c>
    </row>
    <row r="1764" spans="1:26">
      <c r="A1764" s="3457"/>
      <c r="B1764" s="3492"/>
      <c r="C1764" s="3492" t="s">
        <v>1968</v>
      </c>
      <c r="E1764" s="3492" t="str">
        <f>'Part I-Project Information'!$N$39</f>
        <v>No</v>
      </c>
      <c r="G1764" s="3492" t="s">
        <v>1969</v>
      </c>
      <c r="I1764" s="3602" t="str">
        <f>'Part I-Project Information'!$O$38</f>
        <v>0901.00</v>
      </c>
      <c r="J1764" s="3602"/>
      <c r="K1764" s="3354" t="s">
        <v>1970</v>
      </c>
      <c r="M1764" s="3354" t="str">
        <f>'Part IV-A-Uses of Funds'!$H$152</f>
        <v>&lt;&lt;Select&gt;&gt;</v>
      </c>
    </row>
    <row r="1765" spans="1:26">
      <c r="A1765" s="3457"/>
      <c r="B1765" s="3492"/>
      <c r="D1765" s="3468"/>
      <c r="E1765" s="3492"/>
      <c r="G1765" s="3354"/>
      <c r="K1765" s="3354"/>
      <c r="L1765" s="3354"/>
    </row>
    <row r="1766" spans="1:26">
      <c r="A1766" s="3337" t="s">
        <v>121</v>
      </c>
      <c r="B1766" s="3326" t="s">
        <v>1971</v>
      </c>
      <c r="D1766" s="3111"/>
      <c r="K1766" s="3342"/>
      <c r="L1766" s="3467" t="str">
        <f>IF(OR($O1766=$M1766,$O1766=0,$O1766=""),"","* * Check Score! * *")</f>
        <v/>
      </c>
      <c r="M1766" s="3310">
        <v>2</v>
      </c>
      <c r="N1766" s="3457" t="s">
        <v>121</v>
      </c>
      <c r="O1766" s="3503">
        <f>'Part IX A-Scoring Criteria'!O212</f>
        <v>0</v>
      </c>
      <c r="P1766" s="3503">
        <f>'Part IX A-Scoring Criteria'!P212</f>
        <v>0</v>
      </c>
      <c r="Q1766" s="3543" t="str">
        <f>IF(OR($O1766=$M1766,$O1766=0,$O1766=""),"","*CHECK!*")</f>
        <v/>
      </c>
      <c r="R1766" s="3108" t="s">
        <v>1806</v>
      </c>
    </row>
    <row r="1767" spans="1:26" ht="18.75">
      <c r="A1767" s="3337"/>
      <c r="B1767" s="358" t="s">
        <v>1815</v>
      </c>
      <c r="C1767" s="3504"/>
      <c r="D1767" s="358"/>
      <c r="E1767" s="358"/>
      <c r="F1767" s="3319"/>
      <c r="G1767" s="3504"/>
      <c r="H1767" s="943"/>
      <c r="I1767" s="3504"/>
      <c r="J1767" s="3415" t="str">
        <f>'Part I-Project Information'!$H$100</f>
        <v>Rural</v>
      </c>
      <c r="K1767" s="3354"/>
      <c r="L1767" s="3504"/>
      <c r="M1767" s="3504"/>
      <c r="N1767" s="3504"/>
      <c r="O1767" s="3504"/>
      <c r="P1767" s="3504"/>
      <c r="Q1767" s="3504"/>
      <c r="R1767" s="3504"/>
      <c r="S1767" s="3504"/>
      <c r="T1767" s="3467" t="str">
        <f>IF(OR($O1766=$M1766,$O1766=0,$O1766=""),"","* * Check Score! * *")</f>
        <v/>
      </c>
      <c r="U1767" s="3504"/>
      <c r="V1767" s="3571"/>
      <c r="W1767" s="3571"/>
      <c r="X1767" s="3504"/>
      <c r="Y1767" s="3504"/>
      <c r="Z1767" s="3504"/>
    </row>
    <row r="1768" spans="1:26" ht="18.75">
      <c r="A1768" s="3466"/>
      <c r="B1768" s="358" t="s">
        <v>1972</v>
      </c>
      <c r="C1768" s="3504"/>
      <c r="D1768" s="3504"/>
      <c r="E1768" s="3504"/>
      <c r="F1768" s="3504"/>
      <c r="G1768" s="3504"/>
      <c r="H1768" s="3504"/>
      <c r="I1768" s="3504"/>
      <c r="J1768" s="3383">
        <f>'Part IX A-Scoring Criteria'!J214</f>
        <v>0</v>
      </c>
      <c r="K1768" s="3383">
        <f>'Part IX A-Scoring Criteria'!K214</f>
        <v>0</v>
      </c>
      <c r="L1768" s="3383">
        <f>'Part IX A-Scoring Criteria'!L214</f>
        <v>0</v>
      </c>
      <c r="M1768" s="3504"/>
      <c r="N1768" s="3504"/>
      <c r="O1768" s="3504"/>
      <c r="P1768" s="3504"/>
      <c r="Q1768" s="3504"/>
      <c r="R1768" s="3504"/>
      <c r="S1768" s="3504"/>
      <c r="T1768" s="3504"/>
      <c r="U1768" s="3504"/>
      <c r="V1768" s="3571"/>
      <c r="W1768" s="3571"/>
      <c r="X1768" s="3504"/>
      <c r="Y1768" s="3504"/>
      <c r="Z1768" s="3504"/>
    </row>
    <row r="1769" spans="1:26" ht="18.75">
      <c r="A1769" s="3466"/>
      <c r="B1769" s="3492" t="s">
        <v>1973</v>
      </c>
      <c r="C1769" s="3504"/>
      <c r="D1769" s="3504"/>
      <c r="E1769" s="3504"/>
      <c r="F1769" s="3504"/>
      <c r="G1769" s="3504"/>
      <c r="H1769" s="3504"/>
      <c r="I1769" s="3593" t="str">
        <f>IF($J$215="Government", "Additional documentation required - see QAP.","")</f>
        <v/>
      </c>
      <c r="J1769" s="3481" t="str">
        <f>'Part IX A-Scoring Criteria'!J215</f>
        <v>&lt;Select unrelated 3rd party type&gt;</v>
      </c>
      <c r="K1769" s="3481">
        <f>'Part IX A-Scoring Criteria'!K215</f>
        <v>0</v>
      </c>
      <c r="L1769" s="3481">
        <f>'Part IX A-Scoring Criteria'!L215</f>
        <v>0</v>
      </c>
      <c r="M1769" s="3443" t="s">
        <v>1975</v>
      </c>
      <c r="N1769" s="3504"/>
      <c r="O1769" s="3504"/>
      <c r="P1769" s="3504"/>
      <c r="Q1769" s="3504"/>
      <c r="R1769" s="3504"/>
      <c r="S1769" s="3504"/>
      <c r="T1769" s="3504"/>
      <c r="U1769" s="3504"/>
      <c r="V1769" s="3571"/>
      <c r="W1769" s="3571"/>
      <c r="X1769" s="3504"/>
      <c r="Y1769" s="3504"/>
      <c r="Z1769" s="3504"/>
    </row>
    <row r="1770" spans="1:26" ht="18.75">
      <c r="A1770" s="3397"/>
      <c r="B1770" s="3492" t="s">
        <v>1976</v>
      </c>
      <c r="F1770" s="3435"/>
      <c r="G1770" s="3435"/>
      <c r="H1770" s="3435"/>
      <c r="L1770" s="3451">
        <f>'Part IX A-Scoring Criteria'!L216</f>
        <v>0</v>
      </c>
      <c r="M1770" s="3603">
        <f>'Part IX A-Scoring Criteria'!M216</f>
        <v>0</v>
      </c>
      <c r="N1770" s="3603">
        <f>'Part IX A-Scoring Criteria'!N216</f>
        <v>0</v>
      </c>
      <c r="O1770" s="3603">
        <f>'Part IX A-Scoring Criteria'!O216</f>
        <v>0</v>
      </c>
      <c r="P1770" s="3603">
        <f>'Part IX A-Scoring Criteria'!P216</f>
        <v>0</v>
      </c>
      <c r="V1770" s="3571"/>
      <c r="W1770" s="3571"/>
    </row>
    <row r="1771" spans="1:26" ht="18.75">
      <c r="A1771" s="3397"/>
      <c r="B1771" s="3443" t="s">
        <v>1977</v>
      </c>
      <c r="G1771" s="3443"/>
      <c r="J1771" s="3604">
        <f>'Part IX A-Scoring Criteria'!J217</f>
        <v>0</v>
      </c>
      <c r="K1771" s="3605" t="s">
        <v>1978</v>
      </c>
      <c r="L1771" s="3435"/>
      <c r="N1771" s="3306"/>
      <c r="O1771" s="3308"/>
      <c r="P1771" s="3308"/>
      <c r="V1771" s="3571"/>
      <c r="W1771" s="3571"/>
    </row>
    <row r="1772" spans="1:26" ht="18.75" customHeight="1">
      <c r="A1772" s="3606" t="s">
        <v>1979</v>
      </c>
      <c r="B1772" s="3418" t="s">
        <v>1980</v>
      </c>
      <c r="C1772" s="3418"/>
      <c r="D1772" s="3189">
        <f>'Part IX A-Scoring Criteria'!D218</f>
        <v>0</v>
      </c>
      <c r="E1772" s="3189">
        <f>'Part IX A-Scoring Criteria'!E218</f>
        <v>0</v>
      </c>
      <c r="F1772" s="3189">
        <f>'Part IX A-Scoring Criteria'!F218</f>
        <v>0</v>
      </c>
      <c r="G1772" s="3189">
        <f>'Part IX A-Scoring Criteria'!G218</f>
        <v>0</v>
      </c>
      <c r="H1772" s="3189">
        <f>'Part IX A-Scoring Criteria'!H218</f>
        <v>0</v>
      </c>
      <c r="I1772" s="3189">
        <f>'Part IX A-Scoring Criteria'!I218</f>
        <v>0</v>
      </c>
      <c r="J1772" s="3189">
        <f>'Part IX A-Scoring Criteria'!J218</f>
        <v>0</v>
      </c>
      <c r="K1772" s="3189">
        <f>'Part IX A-Scoring Criteria'!K218</f>
        <v>0</v>
      </c>
      <c r="L1772" s="3189">
        <f>'Part IX A-Scoring Criteria'!L218</f>
        <v>0</v>
      </c>
      <c r="M1772" s="3189">
        <f>'Part IX A-Scoring Criteria'!M218</f>
        <v>0</v>
      </c>
      <c r="N1772" s="3189">
        <f>'Part IX A-Scoring Criteria'!N218</f>
        <v>0</v>
      </c>
      <c r="O1772" s="3189">
        <f>'Part IX A-Scoring Criteria'!O218</f>
        <v>0</v>
      </c>
      <c r="P1772" s="3189">
        <f>'Part IX A-Scoring Criteria'!P218</f>
        <v>0</v>
      </c>
      <c r="Q1772" s="3512"/>
      <c r="V1772" s="3571"/>
      <c r="W1772" s="3571"/>
    </row>
    <row r="1773" spans="1:26" ht="18.75" customHeight="1">
      <c r="A1773" s="3606"/>
      <c r="B1773" s="3418" t="s">
        <v>1981</v>
      </c>
      <c r="C1773" s="3418"/>
      <c r="D1773" s="3189">
        <f>'Part IX A-Scoring Criteria'!D219</f>
        <v>0</v>
      </c>
      <c r="E1773" s="3189">
        <f>'Part IX A-Scoring Criteria'!E219</f>
        <v>0</v>
      </c>
      <c r="F1773" s="3189">
        <f>'Part IX A-Scoring Criteria'!F219</f>
        <v>0</v>
      </c>
      <c r="G1773" s="3189">
        <f>'Part IX A-Scoring Criteria'!G219</f>
        <v>0</v>
      </c>
      <c r="H1773" s="3189">
        <f>'Part IX A-Scoring Criteria'!H219</f>
        <v>0</v>
      </c>
      <c r="I1773" s="3189">
        <f>'Part IX A-Scoring Criteria'!I219</f>
        <v>0</v>
      </c>
      <c r="J1773" s="3189">
        <f>'Part IX A-Scoring Criteria'!J219</f>
        <v>0</v>
      </c>
      <c r="K1773" s="3189">
        <f>'Part IX A-Scoring Criteria'!K219</f>
        <v>0</v>
      </c>
      <c r="L1773" s="3189">
        <f>'Part IX A-Scoring Criteria'!L219</f>
        <v>0</v>
      </c>
      <c r="M1773" s="3189">
        <f>'Part IX A-Scoring Criteria'!M219</f>
        <v>0</v>
      </c>
      <c r="N1773" s="3189">
        <f>'Part IX A-Scoring Criteria'!N219</f>
        <v>0</v>
      </c>
      <c r="O1773" s="3189">
        <f>'Part IX A-Scoring Criteria'!O219</f>
        <v>0</v>
      </c>
      <c r="P1773" s="3189">
        <f>'Part IX A-Scoring Criteria'!P219</f>
        <v>0</v>
      </c>
      <c r="Q1773" s="3512"/>
      <c r="V1773" s="3571"/>
      <c r="W1773" s="3571"/>
    </row>
    <row r="1774" spans="1:26" ht="18.75" customHeight="1">
      <c r="A1774" s="3606"/>
      <c r="B1774" s="3274" t="s">
        <v>1982</v>
      </c>
      <c r="C1774" s="3274"/>
      <c r="D1774" s="3189">
        <f>'Part IX A-Scoring Criteria'!D220</f>
        <v>0</v>
      </c>
      <c r="E1774" s="3189">
        <f>'Part IX A-Scoring Criteria'!E220</f>
        <v>0</v>
      </c>
      <c r="F1774" s="3189">
        <f>'Part IX A-Scoring Criteria'!F220</f>
        <v>0</v>
      </c>
      <c r="G1774" s="3189">
        <f>'Part IX A-Scoring Criteria'!G220</f>
        <v>0</v>
      </c>
      <c r="H1774" s="3189">
        <f>'Part IX A-Scoring Criteria'!H220</f>
        <v>0</v>
      </c>
      <c r="I1774" s="3189">
        <f>'Part IX A-Scoring Criteria'!I220</f>
        <v>0</v>
      </c>
      <c r="J1774" s="3189">
        <f>'Part IX A-Scoring Criteria'!J220</f>
        <v>0</v>
      </c>
      <c r="K1774" s="3189">
        <f>'Part IX A-Scoring Criteria'!K220</f>
        <v>0</v>
      </c>
      <c r="L1774" s="3189">
        <f>'Part IX A-Scoring Criteria'!L220</f>
        <v>0</v>
      </c>
      <c r="M1774" s="3189">
        <f>'Part IX A-Scoring Criteria'!M220</f>
        <v>0</v>
      </c>
      <c r="N1774" s="3189">
        <f>'Part IX A-Scoring Criteria'!N220</f>
        <v>0</v>
      </c>
      <c r="O1774" s="3189">
        <f>'Part IX A-Scoring Criteria'!O220</f>
        <v>0</v>
      </c>
      <c r="P1774" s="3189">
        <f>'Part IX A-Scoring Criteria'!P220</f>
        <v>0</v>
      </c>
      <c r="Q1774" s="3512"/>
      <c r="V1774" s="3571"/>
      <c r="W1774" s="3571"/>
    </row>
    <row r="1775" spans="1:26" ht="18.75">
      <c r="B1775" s="358" t="s">
        <v>1983</v>
      </c>
      <c r="G1775" s="358" t="s">
        <v>1984</v>
      </c>
      <c r="H1775" s="358"/>
      <c r="J1775" s="3607">
        <f>'Part IX A-Scoring Criteria'!J221</f>
        <v>0</v>
      </c>
      <c r="K1775" s="3607">
        <f>'Part IX A-Scoring Criteria'!K221</f>
        <v>0</v>
      </c>
      <c r="L1775" s="3608">
        <f>'Part IX A-Scoring Criteria'!L221</f>
        <v>0</v>
      </c>
      <c r="M1775" s="3608">
        <f>'Part IX A-Scoring Criteria'!M221</f>
        <v>0</v>
      </c>
      <c r="N1775" s="3306"/>
      <c r="O1775" s="3308"/>
      <c r="P1775" s="3308"/>
      <c r="V1775" s="3571"/>
      <c r="W1775" s="3571"/>
    </row>
    <row r="1776" spans="1:26" ht="18.75">
      <c r="A1776" s="3111"/>
      <c r="B1776" s="3504"/>
      <c r="C1776" s="358" t="s">
        <v>4615</v>
      </c>
      <c r="D1776" s="3421"/>
      <c r="E1776" s="3504"/>
      <c r="F1776" s="3504"/>
      <c r="G1776" s="3608">
        <f>'Part IV-A-Uses of Funds'!$G$132</f>
        <v>13885091</v>
      </c>
      <c r="H1776" s="3608"/>
      <c r="I1776" s="3504"/>
      <c r="J1776" s="3609">
        <f>'Part IX A-Scoring Criteria'!J222</f>
        <v>0</v>
      </c>
      <c r="K1776" s="3609">
        <f>'Part IX A-Scoring Criteria'!K222</f>
        <v>0</v>
      </c>
      <c r="L1776" s="3609">
        <f>'Part IX A-Scoring Criteria'!L222</f>
        <v>0</v>
      </c>
      <c r="M1776" s="3609">
        <f>'Part IX A-Scoring Criteria'!M222</f>
        <v>0</v>
      </c>
      <c r="N1776" s="3504"/>
      <c r="O1776" s="3504"/>
      <c r="P1776" s="3504"/>
      <c r="Q1776" s="3504"/>
      <c r="R1776" s="3504"/>
      <c r="S1776" s="3504"/>
      <c r="T1776" s="3504"/>
      <c r="U1776" s="3504"/>
      <c r="V1776" s="3571"/>
      <c r="W1776" s="3571"/>
      <c r="X1776" s="3504"/>
      <c r="Y1776" s="3504"/>
      <c r="Z1776" s="3504"/>
    </row>
    <row r="1777" spans="1:26" ht="15">
      <c r="A1777" s="3111"/>
      <c r="B1777" s="3523" t="s">
        <v>1810</v>
      </c>
      <c r="C1777" s="3111"/>
      <c r="D1777" s="3312"/>
      <c r="E1777" s="3312"/>
      <c r="F1777" s="3312"/>
      <c r="G1777" s="3312"/>
      <c r="H1777" s="358"/>
      <c r="I1777" s="358"/>
      <c r="J1777" s="358"/>
      <c r="K1777" s="358"/>
      <c r="L1777" s="3522"/>
      <c r="M1777" s="3310"/>
      <c r="N1777" s="3310"/>
      <c r="O1777" s="3503"/>
      <c r="P1777" s="3319"/>
      <c r="Q1777" s="3522"/>
      <c r="R1777" s="3522"/>
      <c r="S1777" s="3522"/>
      <c r="T1777" s="3522"/>
      <c r="U1777" s="3522"/>
      <c r="V1777" s="3522"/>
      <c r="W1777" s="3522"/>
      <c r="X1777" s="3522"/>
      <c r="Y1777" s="3522"/>
      <c r="Z1777" s="3522"/>
    </row>
    <row r="1778" spans="1:26" ht="191.25">
      <c r="A1778" s="3418" t="str">
        <f>'Part IX A-Scoring Criteria'!A224</f>
        <v>The Mill at Stone Valley is not in a Community Revitalization Area, and as a Stable Community (see below) is ineligible regardless.  Therefore this section is intentionally left blank.</v>
      </c>
      <c r="B1778" s="3418">
        <f>'Part IX A-Scoring Criteria'!B224</f>
        <v>0</v>
      </c>
      <c r="C1778" s="3418">
        <f>'Part IX A-Scoring Criteria'!C224</f>
        <v>0</v>
      </c>
      <c r="D1778" s="3418">
        <f>'Part IX A-Scoring Criteria'!D224</f>
        <v>0</v>
      </c>
      <c r="E1778" s="3418">
        <f>'Part IX A-Scoring Criteria'!E224</f>
        <v>0</v>
      </c>
      <c r="F1778" s="3418">
        <f>'Part IX A-Scoring Criteria'!F224</f>
        <v>0</v>
      </c>
      <c r="G1778" s="3418">
        <f>'Part IX A-Scoring Criteria'!G224</f>
        <v>0</v>
      </c>
      <c r="H1778" s="3418">
        <f>'Part IX A-Scoring Criteria'!H224</f>
        <v>0</v>
      </c>
      <c r="I1778" s="3418">
        <f>'Part IX A-Scoring Criteria'!I224</f>
        <v>0</v>
      </c>
      <c r="J1778" s="3418">
        <f>'Part IX A-Scoring Criteria'!J224</f>
        <v>0</v>
      </c>
      <c r="K1778" s="3418">
        <f>'Part IX A-Scoring Criteria'!K224</f>
        <v>0</v>
      </c>
      <c r="L1778" s="3418">
        <f>'Part IX A-Scoring Criteria'!L224</f>
        <v>0</v>
      </c>
      <c r="M1778" s="3418">
        <f>'Part IX A-Scoring Criteria'!M224</f>
        <v>0</v>
      </c>
      <c r="N1778" s="3418">
        <f>'Part IX A-Scoring Criteria'!N224</f>
        <v>0</v>
      </c>
      <c r="O1778" s="3418">
        <f>'Part IX A-Scoring Criteria'!O224</f>
        <v>0</v>
      </c>
      <c r="P1778" s="3418">
        <f>'Part IX A-Scoring Criteria'!P224</f>
        <v>0</v>
      </c>
      <c r="Q1778" s="3512"/>
      <c r="R1778" s="3504"/>
      <c r="S1778" s="3504"/>
      <c r="T1778" s="3504"/>
      <c r="U1778" s="3504"/>
      <c r="V1778" s="3504"/>
      <c r="W1778" s="3504"/>
      <c r="X1778" s="3504"/>
      <c r="Y1778" s="3504"/>
      <c r="Z1778" s="3504"/>
    </row>
    <row r="1779" spans="1:26" ht="15">
      <c r="A1779" s="3111"/>
      <c r="B1779" s="3382" t="s">
        <v>1276</v>
      </c>
      <c r="C1779" s="3111"/>
      <c r="D1779" s="3382"/>
      <c r="E1779" s="3348"/>
      <c r="F1779" s="3348"/>
      <c r="G1779" s="3348"/>
      <c r="H1779" s="3348"/>
      <c r="I1779" s="3348"/>
      <c r="J1779" s="3348"/>
      <c r="K1779" s="3348"/>
      <c r="L1779" s="3348"/>
      <c r="M1779" s="3348"/>
      <c r="N1779" s="3445"/>
      <c r="O1779" s="3324"/>
      <c r="P1779" s="3319"/>
      <c r="Q1779" s="3535"/>
      <c r="R1779" s="3522"/>
      <c r="S1779" s="3522"/>
      <c r="T1779" s="3522"/>
      <c r="U1779" s="3522"/>
      <c r="V1779" s="3522"/>
      <c r="W1779" s="3522"/>
      <c r="X1779" s="3522"/>
      <c r="Y1779" s="3522"/>
      <c r="Z1779" s="3522"/>
    </row>
    <row r="1780" spans="1:26" ht="15.75">
      <c r="A1780" s="3418">
        <f>'Part IX A-Scoring Criteria'!A226</f>
        <v>0</v>
      </c>
      <c r="B1780" s="3418">
        <f>'Part IX A-Scoring Criteria'!B226</f>
        <v>0</v>
      </c>
      <c r="C1780" s="3418">
        <f>'Part IX A-Scoring Criteria'!C226</f>
        <v>0</v>
      </c>
      <c r="D1780" s="3418">
        <f>'Part IX A-Scoring Criteria'!D226</f>
        <v>0</v>
      </c>
      <c r="E1780" s="3418">
        <f>'Part IX A-Scoring Criteria'!E226</f>
        <v>0</v>
      </c>
      <c r="F1780" s="3418">
        <f>'Part IX A-Scoring Criteria'!F226</f>
        <v>0</v>
      </c>
      <c r="G1780" s="3418">
        <f>'Part IX A-Scoring Criteria'!G226</f>
        <v>0</v>
      </c>
      <c r="H1780" s="3418">
        <f>'Part IX A-Scoring Criteria'!H226</f>
        <v>0</v>
      </c>
      <c r="I1780" s="3418">
        <f>'Part IX A-Scoring Criteria'!I226</f>
        <v>0</v>
      </c>
      <c r="J1780" s="3418">
        <f>'Part IX A-Scoring Criteria'!J226</f>
        <v>0</v>
      </c>
      <c r="K1780" s="3418">
        <f>'Part IX A-Scoring Criteria'!K226</f>
        <v>0</v>
      </c>
      <c r="L1780" s="3418">
        <f>'Part IX A-Scoring Criteria'!L226</f>
        <v>0</v>
      </c>
      <c r="M1780" s="3418">
        <f>'Part IX A-Scoring Criteria'!M226</f>
        <v>0</v>
      </c>
      <c r="N1780" s="3418">
        <f>'Part IX A-Scoring Criteria'!N226</f>
        <v>0</v>
      </c>
      <c r="O1780" s="3418">
        <f>'Part IX A-Scoring Criteria'!O226</f>
        <v>0</v>
      </c>
      <c r="P1780" s="3418">
        <f>'Part IX A-Scoring Criteria'!P226</f>
        <v>0</v>
      </c>
      <c r="Q1780" s="3512"/>
      <c r="R1780" s="3504"/>
      <c r="S1780" s="3504"/>
      <c r="T1780" s="3504"/>
      <c r="U1780" s="3504"/>
      <c r="V1780" s="3504"/>
      <c r="W1780" s="3504"/>
      <c r="X1780" s="3504"/>
      <c r="Y1780" s="3504"/>
      <c r="Z1780" s="3504"/>
    </row>
    <row r="1781" spans="1:26" ht="15">
      <c r="A1781" s="3111"/>
      <c r="B1781" s="3504"/>
      <c r="C1781" s="3421"/>
      <c r="D1781" s="3421"/>
      <c r="E1781" s="3421"/>
      <c r="F1781" s="3421"/>
      <c r="G1781" s="3421"/>
      <c r="H1781" s="3421"/>
      <c r="I1781" s="3421"/>
      <c r="J1781" s="3421"/>
      <c r="K1781" s="3421"/>
      <c r="L1781" s="3421"/>
      <c r="M1781" s="3421"/>
      <c r="N1781" s="3539"/>
      <c r="O1781" s="3510"/>
      <c r="P1781" s="3319"/>
      <c r="Q1781" s="3504"/>
      <c r="R1781" s="3504"/>
      <c r="S1781" s="3504"/>
      <c r="T1781" s="3504"/>
      <c r="U1781" s="3504"/>
      <c r="V1781" s="3504"/>
      <c r="W1781" s="3504"/>
      <c r="X1781" s="3504"/>
      <c r="Y1781" s="3504"/>
      <c r="Z1781" s="3504"/>
    </row>
    <row r="1782" spans="1:26" ht="15">
      <c r="A1782" s="3505" t="s">
        <v>182</v>
      </c>
      <c r="B1782" s="3506" t="s">
        <v>1986</v>
      </c>
      <c r="C1782" s="3421"/>
      <c r="D1782" s="3421"/>
      <c r="E1782" s="3421"/>
      <c r="F1782" s="3421"/>
      <c r="G1782" s="3421"/>
      <c r="H1782" s="3421"/>
      <c r="I1782" s="3421"/>
      <c r="J1782" s="3421"/>
      <c r="K1782" s="3450" t="s">
        <v>1292</v>
      </c>
      <c r="L1782" s="3450" t="s">
        <v>1293</v>
      </c>
      <c r="M1782" s="3319">
        <v>3</v>
      </c>
      <c r="N1782" s="3539"/>
      <c r="O1782" s="3510"/>
      <c r="P1782" s="3503">
        <f>'Part IX A-Scoring Criteria'!P228</f>
        <v>0</v>
      </c>
      <c r="Q1782" s="3319" t="s">
        <v>834</v>
      </c>
      <c r="R1782" s="3108" t="s">
        <v>1806</v>
      </c>
      <c r="S1782" s="3504"/>
      <c r="T1782" s="3504"/>
      <c r="U1782" s="3504"/>
      <c r="V1782" s="3504"/>
      <c r="W1782" s="3504"/>
      <c r="X1782" s="3504"/>
      <c r="Y1782" s="3504"/>
      <c r="Z1782" s="3504"/>
    </row>
    <row r="1783" spans="1:26" ht="15">
      <c r="A1783" s="3337"/>
      <c r="B1783" s="3451" t="s">
        <v>1987</v>
      </c>
      <c r="C1783" s="3504"/>
      <c r="D1783" s="943" t="s">
        <v>1988</v>
      </c>
      <c r="E1783" s="3504"/>
      <c r="F1783" s="3504"/>
      <c r="G1783" s="3504"/>
      <c r="H1783" s="3504"/>
      <c r="I1783" s="3504"/>
      <c r="J1783" s="3504"/>
      <c r="K1783" s="3601">
        <f>'Part IX A-Scoring Criteria'!K229</f>
        <v>0</v>
      </c>
      <c r="L1783" s="3601">
        <f>'Part IX A-Scoring Criteria'!L229</f>
        <v>0</v>
      </c>
      <c r="M1783" s="3504"/>
      <c r="N1783" s="3459" t="s">
        <v>1359</v>
      </c>
      <c r="O1783" s="3424">
        <f>'Part IX A-Scoring Criteria'!O229</f>
        <v>0</v>
      </c>
      <c r="P1783" s="3424">
        <f>'Part IX A-Scoring Criteria'!P229</f>
        <v>0</v>
      </c>
      <c r="Q1783" s="3504"/>
      <c r="R1783" s="3467"/>
      <c r="S1783" s="3504"/>
      <c r="T1783" s="3504"/>
      <c r="U1783" s="3504"/>
      <c r="V1783" s="3504"/>
      <c r="W1783" s="3504"/>
      <c r="X1783" s="3504"/>
      <c r="Y1783" s="3504"/>
      <c r="Z1783" s="3504"/>
    </row>
    <row r="1784" spans="1:26" ht="18.75">
      <c r="A1784" s="3337"/>
      <c r="B1784" s="3504"/>
      <c r="C1784" s="3504"/>
      <c r="D1784" s="943" t="s">
        <v>1989</v>
      </c>
      <c r="E1784" s="3504"/>
      <c r="F1784" s="3504"/>
      <c r="G1784" s="3504"/>
      <c r="H1784" s="3504"/>
      <c r="I1784" s="3504"/>
      <c r="J1784" s="3504"/>
      <c r="K1784" s="3601">
        <f>'Part IX A-Scoring Criteria'!K230</f>
        <v>3</v>
      </c>
      <c r="L1784" s="3601">
        <f>'Part IX A-Scoring Criteria'!L230</f>
        <v>0</v>
      </c>
      <c r="M1784" s="3504"/>
      <c r="N1784" s="3459" t="s">
        <v>1361</v>
      </c>
      <c r="O1784" s="3424">
        <f>'Part IX A-Scoring Criteria'!O230</f>
        <v>0</v>
      </c>
      <c r="P1784" s="3424">
        <f>'Part IX A-Scoring Criteria'!P230</f>
        <v>0</v>
      </c>
      <c r="Q1784" s="3504"/>
      <c r="R1784" s="3571"/>
      <c r="S1784" s="3571"/>
      <c r="T1784" s="3504"/>
      <c r="U1784" s="3504"/>
      <c r="V1784" s="3504"/>
      <c r="W1784" s="3504"/>
      <c r="X1784" s="3504"/>
      <c r="Y1784" s="3504"/>
      <c r="Z1784" s="3504"/>
    </row>
    <row r="1785" spans="1:26" ht="18.75">
      <c r="A1785" s="3337"/>
      <c r="B1785" s="3504"/>
      <c r="C1785" s="3504"/>
      <c r="D1785" s="943" t="s">
        <v>1990</v>
      </c>
      <c r="E1785" s="3504"/>
      <c r="F1785" s="3504"/>
      <c r="G1785" s="3504"/>
      <c r="H1785" s="3504"/>
      <c r="I1785" s="3504"/>
      <c r="J1785" s="3504"/>
      <c r="K1785" s="3504"/>
      <c r="L1785" s="3504"/>
      <c r="M1785" s="3504"/>
      <c r="N1785" s="3459" t="s">
        <v>1363</v>
      </c>
      <c r="O1785" s="3424">
        <f>'Part IX A-Scoring Criteria'!O231</f>
        <v>0</v>
      </c>
      <c r="P1785" s="3424">
        <f>'Part IX A-Scoring Criteria'!P231</f>
        <v>0</v>
      </c>
      <c r="Q1785" s="3504"/>
      <c r="R1785" s="3571"/>
      <c r="S1785" s="3571"/>
      <c r="T1785" s="3504"/>
      <c r="U1785" s="3504"/>
      <c r="V1785" s="3504"/>
      <c r="W1785" s="3504"/>
      <c r="X1785" s="3504"/>
      <c r="Y1785" s="3504"/>
      <c r="Z1785" s="3504"/>
    </row>
    <row r="1786" spans="1:26" ht="18.75">
      <c r="A1786" s="3337"/>
      <c r="B1786" s="3504"/>
      <c r="C1786" s="3504"/>
      <c r="D1786" s="943" t="s">
        <v>1991</v>
      </c>
      <c r="E1786" s="3504"/>
      <c r="F1786" s="3504"/>
      <c r="G1786" s="3504"/>
      <c r="H1786" s="3504"/>
      <c r="I1786" s="3504"/>
      <c r="J1786" s="3504"/>
      <c r="K1786" s="3504"/>
      <c r="L1786" s="3504"/>
      <c r="M1786" s="3504"/>
      <c r="N1786" s="3459" t="s">
        <v>1921</v>
      </c>
      <c r="O1786" s="3459"/>
      <c r="P1786" s="3424">
        <f>'Part IX A-Scoring Criteria'!P232</f>
        <v>0</v>
      </c>
      <c r="Q1786" s="3504"/>
      <c r="R1786" s="3571"/>
      <c r="S1786" s="3571"/>
      <c r="T1786" s="3504"/>
      <c r="U1786" s="3504"/>
      <c r="V1786" s="3504"/>
      <c r="W1786" s="3504"/>
      <c r="X1786" s="3504"/>
      <c r="Y1786" s="3504"/>
      <c r="Z1786" s="3504"/>
    </row>
    <row r="1787" spans="1:26" ht="18.75">
      <c r="A1787" s="3337"/>
      <c r="B1787" s="3504"/>
      <c r="C1787" s="3504"/>
      <c r="D1787" s="943" t="s">
        <v>1992</v>
      </c>
      <c r="E1787" s="3504"/>
      <c r="F1787" s="3504"/>
      <c r="G1787" s="3504"/>
      <c r="H1787" s="3504"/>
      <c r="I1787" s="3504"/>
      <c r="J1787" s="3504"/>
      <c r="K1787" s="3504"/>
      <c r="L1787" s="3504"/>
      <c r="M1787" s="3504"/>
      <c r="N1787" s="3459" t="s">
        <v>1922</v>
      </c>
      <c r="O1787" s="3424">
        <f>'Part IX A-Scoring Criteria'!O233</f>
        <v>0</v>
      </c>
      <c r="P1787" s="3424">
        <f>'Part IX A-Scoring Criteria'!P233</f>
        <v>0</v>
      </c>
      <c r="Q1787" s="3504"/>
      <c r="R1787" s="3571"/>
      <c r="S1787" s="3571"/>
      <c r="T1787" s="3504"/>
      <c r="U1787" s="3504"/>
      <c r="V1787" s="3504"/>
      <c r="W1787" s="3504"/>
      <c r="X1787" s="3504"/>
      <c r="Y1787" s="3504"/>
      <c r="Z1787" s="3504"/>
    </row>
    <row r="1788" spans="1:26" ht="15">
      <c r="A1788" s="3111"/>
      <c r="B1788" s="3504"/>
      <c r="C1788" s="3421"/>
      <c r="D1788" s="3421"/>
      <c r="E1788" s="3421"/>
      <c r="F1788" s="3421"/>
      <c r="G1788" s="3421"/>
      <c r="H1788" s="3421"/>
      <c r="I1788" s="3421"/>
      <c r="J1788" s="3421"/>
      <c r="K1788" s="3421"/>
      <c r="L1788" s="3421"/>
      <c r="M1788" s="3421"/>
      <c r="N1788" s="3539"/>
      <c r="O1788" s="3510"/>
      <c r="P1788" s="3319"/>
      <c r="Q1788" s="3504"/>
      <c r="R1788" s="3504"/>
      <c r="S1788" s="3504"/>
      <c r="T1788" s="3504"/>
      <c r="U1788" s="3504"/>
      <c r="V1788" s="3504"/>
      <c r="W1788" s="3504"/>
      <c r="X1788" s="3504"/>
      <c r="Y1788" s="3504"/>
      <c r="Z1788" s="3504"/>
    </row>
    <row r="1789" spans="1:26">
      <c r="A1789" s="3337" t="s">
        <v>110</v>
      </c>
      <c r="B1789" s="3326" t="s">
        <v>4836</v>
      </c>
      <c r="D1789" s="3111"/>
      <c r="G1789" s="3492" t="s">
        <v>1994</v>
      </c>
      <c r="Q1789" s="3163"/>
    </row>
    <row r="1790" spans="1:26">
      <c r="A1790" s="3457"/>
      <c r="B1790" s="358" t="s">
        <v>1995</v>
      </c>
      <c r="C1790" s="3111"/>
      <c r="D1790" s="358">
        <f>'Part IX A-Scoring Criteria'!D236</f>
        <v>0</v>
      </c>
      <c r="E1790" s="358">
        <f>'Part IX A-Scoring Criteria'!E236</f>
        <v>0</v>
      </c>
      <c r="F1790" s="358">
        <f>'Part IX A-Scoring Criteria'!F236</f>
        <v>0</v>
      </c>
      <c r="G1790" s="358">
        <f>'Part IX A-Scoring Criteria'!G236</f>
        <v>0</v>
      </c>
      <c r="H1790" s="358">
        <f>'Part IX A-Scoring Criteria'!H236</f>
        <v>0</v>
      </c>
      <c r="I1790" s="3354" t="s">
        <v>99</v>
      </c>
      <c r="J1790" s="358">
        <f>'Part IX A-Scoring Criteria'!J236</f>
        <v>0</v>
      </c>
      <c r="K1790" s="358">
        <f>'Part IX A-Scoring Criteria'!K236</f>
        <v>0</v>
      </c>
      <c r="L1790" s="358">
        <f>'Part IX A-Scoring Criteria'!L236</f>
        <v>0</v>
      </c>
      <c r="M1790" s="358">
        <f>'Part IX A-Scoring Criteria'!M236</f>
        <v>0</v>
      </c>
      <c r="N1790" s="358">
        <f>'Part IX A-Scoring Criteria'!N236</f>
        <v>0</v>
      </c>
      <c r="O1790" s="3111"/>
      <c r="P1790" s="3111"/>
      <c r="Q1790" s="3163"/>
      <c r="R1790" s="3111"/>
      <c r="S1790" s="3111"/>
      <c r="T1790" s="3111"/>
      <c r="U1790" s="3111"/>
      <c r="V1790" s="3111"/>
      <c r="W1790" s="3111"/>
      <c r="X1790" s="3111"/>
      <c r="Y1790" s="3111"/>
      <c r="Z1790" s="3111"/>
    </row>
    <row r="1791" spans="1:26" ht="18.75">
      <c r="A1791" s="3457"/>
      <c r="B1791" s="358" t="s">
        <v>192</v>
      </c>
      <c r="C1791" s="3111"/>
      <c r="D1791" s="358">
        <f>'Part IX A-Scoring Criteria'!D237</f>
        <v>0</v>
      </c>
      <c r="E1791" s="358">
        <f>'Part IX A-Scoring Criteria'!E237</f>
        <v>0</v>
      </c>
      <c r="F1791" s="358">
        <f>'Part IX A-Scoring Criteria'!F237</f>
        <v>0</v>
      </c>
      <c r="G1791" s="358" t="s">
        <v>49</v>
      </c>
      <c r="H1791" s="3610">
        <f>'Part IX A-Scoring Criteria'!H237</f>
        <v>0</v>
      </c>
      <c r="I1791" s="3354" t="s">
        <v>106</v>
      </c>
      <c r="J1791" s="358">
        <f>'Part IX A-Scoring Criteria'!J237</f>
        <v>0</v>
      </c>
      <c r="K1791" s="358">
        <f>'Part IX A-Scoring Criteria'!K237</f>
        <v>0</v>
      </c>
      <c r="L1791" s="358">
        <f>'Part IX A-Scoring Criteria'!L237</f>
        <v>0</v>
      </c>
      <c r="M1791" s="358">
        <f>'Part IX A-Scoring Criteria'!M237</f>
        <v>0</v>
      </c>
      <c r="N1791" s="358">
        <f>'Part IX A-Scoring Criteria'!N237</f>
        <v>0</v>
      </c>
      <c r="O1791" s="3111"/>
      <c r="P1791" s="3111"/>
      <c r="Q1791" s="3163"/>
      <c r="R1791" s="3111"/>
      <c r="S1791" s="3111"/>
      <c r="T1791" s="3111"/>
      <c r="U1791" s="3111"/>
      <c r="V1791" s="3571"/>
      <c r="W1791" s="3571"/>
      <c r="X1791" s="3111"/>
      <c r="Y1791" s="3111"/>
      <c r="Z1791" s="3111"/>
    </row>
    <row r="1792" spans="1:26">
      <c r="A1792" s="3457"/>
      <c r="C1792" s="3414"/>
      <c r="D1792" s="3414"/>
      <c r="E1792" s="3414"/>
      <c r="F1792" s="3414"/>
      <c r="G1792" s="3414"/>
      <c r="H1792" s="3414"/>
      <c r="I1792" s="3414"/>
      <c r="J1792" s="3414"/>
      <c r="K1792" s="3414"/>
      <c r="L1792" s="3414"/>
      <c r="Q1792" s="3163"/>
    </row>
    <row r="1793" spans="1:26">
      <c r="A1793" s="3457"/>
      <c r="B1793" s="3580" t="s">
        <v>379</v>
      </c>
      <c r="C1793" s="3414" t="s">
        <v>1996</v>
      </c>
      <c r="D1793" s="3443"/>
      <c r="E1793" s="3443"/>
      <c r="F1793" s="3443"/>
      <c r="G1793" s="3443"/>
      <c r="H1793" s="3443"/>
      <c r="I1793" s="3443"/>
      <c r="J1793" s="3443"/>
      <c r="K1793" s="3443"/>
      <c r="L1793" s="3443"/>
      <c r="M1793" s="3443"/>
      <c r="N1793" s="3443"/>
      <c r="O1793" s="3416" t="s">
        <v>437</v>
      </c>
      <c r="P1793" s="3416" t="s">
        <v>437</v>
      </c>
      <c r="Q1793" s="3443"/>
    </row>
    <row r="1794" spans="1:26" ht="18.75" customHeight="1">
      <c r="A1794" s="3416"/>
      <c r="B1794" s="3478"/>
      <c r="C1794" s="3383" t="s">
        <v>4837</v>
      </c>
      <c r="D1794" s="3383"/>
      <c r="E1794" s="3383"/>
      <c r="F1794" s="3383"/>
      <c r="G1794" s="3383"/>
      <c r="H1794" s="3383"/>
      <c r="I1794" s="3383"/>
      <c r="J1794" s="3383"/>
      <c r="K1794" s="3383"/>
      <c r="L1794" s="3383"/>
      <c r="M1794" s="3111"/>
      <c r="N1794" s="3530" t="s">
        <v>379</v>
      </c>
      <c r="O1794" s="3470">
        <f>'Part IX A-Scoring Criteria'!O240</f>
        <v>0</v>
      </c>
      <c r="P1794" s="3470">
        <f>'Part IX A-Scoring Criteria'!P240</f>
        <v>0</v>
      </c>
      <c r="Q1794" s="3443"/>
      <c r="S1794" s="3111"/>
      <c r="T1794" s="3111"/>
      <c r="U1794" s="3111"/>
      <c r="V1794" s="3571"/>
      <c r="W1794" s="3571"/>
      <c r="X1794" s="3111"/>
      <c r="Y1794" s="3111"/>
      <c r="Z1794" s="3111"/>
    </row>
    <row r="1795" spans="1:26" ht="18.75" customHeight="1">
      <c r="A1795" s="3457"/>
      <c r="B1795" s="3459" t="s">
        <v>1359</v>
      </c>
      <c r="C1795" s="358" t="s">
        <v>1998</v>
      </c>
      <c r="D1795" s="358">
        <f>'Part IX A-Scoring Criteria'!D241</f>
        <v>0</v>
      </c>
      <c r="E1795" s="358">
        <f>'Part IX A-Scoring Criteria'!E241</f>
        <v>0</v>
      </c>
      <c r="F1795" s="358">
        <f>'Part IX A-Scoring Criteria'!F241</f>
        <v>0</v>
      </c>
      <c r="G1795" s="358">
        <f>'Part IX A-Scoring Criteria'!G241</f>
        <v>0</v>
      </c>
      <c r="H1795" s="358">
        <f>'Part IX A-Scoring Criteria'!H241</f>
        <v>0</v>
      </c>
      <c r="I1795" s="3354" t="s">
        <v>99</v>
      </c>
      <c r="J1795" s="358">
        <f>'Part IX A-Scoring Criteria'!J241</f>
        <v>0</v>
      </c>
      <c r="K1795" s="358">
        <f>'Part IX A-Scoring Criteria'!K241</f>
        <v>0</v>
      </c>
      <c r="L1795" s="358">
        <f>'Part IX A-Scoring Criteria'!L241</f>
        <v>0</v>
      </c>
      <c r="M1795" s="358">
        <f>'Part IX A-Scoring Criteria'!M241</f>
        <v>0</v>
      </c>
      <c r="N1795" s="358">
        <f>'Part IX A-Scoring Criteria'!N241</f>
        <v>0</v>
      </c>
      <c r="O1795" s="3274" t="s">
        <v>1999</v>
      </c>
      <c r="P1795" s="3274"/>
      <c r="Q1795" s="3443"/>
      <c r="S1795" s="3111"/>
      <c r="T1795" s="3111"/>
      <c r="U1795" s="3111"/>
      <c r="V1795" s="3571"/>
      <c r="W1795" s="3571"/>
      <c r="X1795" s="3111"/>
      <c r="Y1795" s="3111"/>
      <c r="Z1795" s="3111"/>
    </row>
    <row r="1796" spans="1:26" ht="18.75">
      <c r="A1796" s="3457"/>
      <c r="B1796" s="3111"/>
      <c r="C1796" s="358" t="s">
        <v>192</v>
      </c>
      <c r="D1796" s="358">
        <f>'Part IX A-Scoring Criteria'!D242</f>
        <v>0</v>
      </c>
      <c r="E1796" s="358">
        <f>'Part IX A-Scoring Criteria'!E242</f>
        <v>0</v>
      </c>
      <c r="F1796" s="358">
        <f>'Part IX A-Scoring Criteria'!F242</f>
        <v>0</v>
      </c>
      <c r="G1796" s="358" t="s">
        <v>49</v>
      </c>
      <c r="H1796" s="3610">
        <f>'Part IX A-Scoring Criteria'!H242</f>
        <v>0</v>
      </c>
      <c r="I1796" s="3354" t="s">
        <v>106</v>
      </c>
      <c r="J1796" s="358">
        <f>'Part IX A-Scoring Criteria'!J242</f>
        <v>0</v>
      </c>
      <c r="K1796" s="358">
        <f>'Part IX A-Scoring Criteria'!K242</f>
        <v>0</v>
      </c>
      <c r="L1796" s="358">
        <f>'Part IX A-Scoring Criteria'!L242</f>
        <v>0</v>
      </c>
      <c r="M1796" s="358">
        <f>'Part IX A-Scoring Criteria'!M242</f>
        <v>0</v>
      </c>
      <c r="N1796" s="358">
        <f>'Part IX A-Scoring Criteria'!N242</f>
        <v>0</v>
      </c>
      <c r="O1796" s="3424">
        <f>'Part IX A-Scoring Criteria'!O242</f>
        <v>0</v>
      </c>
      <c r="P1796" s="3424">
        <f>'Part IX A-Scoring Criteria'!P242</f>
        <v>0</v>
      </c>
      <c r="Q1796" s="3443"/>
      <c r="S1796" s="3111"/>
      <c r="T1796" s="3111"/>
      <c r="U1796" s="3111"/>
      <c r="V1796" s="3571"/>
      <c r="W1796" s="3571"/>
      <c r="X1796" s="3111"/>
      <c r="Y1796" s="3111"/>
      <c r="Z1796" s="3111"/>
    </row>
    <row r="1797" spans="1:26" ht="18.75" customHeight="1">
      <c r="A1797" s="3457"/>
      <c r="B1797" s="3459" t="s">
        <v>1361</v>
      </c>
      <c r="C1797" s="358" t="s">
        <v>2000</v>
      </c>
      <c r="D1797" s="358">
        <f>'Part IX A-Scoring Criteria'!D243</f>
        <v>0</v>
      </c>
      <c r="E1797" s="358">
        <f>'Part IX A-Scoring Criteria'!E243</f>
        <v>0</v>
      </c>
      <c r="F1797" s="358">
        <f>'Part IX A-Scoring Criteria'!F243</f>
        <v>0</v>
      </c>
      <c r="G1797" s="358">
        <f>'Part IX A-Scoring Criteria'!G243</f>
        <v>0</v>
      </c>
      <c r="H1797" s="358">
        <f>'Part IX A-Scoring Criteria'!H243</f>
        <v>0</v>
      </c>
      <c r="I1797" s="3354" t="s">
        <v>99</v>
      </c>
      <c r="J1797" s="358">
        <f>'Part IX A-Scoring Criteria'!J243</f>
        <v>0</v>
      </c>
      <c r="K1797" s="358">
        <f>'Part IX A-Scoring Criteria'!K243</f>
        <v>0</v>
      </c>
      <c r="L1797" s="358">
        <f>'Part IX A-Scoring Criteria'!L243</f>
        <v>0</v>
      </c>
      <c r="M1797" s="358">
        <f>'Part IX A-Scoring Criteria'!M243</f>
        <v>0</v>
      </c>
      <c r="N1797" s="358">
        <f>'Part IX A-Scoring Criteria'!N243</f>
        <v>0</v>
      </c>
      <c r="O1797" s="3274" t="s">
        <v>1999</v>
      </c>
      <c r="P1797" s="3274"/>
      <c r="Q1797" s="3443"/>
      <c r="S1797" s="3111"/>
      <c r="T1797" s="3111"/>
      <c r="U1797" s="3111"/>
      <c r="V1797" s="3571"/>
      <c r="W1797" s="3571"/>
      <c r="X1797" s="3111"/>
      <c r="Y1797" s="3111"/>
      <c r="Z1797" s="3111"/>
    </row>
    <row r="1798" spans="1:26" ht="18.75">
      <c r="A1798" s="3457"/>
      <c r="B1798" s="3111"/>
      <c r="C1798" s="358" t="s">
        <v>192</v>
      </c>
      <c r="D1798" s="358">
        <f>'Part IX A-Scoring Criteria'!D244</f>
        <v>0</v>
      </c>
      <c r="E1798" s="358">
        <f>'Part IX A-Scoring Criteria'!E244</f>
        <v>0</v>
      </c>
      <c r="F1798" s="358">
        <f>'Part IX A-Scoring Criteria'!F244</f>
        <v>0</v>
      </c>
      <c r="G1798" s="358" t="s">
        <v>49</v>
      </c>
      <c r="H1798" s="3610">
        <f>'Part IX A-Scoring Criteria'!H244</f>
        <v>0</v>
      </c>
      <c r="I1798" s="3354" t="s">
        <v>106</v>
      </c>
      <c r="J1798" s="358">
        <f>'Part IX A-Scoring Criteria'!J244</f>
        <v>0</v>
      </c>
      <c r="K1798" s="358">
        <f>'Part IX A-Scoring Criteria'!K244</f>
        <v>0</v>
      </c>
      <c r="L1798" s="358">
        <f>'Part IX A-Scoring Criteria'!L244</f>
        <v>0</v>
      </c>
      <c r="M1798" s="358">
        <f>'Part IX A-Scoring Criteria'!M244</f>
        <v>0</v>
      </c>
      <c r="N1798" s="358">
        <f>'Part IX A-Scoring Criteria'!N244</f>
        <v>0</v>
      </c>
      <c r="O1798" s="3424">
        <f>'Part IX A-Scoring Criteria'!O244</f>
        <v>0</v>
      </c>
      <c r="P1798" s="3424">
        <f>'Part IX A-Scoring Criteria'!P244</f>
        <v>0</v>
      </c>
      <c r="Q1798" s="3443"/>
      <c r="S1798" s="3111"/>
      <c r="T1798" s="3111"/>
      <c r="U1798" s="3111"/>
      <c r="V1798" s="3571"/>
      <c r="W1798" s="3571"/>
      <c r="X1798" s="3111"/>
      <c r="Y1798" s="3111"/>
      <c r="Z1798" s="3111"/>
    </row>
    <row r="1799" spans="1:26">
      <c r="A1799" s="3457"/>
      <c r="B1799" s="3580" t="s">
        <v>389</v>
      </c>
      <c r="C1799" s="3414" t="s">
        <v>2001</v>
      </c>
      <c r="D1799" s="3443"/>
      <c r="E1799" s="3443"/>
      <c r="F1799" s="3443"/>
      <c r="G1799" s="3492" t="s">
        <v>1994</v>
      </c>
      <c r="H1799" s="3443"/>
      <c r="I1799" s="3443"/>
      <c r="J1799" s="3443"/>
      <c r="K1799" s="3443"/>
      <c r="L1799" s="3443"/>
      <c r="M1799" s="3443"/>
      <c r="N1799" s="3443"/>
      <c r="O1799" s="3416" t="s">
        <v>437</v>
      </c>
      <c r="P1799" s="3416" t="s">
        <v>437</v>
      </c>
      <c r="Q1799" s="3443"/>
    </row>
    <row r="1800" spans="1:26" ht="18.75" customHeight="1">
      <c r="A1800" s="3457"/>
      <c r="B1800" s="3611"/>
      <c r="C1800" s="3418" t="s">
        <v>4838</v>
      </c>
      <c r="D1800" s="3418"/>
      <c r="E1800" s="3418"/>
      <c r="F1800" s="3418"/>
      <c r="G1800" s="3418"/>
      <c r="H1800" s="3418"/>
      <c r="I1800" s="3418"/>
      <c r="J1800" s="3418"/>
      <c r="K1800" s="3418"/>
      <c r="L1800" s="3418"/>
      <c r="M1800" s="3418"/>
      <c r="N1800" s="3530" t="s">
        <v>389</v>
      </c>
      <c r="O1800" s="3470">
        <f>'Part IX A-Scoring Criteria'!O246</f>
        <v>0</v>
      </c>
      <c r="P1800" s="3470">
        <f>'Part IX A-Scoring Criteria'!P246</f>
        <v>0</v>
      </c>
      <c r="Q1800" s="3472"/>
      <c r="V1800" s="3571"/>
      <c r="W1800" s="3571"/>
    </row>
    <row r="1801" spans="1:26" ht="18.75">
      <c r="A1801" s="3457"/>
      <c r="B1801" s="3459" t="s">
        <v>1359</v>
      </c>
      <c r="C1801" s="3478" t="s">
        <v>2003</v>
      </c>
      <c r="D1801" s="3421"/>
      <c r="E1801" s="3421"/>
      <c r="F1801" s="3421"/>
      <c r="G1801" s="3421"/>
      <c r="H1801" s="3421"/>
      <c r="I1801" s="3421"/>
      <c r="J1801" s="3421"/>
      <c r="K1801" s="3421"/>
      <c r="L1801" s="3421"/>
      <c r="M1801" s="3421"/>
      <c r="N1801" s="3421"/>
      <c r="O1801" s="3421"/>
      <c r="P1801" s="3421"/>
      <c r="Q1801" s="3472"/>
      <c r="V1801" s="3571"/>
      <c r="W1801" s="3571"/>
    </row>
    <row r="1802" spans="1:26" ht="18.75">
      <c r="A1802" s="3457"/>
      <c r="B1802" s="3111"/>
      <c r="C1802" s="3418">
        <f>'Part IX A-Scoring Criteria'!C248</f>
        <v>0</v>
      </c>
      <c r="D1802" s="3418">
        <f>'Part IX A-Scoring Criteria'!D248</f>
        <v>0</v>
      </c>
      <c r="E1802" s="3418">
        <f>'Part IX A-Scoring Criteria'!E248</f>
        <v>0</v>
      </c>
      <c r="F1802" s="3418">
        <f>'Part IX A-Scoring Criteria'!F248</f>
        <v>0</v>
      </c>
      <c r="G1802" s="3418">
        <f>'Part IX A-Scoring Criteria'!G248</f>
        <v>0</v>
      </c>
      <c r="H1802" s="3418">
        <f>'Part IX A-Scoring Criteria'!H248</f>
        <v>0</v>
      </c>
      <c r="I1802" s="3418">
        <f>'Part IX A-Scoring Criteria'!I248</f>
        <v>0</v>
      </c>
      <c r="J1802" s="3418">
        <f>'Part IX A-Scoring Criteria'!J248</f>
        <v>0</v>
      </c>
      <c r="K1802" s="3418">
        <f>'Part IX A-Scoring Criteria'!K248</f>
        <v>0</v>
      </c>
      <c r="L1802" s="3418">
        <f>'Part IX A-Scoring Criteria'!L248</f>
        <v>0</v>
      </c>
      <c r="M1802" s="3418">
        <f>'Part IX A-Scoring Criteria'!M248</f>
        <v>0</v>
      </c>
      <c r="N1802" s="3418">
        <f>'Part IX A-Scoring Criteria'!N248</f>
        <v>0</v>
      </c>
      <c r="O1802" s="3418">
        <f>'Part IX A-Scoring Criteria'!O248</f>
        <v>0</v>
      </c>
      <c r="P1802" s="3418">
        <f>'Part IX A-Scoring Criteria'!P248</f>
        <v>0</v>
      </c>
      <c r="Q1802" s="3512"/>
      <c r="V1802" s="3571"/>
      <c r="W1802" s="3571"/>
    </row>
    <row r="1803" spans="1:26" ht="18.75">
      <c r="A1803" s="3457"/>
      <c r="B1803" s="3611"/>
      <c r="C1803" s="3418">
        <f>'Part IX A-Scoring Criteria'!C249</f>
        <v>0</v>
      </c>
      <c r="D1803" s="3418">
        <f>'Part IX A-Scoring Criteria'!D249</f>
        <v>0</v>
      </c>
      <c r="E1803" s="3418">
        <f>'Part IX A-Scoring Criteria'!E249</f>
        <v>0</v>
      </c>
      <c r="F1803" s="3418">
        <f>'Part IX A-Scoring Criteria'!F249</f>
        <v>0</v>
      </c>
      <c r="G1803" s="3418">
        <f>'Part IX A-Scoring Criteria'!G249</f>
        <v>0</v>
      </c>
      <c r="H1803" s="3418">
        <f>'Part IX A-Scoring Criteria'!H249</f>
        <v>0</v>
      </c>
      <c r="I1803" s="3418">
        <f>'Part IX A-Scoring Criteria'!I249</f>
        <v>0</v>
      </c>
      <c r="J1803" s="3418">
        <f>'Part IX A-Scoring Criteria'!J249</f>
        <v>0</v>
      </c>
      <c r="K1803" s="3418">
        <f>'Part IX A-Scoring Criteria'!K249</f>
        <v>0</v>
      </c>
      <c r="L1803" s="3418">
        <f>'Part IX A-Scoring Criteria'!L249</f>
        <v>0</v>
      </c>
      <c r="M1803" s="3418">
        <f>'Part IX A-Scoring Criteria'!M249</f>
        <v>0</v>
      </c>
      <c r="N1803" s="3418">
        <f>'Part IX A-Scoring Criteria'!N249</f>
        <v>0</v>
      </c>
      <c r="O1803" s="3418">
        <f>'Part IX A-Scoring Criteria'!O249</f>
        <v>0</v>
      </c>
      <c r="P1803" s="3418">
        <f>'Part IX A-Scoring Criteria'!P249</f>
        <v>0</v>
      </c>
      <c r="Q1803" s="3472"/>
      <c r="V1803" s="3571"/>
      <c r="W1803" s="3571"/>
    </row>
    <row r="1804" spans="1:26" ht="18.75">
      <c r="A1804" s="3457"/>
      <c r="B1804" s="3611"/>
      <c r="C1804" s="3418">
        <f>'Part IX A-Scoring Criteria'!C250</f>
        <v>0</v>
      </c>
      <c r="D1804" s="3418">
        <f>'Part IX A-Scoring Criteria'!D250</f>
        <v>0</v>
      </c>
      <c r="E1804" s="3418">
        <f>'Part IX A-Scoring Criteria'!E250</f>
        <v>0</v>
      </c>
      <c r="F1804" s="3418">
        <f>'Part IX A-Scoring Criteria'!F250</f>
        <v>0</v>
      </c>
      <c r="G1804" s="3418">
        <f>'Part IX A-Scoring Criteria'!G250</f>
        <v>0</v>
      </c>
      <c r="H1804" s="3418">
        <f>'Part IX A-Scoring Criteria'!H250</f>
        <v>0</v>
      </c>
      <c r="I1804" s="3418">
        <f>'Part IX A-Scoring Criteria'!I250</f>
        <v>0</v>
      </c>
      <c r="J1804" s="3418">
        <f>'Part IX A-Scoring Criteria'!J250</f>
        <v>0</v>
      </c>
      <c r="K1804" s="3418">
        <f>'Part IX A-Scoring Criteria'!K250</f>
        <v>0</v>
      </c>
      <c r="L1804" s="3418">
        <f>'Part IX A-Scoring Criteria'!L250</f>
        <v>0</v>
      </c>
      <c r="M1804" s="3418">
        <f>'Part IX A-Scoring Criteria'!M250</f>
        <v>0</v>
      </c>
      <c r="N1804" s="3418">
        <f>'Part IX A-Scoring Criteria'!N250</f>
        <v>0</v>
      </c>
      <c r="O1804" s="3418">
        <f>'Part IX A-Scoring Criteria'!O250</f>
        <v>0</v>
      </c>
      <c r="P1804" s="3418">
        <f>'Part IX A-Scoring Criteria'!P250</f>
        <v>0</v>
      </c>
      <c r="Q1804" s="3472"/>
      <c r="V1804" s="3571"/>
      <c r="W1804" s="3571"/>
    </row>
    <row r="1805" spans="1:26" ht="18.75" customHeight="1">
      <c r="A1805" s="3457"/>
      <c r="B1805" s="3459" t="s">
        <v>1361</v>
      </c>
      <c r="C1805" s="3478" t="s">
        <v>2004</v>
      </c>
      <c r="D1805" s="3421"/>
      <c r="E1805" s="3421"/>
      <c r="F1805" s="3421"/>
      <c r="G1805" s="3421"/>
      <c r="H1805" s="3421"/>
      <c r="I1805" s="3421"/>
      <c r="J1805" s="3421"/>
      <c r="K1805" s="3421"/>
      <c r="L1805" s="3418" t="s">
        <v>2005</v>
      </c>
      <c r="M1805" s="3418"/>
      <c r="N1805" s="3443" t="s">
        <v>2006</v>
      </c>
      <c r="O1805" s="3443"/>
      <c r="P1805" s="3443"/>
      <c r="Q1805" s="3472"/>
      <c r="V1805" s="3571"/>
      <c r="W1805" s="3571"/>
    </row>
    <row r="1806" spans="1:26" ht="18.75">
      <c r="A1806" s="3457"/>
      <c r="B1806" s="3611"/>
      <c r="C1806" s="3418">
        <f>'Part IX A-Scoring Criteria'!C252</f>
        <v>0</v>
      </c>
      <c r="D1806" s="3418">
        <f>'Part IX A-Scoring Criteria'!D252</f>
        <v>0</v>
      </c>
      <c r="E1806" s="3418">
        <f>'Part IX A-Scoring Criteria'!E252</f>
        <v>0</v>
      </c>
      <c r="F1806" s="3418">
        <f>'Part IX A-Scoring Criteria'!F252</f>
        <v>0</v>
      </c>
      <c r="G1806" s="3418">
        <f>'Part IX A-Scoring Criteria'!G252</f>
        <v>0</v>
      </c>
      <c r="H1806" s="3418">
        <f>'Part IX A-Scoring Criteria'!H252</f>
        <v>0</v>
      </c>
      <c r="I1806" s="3418">
        <f>'Part IX A-Scoring Criteria'!I252</f>
        <v>0</v>
      </c>
      <c r="J1806" s="3418">
        <f>'Part IX A-Scoring Criteria'!J252</f>
        <v>0</v>
      </c>
      <c r="K1806" s="3418">
        <f>'Part IX A-Scoring Criteria'!K252</f>
        <v>0</v>
      </c>
      <c r="L1806" s="3418">
        <f>'Part IX A-Scoring Criteria'!L252</f>
        <v>0</v>
      </c>
      <c r="M1806" s="3418">
        <f>'Part IX A-Scoring Criteria'!M252</f>
        <v>0</v>
      </c>
      <c r="N1806" s="3418">
        <f>'Part IX A-Scoring Criteria'!N252</f>
        <v>0</v>
      </c>
      <c r="O1806" s="3418">
        <f>'Part IX A-Scoring Criteria'!O252</f>
        <v>0</v>
      </c>
      <c r="P1806" s="3418">
        <f>'Part IX A-Scoring Criteria'!P252</f>
        <v>0</v>
      </c>
      <c r="Q1806" s="3512"/>
      <c r="V1806" s="3571"/>
      <c r="W1806" s="3571"/>
    </row>
    <row r="1807" spans="1:26" ht="18.75">
      <c r="A1807" s="3457"/>
      <c r="B1807" s="3611"/>
      <c r="C1807" s="3418">
        <f>'Part IX A-Scoring Criteria'!C253</f>
        <v>0</v>
      </c>
      <c r="D1807" s="3418">
        <f>'Part IX A-Scoring Criteria'!D253</f>
        <v>0</v>
      </c>
      <c r="E1807" s="3418">
        <f>'Part IX A-Scoring Criteria'!E253</f>
        <v>0</v>
      </c>
      <c r="F1807" s="3418">
        <f>'Part IX A-Scoring Criteria'!F253</f>
        <v>0</v>
      </c>
      <c r="G1807" s="3418">
        <f>'Part IX A-Scoring Criteria'!G253</f>
        <v>0</v>
      </c>
      <c r="H1807" s="3418">
        <f>'Part IX A-Scoring Criteria'!H253</f>
        <v>0</v>
      </c>
      <c r="I1807" s="3418">
        <f>'Part IX A-Scoring Criteria'!I253</f>
        <v>0</v>
      </c>
      <c r="J1807" s="3418">
        <f>'Part IX A-Scoring Criteria'!J253</f>
        <v>0</v>
      </c>
      <c r="K1807" s="3418">
        <f>'Part IX A-Scoring Criteria'!K253</f>
        <v>0</v>
      </c>
      <c r="L1807" s="3418">
        <f>'Part IX A-Scoring Criteria'!L253</f>
        <v>0</v>
      </c>
      <c r="M1807" s="3418">
        <f>'Part IX A-Scoring Criteria'!M253</f>
        <v>0</v>
      </c>
      <c r="N1807" s="3418">
        <f>'Part IX A-Scoring Criteria'!N253</f>
        <v>0</v>
      </c>
      <c r="O1807" s="3418">
        <f>'Part IX A-Scoring Criteria'!O253</f>
        <v>0</v>
      </c>
      <c r="P1807" s="3418">
        <f>'Part IX A-Scoring Criteria'!P253</f>
        <v>0</v>
      </c>
      <c r="Q1807" s="3472"/>
      <c r="V1807" s="3571"/>
      <c r="W1807" s="3571"/>
    </row>
    <row r="1808" spans="1:26" ht="18.75">
      <c r="A1808" s="3457"/>
      <c r="B1808" s="3611"/>
      <c r="C1808" s="3418">
        <f>'Part IX A-Scoring Criteria'!C254</f>
        <v>0</v>
      </c>
      <c r="D1808" s="3418">
        <f>'Part IX A-Scoring Criteria'!D254</f>
        <v>0</v>
      </c>
      <c r="E1808" s="3418">
        <f>'Part IX A-Scoring Criteria'!E254</f>
        <v>0</v>
      </c>
      <c r="F1808" s="3418">
        <f>'Part IX A-Scoring Criteria'!F254</f>
        <v>0</v>
      </c>
      <c r="G1808" s="3418">
        <f>'Part IX A-Scoring Criteria'!G254</f>
        <v>0</v>
      </c>
      <c r="H1808" s="3418">
        <f>'Part IX A-Scoring Criteria'!H254</f>
        <v>0</v>
      </c>
      <c r="I1808" s="3418">
        <f>'Part IX A-Scoring Criteria'!I254</f>
        <v>0</v>
      </c>
      <c r="J1808" s="3418">
        <f>'Part IX A-Scoring Criteria'!J254</f>
        <v>0</v>
      </c>
      <c r="K1808" s="3418">
        <f>'Part IX A-Scoring Criteria'!K254</f>
        <v>0</v>
      </c>
      <c r="L1808" s="3418">
        <f>'Part IX A-Scoring Criteria'!L254</f>
        <v>0</v>
      </c>
      <c r="M1808" s="3418">
        <f>'Part IX A-Scoring Criteria'!M254</f>
        <v>0</v>
      </c>
      <c r="N1808" s="3418">
        <f>'Part IX A-Scoring Criteria'!N254</f>
        <v>0</v>
      </c>
      <c r="O1808" s="3418">
        <f>'Part IX A-Scoring Criteria'!O254</f>
        <v>0</v>
      </c>
      <c r="P1808" s="3418">
        <f>'Part IX A-Scoring Criteria'!P254</f>
        <v>0</v>
      </c>
      <c r="Q1808" s="3472"/>
      <c r="V1808" s="3571"/>
      <c r="W1808" s="3571"/>
    </row>
    <row r="1809" spans="1:26">
      <c r="A1809" s="3457"/>
      <c r="B1809" s="3580" t="s">
        <v>393</v>
      </c>
      <c r="C1809" s="3414" t="s">
        <v>2007</v>
      </c>
      <c r="D1809" s="3443"/>
      <c r="E1809" s="3443"/>
      <c r="F1809" s="3443"/>
      <c r="G1809" s="3443"/>
      <c r="H1809" s="3443"/>
      <c r="I1809" s="3443"/>
      <c r="J1809" s="3443"/>
      <c r="K1809" s="3443"/>
      <c r="L1809" s="3443"/>
      <c r="M1809" s="3443"/>
      <c r="N1809" s="3443"/>
      <c r="O1809" s="3416"/>
      <c r="P1809" s="3416"/>
      <c r="Q1809" s="3443"/>
    </row>
    <row r="1810" spans="1:26" ht="18.75" customHeight="1">
      <c r="A1810" s="3457"/>
      <c r="B1810" s="3612"/>
      <c r="C1810" s="3383" t="s">
        <v>2008</v>
      </c>
      <c r="D1810" s="3383"/>
      <c r="E1810" s="3383"/>
      <c r="F1810" s="3383"/>
      <c r="G1810" s="3383"/>
      <c r="H1810" s="3383"/>
      <c r="I1810" s="3383"/>
      <c r="J1810" s="3383"/>
      <c r="K1810" s="3383"/>
      <c r="L1810" s="3383"/>
      <c r="M1810" s="3383"/>
      <c r="N1810" s="3530" t="s">
        <v>393</v>
      </c>
      <c r="O1810" s="3424">
        <f>'Part IX A-Scoring Criteria'!O256</f>
        <v>0</v>
      </c>
      <c r="P1810" s="3424">
        <f>'Part IX A-Scoring Criteria'!P256</f>
        <v>0</v>
      </c>
      <c r="Q1810" s="3472"/>
      <c r="R1810" s="3111"/>
      <c r="S1810" s="3111"/>
      <c r="T1810" s="3111"/>
      <c r="U1810" s="3111"/>
      <c r="V1810" s="3571"/>
      <c r="W1810" s="3571"/>
      <c r="X1810" s="3111"/>
      <c r="Y1810" s="3111"/>
      <c r="Z1810" s="3111"/>
    </row>
    <row r="1811" spans="1:26">
      <c r="A1811" s="3337"/>
      <c r="B1811" s="3575" t="s">
        <v>445</v>
      </c>
      <c r="C1811" s="3415" t="s">
        <v>2009</v>
      </c>
      <c r="D1811" s="3111"/>
      <c r="Q1811" s="3310"/>
    </row>
    <row r="1812" spans="1:26" ht="18.75" customHeight="1">
      <c r="A1812" s="3457"/>
      <c r="B1812" s="3612"/>
      <c r="C1812" s="3418" t="s">
        <v>2010</v>
      </c>
      <c r="D1812" s="3418"/>
      <c r="E1812" s="3418"/>
      <c r="F1812" s="3418"/>
      <c r="G1812" s="3418"/>
      <c r="H1812" s="3418"/>
      <c r="I1812" s="3418"/>
      <c r="J1812" s="3418"/>
      <c r="K1812" s="3418"/>
      <c r="L1812" s="3418"/>
      <c r="M1812" s="3418"/>
      <c r="N1812" s="3530" t="s">
        <v>445</v>
      </c>
      <c r="O1812" s="3470">
        <f>'Part IX A-Scoring Criteria'!O258</f>
        <v>0</v>
      </c>
      <c r="P1812" s="3470">
        <f>'Part IX A-Scoring Criteria'!P258</f>
        <v>0</v>
      </c>
      <c r="Q1812" s="3472"/>
      <c r="R1812" s="3111"/>
      <c r="S1812" s="3111"/>
      <c r="T1812" s="3111"/>
      <c r="U1812" s="3111"/>
      <c r="V1812" s="3571"/>
      <c r="W1812" s="3571"/>
      <c r="X1812" s="3111"/>
      <c r="Y1812" s="3111"/>
      <c r="Z1812" s="3111"/>
    </row>
    <row r="1813" spans="1:26" ht="18.75" customHeight="1">
      <c r="A1813" s="3457"/>
      <c r="B1813" s="3459" t="s">
        <v>1359</v>
      </c>
      <c r="C1813" s="3383" t="s">
        <v>2011</v>
      </c>
      <c r="D1813" s="3383"/>
      <c r="E1813" s="3383"/>
      <c r="F1813" s="3383"/>
      <c r="G1813" s="3383"/>
      <c r="H1813" s="3383"/>
      <c r="I1813" s="3383"/>
      <c r="J1813" s="3383"/>
      <c r="K1813" s="3383"/>
      <c r="L1813" s="3383"/>
      <c r="M1813" s="3383"/>
      <c r="N1813" s="3459" t="s">
        <v>1359</v>
      </c>
      <c r="O1813" s="3424">
        <f>'Part IX A-Scoring Criteria'!O259</f>
        <v>0</v>
      </c>
      <c r="P1813" s="3424">
        <f>'Part IX A-Scoring Criteria'!P259</f>
        <v>0</v>
      </c>
      <c r="Q1813" s="3472"/>
      <c r="R1813" s="3111"/>
      <c r="S1813" s="3111"/>
      <c r="T1813" s="3111"/>
      <c r="U1813" s="3111"/>
      <c r="V1813" s="3571"/>
      <c r="W1813" s="3571"/>
      <c r="X1813" s="3111"/>
      <c r="Y1813" s="3111"/>
      <c r="Z1813" s="3111"/>
    </row>
    <row r="1814" spans="1:26" ht="18.75" customHeight="1">
      <c r="A1814" s="3457"/>
      <c r="B1814" s="3459" t="s">
        <v>1361</v>
      </c>
      <c r="C1814" s="3383" t="s">
        <v>2012</v>
      </c>
      <c r="D1814" s="3383"/>
      <c r="E1814" s="3383"/>
      <c r="F1814" s="3383"/>
      <c r="G1814" s="3383"/>
      <c r="H1814" s="3383"/>
      <c r="I1814" s="3383"/>
      <c r="J1814" s="3383"/>
      <c r="K1814" s="3383"/>
      <c r="L1814" s="3383"/>
      <c r="M1814" s="3383"/>
      <c r="N1814" s="3459" t="s">
        <v>1361</v>
      </c>
      <c r="O1814" s="3424">
        <f>'Part IX A-Scoring Criteria'!O260</f>
        <v>0</v>
      </c>
      <c r="P1814" s="3424">
        <f>'Part IX A-Scoring Criteria'!P260</f>
        <v>0</v>
      </c>
      <c r="Q1814" s="3472"/>
      <c r="R1814" s="3111"/>
      <c r="S1814" s="3111"/>
      <c r="T1814" s="3111"/>
      <c r="U1814" s="3111"/>
      <c r="V1814" s="3571"/>
      <c r="W1814" s="3571"/>
      <c r="X1814" s="3111"/>
      <c r="Y1814" s="3111"/>
      <c r="Z1814" s="3111"/>
    </row>
    <row r="1815" spans="1:26" ht="18.75">
      <c r="B1815" s="3459"/>
      <c r="C1815" s="943"/>
      <c r="G1815" s="3492"/>
      <c r="L1815" s="3613"/>
      <c r="M1815" s="3613"/>
      <c r="Q1815" s="3472"/>
      <c r="V1815" s="3571"/>
      <c r="W1815" s="3571"/>
    </row>
    <row r="1816" spans="1:26">
      <c r="A1816" s="3337" t="s">
        <v>121</v>
      </c>
      <c r="B1816" s="3326" t="s">
        <v>4839</v>
      </c>
      <c r="D1816" s="3111"/>
      <c r="G1816" s="3492" t="s">
        <v>1994</v>
      </c>
      <c r="O1816" s="3416" t="s">
        <v>437</v>
      </c>
      <c r="P1816" s="3416" t="s">
        <v>437</v>
      </c>
      <c r="Q1816" s="3163"/>
    </row>
    <row r="1817" spans="1:26" ht="18.75" customHeight="1">
      <c r="A1817" s="3457"/>
      <c r="B1817" s="3580" t="s">
        <v>379</v>
      </c>
      <c r="C1817" s="3418" t="s">
        <v>2014</v>
      </c>
      <c r="D1817" s="3418"/>
      <c r="E1817" s="3418"/>
      <c r="F1817" s="3418"/>
      <c r="G1817" s="3418"/>
      <c r="H1817" s="3418"/>
      <c r="I1817" s="3418"/>
      <c r="J1817" s="3418"/>
      <c r="K1817" s="3418"/>
      <c r="L1817" s="3418"/>
      <c r="M1817" s="3614" t="s">
        <v>121</v>
      </c>
      <c r="N1817" s="3530" t="s">
        <v>379</v>
      </c>
      <c r="O1817" s="3470">
        <f>'Part IX A-Scoring Criteria'!O263</f>
        <v>0</v>
      </c>
      <c r="P1817" s="3470">
        <f>'Part IX A-Scoring Criteria'!P263</f>
        <v>0</v>
      </c>
      <c r="Q1817" s="3163"/>
      <c r="V1817" s="3571"/>
      <c r="W1817" s="3571"/>
    </row>
    <row r="1818" spans="1:26" ht="18.75">
      <c r="A1818" s="3457"/>
      <c r="B1818" s="3580" t="s">
        <v>389</v>
      </c>
      <c r="C1818" s="3354" t="s">
        <v>2015</v>
      </c>
      <c r="D1818" s="3383"/>
      <c r="E1818" s="3383"/>
      <c r="F1818" s="3383"/>
      <c r="G1818" s="3383"/>
      <c r="H1818" s="3383"/>
      <c r="I1818" s="3383"/>
      <c r="J1818" s="3383"/>
      <c r="K1818" s="3383"/>
      <c r="L1818" s="3383"/>
      <c r="M1818" s="3383"/>
      <c r="N1818" s="3530" t="s">
        <v>389</v>
      </c>
      <c r="O1818" s="3424">
        <f>'Part IX A-Scoring Criteria'!O264</f>
        <v>0</v>
      </c>
      <c r="P1818" s="3424">
        <f>'Part IX A-Scoring Criteria'!P264</f>
        <v>0</v>
      </c>
      <c r="Q1818" s="3472"/>
      <c r="R1818" s="3111"/>
      <c r="S1818" s="3111"/>
      <c r="T1818" s="3111"/>
      <c r="U1818" s="3111"/>
      <c r="V1818" s="3615"/>
      <c r="W1818" s="3615"/>
      <c r="X1818" s="3111"/>
      <c r="Y1818" s="3111"/>
      <c r="Z1818" s="3111"/>
    </row>
    <row r="1819" spans="1:26" ht="15">
      <c r="A1819" s="3111"/>
      <c r="B1819" s="3523" t="s">
        <v>1810</v>
      </c>
      <c r="C1819" s="3111"/>
      <c r="D1819" s="3312"/>
      <c r="E1819" s="3312"/>
      <c r="F1819" s="3312"/>
      <c r="G1819" s="3312"/>
      <c r="H1819" s="358"/>
      <c r="I1819" s="358"/>
      <c r="J1819" s="3504"/>
      <c r="K1819" s="3504"/>
      <c r="L1819" s="3504"/>
      <c r="M1819" s="3310"/>
      <c r="N1819" s="3306"/>
      <c r="O1819" s="3503"/>
      <c r="P1819" s="3308"/>
      <c r="Q1819" s="3504"/>
      <c r="R1819" s="3504"/>
      <c r="S1819" s="3504"/>
      <c r="T1819" s="3504"/>
      <c r="U1819" s="3504"/>
      <c r="V1819" s="3504"/>
      <c r="W1819" s="3504"/>
      <c r="X1819" s="3504"/>
      <c r="Y1819" s="3504"/>
      <c r="Z1819" s="3504"/>
    </row>
    <row r="1820" spans="1:26" ht="127.5">
      <c r="A1820" s="3189" t="str">
        <f>'Part IX A-Scoring Criteria'!A266</f>
        <v>The Mill at Stone Valley is not subject to a Community Transformation Plan.  This section is intentionally left blank.</v>
      </c>
      <c r="B1820" s="3189">
        <f>'Part IX A-Scoring Criteria'!B266</f>
        <v>0</v>
      </c>
      <c r="C1820" s="3189">
        <f>'Part IX A-Scoring Criteria'!C266</f>
        <v>0</v>
      </c>
      <c r="D1820" s="3189">
        <f>'Part IX A-Scoring Criteria'!D266</f>
        <v>0</v>
      </c>
      <c r="E1820" s="3189">
        <f>'Part IX A-Scoring Criteria'!E266</f>
        <v>0</v>
      </c>
      <c r="F1820" s="3189">
        <f>'Part IX A-Scoring Criteria'!F266</f>
        <v>0</v>
      </c>
      <c r="G1820" s="3189">
        <f>'Part IX A-Scoring Criteria'!G266</f>
        <v>0</v>
      </c>
      <c r="H1820" s="3189">
        <f>'Part IX A-Scoring Criteria'!H266</f>
        <v>0</v>
      </c>
      <c r="I1820" s="3189">
        <f>'Part IX A-Scoring Criteria'!I266</f>
        <v>0</v>
      </c>
      <c r="J1820" s="3189">
        <f>'Part IX A-Scoring Criteria'!J266</f>
        <v>0</v>
      </c>
      <c r="K1820" s="3189">
        <f>'Part IX A-Scoring Criteria'!K266</f>
        <v>0</v>
      </c>
      <c r="L1820" s="3189">
        <f>'Part IX A-Scoring Criteria'!L266</f>
        <v>0</v>
      </c>
      <c r="M1820" s="3189">
        <f>'Part IX A-Scoring Criteria'!M266</f>
        <v>0</v>
      </c>
      <c r="N1820" s="3189">
        <f>'Part IX A-Scoring Criteria'!N266</f>
        <v>0</v>
      </c>
      <c r="O1820" s="3189">
        <f>'Part IX A-Scoring Criteria'!O266</f>
        <v>0</v>
      </c>
      <c r="P1820" s="3189">
        <f>'Part IX A-Scoring Criteria'!P266</f>
        <v>0</v>
      </c>
      <c r="Q1820" s="3512"/>
      <c r="R1820" s="3504"/>
      <c r="S1820" s="3504"/>
      <c r="T1820" s="3504"/>
      <c r="U1820" s="3504"/>
      <c r="V1820" s="3504"/>
      <c r="W1820" s="3504"/>
      <c r="X1820" s="3504"/>
      <c r="Y1820" s="3504"/>
      <c r="Z1820" s="3504"/>
    </row>
    <row r="1821" spans="1:26" ht="15">
      <c r="A1821" s="3111"/>
      <c r="B1821" s="3419" t="s">
        <v>1276</v>
      </c>
      <c r="C1821" s="3111"/>
      <c r="D1821" s="3419"/>
      <c r="E1821" s="3421"/>
      <c r="F1821" s="3421"/>
      <c r="G1821" s="3421"/>
      <c r="H1821" s="3421"/>
      <c r="I1821" s="3421"/>
      <c r="J1821" s="3421"/>
      <c r="K1821" s="3421"/>
      <c r="L1821" s="3421"/>
      <c r="M1821" s="3421"/>
      <c r="N1821" s="3539"/>
      <c r="O1821" s="3510"/>
      <c r="P1821" s="3319"/>
      <c r="Q1821" s="3535"/>
      <c r="R1821" s="3504"/>
      <c r="S1821" s="3504"/>
      <c r="T1821" s="3504"/>
      <c r="U1821" s="3504"/>
      <c r="V1821" s="3504"/>
      <c r="W1821" s="3504"/>
      <c r="X1821" s="3504"/>
      <c r="Y1821" s="3504"/>
      <c r="Z1821" s="3504"/>
    </row>
    <row r="1822" spans="1:26" ht="15.75">
      <c r="A1822" s="3189">
        <f>'Part IX A-Scoring Criteria'!A268</f>
        <v>0</v>
      </c>
      <c r="B1822" s="3189">
        <f>'Part IX A-Scoring Criteria'!B268</f>
        <v>0</v>
      </c>
      <c r="C1822" s="3189">
        <f>'Part IX A-Scoring Criteria'!C268</f>
        <v>0</v>
      </c>
      <c r="D1822" s="3189">
        <f>'Part IX A-Scoring Criteria'!D268</f>
        <v>0</v>
      </c>
      <c r="E1822" s="3189">
        <f>'Part IX A-Scoring Criteria'!E268</f>
        <v>0</v>
      </c>
      <c r="F1822" s="3189">
        <f>'Part IX A-Scoring Criteria'!F268</f>
        <v>0</v>
      </c>
      <c r="G1822" s="3189">
        <f>'Part IX A-Scoring Criteria'!G268</f>
        <v>0</v>
      </c>
      <c r="H1822" s="3189">
        <f>'Part IX A-Scoring Criteria'!H268</f>
        <v>0</v>
      </c>
      <c r="I1822" s="3189">
        <f>'Part IX A-Scoring Criteria'!I268</f>
        <v>0</v>
      </c>
      <c r="J1822" s="3189">
        <f>'Part IX A-Scoring Criteria'!J268</f>
        <v>0</v>
      </c>
      <c r="K1822" s="3189">
        <f>'Part IX A-Scoring Criteria'!K268</f>
        <v>0</v>
      </c>
      <c r="L1822" s="3189">
        <f>'Part IX A-Scoring Criteria'!L268</f>
        <v>0</v>
      </c>
      <c r="M1822" s="3189">
        <f>'Part IX A-Scoring Criteria'!M268</f>
        <v>0</v>
      </c>
      <c r="N1822" s="3189">
        <f>'Part IX A-Scoring Criteria'!N268</f>
        <v>0</v>
      </c>
      <c r="O1822" s="3189">
        <f>'Part IX A-Scoring Criteria'!O268</f>
        <v>0</v>
      </c>
      <c r="P1822" s="3189">
        <f>'Part IX A-Scoring Criteria'!P268</f>
        <v>0</v>
      </c>
      <c r="Q1822" s="3512"/>
      <c r="R1822" s="3504"/>
      <c r="S1822" s="3504"/>
      <c r="T1822" s="3504"/>
      <c r="U1822" s="3504"/>
      <c r="V1822" s="3504"/>
      <c r="W1822" s="3504"/>
      <c r="X1822" s="3504"/>
      <c r="Y1822" s="3504"/>
      <c r="Z1822" s="3504"/>
    </row>
    <row r="1823" spans="1:26">
      <c r="N1823" s="3306"/>
      <c r="O1823" s="3308"/>
      <c r="P1823" s="3308"/>
    </row>
    <row r="1824" spans="1:26" ht="15">
      <c r="A1824" s="3505" t="s">
        <v>185</v>
      </c>
      <c r="B1824" s="3506" t="s">
        <v>2016</v>
      </c>
      <c r="C1824" s="3522"/>
      <c r="D1824" s="3523"/>
      <c r="E1824" s="3523"/>
      <c r="F1824" s="3522"/>
      <c r="G1824" s="3522"/>
      <c r="H1824" s="3113" t="s">
        <v>2017</v>
      </c>
      <c r="I1824" s="3522"/>
      <c r="J1824" s="3522"/>
      <c r="K1824" s="3522"/>
      <c r="L1824" s="3522"/>
      <c r="M1824" s="3319">
        <v>7</v>
      </c>
      <c r="N1824" s="3310"/>
      <c r="O1824" s="3322">
        <f>'Part IX A-Scoring Criteria'!O270</f>
        <v>5</v>
      </c>
      <c r="P1824" s="3322">
        <f>'Part IX A-Scoring Criteria'!P270</f>
        <v>0</v>
      </c>
      <c r="Q1824" s="3319" t="s">
        <v>834</v>
      </c>
      <c r="R1824" s="3504"/>
      <c r="S1824" s="3522"/>
      <c r="T1824" s="3522"/>
      <c r="U1824" s="3522"/>
      <c r="V1824" s="3522"/>
      <c r="W1824" s="3522"/>
      <c r="X1824" s="3522"/>
      <c r="Y1824" s="3522"/>
      <c r="Z1824" s="3522"/>
    </row>
    <row r="1825" spans="1:26" ht="15">
      <c r="A1825" s="3505"/>
      <c r="B1825" s="3506"/>
      <c r="C1825" s="3522"/>
      <c r="D1825" s="3523"/>
      <c r="E1825" s="3523"/>
      <c r="F1825" s="3522"/>
      <c r="G1825" s="3522"/>
      <c r="H1825" s="3113"/>
      <c r="I1825" s="3522"/>
      <c r="J1825" s="3522"/>
      <c r="K1825" s="3522"/>
      <c r="L1825" s="3522"/>
      <c r="M1825" s="3424"/>
      <c r="N1825" s="3522"/>
      <c r="O1825" s="3522"/>
      <c r="P1825" s="3522"/>
      <c r="Q1825" s="3319"/>
      <c r="R1825" s="3504"/>
      <c r="S1825" s="3522"/>
      <c r="T1825" s="3522"/>
      <c r="U1825" s="3522"/>
      <c r="V1825" s="3522"/>
      <c r="W1825" s="3522"/>
      <c r="X1825" s="3522"/>
      <c r="Y1825" s="3522"/>
      <c r="Z1825" s="3522"/>
    </row>
    <row r="1826" spans="1:26" ht="15">
      <c r="A1826" s="3616" t="s">
        <v>2018</v>
      </c>
      <c r="B1826" s="3326" t="s">
        <v>2019</v>
      </c>
      <c r="C1826" s="3522"/>
      <c r="D1826" s="3523"/>
      <c r="E1826" s="3523"/>
      <c r="F1826" s="3522"/>
      <c r="G1826" s="3522"/>
      <c r="H1826" s="3113"/>
      <c r="I1826" s="3522"/>
      <c r="J1826" s="3522"/>
      <c r="K1826" s="3522"/>
      <c r="L1826" s="3522"/>
      <c r="M1826" s="3310">
        <v>3</v>
      </c>
      <c r="N1826" s="3566" t="s">
        <v>2020</v>
      </c>
      <c r="O1826" s="3322">
        <f>'Part IX A-Scoring Criteria'!O272</f>
        <v>3</v>
      </c>
      <c r="P1826" s="3319">
        <f>'Part IX A-Scoring Criteria'!P272</f>
        <v>0</v>
      </c>
      <c r="Q1826" s="3319"/>
      <c r="R1826" s="3504"/>
      <c r="S1826" s="3522"/>
      <c r="T1826" s="3522"/>
      <c r="U1826" s="3522"/>
      <c r="V1826" s="3522"/>
      <c r="W1826" s="3522"/>
      <c r="X1826" s="3522"/>
      <c r="Y1826" s="3522"/>
      <c r="Z1826" s="3522"/>
    </row>
    <row r="1827" spans="1:26">
      <c r="A1827" s="3616"/>
      <c r="B1827" s="3312" t="s">
        <v>1815</v>
      </c>
      <c r="C1827" s="1087"/>
      <c r="D1827" s="1087"/>
      <c r="H1827" s="3326" t="str">
        <f>'Part I-Project Information'!$H$100</f>
        <v>Rural</v>
      </c>
      <c r="N1827" s="3566"/>
      <c r="O1827" s="3468" t="s">
        <v>437</v>
      </c>
      <c r="P1827" s="3468" t="s">
        <v>437</v>
      </c>
    </row>
    <row r="1828" spans="1:26" ht="12.75" customHeight="1">
      <c r="A1828" s="3616"/>
      <c r="B1828" s="3575" t="s">
        <v>379</v>
      </c>
      <c r="C1828" s="943" t="s">
        <v>2021</v>
      </c>
      <c r="M1828" s="3306"/>
      <c r="N1828" s="3566"/>
      <c r="O1828" s="3424" t="str">
        <f>'Part IX A-Scoring Criteria'!O274</f>
        <v>Yes</v>
      </c>
      <c r="P1828" s="3424">
        <f>'Part IX A-Scoring Criteria'!P274</f>
        <v>0</v>
      </c>
      <c r="Q1828" s="3617" t="str">
        <f>IF(AND(O1828="Yes",O1831="Yes"),"Only 1 or 4 can be 'Yes'!","")</f>
        <v/>
      </c>
      <c r="R1828" s="3617"/>
    </row>
    <row r="1829" spans="1:26" ht="12.75" customHeight="1">
      <c r="B1829" s="3575" t="s">
        <v>389</v>
      </c>
      <c r="C1829" s="943" t="s">
        <v>2022</v>
      </c>
      <c r="G1829" s="943" t="s">
        <v>2023</v>
      </c>
      <c r="H1829" s="3618">
        <f>'Part IX A-Scoring Criteria'!H275</f>
        <v>0.1</v>
      </c>
      <c r="I1829" s="943" t="s">
        <v>2024</v>
      </c>
      <c r="L1829" s="358" t="s">
        <v>2025</v>
      </c>
      <c r="M1829" s="3415" t="str">
        <f>IF(O1829&gt;H1829,"CHECK ACTUAL PERCENT!!!","")</f>
        <v/>
      </c>
      <c r="N1829" s="3541" t="s">
        <v>389</v>
      </c>
      <c r="O1829" s="3619">
        <f>'Part IX A-Scoring Criteria'!O275</f>
        <v>9.7799999999999998E-2</v>
      </c>
      <c r="P1829" s="3619">
        <f>'Part IX A-Scoring Criteria'!P275</f>
        <v>0</v>
      </c>
      <c r="Q1829" s="3617"/>
      <c r="R1829" s="3617"/>
    </row>
    <row r="1830" spans="1:26" ht="12.75" customHeight="1">
      <c r="B1830" s="3575" t="s">
        <v>393</v>
      </c>
      <c r="C1830" s="943" t="s">
        <v>2026</v>
      </c>
      <c r="G1830" s="943" t="s">
        <v>2027</v>
      </c>
      <c r="L1830" s="3354" t="s">
        <v>2028</v>
      </c>
      <c r="M1830" s="3111"/>
      <c r="N1830" s="3541" t="s">
        <v>393</v>
      </c>
      <c r="O1830" s="3416" t="str">
        <f>'Part IX A-Scoring Criteria'!O276</f>
        <v>Middle</v>
      </c>
      <c r="P1830" s="3416" t="str">
        <f>'Part IX A-Scoring Criteria'!P276</f>
        <v>&lt;Select&gt;</v>
      </c>
      <c r="Q1830" s="3617"/>
      <c r="R1830" s="3617"/>
    </row>
    <row r="1831" spans="1:26" ht="12.75" customHeight="1">
      <c r="A1831" s="3435"/>
      <c r="B1831" s="3580" t="s">
        <v>445</v>
      </c>
      <c r="C1831" s="3418" t="s">
        <v>4840</v>
      </c>
      <c r="D1831" s="3418"/>
      <c r="E1831" s="3418"/>
      <c r="F1831" s="3418"/>
      <c r="G1831" s="3418"/>
      <c r="H1831" s="3418"/>
      <c r="I1831" s="3418"/>
      <c r="J1831" s="3620" t="s">
        <v>2030</v>
      </c>
      <c r="K1831" s="3620" t="s">
        <v>2031</v>
      </c>
      <c r="L1831" s="3435"/>
      <c r="M1831" s="3313">
        <v>2</v>
      </c>
      <c r="N1831" s="3541" t="s">
        <v>445</v>
      </c>
      <c r="O1831" s="3470" t="str">
        <f>'Part IX A-Scoring Criteria'!O277</f>
        <v>N/a</v>
      </c>
      <c r="P1831" s="3470">
        <f>'Part IX A-Scoring Criteria'!P277</f>
        <v>0</v>
      </c>
      <c r="Q1831" s="3617"/>
      <c r="R1831" s="3617"/>
      <c r="S1831" s="3435"/>
      <c r="T1831" s="3435"/>
      <c r="U1831" s="3435"/>
      <c r="V1831" s="3435"/>
      <c r="W1831" s="3435"/>
      <c r="X1831" s="3435"/>
      <c r="Y1831" s="3435"/>
      <c r="Z1831" s="3435"/>
    </row>
    <row r="1832" spans="1:26">
      <c r="B1832" s="3576"/>
      <c r="C1832" s="3418"/>
      <c r="D1832" s="3418"/>
      <c r="E1832" s="3418"/>
      <c r="F1832" s="3418"/>
      <c r="G1832" s="3418"/>
      <c r="H1832" s="3418"/>
      <c r="I1832" s="3418"/>
      <c r="J1832" s="3620"/>
      <c r="K1832" s="3620"/>
      <c r="L1832" s="3621" t="s">
        <v>2032</v>
      </c>
      <c r="M1832" s="3621"/>
      <c r="O1832" s="3308"/>
      <c r="P1832" s="3308"/>
    </row>
    <row r="1833" spans="1:26">
      <c r="B1833" s="3576"/>
      <c r="C1833" s="3418"/>
      <c r="D1833" s="3418"/>
      <c r="E1833" s="3418"/>
      <c r="F1833" s="3418"/>
      <c r="G1833" s="3418"/>
      <c r="H1833" s="3418"/>
      <c r="I1833" s="3418"/>
      <c r="J1833" s="3622">
        <f>'Part IX A-Scoring Criteria'!J279</f>
        <v>0</v>
      </c>
      <c r="K1833" s="3623">
        <f>'Part IX A-Scoring Criteria'!K279</f>
        <v>0</v>
      </c>
      <c r="L1833" s="3624">
        <f>'Part IX A-Scoring Criteria'!L279</f>
        <v>10</v>
      </c>
      <c r="M1833" s="3625">
        <f>'Part IX A-Scoring Criteria'!M279</f>
        <v>0</v>
      </c>
      <c r="O1833" s="3308"/>
      <c r="P1833" s="3308"/>
    </row>
    <row r="1834" spans="1:26">
      <c r="A1834" s="3361" t="s">
        <v>123</v>
      </c>
      <c r="B1834" s="3575" t="s">
        <v>2033</v>
      </c>
      <c r="C1834" s="943"/>
      <c r="G1834" s="943"/>
      <c r="M1834" s="3310">
        <v>2</v>
      </c>
      <c r="N1834" s="3340" t="s">
        <v>123</v>
      </c>
      <c r="O1834" s="3322">
        <f>'Part IX A-Scoring Criteria'!O280</f>
        <v>2</v>
      </c>
      <c r="P1834" s="3322">
        <f>'Part IX A-Scoring Criteria'!P280</f>
        <v>0</v>
      </c>
    </row>
    <row r="1835" spans="1:26">
      <c r="A1835" s="3361"/>
      <c r="B1835" s="3481" t="s">
        <v>2034</v>
      </c>
      <c r="C1835" s="3481"/>
      <c r="D1835" s="3481"/>
      <c r="E1835" s="3481"/>
      <c r="F1835" s="3481"/>
      <c r="G1835" s="3481"/>
      <c r="H1835" s="3426"/>
      <c r="I1835" s="3426"/>
      <c r="N1835" s="3306"/>
      <c r="O1835" s="3416" t="str">
        <f>'Part IX A-Scoring Criteria'!O281</f>
        <v>A3</v>
      </c>
      <c r="P1835" s="3416" t="str">
        <f>'Part IX A-Scoring Criteria'!P281</f>
        <v>&lt;Select&gt;</v>
      </c>
    </row>
    <row r="1836" spans="1:26">
      <c r="A1836" s="3361" t="s">
        <v>126</v>
      </c>
      <c r="B1836" s="3575" t="s">
        <v>2035</v>
      </c>
      <c r="C1836" s="943"/>
      <c r="G1836" s="3492" t="s">
        <v>2036</v>
      </c>
      <c r="H1836" s="3626">
        <f>'Part VI-Revenues &amp; Expenses'!$O$59</f>
        <v>9</v>
      </c>
      <c r="I1836" s="3468" t="s">
        <v>2037</v>
      </c>
      <c r="J1836" s="3626">
        <f>'Part VI-Revenues &amp; Expenses'!$O$62</f>
        <v>74</v>
      </c>
      <c r="K1836" s="3468" t="s">
        <v>2038</v>
      </c>
      <c r="L1836" s="3627">
        <f>IF(J1836=0,0,H1836/J1836)</f>
        <v>0.12162162162162163</v>
      </c>
      <c r="M1836" s="3310">
        <v>2</v>
      </c>
      <c r="N1836" s="3311" t="s">
        <v>126</v>
      </c>
      <c r="O1836" s="3319">
        <f>'Part IX A-Scoring Criteria'!O282</f>
        <v>0</v>
      </c>
      <c r="P1836" s="3319">
        <f>'Part IX A-Scoring Criteria'!P282</f>
        <v>0</v>
      </c>
    </row>
    <row r="1837" spans="1:26" ht="15">
      <c r="A1837" s="3111"/>
      <c r="B1837" s="3419" t="s">
        <v>1276</v>
      </c>
      <c r="C1837" s="3111"/>
      <c r="D1837" s="3419"/>
      <c r="E1837" s="3421"/>
      <c r="F1837" s="3421"/>
      <c r="G1837" s="3421"/>
      <c r="H1837" s="3421"/>
      <c r="I1837" s="3421"/>
      <c r="J1837" s="3421"/>
      <c r="K1837" s="3421"/>
      <c r="L1837" s="3421"/>
      <c r="M1837" s="3421"/>
      <c r="N1837" s="3539"/>
      <c r="O1837" s="3510"/>
      <c r="P1837" s="3319"/>
      <c r="Q1837" s="3535"/>
      <c r="R1837" s="3504"/>
      <c r="S1837" s="3504"/>
      <c r="T1837" s="3504"/>
      <c r="U1837" s="3504"/>
      <c r="V1837" s="3504"/>
      <c r="W1837" s="3504"/>
      <c r="X1837" s="3504"/>
      <c r="Y1837" s="3504"/>
      <c r="Z1837" s="3504"/>
    </row>
    <row r="1838" spans="1:26" ht="15.75">
      <c r="A1838" s="3189">
        <f>'Part IX A-Scoring Criteria'!A284</f>
        <v>0</v>
      </c>
      <c r="B1838" s="3189">
        <f>'Part IX A-Scoring Criteria'!B284</f>
        <v>0</v>
      </c>
      <c r="C1838" s="3189">
        <f>'Part IX A-Scoring Criteria'!C284</f>
        <v>0</v>
      </c>
      <c r="D1838" s="3189">
        <f>'Part IX A-Scoring Criteria'!D284</f>
        <v>0</v>
      </c>
      <c r="E1838" s="3189">
        <f>'Part IX A-Scoring Criteria'!E284</f>
        <v>0</v>
      </c>
      <c r="F1838" s="3189">
        <f>'Part IX A-Scoring Criteria'!F284</f>
        <v>0</v>
      </c>
      <c r="G1838" s="3189">
        <f>'Part IX A-Scoring Criteria'!G284</f>
        <v>0</v>
      </c>
      <c r="H1838" s="3189">
        <f>'Part IX A-Scoring Criteria'!H284</f>
        <v>0</v>
      </c>
      <c r="I1838" s="3189">
        <f>'Part IX A-Scoring Criteria'!I284</f>
        <v>0</v>
      </c>
      <c r="J1838" s="3189">
        <f>'Part IX A-Scoring Criteria'!J284</f>
        <v>0</v>
      </c>
      <c r="K1838" s="3189">
        <f>'Part IX A-Scoring Criteria'!K284</f>
        <v>0</v>
      </c>
      <c r="L1838" s="3189">
        <f>'Part IX A-Scoring Criteria'!L284</f>
        <v>0</v>
      </c>
      <c r="M1838" s="3189">
        <f>'Part IX A-Scoring Criteria'!M284</f>
        <v>0</v>
      </c>
      <c r="N1838" s="3189">
        <f>'Part IX A-Scoring Criteria'!N284</f>
        <v>0</v>
      </c>
      <c r="O1838" s="3189">
        <f>'Part IX A-Scoring Criteria'!O284</f>
        <v>0</v>
      </c>
      <c r="P1838" s="3189">
        <f>'Part IX A-Scoring Criteria'!P284</f>
        <v>0</v>
      </c>
      <c r="Q1838" s="3512"/>
      <c r="R1838" s="3504"/>
      <c r="S1838" s="3504"/>
      <c r="T1838" s="3504"/>
      <c r="U1838" s="3504"/>
      <c r="V1838" s="3504"/>
      <c r="W1838" s="3504"/>
      <c r="X1838" s="3504"/>
      <c r="Y1838" s="3504"/>
      <c r="Z1838" s="3504"/>
    </row>
    <row r="1839" spans="1:26" ht="15">
      <c r="A1839" s="3111"/>
      <c r="B1839" s="3504"/>
      <c r="C1839" s="3504"/>
      <c r="D1839" s="358"/>
      <c r="E1839" s="358"/>
      <c r="F1839" s="3319"/>
      <c r="G1839" s="3319"/>
      <c r="H1839" s="3319"/>
      <c r="I1839" s="3319"/>
      <c r="J1839" s="3354"/>
      <c r="K1839" s="3354"/>
      <c r="L1839" s="3354"/>
      <c r="M1839" s="3416"/>
      <c r="N1839" s="3319"/>
      <c r="O1839" s="3308"/>
      <c r="P1839" s="3503"/>
      <c r="Q1839" s="3504"/>
      <c r="R1839" s="3504"/>
      <c r="S1839" s="3504"/>
      <c r="T1839" s="3504"/>
      <c r="U1839" s="3504"/>
      <c r="V1839" s="3504"/>
      <c r="W1839" s="3504"/>
      <c r="X1839" s="3504"/>
      <c r="Y1839" s="3504"/>
      <c r="Z1839" s="3504"/>
    </row>
    <row r="1840" spans="1:26" ht="15">
      <c r="A1840" s="3505" t="s">
        <v>195</v>
      </c>
      <c r="B1840" s="3506" t="s">
        <v>2039</v>
      </c>
      <c r="C1840" s="3522"/>
      <c r="D1840" s="3523"/>
      <c r="E1840" s="3523"/>
      <c r="F1840" s="3522"/>
      <c r="G1840" s="3522"/>
      <c r="H1840" s="3113"/>
      <c r="I1840" s="3628" t="s">
        <v>2040</v>
      </c>
      <c r="J1840" s="3522"/>
      <c r="K1840" s="3522"/>
      <c r="L1840" s="3522"/>
      <c r="M1840" s="3319">
        <v>10</v>
      </c>
      <c r="N1840" s="3310"/>
      <c r="O1840" s="3503">
        <f>'Part IX A-Scoring Criteria'!O286</f>
        <v>0</v>
      </c>
      <c r="P1840" s="3503">
        <f>'Part IX A-Scoring Criteria'!P286</f>
        <v>0</v>
      </c>
      <c r="Q1840" s="3319" t="s">
        <v>834</v>
      </c>
      <c r="R1840" s="3504"/>
      <c r="S1840" s="3522"/>
      <c r="T1840" s="3522"/>
      <c r="U1840" s="3522"/>
      <c r="V1840" s="3522"/>
      <c r="W1840" s="3522"/>
      <c r="X1840" s="3522"/>
      <c r="Y1840" s="3522"/>
      <c r="Z1840" s="3522"/>
    </row>
    <row r="1841" spans="1:26">
      <c r="A1841" s="3318" t="s">
        <v>110</v>
      </c>
      <c r="B1841" s="3629" t="s">
        <v>2041</v>
      </c>
      <c r="D1841" s="3478"/>
      <c r="E1841" s="3478"/>
      <c r="F1841" s="3478"/>
      <c r="G1841" s="3478"/>
      <c r="H1841" s="3478"/>
      <c r="I1841" s="3478"/>
      <c r="J1841" s="3478"/>
      <c r="K1841" s="3478"/>
      <c r="L1841" s="3478"/>
      <c r="M1841" s="3630" t="str">
        <f>IF(OR(SUM(T1841:T1842)&gt;1,SUM(U1841:U1842)&gt;1),"Only one category can be met by other means!","")</f>
        <v/>
      </c>
      <c r="N1841" s="3459" t="s">
        <v>110</v>
      </c>
      <c r="O1841" s="3424" t="str">
        <f>'Part IX A-Scoring Criteria'!O287</f>
        <v>N/a</v>
      </c>
      <c r="P1841" s="3424">
        <f>'Part IX A-Scoring Criteria'!P287</f>
        <v>0</v>
      </c>
      <c r="U1841" s="3468">
        <f>IF(L1841="Yes",1,0)</f>
        <v>0</v>
      </c>
    </row>
    <row r="1842" spans="1:26">
      <c r="A1842" s="3318" t="s">
        <v>121</v>
      </c>
      <c r="B1842" s="3629" t="s">
        <v>2042</v>
      </c>
      <c r="D1842" s="3478"/>
      <c r="L1842" s="3478"/>
      <c r="M1842" s="3630"/>
      <c r="N1842" s="3459" t="s">
        <v>121</v>
      </c>
      <c r="O1842" s="3424" t="str">
        <f>'Part IX A-Scoring Criteria'!O288</f>
        <v>N/a</v>
      </c>
      <c r="P1842" s="3424">
        <f>'Part IX A-Scoring Criteria'!P288</f>
        <v>0</v>
      </c>
      <c r="U1842" s="3468">
        <f>IF(L1842="Yes",1,0)</f>
        <v>0</v>
      </c>
    </row>
    <row r="1843" spans="1:26" ht="15">
      <c r="A1843" s="3111"/>
      <c r="B1843" s="3523" t="s">
        <v>1810</v>
      </c>
      <c r="C1843" s="3111"/>
      <c r="D1843" s="3312"/>
      <c r="E1843" s="3312"/>
      <c r="F1843" s="3312"/>
      <c r="G1843" s="3312"/>
      <c r="H1843" s="358"/>
      <c r="I1843" s="358"/>
      <c r="J1843" s="358"/>
      <c r="K1843" s="358"/>
      <c r="L1843" s="3504"/>
      <c r="M1843" s="3310"/>
      <c r="N1843" s="3306"/>
      <c r="O1843" s="3503"/>
      <c r="P1843" s="3308"/>
      <c r="Q1843" s="3504"/>
      <c r="R1843" s="3504"/>
      <c r="S1843" s="3504"/>
      <c r="T1843" s="3504"/>
      <c r="U1843" s="3504"/>
      <c r="V1843" s="3504"/>
      <c r="W1843" s="3504"/>
      <c r="X1843" s="3504"/>
      <c r="Y1843" s="3504"/>
      <c r="Z1843" s="3504"/>
    </row>
    <row r="1844" spans="1:26" ht="157.5">
      <c r="A1844" s="3418" t="str">
        <f>'Part IX A-Scoring Criteria'!A290</f>
        <v>The Mill at Stone Valley is subject to neither HUD Choice Neignborhood nor Purpose Built Communities program designations.</v>
      </c>
      <c r="B1844" s="3418">
        <f>'Part IX A-Scoring Criteria'!B290</f>
        <v>0</v>
      </c>
      <c r="C1844" s="3418">
        <f>'Part IX A-Scoring Criteria'!C290</f>
        <v>0</v>
      </c>
      <c r="D1844" s="3418">
        <f>'Part IX A-Scoring Criteria'!D290</f>
        <v>0</v>
      </c>
      <c r="E1844" s="3418">
        <f>'Part IX A-Scoring Criteria'!E290</f>
        <v>0</v>
      </c>
      <c r="F1844" s="3418">
        <f>'Part IX A-Scoring Criteria'!F290</f>
        <v>0</v>
      </c>
      <c r="G1844" s="3418">
        <f>'Part IX A-Scoring Criteria'!G290</f>
        <v>0</v>
      </c>
      <c r="H1844" s="3418">
        <f>'Part IX A-Scoring Criteria'!H290</f>
        <v>0</v>
      </c>
      <c r="I1844" s="3418">
        <f>'Part IX A-Scoring Criteria'!I290</f>
        <v>0</v>
      </c>
      <c r="J1844" s="3418">
        <f>'Part IX A-Scoring Criteria'!J290</f>
        <v>0</v>
      </c>
      <c r="K1844" s="3418">
        <f>'Part IX A-Scoring Criteria'!K290</f>
        <v>0</v>
      </c>
      <c r="L1844" s="3418">
        <f>'Part IX A-Scoring Criteria'!L290</f>
        <v>0</v>
      </c>
      <c r="M1844" s="3418">
        <f>'Part IX A-Scoring Criteria'!M290</f>
        <v>0</v>
      </c>
      <c r="N1844" s="3418">
        <f>'Part IX A-Scoring Criteria'!N290</f>
        <v>0</v>
      </c>
      <c r="O1844" s="3418">
        <f>'Part IX A-Scoring Criteria'!O290</f>
        <v>0</v>
      </c>
      <c r="P1844" s="3418">
        <f>'Part IX A-Scoring Criteria'!P290</f>
        <v>0</v>
      </c>
      <c r="Q1844" s="3512"/>
      <c r="R1844" s="3504"/>
      <c r="S1844" s="3504"/>
      <c r="T1844" s="3504"/>
      <c r="U1844" s="3504"/>
      <c r="V1844" s="3504"/>
      <c r="W1844" s="3504"/>
      <c r="X1844" s="3504"/>
      <c r="Y1844" s="3504"/>
      <c r="Z1844" s="3504"/>
    </row>
    <row r="1845" spans="1:26" ht="15">
      <c r="A1845" s="3111"/>
      <c r="B1845" s="3419" t="s">
        <v>1276</v>
      </c>
      <c r="C1845" s="3111"/>
      <c r="D1845" s="3419"/>
      <c r="E1845" s="3421"/>
      <c r="F1845" s="3421"/>
      <c r="G1845" s="3421"/>
      <c r="H1845" s="3421"/>
      <c r="I1845" s="3421"/>
      <c r="J1845" s="3421"/>
      <c r="K1845" s="3421"/>
      <c r="L1845" s="3421"/>
      <c r="M1845" s="3421"/>
      <c r="N1845" s="3539"/>
      <c r="O1845" s="3510"/>
      <c r="P1845" s="3319"/>
      <c r="Q1845" s="3535"/>
      <c r="R1845" s="3504"/>
      <c r="S1845" s="3504"/>
      <c r="T1845" s="3504"/>
      <c r="U1845" s="3504"/>
      <c r="V1845" s="3504"/>
      <c r="W1845" s="3504"/>
      <c r="X1845" s="3504"/>
      <c r="Y1845" s="3504"/>
      <c r="Z1845" s="3504"/>
    </row>
    <row r="1846" spans="1:26" ht="15.75">
      <c r="A1846" s="3189">
        <f>'Part IX A-Scoring Criteria'!A292</f>
        <v>0</v>
      </c>
      <c r="B1846" s="3189">
        <f>'Part IX A-Scoring Criteria'!B292</f>
        <v>0</v>
      </c>
      <c r="C1846" s="3189">
        <f>'Part IX A-Scoring Criteria'!C292</f>
        <v>0</v>
      </c>
      <c r="D1846" s="3189">
        <f>'Part IX A-Scoring Criteria'!D292</f>
        <v>0</v>
      </c>
      <c r="E1846" s="3189">
        <f>'Part IX A-Scoring Criteria'!E292</f>
        <v>0</v>
      </c>
      <c r="F1846" s="3189">
        <f>'Part IX A-Scoring Criteria'!F292</f>
        <v>0</v>
      </c>
      <c r="G1846" s="3189">
        <f>'Part IX A-Scoring Criteria'!G292</f>
        <v>0</v>
      </c>
      <c r="H1846" s="3189">
        <f>'Part IX A-Scoring Criteria'!H292</f>
        <v>0</v>
      </c>
      <c r="I1846" s="3189">
        <f>'Part IX A-Scoring Criteria'!I292</f>
        <v>0</v>
      </c>
      <c r="J1846" s="3189">
        <f>'Part IX A-Scoring Criteria'!J292</f>
        <v>0</v>
      </c>
      <c r="K1846" s="3189">
        <f>'Part IX A-Scoring Criteria'!K292</f>
        <v>0</v>
      </c>
      <c r="L1846" s="3189">
        <f>'Part IX A-Scoring Criteria'!L292</f>
        <v>0</v>
      </c>
      <c r="M1846" s="3189">
        <f>'Part IX A-Scoring Criteria'!M292</f>
        <v>0</v>
      </c>
      <c r="N1846" s="3189">
        <f>'Part IX A-Scoring Criteria'!N292</f>
        <v>0</v>
      </c>
      <c r="O1846" s="3189">
        <f>'Part IX A-Scoring Criteria'!O292</f>
        <v>0</v>
      </c>
      <c r="P1846" s="3189">
        <f>'Part IX A-Scoring Criteria'!P292</f>
        <v>0</v>
      </c>
      <c r="Q1846" s="3512"/>
      <c r="R1846" s="3504"/>
      <c r="S1846" s="3504"/>
      <c r="T1846" s="3504"/>
      <c r="U1846" s="3504"/>
      <c r="V1846" s="3504"/>
      <c r="W1846" s="3504"/>
      <c r="X1846" s="3504"/>
      <c r="Y1846" s="3504"/>
      <c r="Z1846" s="3504"/>
    </row>
    <row r="1847" spans="1:26" ht="15">
      <c r="A1847" s="3111"/>
      <c r="B1847" s="3504"/>
      <c r="C1847" s="3504"/>
      <c r="D1847" s="358"/>
      <c r="E1847" s="358"/>
      <c r="F1847" s="3319"/>
      <c r="G1847" s="3319"/>
      <c r="H1847" s="3319"/>
      <c r="I1847" s="3319"/>
      <c r="J1847" s="3354"/>
      <c r="K1847" s="3354"/>
      <c r="L1847" s="3354"/>
      <c r="M1847" s="3416"/>
      <c r="N1847" s="3319"/>
      <c r="O1847" s="3308"/>
      <c r="P1847" s="3503"/>
      <c r="Q1847" s="3504"/>
      <c r="R1847" s="3504"/>
      <c r="S1847" s="3504"/>
      <c r="T1847" s="3504"/>
      <c r="U1847" s="3504"/>
      <c r="V1847" s="3504"/>
      <c r="W1847" s="3504"/>
      <c r="X1847" s="3504"/>
      <c r="Y1847" s="3504"/>
      <c r="Z1847" s="3504"/>
    </row>
    <row r="1848" spans="1:26" ht="15">
      <c r="A1848" s="3505" t="s">
        <v>207</v>
      </c>
      <c r="B1848" s="3506" t="s">
        <v>2043</v>
      </c>
      <c r="C1848" s="3504"/>
      <c r="D1848" s="3540"/>
      <c r="E1848" s="3540"/>
      <c r="F1848" s="3540"/>
      <c r="G1848" s="3504"/>
      <c r="H1848" s="3553" t="s">
        <v>1926</v>
      </c>
      <c r="I1848" s="3504"/>
      <c r="J1848" s="3415" t="s">
        <v>1815</v>
      </c>
      <c r="K1848" s="3312"/>
      <c r="L1848" s="3415" t="str">
        <f>'Part I-Project Information'!$H$100</f>
        <v>Rural</v>
      </c>
      <c r="M1848" s="3319">
        <v>4</v>
      </c>
      <c r="N1848" s="3310"/>
      <c r="O1848" s="3319">
        <f>'Part IX A-Scoring Criteria'!O294</f>
        <v>4</v>
      </c>
      <c r="P1848" s="3319">
        <f>'Part IX A-Scoring Criteria'!P294</f>
        <v>0</v>
      </c>
      <c r="Q1848" s="3319" t="s">
        <v>834</v>
      </c>
      <c r="R1848" s="3504"/>
      <c r="S1848" s="3504"/>
      <c r="T1848" s="3504"/>
      <c r="U1848" s="3504"/>
      <c r="V1848" s="3504"/>
      <c r="W1848" s="3504"/>
      <c r="X1848" s="3504"/>
      <c r="Y1848" s="3504"/>
      <c r="Z1848" s="3504"/>
    </row>
    <row r="1849" spans="1:26">
      <c r="A1849" s="3318" t="s">
        <v>110</v>
      </c>
      <c r="B1849" s="3326" t="s">
        <v>4841</v>
      </c>
      <c r="D1849" s="3111"/>
      <c r="E1849" s="3111"/>
      <c r="F1849" s="3111"/>
      <c r="H1849" s="3415" t="s">
        <v>2045</v>
      </c>
      <c r="I1849" s="943"/>
      <c r="J1849" s="3415" t="str">
        <f>'Part I-Project Information'!$O$34</f>
        <v>No</v>
      </c>
      <c r="K1849" s="3415"/>
      <c r="L1849" s="3570" t="str">
        <f>'Part I-Project Information'!$O$35</f>
        <v>N/A</v>
      </c>
      <c r="M1849" s="3310">
        <v>3</v>
      </c>
      <c r="N1849" s="3459" t="s">
        <v>110</v>
      </c>
      <c r="O1849" s="3503">
        <f>'Part IX A-Scoring Criteria'!O295</f>
        <v>0</v>
      </c>
      <c r="P1849" s="3503">
        <f>'Part IX A-Scoring Criteria'!P295</f>
        <v>0</v>
      </c>
      <c r="Q1849" s="3543" t="str">
        <f>IF(OR($O1849=$M1849,$O1849=0,$O1849=""),"","*CHECK!*")</f>
        <v/>
      </c>
      <c r="R1849" s="3587" t="s">
        <v>1806</v>
      </c>
    </row>
    <row r="1850" spans="1:26" ht="12.75" customHeight="1">
      <c r="A1850" s="943"/>
      <c r="B1850" s="3580" t="s">
        <v>379</v>
      </c>
      <c r="C1850" s="3418" t="s">
        <v>2046</v>
      </c>
      <c r="D1850" s="3418"/>
      <c r="E1850" s="3418"/>
      <c r="F1850" s="3418"/>
      <c r="G1850" s="3418"/>
      <c r="H1850" s="3418"/>
      <c r="I1850" s="3418"/>
      <c r="J1850" s="3418"/>
      <c r="K1850" s="3418"/>
      <c r="L1850" s="3418"/>
      <c r="M1850" s="3418"/>
      <c r="N1850" s="3530" t="s">
        <v>379</v>
      </c>
      <c r="O1850" s="3470">
        <f>'Part IX A-Scoring Criteria'!O296</f>
        <v>0</v>
      </c>
      <c r="P1850" s="3470">
        <f>'Part IX A-Scoring Criteria'!P296</f>
        <v>0</v>
      </c>
      <c r="Q1850" s="3418" t="s">
        <v>4842</v>
      </c>
      <c r="R1850" s="3418"/>
      <c r="S1850" s="3418"/>
      <c r="T1850" s="3418"/>
      <c r="U1850" s="3418"/>
      <c r="V1850" s="3418"/>
      <c r="W1850" s="3418"/>
      <c r="X1850" s="3418"/>
      <c r="Y1850" s="3418"/>
      <c r="Z1850" s="3418"/>
    </row>
    <row r="1851" spans="1:26">
      <c r="A1851" s="358"/>
      <c r="B1851" s="3575"/>
      <c r="C1851" s="358" t="s">
        <v>2048</v>
      </c>
      <c r="D1851" s="358"/>
      <c r="E1851" s="358"/>
      <c r="F1851" s="358"/>
      <c r="G1851" s="358"/>
      <c r="H1851" s="3354" t="s">
        <v>2049</v>
      </c>
      <c r="I1851" s="3568">
        <f>'Part IX A-Scoring Criteria'!I297</f>
        <v>0</v>
      </c>
      <c r="J1851" s="3354" t="s">
        <v>2050</v>
      </c>
      <c r="K1851" s="358">
        <f>'Part IX A-Scoring Criteria'!K297</f>
        <v>0</v>
      </c>
      <c r="L1851" s="358">
        <f>'Part IX A-Scoring Criteria'!L297</f>
        <v>0</v>
      </c>
      <c r="M1851" s="358">
        <f>'Part IX A-Scoring Criteria'!M297</f>
        <v>0</v>
      </c>
      <c r="N1851" s="358">
        <f>'Part IX A-Scoring Criteria'!N297</f>
        <v>0</v>
      </c>
      <c r="O1851" s="358">
        <f>'Part IX A-Scoring Criteria'!O297</f>
        <v>0</v>
      </c>
      <c r="P1851" s="358">
        <f>'Part IX A-Scoring Criteria'!P297</f>
        <v>0</v>
      </c>
      <c r="Q1851" s="358"/>
      <c r="R1851" s="358"/>
      <c r="S1851" s="358"/>
      <c r="T1851" s="358"/>
      <c r="U1851" s="358"/>
      <c r="V1851" s="358"/>
      <c r="W1851" s="358"/>
      <c r="X1851" s="358"/>
      <c r="Y1851" s="358"/>
      <c r="Z1851" s="358"/>
    </row>
    <row r="1852" spans="1:26">
      <c r="A1852" s="358"/>
      <c r="B1852" s="3575"/>
      <c r="C1852" s="358" t="s">
        <v>2051</v>
      </c>
      <c r="D1852" s="358"/>
      <c r="E1852" s="358"/>
      <c r="F1852" s="358"/>
      <c r="G1852" s="358"/>
      <c r="H1852" s="3354" t="s">
        <v>2049</v>
      </c>
      <c r="I1852" s="3568">
        <f>'Part IX A-Scoring Criteria'!I298</f>
        <v>0</v>
      </c>
      <c r="J1852" s="3354" t="s">
        <v>2050</v>
      </c>
      <c r="K1852" s="358">
        <f>'Part IX A-Scoring Criteria'!K298</f>
        <v>0</v>
      </c>
      <c r="L1852" s="358">
        <f>'Part IX A-Scoring Criteria'!L298</f>
        <v>0</v>
      </c>
      <c r="M1852" s="358">
        <f>'Part IX A-Scoring Criteria'!M298</f>
        <v>0</v>
      </c>
      <c r="N1852" s="358">
        <f>'Part IX A-Scoring Criteria'!N298</f>
        <v>0</v>
      </c>
      <c r="O1852" s="358">
        <f>'Part IX A-Scoring Criteria'!O298</f>
        <v>0</v>
      </c>
      <c r="P1852" s="358">
        <f>'Part IX A-Scoring Criteria'!P298</f>
        <v>0</v>
      </c>
      <c r="Q1852" s="358"/>
      <c r="R1852" s="358"/>
      <c r="S1852" s="358"/>
      <c r="T1852" s="358"/>
      <c r="U1852" s="358"/>
      <c r="V1852" s="358"/>
      <c r="W1852" s="358"/>
      <c r="X1852" s="358"/>
      <c r="Y1852" s="358"/>
      <c r="Z1852" s="358"/>
    </row>
    <row r="1853" spans="1:26">
      <c r="A1853" s="358"/>
      <c r="B1853" s="3575" t="s">
        <v>389</v>
      </c>
      <c r="C1853" s="358" t="s">
        <v>2052</v>
      </c>
      <c r="D1853" s="358"/>
      <c r="E1853" s="358"/>
      <c r="F1853" s="358"/>
      <c r="G1853" s="358"/>
      <c r="H1853" s="358"/>
      <c r="I1853" s="358"/>
      <c r="J1853" s="358"/>
      <c r="K1853" s="358"/>
      <c r="L1853" s="358"/>
      <c r="M1853" s="3310"/>
      <c r="N1853" s="3541" t="s">
        <v>389</v>
      </c>
      <c r="O1853" s="3424">
        <f>'Part IX A-Scoring Criteria'!O299</f>
        <v>0</v>
      </c>
      <c r="P1853" s="3424">
        <f>'Part IX A-Scoring Criteria'!P299</f>
        <v>0</v>
      </c>
      <c r="Q1853" s="358"/>
      <c r="R1853" s="358"/>
      <c r="S1853" s="358"/>
      <c r="T1853" s="358"/>
      <c r="U1853" s="358"/>
      <c r="V1853" s="358"/>
      <c r="W1853" s="358"/>
      <c r="X1853" s="358"/>
      <c r="Y1853" s="358"/>
      <c r="Z1853" s="358"/>
    </row>
    <row r="1854" spans="1:26">
      <c r="A1854" s="358"/>
      <c r="B1854" s="3575" t="s">
        <v>393</v>
      </c>
      <c r="C1854" s="358" t="s">
        <v>2053</v>
      </c>
      <c r="D1854" s="358"/>
      <c r="E1854" s="358"/>
      <c r="F1854" s="358"/>
      <c r="G1854" s="358"/>
      <c r="H1854" s="358"/>
      <c r="I1854" s="358"/>
      <c r="J1854" s="358"/>
      <c r="K1854" s="358"/>
      <c r="L1854" s="358"/>
      <c r="M1854" s="3310"/>
      <c r="N1854" s="3541" t="s">
        <v>393</v>
      </c>
      <c r="O1854" s="3424">
        <f>'Part IX A-Scoring Criteria'!O300</f>
        <v>0</v>
      </c>
      <c r="P1854" s="3424">
        <f>'Part IX A-Scoring Criteria'!P300</f>
        <v>0</v>
      </c>
      <c r="Q1854" s="358"/>
      <c r="R1854" s="358"/>
      <c r="S1854" s="358"/>
      <c r="T1854" s="358"/>
      <c r="U1854" s="358"/>
      <c r="V1854" s="358"/>
      <c r="W1854" s="358"/>
      <c r="X1854" s="358"/>
      <c r="Y1854" s="358"/>
      <c r="Z1854" s="358"/>
    </row>
    <row r="1855" spans="1:26">
      <c r="A1855" s="3457"/>
      <c r="B1855" s="3575" t="s">
        <v>445</v>
      </c>
      <c r="C1855" s="358" t="s">
        <v>2054</v>
      </c>
      <c r="D1855" s="358"/>
      <c r="E1855" s="358"/>
      <c r="F1855" s="358"/>
      <c r="G1855" s="358"/>
      <c r="H1855" s="358"/>
      <c r="I1855" s="358"/>
      <c r="J1855" s="358"/>
      <c r="K1855" s="358"/>
      <c r="L1855" s="358"/>
      <c r="M1855" s="3310"/>
      <c r="N1855" s="3541" t="s">
        <v>445</v>
      </c>
      <c r="O1855" s="3424">
        <f>'Part IX A-Scoring Criteria'!O301</f>
        <v>0</v>
      </c>
      <c r="P1855" s="3424">
        <f>'Part IX A-Scoring Criteria'!P301</f>
        <v>0</v>
      </c>
      <c r="Q1855" s="358"/>
      <c r="R1855" s="358"/>
      <c r="S1855" s="358"/>
      <c r="T1855" s="358"/>
      <c r="U1855" s="358"/>
      <c r="V1855" s="358"/>
      <c r="W1855" s="358"/>
      <c r="X1855" s="358"/>
      <c r="Y1855" s="358"/>
      <c r="Z1855" s="358"/>
    </row>
    <row r="1856" spans="1:26">
      <c r="A1856" s="3318" t="s">
        <v>121</v>
      </c>
      <c r="B1856" s="3326" t="s">
        <v>4843</v>
      </c>
      <c r="C1856" s="3111"/>
      <c r="D1856" s="3111"/>
      <c r="E1856" s="3111"/>
      <c r="F1856" s="3111"/>
      <c r="G1856" s="3111"/>
      <c r="H1856" s="3553" t="s">
        <v>2056</v>
      </c>
      <c r="I1856" s="3111"/>
      <c r="J1856" s="3111"/>
      <c r="K1856" s="3111"/>
      <c r="L1856" s="3111"/>
      <c r="M1856" s="3111"/>
      <c r="N1856" s="3111"/>
      <c r="O1856" s="3111"/>
      <c r="P1856" s="3111"/>
      <c r="Q1856" s="3111"/>
      <c r="R1856" s="3111"/>
      <c r="S1856" s="3111"/>
      <c r="T1856" s="3111"/>
      <c r="U1856" s="3111"/>
      <c r="V1856" s="3111"/>
      <c r="W1856" s="3111"/>
      <c r="X1856" s="3111"/>
      <c r="Y1856" s="3111"/>
      <c r="Z1856" s="3111"/>
    </row>
    <row r="1857" spans="1:26">
      <c r="A1857" s="3318"/>
      <c r="B1857" s="3312" t="s">
        <v>2057</v>
      </c>
      <c r="C1857" s="3111"/>
      <c r="D1857" s="3111"/>
      <c r="E1857" s="3111"/>
      <c r="F1857" s="3111"/>
      <c r="G1857" s="3111"/>
      <c r="H1857" s="3553"/>
      <c r="I1857" s="3111"/>
      <c r="J1857" s="3111"/>
      <c r="K1857" s="3111"/>
      <c r="L1857" s="3111"/>
      <c r="M1857" s="3310">
        <v>3</v>
      </c>
      <c r="N1857" s="3459" t="s">
        <v>121</v>
      </c>
      <c r="O1857" s="3503">
        <f>'Part IX A-Scoring Criteria'!O303</f>
        <v>0</v>
      </c>
      <c r="P1857" s="3503">
        <f>'Part IX A-Scoring Criteria'!P303</f>
        <v>0</v>
      </c>
      <c r="Q1857" s="3111"/>
      <c r="R1857" s="3111"/>
      <c r="S1857" s="3111"/>
      <c r="T1857" s="3111"/>
      <c r="U1857" s="3111"/>
      <c r="V1857" s="3111"/>
      <c r="W1857" s="3111"/>
      <c r="X1857" s="3111"/>
      <c r="Y1857" s="3111"/>
      <c r="Z1857" s="3111"/>
    </row>
    <row r="1858" spans="1:26">
      <c r="A1858" s="3111"/>
      <c r="B1858" s="3575" t="s">
        <v>379</v>
      </c>
      <c r="C1858" s="3415" t="s">
        <v>4844</v>
      </c>
      <c r="D1858" s="3111"/>
      <c r="E1858" s="3111"/>
      <c r="F1858" s="3111"/>
      <c r="G1858" s="3111"/>
      <c r="H1858" s="3111"/>
      <c r="I1858" s="3111"/>
      <c r="J1858" s="3111"/>
      <c r="K1858" s="3111"/>
      <c r="L1858" s="3467" t="str">
        <f>IF(OR($O1858=$M1858,$O1858=0,$O1858=""),"","* * Check Score! * *")</f>
        <v/>
      </c>
      <c r="M1858" s="3310">
        <v>3</v>
      </c>
      <c r="N1858" s="3573" t="s">
        <v>379</v>
      </c>
      <c r="O1858" s="3503">
        <f>'Part IX A-Scoring Criteria'!O304</f>
        <v>0</v>
      </c>
      <c r="P1858" s="3503">
        <f>'Part IX A-Scoring Criteria'!P304</f>
        <v>0</v>
      </c>
      <c r="Q1858" s="3543" t="str">
        <f>IF(OR($O1858=$M1858,$O1858=0,$O1858=""),"","*CHECK!*")</f>
        <v/>
      </c>
      <c r="R1858" s="3587" t="s">
        <v>1806</v>
      </c>
      <c r="S1858" s="3111"/>
      <c r="T1858" s="3111"/>
      <c r="U1858" s="3111"/>
      <c r="V1858" s="3111"/>
      <c r="W1858" s="3111"/>
      <c r="X1858" s="3111"/>
      <c r="Y1858" s="3111"/>
      <c r="Z1858" s="3111"/>
    </row>
    <row r="1859" spans="1:26">
      <c r="A1859" s="3424" t="s">
        <v>515</v>
      </c>
      <c r="B1859" s="3580" t="s">
        <v>389</v>
      </c>
      <c r="C1859" s="3475" t="s">
        <v>4845</v>
      </c>
      <c r="D1859" s="3111"/>
      <c r="E1859" s="3111"/>
      <c r="F1859" s="3111"/>
      <c r="G1859" s="3354"/>
      <c r="H1859" s="3553"/>
      <c r="I1859" s="3354"/>
      <c r="L1859" s="3467" t="str">
        <f>IF(OR($O1859=$M1859,$O1859=0,$O1859=""),"","* * Check Score! * *")</f>
        <v/>
      </c>
      <c r="M1859" s="3306">
        <v>2</v>
      </c>
      <c r="N1859" s="3573" t="s">
        <v>389</v>
      </c>
      <c r="O1859" s="3503">
        <f>'Part IX A-Scoring Criteria'!O305</f>
        <v>0</v>
      </c>
      <c r="P1859" s="3503">
        <f>'Part IX A-Scoring Criteria'!P305</f>
        <v>0</v>
      </c>
      <c r="Q1859" s="3543" t="str">
        <f>IF(OR($O1859=$M1859,$O1859=0,$O1859=""),"","*CHECK!*")</f>
        <v/>
      </c>
      <c r="R1859" s="3587" t="s">
        <v>1806</v>
      </c>
    </row>
    <row r="1860" spans="1:26">
      <c r="A1860" s="3318" t="s">
        <v>123</v>
      </c>
      <c r="B1860" s="3326" t="s">
        <v>4846</v>
      </c>
      <c r="C1860" s="3111"/>
      <c r="D1860" s="3111"/>
      <c r="E1860" s="3111"/>
      <c r="F1860" s="3111"/>
      <c r="G1860" s="3111"/>
      <c r="H1860" s="3553" t="s">
        <v>2061</v>
      </c>
      <c r="I1860" s="3111"/>
      <c r="J1860" s="3111"/>
      <c r="K1860" s="3111"/>
      <c r="L1860" s="3111"/>
      <c r="M1860" s="3111"/>
      <c r="N1860" s="3111"/>
      <c r="O1860" s="3111"/>
      <c r="P1860" s="3111"/>
      <c r="Q1860" s="3111"/>
      <c r="R1860" s="3111"/>
      <c r="S1860" s="3111"/>
      <c r="T1860" s="3111"/>
      <c r="U1860" s="3111"/>
      <c r="V1860" s="3111"/>
      <c r="W1860" s="3111"/>
      <c r="X1860" s="3111"/>
      <c r="Y1860" s="3111"/>
      <c r="Z1860" s="3111"/>
    </row>
    <row r="1861" spans="1:26">
      <c r="A1861" s="3318"/>
      <c r="B1861" s="3312" t="s">
        <v>2062</v>
      </c>
      <c r="C1861" s="3111"/>
      <c r="D1861" s="3111"/>
      <c r="E1861" s="3111"/>
      <c r="F1861" s="3111"/>
      <c r="G1861" s="3111"/>
      <c r="H1861" s="3553"/>
      <c r="I1861" s="3111"/>
      <c r="J1861" s="3111"/>
      <c r="K1861" s="3111"/>
      <c r="L1861" s="3111"/>
      <c r="M1861" s="3310">
        <v>4</v>
      </c>
      <c r="N1861" s="3459" t="s">
        <v>123</v>
      </c>
      <c r="O1861" s="3503">
        <f>'Part IX A-Scoring Criteria'!O307</f>
        <v>4</v>
      </c>
      <c r="P1861" s="3503">
        <f>'Part IX A-Scoring Criteria'!P307</f>
        <v>0</v>
      </c>
      <c r="Q1861" s="3111"/>
      <c r="R1861" s="3111"/>
      <c r="S1861" s="3111"/>
      <c r="T1861" s="3111"/>
      <c r="U1861" s="3111"/>
      <c r="V1861" s="3111"/>
      <c r="W1861" s="3111"/>
      <c r="X1861" s="3111"/>
      <c r="Y1861" s="3111"/>
      <c r="Z1861" s="3111"/>
    </row>
    <row r="1862" spans="1:26">
      <c r="A1862" s="3111"/>
      <c r="B1862" s="3575" t="s">
        <v>379</v>
      </c>
      <c r="C1862" s="943" t="s">
        <v>2063</v>
      </c>
      <c r="D1862" s="3111"/>
      <c r="E1862" s="3111"/>
      <c r="F1862" s="3111"/>
      <c r="G1862" s="3111"/>
      <c r="H1862" s="3111"/>
      <c r="I1862" s="3111"/>
      <c r="J1862" s="3111"/>
      <c r="K1862" s="3323" t="str">
        <f>IF(OR(AND(O1862&gt;0,O1864&gt;0), AND(O1863&gt;0,O1864&gt;0), AND(O1862&gt;0,O1863&gt;0)),"Choose option 1 or 2 or 3!!!","")</f>
        <v/>
      </c>
      <c r="L1862" s="3323"/>
      <c r="M1862" s="3310">
        <v>4</v>
      </c>
      <c r="N1862" s="3573" t="s">
        <v>379</v>
      </c>
      <c r="O1862" s="3503">
        <f>'Part IX A-Scoring Criteria'!O308</f>
        <v>4</v>
      </c>
      <c r="P1862" s="3503">
        <f>'Part IX A-Scoring Criteria'!P308</f>
        <v>0</v>
      </c>
      <c r="Q1862" s="3543" t="str">
        <f>IF(OR($O1862=$M1862,$O1862=0,$O1862=""),"","*CHECK!*")</f>
        <v/>
      </c>
      <c r="R1862" s="3587" t="s">
        <v>1806</v>
      </c>
      <c r="S1862" s="3111"/>
      <c r="T1862" s="3111"/>
      <c r="U1862" s="3111"/>
      <c r="V1862" s="3111"/>
      <c r="W1862" s="3111"/>
      <c r="X1862" s="3111"/>
      <c r="Y1862" s="3111"/>
      <c r="Z1862" s="3111"/>
    </row>
    <row r="1863" spans="1:26">
      <c r="A1863" s="3424" t="s">
        <v>515</v>
      </c>
      <c r="B1863" s="3580" t="s">
        <v>389</v>
      </c>
      <c r="C1863" s="3415" t="s">
        <v>4847</v>
      </c>
      <c r="D1863" s="3111"/>
      <c r="E1863" s="3111"/>
      <c r="F1863" s="3111"/>
      <c r="G1863" s="3354"/>
      <c r="H1863" s="3355"/>
      <c r="I1863" s="3354"/>
      <c r="K1863" s="3323"/>
      <c r="L1863" s="3323"/>
      <c r="M1863" s="3306">
        <v>3</v>
      </c>
      <c r="N1863" s="3573" t="s">
        <v>389</v>
      </c>
      <c r="O1863" s="3503">
        <f>'Part IX A-Scoring Criteria'!O309</f>
        <v>0</v>
      </c>
      <c r="P1863" s="3503">
        <f>'Part IX A-Scoring Criteria'!P309</f>
        <v>0</v>
      </c>
      <c r="Q1863" s="3543" t="str">
        <f t="shared" ref="Q1863:Q1864" si="326">IF(OR($O1863=$M1863,$O1863=0,$O1863=""),"","*CHECK!*")</f>
        <v/>
      </c>
      <c r="R1863" s="3587" t="s">
        <v>1806</v>
      </c>
    </row>
    <row r="1864" spans="1:26">
      <c r="A1864" s="3424" t="s">
        <v>515</v>
      </c>
      <c r="B1864" s="3580" t="s">
        <v>393</v>
      </c>
      <c r="C1864" s="3475" t="s">
        <v>4848</v>
      </c>
      <c r="D1864" s="3111"/>
      <c r="E1864" s="3111"/>
      <c r="F1864" s="3111"/>
      <c r="G1864" s="3354"/>
      <c r="H1864" s="3553"/>
      <c r="I1864" s="3354"/>
      <c r="K1864" s="3323"/>
      <c r="L1864" s="3323"/>
      <c r="M1864" s="3306">
        <v>2</v>
      </c>
      <c r="N1864" s="3573" t="s">
        <v>393</v>
      </c>
      <c r="O1864" s="3503">
        <f>'Part IX A-Scoring Criteria'!O310</f>
        <v>0</v>
      </c>
      <c r="P1864" s="3503">
        <f>'Part IX A-Scoring Criteria'!P310</f>
        <v>0</v>
      </c>
      <c r="Q1864" s="3543" t="str">
        <f t="shared" si="326"/>
        <v/>
      </c>
      <c r="R1864" s="3587" t="s">
        <v>1806</v>
      </c>
    </row>
    <row r="1865" spans="1:26" ht="15">
      <c r="A1865" s="3111"/>
      <c r="B1865" s="3523" t="s">
        <v>1810</v>
      </c>
      <c r="C1865" s="3111"/>
      <c r="D1865" s="3312"/>
      <c r="E1865" s="3312"/>
      <c r="F1865" s="3312"/>
      <c r="G1865" s="3312"/>
      <c r="H1865" s="358"/>
      <c r="I1865" s="358"/>
      <c r="J1865" s="358"/>
      <c r="K1865" s="358"/>
      <c r="L1865" s="3504"/>
      <c r="M1865" s="3310"/>
      <c r="N1865" s="3306"/>
      <c r="O1865" s="3503"/>
      <c r="P1865" s="3308"/>
      <c r="Q1865" s="3504"/>
      <c r="R1865" s="3504"/>
      <c r="S1865" s="3504"/>
      <c r="T1865" s="3504"/>
      <c r="U1865" s="3504"/>
      <c r="V1865" s="3504"/>
      <c r="W1865" s="3504"/>
      <c r="X1865" s="3504"/>
      <c r="Y1865" s="3504"/>
      <c r="Z1865" s="3504"/>
    </row>
    <row r="1866" spans="1:26" ht="78.75">
      <c r="A1866" s="3418" t="str">
        <f>'Part IX A-Scoring Criteria'!A312</f>
        <v>There has never been a 9% Credit award to a property in the City of Ball Ground.</v>
      </c>
      <c r="B1866" s="3418">
        <f>'Part IX A-Scoring Criteria'!B312</f>
        <v>0</v>
      </c>
      <c r="C1866" s="3418">
        <f>'Part IX A-Scoring Criteria'!C312</f>
        <v>0</v>
      </c>
      <c r="D1866" s="3418">
        <f>'Part IX A-Scoring Criteria'!D312</f>
        <v>0</v>
      </c>
      <c r="E1866" s="3418">
        <f>'Part IX A-Scoring Criteria'!E312</f>
        <v>0</v>
      </c>
      <c r="F1866" s="3418">
        <f>'Part IX A-Scoring Criteria'!F312</f>
        <v>0</v>
      </c>
      <c r="G1866" s="3418">
        <f>'Part IX A-Scoring Criteria'!G312</f>
        <v>0</v>
      </c>
      <c r="H1866" s="3418">
        <f>'Part IX A-Scoring Criteria'!H312</f>
        <v>0</v>
      </c>
      <c r="I1866" s="3418">
        <f>'Part IX A-Scoring Criteria'!I312</f>
        <v>0</v>
      </c>
      <c r="J1866" s="3418">
        <f>'Part IX A-Scoring Criteria'!J312</f>
        <v>0</v>
      </c>
      <c r="K1866" s="3418">
        <f>'Part IX A-Scoring Criteria'!K312</f>
        <v>0</v>
      </c>
      <c r="L1866" s="3418">
        <f>'Part IX A-Scoring Criteria'!L312</f>
        <v>0</v>
      </c>
      <c r="M1866" s="3418">
        <f>'Part IX A-Scoring Criteria'!M312</f>
        <v>0</v>
      </c>
      <c r="N1866" s="3418">
        <f>'Part IX A-Scoring Criteria'!N312</f>
        <v>0</v>
      </c>
      <c r="O1866" s="3418">
        <f>'Part IX A-Scoring Criteria'!O312</f>
        <v>0</v>
      </c>
      <c r="P1866" s="3418">
        <f>'Part IX A-Scoring Criteria'!P312</f>
        <v>0</v>
      </c>
      <c r="Q1866" s="3512"/>
      <c r="R1866" s="3504"/>
      <c r="S1866" s="3504"/>
      <c r="T1866" s="3504"/>
      <c r="U1866" s="3504"/>
      <c r="V1866" s="3504"/>
      <c r="W1866" s="3504"/>
      <c r="X1866" s="3504"/>
      <c r="Y1866" s="3504"/>
      <c r="Z1866" s="3504"/>
    </row>
    <row r="1867" spans="1:26" ht="15">
      <c r="A1867" s="3504"/>
      <c r="B1867" s="3419" t="s">
        <v>1276</v>
      </c>
      <c r="C1867" s="3111"/>
      <c r="D1867" s="3419"/>
      <c r="E1867" s="3421"/>
      <c r="F1867" s="3421"/>
      <c r="G1867" s="3421"/>
      <c r="H1867" s="3421"/>
      <c r="I1867" s="3421"/>
      <c r="J1867" s="3421"/>
      <c r="K1867" s="3421"/>
      <c r="L1867" s="3421"/>
      <c r="M1867" s="3421"/>
      <c r="N1867" s="3539"/>
      <c r="O1867" s="3510"/>
      <c r="P1867" s="3319"/>
      <c r="Q1867" s="3535"/>
      <c r="R1867" s="3504"/>
      <c r="S1867" s="3504"/>
      <c r="T1867" s="3504"/>
      <c r="U1867" s="3504"/>
      <c r="V1867" s="3504"/>
      <c r="W1867" s="3504"/>
      <c r="X1867" s="3504"/>
      <c r="Y1867" s="3504"/>
      <c r="Z1867" s="3504"/>
    </row>
    <row r="1868" spans="1:26" ht="15.75">
      <c r="A1868" s="3418">
        <f>'Part IX A-Scoring Criteria'!A314</f>
        <v>0</v>
      </c>
      <c r="B1868" s="3418">
        <f>'Part IX A-Scoring Criteria'!B314</f>
        <v>0</v>
      </c>
      <c r="C1868" s="3418">
        <f>'Part IX A-Scoring Criteria'!C314</f>
        <v>0</v>
      </c>
      <c r="D1868" s="3418">
        <f>'Part IX A-Scoring Criteria'!D314</f>
        <v>0</v>
      </c>
      <c r="E1868" s="3418">
        <f>'Part IX A-Scoring Criteria'!E314</f>
        <v>0</v>
      </c>
      <c r="F1868" s="3418">
        <f>'Part IX A-Scoring Criteria'!F314</f>
        <v>0</v>
      </c>
      <c r="G1868" s="3418">
        <f>'Part IX A-Scoring Criteria'!G314</f>
        <v>0</v>
      </c>
      <c r="H1868" s="3418">
        <f>'Part IX A-Scoring Criteria'!H314</f>
        <v>0</v>
      </c>
      <c r="I1868" s="3418">
        <f>'Part IX A-Scoring Criteria'!I314</f>
        <v>0</v>
      </c>
      <c r="J1868" s="3418">
        <f>'Part IX A-Scoring Criteria'!J314</f>
        <v>0</v>
      </c>
      <c r="K1868" s="3418">
        <f>'Part IX A-Scoring Criteria'!K314</f>
        <v>0</v>
      </c>
      <c r="L1868" s="3418">
        <f>'Part IX A-Scoring Criteria'!L314</f>
        <v>0</v>
      </c>
      <c r="M1868" s="3418">
        <f>'Part IX A-Scoring Criteria'!M314</f>
        <v>0</v>
      </c>
      <c r="N1868" s="3418">
        <f>'Part IX A-Scoring Criteria'!N314</f>
        <v>0</v>
      </c>
      <c r="O1868" s="3418">
        <f>'Part IX A-Scoring Criteria'!O314</f>
        <v>0</v>
      </c>
      <c r="P1868" s="3418">
        <f>'Part IX A-Scoring Criteria'!P314</f>
        <v>0</v>
      </c>
      <c r="Q1868" s="3512"/>
      <c r="R1868" s="3504"/>
      <c r="S1868" s="3504"/>
      <c r="T1868" s="3504"/>
      <c r="U1868" s="3504"/>
      <c r="V1868" s="3504"/>
      <c r="W1868" s="3504"/>
      <c r="X1868" s="3504"/>
      <c r="Y1868" s="3504"/>
      <c r="Z1868" s="3504"/>
    </row>
    <row r="1869" spans="1:26" ht="18.75">
      <c r="N1869" s="3306"/>
      <c r="O1869" s="3308"/>
      <c r="P1869" s="3308"/>
      <c r="T1869" s="3571"/>
      <c r="U1869" s="3571"/>
    </row>
    <row r="1870" spans="1:26" ht="18.75">
      <c r="A1870" s="3631" t="s">
        <v>222</v>
      </c>
      <c r="B1870" s="3506" t="s">
        <v>2066</v>
      </c>
      <c r="C1870" s="3504"/>
      <c r="D1870" s="3540"/>
      <c r="E1870" s="3540"/>
      <c r="F1870" s="3540"/>
      <c r="G1870" s="3504"/>
      <c r="H1870" s="3553" t="s">
        <v>2067</v>
      </c>
      <c r="I1870" s="3504"/>
      <c r="J1870" s="3504"/>
      <c r="K1870" s="3312"/>
      <c r="L1870" s="3504"/>
      <c r="M1870" s="3319">
        <v>1</v>
      </c>
      <c r="N1870" s="3310"/>
      <c r="O1870" s="3319">
        <f>'Part IX A-Scoring Criteria'!O316</f>
        <v>1</v>
      </c>
      <c r="P1870" s="3319">
        <f>'Part IX A-Scoring Criteria'!P316</f>
        <v>0</v>
      </c>
      <c r="Q1870" s="3319" t="s">
        <v>834</v>
      </c>
      <c r="R1870" s="3504"/>
      <c r="S1870" s="3504"/>
      <c r="T1870" s="3571"/>
      <c r="U1870" s="3571"/>
      <c r="V1870" s="3504"/>
      <c r="W1870" s="3504"/>
      <c r="X1870" s="3504"/>
      <c r="Y1870" s="3504"/>
      <c r="Z1870" s="3504"/>
    </row>
    <row r="1871" spans="1:26" ht="18.75">
      <c r="A1871" s="3337" t="s">
        <v>110</v>
      </c>
      <c r="B1871" s="3326" t="s">
        <v>2068</v>
      </c>
      <c r="C1871" s="3522"/>
      <c r="D1871" s="3553"/>
      <c r="E1871" s="3553"/>
      <c r="F1871" s="3500"/>
      <c r="H1871" s="3522"/>
      <c r="I1871" s="3522"/>
      <c r="J1871" s="3522"/>
      <c r="K1871" s="3522"/>
      <c r="L1871" s="3467" t="str">
        <f>IF(OR($O1871=$M1871,$O1871=0,$O1871=""),"","* * Check Score! * *")</f>
        <v/>
      </c>
      <c r="M1871" s="3310">
        <v>1</v>
      </c>
      <c r="N1871" s="3459" t="s">
        <v>110</v>
      </c>
      <c r="O1871" s="3503">
        <f>'Part IX A-Scoring Criteria'!O317</f>
        <v>1</v>
      </c>
      <c r="P1871" s="3503">
        <f>'Part IX A-Scoring Criteria'!P317</f>
        <v>0</v>
      </c>
      <c r="Q1871" s="3543" t="str">
        <f>IF(OR($O1871=$M1871,$O1871=0,$O1871=""),"","*CHECK!*")</f>
        <v/>
      </c>
      <c r="R1871" s="3587" t="s">
        <v>1806</v>
      </c>
      <c r="S1871" s="3522"/>
      <c r="T1871" s="3571"/>
      <c r="U1871" s="3571"/>
      <c r="V1871" s="3522"/>
      <c r="W1871" s="3522"/>
      <c r="X1871" s="3522"/>
      <c r="Y1871" s="3522"/>
      <c r="Z1871" s="3522"/>
    </row>
    <row r="1872" spans="1:26" ht="18.75">
      <c r="A1872" s="3337"/>
      <c r="B1872" s="3354" t="s">
        <v>2069</v>
      </c>
      <c r="C1872" s="3522"/>
      <c r="D1872" s="3553"/>
      <c r="E1872" s="3553"/>
      <c r="F1872" s="3500"/>
      <c r="H1872" s="3522"/>
      <c r="I1872" s="3522"/>
      <c r="J1872" s="3522"/>
      <c r="K1872" s="3459"/>
      <c r="L1872" s="3522"/>
      <c r="M1872" s="3310"/>
      <c r="N1872" s="3459"/>
      <c r="O1872" s="3424" t="str">
        <f>'Part IX A-Scoring Criteria'!O318</f>
        <v>Yes</v>
      </c>
      <c r="P1872" s="3424">
        <f>'Part IX A-Scoring Criteria'!P318</f>
        <v>0</v>
      </c>
      <c r="Q1872" s="3522"/>
      <c r="R1872" s="3358"/>
      <c r="S1872" s="3522"/>
      <c r="T1872" s="3571"/>
      <c r="U1872" s="3571"/>
      <c r="V1872" s="3522"/>
      <c r="W1872" s="3522"/>
      <c r="X1872" s="3522"/>
      <c r="Y1872" s="3522"/>
      <c r="Z1872" s="3522"/>
    </row>
    <row r="1873" spans="1:26" ht="18.75">
      <c r="A1873" s="3337" t="s">
        <v>121</v>
      </c>
      <c r="B1873" s="3326" t="s">
        <v>2070</v>
      </c>
      <c r="C1873" s="3504"/>
      <c r="D1873" s="358"/>
      <c r="E1873" s="3504"/>
      <c r="F1873" s="3504"/>
      <c r="G1873" s="3504"/>
      <c r="H1873" s="3504"/>
      <c r="I1873" s="3504"/>
      <c r="J1873" s="3504"/>
      <c r="K1873" s="358"/>
      <c r="L1873" s="3467" t="str">
        <f>IF(OR($O1873=$M1873,$O1873=0,$O1873=""),"","* * Check Score! * *")</f>
        <v/>
      </c>
      <c r="M1873" s="3310">
        <v>1</v>
      </c>
      <c r="N1873" s="3459" t="s">
        <v>121</v>
      </c>
      <c r="O1873" s="3503">
        <f>'Part IX A-Scoring Criteria'!O319</f>
        <v>0</v>
      </c>
      <c r="P1873" s="3503">
        <f>'Part IX A-Scoring Criteria'!P319</f>
        <v>0</v>
      </c>
      <c r="Q1873" s="3543" t="str">
        <f>IF(OR($O1873=$M1873,$O1873=0,$O1873=""),"","*CHECK!*")</f>
        <v/>
      </c>
      <c r="R1873" s="3587" t="s">
        <v>1806</v>
      </c>
      <c r="S1873" s="3504"/>
      <c r="T1873" s="3571"/>
      <c r="U1873" s="3571"/>
      <c r="V1873" s="3504"/>
      <c r="W1873" s="3504"/>
      <c r="X1873" s="3504"/>
      <c r="Y1873" s="3504"/>
      <c r="Z1873" s="3504"/>
    </row>
    <row r="1874" spans="1:26" ht="18.75">
      <c r="A1874" s="3337"/>
      <c r="B1874" s="3354" t="s">
        <v>2071</v>
      </c>
      <c r="C1874" s="3504"/>
      <c r="D1874" s="358"/>
      <c r="E1874" s="3504"/>
      <c r="F1874" s="3504"/>
      <c r="G1874" s="3504"/>
      <c r="H1874" s="3416"/>
      <c r="I1874" s="3504"/>
      <c r="J1874" s="3504"/>
      <c r="K1874" s="358"/>
      <c r="L1874" s="3522"/>
      <c r="M1874" s="3310"/>
      <c r="N1874" s="3459"/>
      <c r="O1874" s="3424">
        <f>'Part IX A-Scoring Criteria'!O320</f>
        <v>0</v>
      </c>
      <c r="P1874" s="3424">
        <f>'Part IX A-Scoring Criteria'!P320</f>
        <v>0</v>
      </c>
      <c r="Q1874" s="3358"/>
      <c r="R1874" s="3467"/>
      <c r="S1874" s="3504"/>
      <c r="T1874" s="3571"/>
      <c r="U1874" s="3571"/>
      <c r="V1874" s="3504"/>
      <c r="W1874" s="3504"/>
      <c r="X1874" s="3504"/>
      <c r="Y1874" s="3504"/>
      <c r="Z1874" s="3504"/>
    </row>
    <row r="1875" spans="1:26" ht="15">
      <c r="A1875" s="3111"/>
      <c r="B1875" s="3419" t="s">
        <v>1276</v>
      </c>
      <c r="C1875" s="3111"/>
      <c r="D1875" s="3419"/>
      <c r="E1875" s="3421"/>
      <c r="F1875" s="3421"/>
      <c r="G1875" s="3421"/>
      <c r="H1875" s="3421"/>
      <c r="I1875" s="3421"/>
      <c r="J1875" s="3421"/>
      <c r="K1875" s="3421"/>
      <c r="L1875" s="3421"/>
      <c r="M1875" s="3421"/>
      <c r="N1875" s="3539"/>
      <c r="O1875" s="3510"/>
      <c r="P1875" s="3319"/>
      <c r="Q1875" s="3535"/>
      <c r="R1875" s="3504"/>
      <c r="S1875" s="3504"/>
      <c r="T1875" s="3504"/>
      <c r="U1875" s="3504"/>
      <c r="V1875" s="3504"/>
      <c r="W1875" s="3504"/>
      <c r="X1875" s="3504"/>
      <c r="Y1875" s="3504"/>
      <c r="Z1875" s="3504"/>
    </row>
    <row r="1876" spans="1:26" ht="15.75">
      <c r="A1876" s="3418">
        <f>'Part IX A-Scoring Criteria'!A322</f>
        <v>0</v>
      </c>
      <c r="B1876" s="3418">
        <f>'Part IX A-Scoring Criteria'!B322</f>
        <v>0</v>
      </c>
      <c r="C1876" s="3418">
        <f>'Part IX A-Scoring Criteria'!C322</f>
        <v>0</v>
      </c>
      <c r="D1876" s="3418">
        <f>'Part IX A-Scoring Criteria'!D322</f>
        <v>0</v>
      </c>
      <c r="E1876" s="3418">
        <f>'Part IX A-Scoring Criteria'!E322</f>
        <v>0</v>
      </c>
      <c r="F1876" s="3418">
        <f>'Part IX A-Scoring Criteria'!F322</f>
        <v>0</v>
      </c>
      <c r="G1876" s="3418">
        <f>'Part IX A-Scoring Criteria'!G322</f>
        <v>0</v>
      </c>
      <c r="H1876" s="3418">
        <f>'Part IX A-Scoring Criteria'!H322</f>
        <v>0</v>
      </c>
      <c r="I1876" s="3418">
        <f>'Part IX A-Scoring Criteria'!I322</f>
        <v>0</v>
      </c>
      <c r="J1876" s="3418">
        <f>'Part IX A-Scoring Criteria'!J322</f>
        <v>0</v>
      </c>
      <c r="K1876" s="3418">
        <f>'Part IX A-Scoring Criteria'!K322</f>
        <v>0</v>
      </c>
      <c r="L1876" s="3418">
        <f>'Part IX A-Scoring Criteria'!L322</f>
        <v>0</v>
      </c>
      <c r="M1876" s="3418">
        <f>'Part IX A-Scoring Criteria'!M322</f>
        <v>0</v>
      </c>
      <c r="N1876" s="3418">
        <f>'Part IX A-Scoring Criteria'!N322</f>
        <v>0</v>
      </c>
      <c r="O1876" s="3418">
        <f>'Part IX A-Scoring Criteria'!O322</f>
        <v>0</v>
      </c>
      <c r="P1876" s="3418">
        <f>'Part IX A-Scoring Criteria'!P322</f>
        <v>0</v>
      </c>
      <c r="Q1876" s="3512"/>
      <c r="R1876" s="3504"/>
      <c r="S1876" s="3504"/>
      <c r="T1876" s="3504"/>
      <c r="U1876" s="3504"/>
      <c r="V1876" s="3504"/>
      <c r="W1876" s="3504"/>
      <c r="X1876" s="3504"/>
      <c r="Y1876" s="3504"/>
      <c r="Z1876" s="3504"/>
    </row>
    <row r="1877" spans="1:26" ht="15">
      <c r="A1877" s="3111"/>
      <c r="B1877" s="3111"/>
      <c r="C1877" s="3421"/>
      <c r="D1877" s="3421"/>
      <c r="E1877" s="3421"/>
      <c r="F1877" s="3421"/>
      <c r="G1877" s="3421"/>
      <c r="H1877" s="3421"/>
      <c r="I1877" s="3421"/>
      <c r="J1877" s="3421"/>
      <c r="K1877" s="3421"/>
      <c r="L1877" s="3421"/>
      <c r="M1877" s="3421"/>
      <c r="N1877" s="3539"/>
      <c r="O1877" s="3510"/>
      <c r="P1877" s="3319"/>
      <c r="Q1877" s="3504"/>
      <c r="R1877" s="3504"/>
      <c r="S1877" s="3504"/>
      <c r="T1877" s="3504"/>
      <c r="U1877" s="3504"/>
      <c r="V1877" s="3504"/>
      <c r="W1877" s="3504"/>
      <c r="X1877" s="3504"/>
      <c r="Y1877" s="3504"/>
      <c r="Z1877" s="3504"/>
    </row>
    <row r="1878" spans="1:26" ht="15">
      <c r="A1878" s="3631" t="s">
        <v>258</v>
      </c>
      <c r="B1878" s="3506" t="s">
        <v>2072</v>
      </c>
      <c r="C1878" s="3376"/>
      <c r="D1878" s="3481"/>
      <c r="E1878" s="358"/>
      <c r="F1878" s="3504"/>
      <c r="G1878" s="943"/>
      <c r="H1878" s="3504"/>
      <c r="I1878" s="3504"/>
      <c r="J1878" s="3504"/>
      <c r="K1878" s="3504"/>
      <c r="L1878" s="3504"/>
      <c r="M1878" s="3319">
        <v>2</v>
      </c>
      <c r="N1878" s="3310"/>
      <c r="O1878" s="3310"/>
      <c r="P1878" s="3319">
        <f>'Part IX A-Scoring Criteria'!P324</f>
        <v>0</v>
      </c>
      <c r="Q1878" s="3319" t="s">
        <v>834</v>
      </c>
      <c r="R1878" s="3504"/>
      <c r="S1878" s="3504"/>
      <c r="T1878" s="3504"/>
      <c r="U1878" s="3504"/>
      <c r="V1878" s="3504"/>
      <c r="W1878" s="3504"/>
      <c r="X1878" s="3504"/>
      <c r="Y1878" s="3504"/>
      <c r="Z1878" s="3504"/>
    </row>
    <row r="1879" spans="1:26" ht="15">
      <c r="A1879" s="3337" t="s">
        <v>121</v>
      </c>
      <c r="B1879" s="3326" t="s">
        <v>2073</v>
      </c>
      <c r="C1879" s="3376"/>
      <c r="D1879" s="3481"/>
      <c r="E1879" s="358"/>
      <c r="F1879" s="3504"/>
      <c r="G1879" s="3363">
        <f>'Part IX A-Scoring Criteria'!G325</f>
        <v>0</v>
      </c>
      <c r="H1879" s="3504"/>
      <c r="I1879" s="3504"/>
      <c r="J1879" s="3354" t="s">
        <v>2074</v>
      </c>
      <c r="K1879" s="3504"/>
      <c r="L1879" s="358"/>
      <c r="M1879" s="3504"/>
      <c r="N1879" s="3504"/>
      <c r="O1879" s="3313" t="str">
        <f>'Part I-Project Information'!$H$96</f>
        <v>No</v>
      </c>
      <c r="P1879" s="3319">
        <f>'Part IX A-Scoring Criteria'!P325</f>
        <v>0</v>
      </c>
      <c r="Q1879" s="3319"/>
      <c r="R1879" s="3504"/>
      <c r="S1879" s="3504"/>
      <c r="T1879" s="3504"/>
      <c r="U1879" s="3504"/>
      <c r="V1879" s="3504"/>
      <c r="W1879" s="3504"/>
      <c r="X1879" s="3504"/>
      <c r="Y1879" s="3504"/>
      <c r="Z1879" s="3504"/>
    </row>
    <row r="1880" spans="1:26" ht="15">
      <c r="A1880" s="3337"/>
      <c r="B1880" s="3576" t="s">
        <v>379</v>
      </c>
      <c r="C1880" s="358" t="s">
        <v>2075</v>
      </c>
      <c r="D1880" s="3111"/>
      <c r="E1880" s="3522"/>
      <c r="F1880" s="3522"/>
      <c r="G1880" s="3522"/>
      <c r="H1880" s="3522"/>
      <c r="I1880" s="3522"/>
      <c r="J1880" s="3522"/>
      <c r="K1880" s="3522"/>
      <c r="L1880" s="3522"/>
      <c r="M1880" s="3522"/>
      <c r="N1880" s="3573" t="s">
        <v>379</v>
      </c>
      <c r="O1880" s="3424">
        <f>'Part IX A-Scoring Criteria'!O326</f>
        <v>0</v>
      </c>
      <c r="P1880" s="3424">
        <f>'Part IX A-Scoring Criteria'!P326</f>
        <v>0</v>
      </c>
      <c r="Q1880" s="3522"/>
      <c r="R1880" s="3467"/>
      <c r="S1880" s="3522"/>
      <c r="T1880" s="3522"/>
      <c r="U1880" s="3522"/>
      <c r="V1880" s="3522"/>
      <c r="W1880" s="3522"/>
      <c r="X1880" s="3522"/>
      <c r="Y1880" s="3522"/>
      <c r="Z1880" s="3522"/>
    </row>
    <row r="1881" spans="1:26" ht="15">
      <c r="A1881" s="3337"/>
      <c r="B1881" s="3576" t="s">
        <v>389</v>
      </c>
      <c r="C1881" s="358" t="s">
        <v>2076</v>
      </c>
      <c r="D1881" s="3111"/>
      <c r="E1881" s="3522"/>
      <c r="F1881" s="3522"/>
      <c r="G1881" s="3522"/>
      <c r="H1881" s="3522"/>
      <c r="I1881" s="3522"/>
      <c r="J1881" s="3522"/>
      <c r="K1881" s="3522"/>
      <c r="L1881" s="3522"/>
      <c r="M1881" s="3522"/>
      <c r="N1881" s="3573" t="s">
        <v>389</v>
      </c>
      <c r="O1881" s="3424">
        <f>'Part IX A-Scoring Criteria'!O327</f>
        <v>0</v>
      </c>
      <c r="P1881" s="3424">
        <f>'Part IX A-Scoring Criteria'!P327</f>
        <v>0</v>
      </c>
      <c r="Q1881" s="3522"/>
      <c r="R1881" s="3467"/>
      <c r="S1881" s="3522"/>
      <c r="T1881" s="3522"/>
      <c r="U1881" s="3522"/>
      <c r="V1881" s="3522"/>
      <c r="W1881" s="3522"/>
      <c r="X1881" s="3522"/>
      <c r="Y1881" s="3522"/>
      <c r="Z1881" s="3522"/>
    </row>
    <row r="1882" spans="1:26" ht="15">
      <c r="A1882" s="3337"/>
      <c r="B1882" s="3576" t="s">
        <v>393</v>
      </c>
      <c r="C1882" s="358" t="s">
        <v>2077</v>
      </c>
      <c r="D1882" s="3111"/>
      <c r="E1882" s="3522"/>
      <c r="F1882" s="3522"/>
      <c r="G1882" s="3522"/>
      <c r="H1882" s="3522"/>
      <c r="I1882" s="3522"/>
      <c r="J1882" s="3522"/>
      <c r="K1882" s="3522"/>
      <c r="L1882" s="3522"/>
      <c r="M1882" s="3522"/>
      <c r="N1882" s="3573" t="s">
        <v>393</v>
      </c>
      <c r="O1882" s="3424">
        <f>'Part IX A-Scoring Criteria'!O328</f>
        <v>0</v>
      </c>
      <c r="P1882" s="3424">
        <f>'Part IX A-Scoring Criteria'!P328</f>
        <v>0</v>
      </c>
      <c r="Q1882" s="3522"/>
      <c r="R1882" s="3467"/>
      <c r="S1882" s="3522"/>
      <c r="T1882" s="3522"/>
      <c r="U1882" s="3522"/>
      <c r="V1882" s="3522"/>
      <c r="W1882" s="3522"/>
      <c r="X1882" s="3522"/>
      <c r="Y1882" s="3522"/>
      <c r="Z1882" s="3522"/>
    </row>
    <row r="1883" spans="1:26" ht="15">
      <c r="A1883" s="3337"/>
      <c r="B1883" s="3576" t="s">
        <v>445</v>
      </c>
      <c r="C1883" s="358" t="s">
        <v>2078</v>
      </c>
      <c r="D1883" s="3111"/>
      <c r="E1883" s="3522"/>
      <c r="F1883" s="3522"/>
      <c r="G1883" s="3522"/>
      <c r="H1883" s="3522"/>
      <c r="I1883" s="3522"/>
      <c r="J1883" s="3522"/>
      <c r="K1883" s="3522"/>
      <c r="L1883" s="3522"/>
      <c r="M1883" s="3522"/>
      <c r="N1883" s="3573" t="s">
        <v>445</v>
      </c>
      <c r="O1883" s="3424">
        <f>'Part IX A-Scoring Criteria'!O329</f>
        <v>0</v>
      </c>
      <c r="P1883" s="3424">
        <f>'Part IX A-Scoring Criteria'!P329</f>
        <v>0</v>
      </c>
      <c r="Q1883" s="3522"/>
      <c r="R1883" s="3467"/>
      <c r="S1883" s="3522"/>
      <c r="T1883" s="3522"/>
      <c r="U1883" s="3522"/>
      <c r="V1883" s="3522"/>
      <c r="W1883" s="3522"/>
      <c r="X1883" s="3522"/>
      <c r="Y1883" s="3522"/>
      <c r="Z1883" s="3522"/>
    </row>
    <row r="1884" spans="1:26" ht="15">
      <c r="A1884" s="3337" t="s">
        <v>110</v>
      </c>
      <c r="B1884" s="3326" t="s">
        <v>2079</v>
      </c>
      <c r="C1884" s="3376"/>
      <c r="D1884" s="3481"/>
      <c r="E1884" s="358"/>
      <c r="F1884" s="3504"/>
      <c r="G1884" s="3363">
        <f>'Part IX A-Scoring Criteria'!G330</f>
        <v>0</v>
      </c>
      <c r="H1884" s="3504"/>
      <c r="I1884" s="3363"/>
      <c r="J1884" s="3504"/>
      <c r="K1884" s="3504"/>
      <c r="L1884" s="3468"/>
      <c r="M1884" s="3468"/>
      <c r="N1884" s="3310"/>
      <c r="O1884" s="3504"/>
      <c r="P1884" s="3319"/>
      <c r="Q1884" s="3319"/>
      <c r="R1884" s="3504"/>
      <c r="S1884" s="3504"/>
      <c r="T1884" s="3504"/>
      <c r="U1884" s="3504"/>
      <c r="V1884" s="3504"/>
      <c r="W1884" s="3504"/>
      <c r="X1884" s="3504"/>
      <c r="Y1884" s="3504"/>
      <c r="Z1884" s="3504"/>
    </row>
    <row r="1885" spans="1:26" ht="15">
      <c r="A1885" s="3631"/>
      <c r="B1885" s="3576" t="s">
        <v>379</v>
      </c>
      <c r="C1885" s="358" t="s">
        <v>2075</v>
      </c>
      <c r="D1885" s="358"/>
      <c r="E1885" s="358"/>
      <c r="F1885" s="3522"/>
      <c r="G1885" s="3522"/>
      <c r="H1885" s="3522"/>
      <c r="I1885" s="3522"/>
      <c r="J1885" s="3522"/>
      <c r="K1885" s="3522"/>
      <c r="L1885" s="3522"/>
      <c r="M1885" s="3319"/>
      <c r="N1885" s="3573" t="s">
        <v>379</v>
      </c>
      <c r="O1885" s="3424">
        <f>'Part IX A-Scoring Criteria'!O331</f>
        <v>0</v>
      </c>
      <c r="P1885" s="3424">
        <f>'Part IX A-Scoring Criteria'!P331</f>
        <v>0</v>
      </c>
      <c r="Q1885" s="3319"/>
      <c r="R1885" s="3522"/>
      <c r="S1885" s="3522"/>
      <c r="T1885" s="3522"/>
      <c r="U1885" s="3522"/>
      <c r="V1885" s="3522"/>
      <c r="W1885" s="3522"/>
      <c r="X1885" s="3522"/>
      <c r="Y1885" s="3522"/>
      <c r="Z1885" s="3522"/>
    </row>
    <row r="1886" spans="1:26" ht="15">
      <c r="A1886" s="3337"/>
      <c r="B1886" s="3576" t="s">
        <v>389</v>
      </c>
      <c r="C1886" s="358" t="s">
        <v>2080</v>
      </c>
      <c r="D1886" s="3111"/>
      <c r="E1886" s="3522"/>
      <c r="F1886" s="3522"/>
      <c r="G1886" s="3522"/>
      <c r="H1886" s="3522"/>
      <c r="I1886" s="3522"/>
      <c r="J1886" s="3522"/>
      <c r="K1886" s="3522"/>
      <c r="L1886" s="3522"/>
      <c r="M1886" s="3522"/>
      <c r="N1886" s="3573" t="s">
        <v>389</v>
      </c>
      <c r="O1886" s="3424">
        <f>'Part IX A-Scoring Criteria'!O332</f>
        <v>0</v>
      </c>
      <c r="P1886" s="3424">
        <f>'Part IX A-Scoring Criteria'!P332</f>
        <v>0</v>
      </c>
      <c r="Q1886" s="3522"/>
      <c r="R1886" s="3467"/>
      <c r="S1886" s="3522"/>
      <c r="T1886" s="3522"/>
      <c r="U1886" s="3522"/>
      <c r="V1886" s="3522"/>
      <c r="W1886" s="3522"/>
      <c r="X1886" s="3522"/>
      <c r="Y1886" s="3522"/>
      <c r="Z1886" s="3522"/>
    </row>
    <row r="1887" spans="1:26" ht="15">
      <c r="A1887" s="3337"/>
      <c r="B1887" s="3576" t="s">
        <v>393</v>
      </c>
      <c r="C1887" s="358" t="s">
        <v>2078</v>
      </c>
      <c r="D1887" s="3111"/>
      <c r="E1887" s="3522"/>
      <c r="F1887" s="3522"/>
      <c r="G1887" s="3522"/>
      <c r="H1887" s="3522"/>
      <c r="I1887" s="3522"/>
      <c r="J1887" s="3522"/>
      <c r="K1887" s="3522"/>
      <c r="L1887" s="3522"/>
      <c r="M1887" s="3522"/>
      <c r="N1887" s="3573" t="s">
        <v>393</v>
      </c>
      <c r="O1887" s="3424">
        <f>'Part IX A-Scoring Criteria'!O333</f>
        <v>0</v>
      </c>
      <c r="P1887" s="3424">
        <f>'Part IX A-Scoring Criteria'!P333</f>
        <v>0</v>
      </c>
      <c r="Q1887" s="3522"/>
      <c r="R1887" s="3467"/>
      <c r="S1887" s="3522"/>
      <c r="T1887" s="3522"/>
      <c r="U1887" s="3522"/>
      <c r="V1887" s="3522"/>
      <c r="W1887" s="3522"/>
      <c r="X1887" s="3522"/>
      <c r="Y1887" s="3522"/>
      <c r="Z1887" s="3522"/>
    </row>
    <row r="1888" spans="1:26" ht="15">
      <c r="A1888" s="3504"/>
      <c r="B1888" s="3419" t="s">
        <v>1276</v>
      </c>
      <c r="C1888" s="3111"/>
      <c r="D1888" s="3419"/>
      <c r="E1888" s="3421"/>
      <c r="F1888" s="3421"/>
      <c r="G1888" s="3421"/>
      <c r="H1888" s="3421"/>
      <c r="I1888" s="3421"/>
      <c r="J1888" s="3421"/>
      <c r="K1888" s="3421"/>
      <c r="L1888" s="3421"/>
      <c r="M1888" s="3421"/>
      <c r="N1888" s="3539"/>
      <c r="O1888" s="3510"/>
      <c r="P1888" s="3319"/>
      <c r="Q1888" s="3535"/>
      <c r="R1888" s="3504"/>
      <c r="S1888" s="3504"/>
      <c r="T1888" s="3504"/>
      <c r="U1888" s="3504"/>
      <c r="V1888" s="3504"/>
      <c r="W1888" s="3504"/>
      <c r="X1888" s="3504"/>
      <c r="Y1888" s="3504"/>
      <c r="Z1888" s="3504"/>
    </row>
    <row r="1889" spans="1:26" ht="15.75">
      <c r="A1889" s="3418">
        <f>'Part IX A-Scoring Criteria'!A335</f>
        <v>0</v>
      </c>
      <c r="B1889" s="3418">
        <f>'Part IX A-Scoring Criteria'!B335</f>
        <v>0</v>
      </c>
      <c r="C1889" s="3418">
        <f>'Part IX A-Scoring Criteria'!C335</f>
        <v>0</v>
      </c>
      <c r="D1889" s="3418">
        <f>'Part IX A-Scoring Criteria'!D335</f>
        <v>0</v>
      </c>
      <c r="E1889" s="3418">
        <f>'Part IX A-Scoring Criteria'!E335</f>
        <v>0</v>
      </c>
      <c r="F1889" s="3418">
        <f>'Part IX A-Scoring Criteria'!F335</f>
        <v>0</v>
      </c>
      <c r="G1889" s="3418">
        <f>'Part IX A-Scoring Criteria'!G335</f>
        <v>0</v>
      </c>
      <c r="H1889" s="3418">
        <f>'Part IX A-Scoring Criteria'!H335</f>
        <v>0</v>
      </c>
      <c r="I1889" s="3418">
        <f>'Part IX A-Scoring Criteria'!I335</f>
        <v>0</v>
      </c>
      <c r="J1889" s="3418">
        <f>'Part IX A-Scoring Criteria'!J335</f>
        <v>0</v>
      </c>
      <c r="K1889" s="3418">
        <f>'Part IX A-Scoring Criteria'!K335</f>
        <v>0</v>
      </c>
      <c r="L1889" s="3418">
        <f>'Part IX A-Scoring Criteria'!L335</f>
        <v>0</v>
      </c>
      <c r="M1889" s="3418">
        <f>'Part IX A-Scoring Criteria'!M335</f>
        <v>0</v>
      </c>
      <c r="N1889" s="3418">
        <f>'Part IX A-Scoring Criteria'!N335</f>
        <v>0</v>
      </c>
      <c r="O1889" s="3418">
        <f>'Part IX A-Scoring Criteria'!O335</f>
        <v>0</v>
      </c>
      <c r="P1889" s="3418">
        <f>'Part IX A-Scoring Criteria'!P335</f>
        <v>0</v>
      </c>
      <c r="Q1889" s="3512"/>
      <c r="R1889" s="3504"/>
      <c r="S1889" s="3504"/>
      <c r="T1889" s="3504"/>
      <c r="U1889" s="3504"/>
      <c r="V1889" s="3504"/>
      <c r="W1889" s="3504"/>
      <c r="X1889" s="3504"/>
      <c r="Y1889" s="3504"/>
      <c r="Z1889" s="3504"/>
    </row>
    <row r="1890" spans="1:26">
      <c r="N1890" s="3306"/>
      <c r="O1890" s="3308"/>
      <c r="P1890" s="3308"/>
    </row>
    <row r="1891" spans="1:26" ht="15">
      <c r="A1891" s="3505" t="s">
        <v>260</v>
      </c>
      <c r="B1891" s="3506" t="s">
        <v>2081</v>
      </c>
      <c r="C1891" s="3564"/>
      <c r="D1891" s="3564"/>
      <c r="E1891" s="3564"/>
      <c r="F1891" s="3564"/>
      <c r="G1891" s="3564"/>
      <c r="H1891" s="358" t="s">
        <v>2082</v>
      </c>
      <c r="I1891" s="3451" t="str">
        <f>'Part I-Project Information'!$H$100</f>
        <v>Rural</v>
      </c>
      <c r="J1891" s="3354"/>
      <c r="K1891" s="3564"/>
      <c r="L1891" s="3467" t="str">
        <f>IF(OR($O1891=$M1891,$O1891=0,$O1891=""),"","* * Check Score! * *")</f>
        <v/>
      </c>
      <c r="M1891" s="3319">
        <v>1</v>
      </c>
      <c r="N1891" s="3565"/>
      <c r="O1891" s="3319">
        <f>'Part IX A-Scoring Criteria'!O337</f>
        <v>1</v>
      </c>
      <c r="P1891" s="3319">
        <f>'Part IX A-Scoring Criteria'!P337</f>
        <v>0</v>
      </c>
      <c r="Q1891" s="3319" t="s">
        <v>834</v>
      </c>
      <c r="R1891" s="3587" t="s">
        <v>1806</v>
      </c>
      <c r="S1891" s="3564"/>
      <c r="T1891" s="3564"/>
      <c r="U1891" s="3564"/>
      <c r="V1891" s="3564"/>
      <c r="W1891" s="3564"/>
      <c r="X1891" s="3564"/>
      <c r="Y1891" s="3564"/>
      <c r="Z1891" s="3564"/>
    </row>
    <row r="1892" spans="1:26" ht="15" customHeight="1">
      <c r="A1892" s="3418" t="s">
        <v>4849</v>
      </c>
      <c r="B1892" s="3418"/>
      <c r="C1892" s="3418"/>
      <c r="D1892" s="3418"/>
      <c r="E1892" s="3418"/>
      <c r="F1892" s="3418"/>
      <c r="G1892" s="3418"/>
      <c r="H1892" s="3418"/>
      <c r="I1892" s="3443" t="s">
        <v>2084</v>
      </c>
      <c r="J1892" s="3443"/>
      <c r="K1892" s="3443"/>
      <c r="L1892" s="3443"/>
      <c r="M1892" s="3443"/>
      <c r="N1892" s="3443"/>
      <c r="O1892" s="3443"/>
      <c r="P1892" s="3443"/>
      <c r="Q1892" s="3564"/>
      <c r="R1892" s="3467"/>
      <c r="S1892" s="3564"/>
      <c r="T1892" s="3564"/>
      <c r="U1892" s="3564"/>
      <c r="V1892" s="3564"/>
      <c r="W1892" s="3564"/>
      <c r="X1892" s="3564"/>
      <c r="Y1892" s="3564"/>
      <c r="Z1892" s="3564"/>
    </row>
    <row r="1893" spans="1:26" ht="15">
      <c r="A1893" s="3418"/>
      <c r="B1893" s="3418"/>
      <c r="C1893" s="3418"/>
      <c r="D1893" s="3418"/>
      <c r="E1893" s="3418"/>
      <c r="F1893" s="3418"/>
      <c r="G1893" s="3418"/>
      <c r="H1893" s="3418"/>
      <c r="I1893" s="358">
        <f>'Part IX A-Scoring Criteria'!I339</f>
        <v>1</v>
      </c>
      <c r="J1893" s="358">
        <f>'Part IX A-Scoring Criteria'!J339</f>
        <v>0</v>
      </c>
      <c r="K1893" s="358">
        <f>'Part IX A-Scoring Criteria'!K339</f>
        <v>0</v>
      </c>
      <c r="L1893" s="358">
        <f>'Part IX A-Scoring Criteria'!L339</f>
        <v>3</v>
      </c>
      <c r="M1893" s="358">
        <f>'Part IX A-Scoring Criteria'!M339</f>
        <v>0</v>
      </c>
      <c r="N1893" s="358">
        <f>'Part IX A-Scoring Criteria'!N339</f>
        <v>0</v>
      </c>
      <c r="O1893" s="358">
        <f>'Part IX A-Scoring Criteria'!O339</f>
        <v>0</v>
      </c>
      <c r="P1893" s="358">
        <f>'Part IX A-Scoring Criteria'!P339</f>
        <v>0</v>
      </c>
      <c r="Q1893" s="3564"/>
      <c r="R1893" s="3467"/>
      <c r="S1893" s="3564"/>
      <c r="T1893" s="3564"/>
      <c r="U1893" s="3564"/>
      <c r="V1893" s="3564"/>
      <c r="W1893" s="3564"/>
      <c r="X1893" s="3564"/>
      <c r="Y1893" s="3564"/>
      <c r="Z1893" s="3564"/>
    </row>
    <row r="1894" spans="1:26" ht="15">
      <c r="A1894" s="3418"/>
      <c r="B1894" s="3418"/>
      <c r="C1894" s="3418"/>
      <c r="D1894" s="3418"/>
      <c r="E1894" s="3418"/>
      <c r="F1894" s="3418"/>
      <c r="G1894" s="3418"/>
      <c r="H1894" s="3418"/>
      <c r="I1894" s="358">
        <f>'Part IX A-Scoring Criteria'!I340</f>
        <v>2</v>
      </c>
      <c r="J1894" s="358">
        <f>'Part IX A-Scoring Criteria'!J340</f>
        <v>0</v>
      </c>
      <c r="K1894" s="358">
        <f>'Part IX A-Scoring Criteria'!K340</f>
        <v>0</v>
      </c>
      <c r="L1894" s="358">
        <f>'Part IX A-Scoring Criteria'!L340</f>
        <v>4</v>
      </c>
      <c r="M1894" s="358">
        <f>'Part IX A-Scoring Criteria'!M340</f>
        <v>0</v>
      </c>
      <c r="N1894" s="358">
        <f>'Part IX A-Scoring Criteria'!N340</f>
        <v>0</v>
      </c>
      <c r="O1894" s="358">
        <f>'Part IX A-Scoring Criteria'!O340</f>
        <v>0</v>
      </c>
      <c r="P1894" s="358">
        <f>'Part IX A-Scoring Criteria'!P340</f>
        <v>0</v>
      </c>
      <c r="Q1894" s="3564"/>
      <c r="R1894" s="3467"/>
      <c r="S1894" s="3564"/>
      <c r="T1894" s="3564"/>
      <c r="U1894" s="3564"/>
      <c r="V1894" s="3564"/>
      <c r="W1894" s="3564"/>
      <c r="X1894" s="3564"/>
      <c r="Y1894" s="3564"/>
      <c r="Z1894" s="3564"/>
    </row>
    <row r="1895" spans="1:26" ht="15">
      <c r="A1895" s="3111"/>
      <c r="B1895" s="3523" t="s">
        <v>1810</v>
      </c>
      <c r="C1895" s="3111"/>
      <c r="D1895" s="3312"/>
      <c r="E1895" s="3312"/>
      <c r="F1895" s="3312"/>
      <c r="G1895" s="3312"/>
      <c r="H1895" s="358"/>
      <c r="I1895" s="358"/>
      <c r="J1895" s="358"/>
      <c r="K1895" s="358"/>
      <c r="L1895" s="3522"/>
      <c r="M1895" s="3310"/>
      <c r="N1895" s="3310"/>
      <c r="O1895" s="3503"/>
      <c r="P1895" s="3319"/>
      <c r="Q1895" s="3522"/>
      <c r="R1895" s="3522"/>
      <c r="S1895" s="3522"/>
      <c r="T1895" s="3522"/>
      <c r="U1895" s="3522"/>
      <c r="V1895" s="3522"/>
      <c r="W1895" s="3522"/>
      <c r="X1895" s="3522"/>
      <c r="Y1895" s="3522"/>
      <c r="Z1895" s="3522"/>
    </row>
    <row r="1896" spans="1:26" ht="168.75">
      <c r="A1896" s="3418" t="str">
        <f>'Part IX A-Scoring Criteria'!A342</f>
        <v>The Mill at Stone Valley is the only application being submitted by this development team; therefore, the team claims the one Priority Point here.</v>
      </c>
      <c r="B1896" s="3418">
        <f>'Part IX A-Scoring Criteria'!B342</f>
        <v>0</v>
      </c>
      <c r="C1896" s="3418">
        <f>'Part IX A-Scoring Criteria'!C342</f>
        <v>0</v>
      </c>
      <c r="D1896" s="3418">
        <f>'Part IX A-Scoring Criteria'!D342</f>
        <v>0</v>
      </c>
      <c r="E1896" s="3418">
        <f>'Part IX A-Scoring Criteria'!E342</f>
        <v>0</v>
      </c>
      <c r="F1896" s="3418">
        <f>'Part IX A-Scoring Criteria'!F342</f>
        <v>0</v>
      </c>
      <c r="G1896" s="3418">
        <f>'Part IX A-Scoring Criteria'!G342</f>
        <v>0</v>
      </c>
      <c r="H1896" s="3418">
        <f>'Part IX A-Scoring Criteria'!H342</f>
        <v>0</v>
      </c>
      <c r="I1896" s="3418">
        <f>'Part IX A-Scoring Criteria'!I342</f>
        <v>0</v>
      </c>
      <c r="J1896" s="3418">
        <f>'Part IX A-Scoring Criteria'!J342</f>
        <v>0</v>
      </c>
      <c r="K1896" s="3418">
        <f>'Part IX A-Scoring Criteria'!K342</f>
        <v>0</v>
      </c>
      <c r="L1896" s="3418">
        <f>'Part IX A-Scoring Criteria'!L342</f>
        <v>0</v>
      </c>
      <c r="M1896" s="3418">
        <f>'Part IX A-Scoring Criteria'!M342</f>
        <v>0</v>
      </c>
      <c r="N1896" s="3418">
        <f>'Part IX A-Scoring Criteria'!N342</f>
        <v>0</v>
      </c>
      <c r="O1896" s="3418">
        <f>'Part IX A-Scoring Criteria'!O342</f>
        <v>0</v>
      </c>
      <c r="P1896" s="3418">
        <f>'Part IX A-Scoring Criteria'!P342</f>
        <v>0</v>
      </c>
      <c r="Q1896" s="3512"/>
      <c r="R1896" s="3504"/>
      <c r="S1896" s="3504"/>
      <c r="T1896" s="3504"/>
      <c r="U1896" s="3504"/>
      <c r="V1896" s="3504"/>
      <c r="W1896" s="3504"/>
      <c r="X1896" s="3504"/>
      <c r="Y1896" s="3504"/>
      <c r="Z1896" s="3504"/>
    </row>
    <row r="1897" spans="1:26" ht="15">
      <c r="A1897" s="3111"/>
      <c r="B1897" s="3382" t="s">
        <v>1276</v>
      </c>
      <c r="C1897" s="3111"/>
      <c r="D1897" s="3382"/>
      <c r="E1897" s="3348"/>
      <c r="F1897" s="3348"/>
      <c r="G1897" s="3348"/>
      <c r="H1897" s="3348"/>
      <c r="I1897" s="3348"/>
      <c r="J1897" s="3348"/>
      <c r="K1897" s="3348"/>
      <c r="L1897" s="3348"/>
      <c r="M1897" s="3348"/>
      <c r="N1897" s="3445"/>
      <c r="O1897" s="3324"/>
      <c r="P1897" s="3319"/>
      <c r="Q1897" s="3535"/>
      <c r="R1897" s="3522"/>
      <c r="S1897" s="3522"/>
      <c r="T1897" s="3522"/>
      <c r="U1897" s="3522"/>
      <c r="V1897" s="3522"/>
      <c r="W1897" s="3522"/>
      <c r="X1897" s="3522"/>
      <c r="Y1897" s="3522"/>
      <c r="Z1897" s="3522"/>
    </row>
    <row r="1898" spans="1:26" ht="15.75">
      <c r="A1898" s="3418">
        <f>'Part IX A-Scoring Criteria'!A344</f>
        <v>0</v>
      </c>
      <c r="B1898" s="3418">
        <f>'Part IX A-Scoring Criteria'!B344</f>
        <v>0</v>
      </c>
      <c r="C1898" s="3418">
        <f>'Part IX A-Scoring Criteria'!C344</f>
        <v>0</v>
      </c>
      <c r="D1898" s="3418">
        <f>'Part IX A-Scoring Criteria'!D344</f>
        <v>0</v>
      </c>
      <c r="E1898" s="3418">
        <f>'Part IX A-Scoring Criteria'!E344</f>
        <v>0</v>
      </c>
      <c r="F1898" s="3418">
        <f>'Part IX A-Scoring Criteria'!F344</f>
        <v>0</v>
      </c>
      <c r="G1898" s="3418">
        <f>'Part IX A-Scoring Criteria'!G344</f>
        <v>0</v>
      </c>
      <c r="H1898" s="3418">
        <f>'Part IX A-Scoring Criteria'!H344</f>
        <v>0</v>
      </c>
      <c r="I1898" s="3418">
        <f>'Part IX A-Scoring Criteria'!I344</f>
        <v>0</v>
      </c>
      <c r="J1898" s="3418">
        <f>'Part IX A-Scoring Criteria'!J344</f>
        <v>0</v>
      </c>
      <c r="K1898" s="3418">
        <f>'Part IX A-Scoring Criteria'!K344</f>
        <v>0</v>
      </c>
      <c r="L1898" s="3418">
        <f>'Part IX A-Scoring Criteria'!L344</f>
        <v>0</v>
      </c>
      <c r="M1898" s="3418">
        <f>'Part IX A-Scoring Criteria'!M344</f>
        <v>0</v>
      </c>
      <c r="N1898" s="3418">
        <f>'Part IX A-Scoring Criteria'!N344</f>
        <v>0</v>
      </c>
      <c r="O1898" s="3418">
        <f>'Part IX A-Scoring Criteria'!O344</f>
        <v>0</v>
      </c>
      <c r="P1898" s="3418">
        <f>'Part IX A-Scoring Criteria'!P344</f>
        <v>0</v>
      </c>
      <c r="Q1898" s="3512"/>
      <c r="R1898" s="3504"/>
      <c r="S1898" s="3504"/>
      <c r="T1898" s="3504"/>
      <c r="U1898" s="3504"/>
      <c r="V1898" s="3504"/>
      <c r="W1898" s="3504"/>
      <c r="X1898" s="3504"/>
      <c r="Y1898" s="3504"/>
      <c r="Z1898" s="3504"/>
    </row>
    <row r="1899" spans="1:26" ht="15">
      <c r="A1899" s="3111"/>
      <c r="B1899" s="3504"/>
      <c r="C1899" s="3421"/>
      <c r="D1899" s="3421"/>
      <c r="E1899" s="3421"/>
      <c r="F1899" s="3421"/>
      <c r="G1899" s="3421"/>
      <c r="H1899" s="3421"/>
      <c r="I1899" s="3421"/>
      <c r="J1899" s="3421"/>
      <c r="K1899" s="3421"/>
      <c r="L1899" s="3421"/>
      <c r="M1899" s="3421"/>
      <c r="N1899" s="3539"/>
      <c r="O1899" s="3510"/>
      <c r="P1899" s="3319"/>
      <c r="Q1899" s="3504"/>
      <c r="R1899" s="3504"/>
      <c r="S1899" s="3504"/>
      <c r="T1899" s="3504"/>
      <c r="U1899" s="3504"/>
      <c r="V1899" s="3504"/>
      <c r="W1899" s="3504"/>
      <c r="X1899" s="3504"/>
      <c r="Y1899" s="3504"/>
      <c r="Z1899" s="3504"/>
    </row>
    <row r="1900" spans="1:26" ht="15">
      <c r="A1900" s="3505" t="s">
        <v>1482</v>
      </c>
      <c r="B1900" s="3506" t="s">
        <v>2085</v>
      </c>
      <c r="C1900" s="3504"/>
      <c r="D1900" s="3376"/>
      <c r="E1900" s="3376"/>
      <c r="F1900" s="3504"/>
      <c r="G1900" s="358"/>
      <c r="H1900" s="358"/>
      <c r="I1900" s="358"/>
      <c r="J1900" s="3504"/>
      <c r="K1900" s="3416"/>
      <c r="L1900" s="3467"/>
      <c r="M1900" s="3319">
        <v>2</v>
      </c>
      <c r="N1900" s="3565"/>
      <c r="O1900" s="3503">
        <f>'Part IX A-Scoring Criteria'!O346</f>
        <v>0</v>
      </c>
      <c r="P1900" s="3503">
        <f>'Part IX A-Scoring Criteria'!P346</f>
        <v>0</v>
      </c>
      <c r="Q1900" s="3319" t="s">
        <v>834</v>
      </c>
      <c r="R1900" s="3504"/>
      <c r="S1900" s="3504"/>
      <c r="T1900" s="3504"/>
      <c r="U1900" s="3504"/>
      <c r="V1900" s="3504"/>
      <c r="W1900" s="3504"/>
      <c r="X1900" s="3504"/>
      <c r="Y1900" s="3504"/>
      <c r="Z1900" s="3504"/>
    </row>
    <row r="1901" spans="1:26" ht="15.75">
      <c r="A1901" s="3337" t="s">
        <v>110</v>
      </c>
      <c r="B1901" s="3451" t="s">
        <v>2086</v>
      </c>
      <c r="C1901" s="3504"/>
      <c r="D1901" s="3376"/>
      <c r="E1901" s="3376"/>
      <c r="F1901" s="3504"/>
      <c r="G1901" s="358"/>
      <c r="H1901" s="3512"/>
      <c r="I1901" s="3504"/>
      <c r="J1901" s="3504"/>
      <c r="K1901" s="3504"/>
      <c r="L1901" s="3467" t="str">
        <f>IF(OR($O1901=$M1901,$O1901=0,$O1901=""),"","* * Check Score! * *")</f>
        <v/>
      </c>
      <c r="M1901" s="3310">
        <v>1</v>
      </c>
      <c r="N1901" s="3565" t="str">
        <f>IF(OR($O1901=$M1901,$O1901=0,$O1901=""),"","***")</f>
        <v/>
      </c>
      <c r="O1901" s="3503">
        <f>'Part IX A-Scoring Criteria'!O347</f>
        <v>0</v>
      </c>
      <c r="P1901" s="3503">
        <f>'Part IX A-Scoring Criteria'!P347</f>
        <v>0</v>
      </c>
      <c r="Q1901" s="3543" t="str">
        <f>IF(OR($O1901=$M1901,$O1901=0,$O1901=""),"","*CHECK!*")</f>
        <v/>
      </c>
      <c r="R1901" s="3587" t="s">
        <v>1806</v>
      </c>
      <c r="S1901" s="3504"/>
      <c r="T1901" s="3504"/>
      <c r="U1901" s="3504"/>
      <c r="V1901" s="3504"/>
      <c r="W1901" s="3504"/>
      <c r="X1901" s="3504"/>
      <c r="Y1901" s="3504"/>
      <c r="Z1901" s="3504"/>
    </row>
    <row r="1902" spans="1:26" ht="15">
      <c r="A1902" s="3504"/>
      <c r="B1902" s="3354" t="s">
        <v>2087</v>
      </c>
      <c r="C1902" s="3504"/>
      <c r="D1902" s="3522"/>
      <c r="E1902" s="3376"/>
      <c r="F1902" s="358"/>
      <c r="G1902" s="358"/>
      <c r="H1902" s="358" t="str">
        <f>'Part IX A-Scoring Criteria'!H348</f>
        <v>&lt; Select applicable GICH &gt;</v>
      </c>
      <c r="I1902" s="358">
        <f>'Part IX A-Scoring Criteria'!I348</f>
        <v>0</v>
      </c>
      <c r="J1902" s="358">
        <f>'Part IX A-Scoring Criteria'!J348</f>
        <v>0</v>
      </c>
      <c r="K1902" s="3504"/>
      <c r="L1902" s="3504"/>
      <c r="M1902" s="3504"/>
      <c r="N1902" s="3459" t="s">
        <v>110</v>
      </c>
      <c r="O1902" s="3468" t="s">
        <v>437</v>
      </c>
      <c r="P1902" s="3468" t="s">
        <v>437</v>
      </c>
      <c r="Q1902" s="3504"/>
      <c r="R1902" s="3504"/>
      <c r="S1902" s="3504"/>
      <c r="T1902" s="3504"/>
      <c r="U1902" s="3504"/>
      <c r="V1902" s="3504"/>
      <c r="W1902" s="3504"/>
      <c r="X1902" s="3504"/>
      <c r="Y1902" s="3504"/>
      <c r="Z1902" s="3504"/>
    </row>
    <row r="1903" spans="1:26">
      <c r="A1903" s="358"/>
      <c r="B1903" s="3573" t="s">
        <v>379</v>
      </c>
      <c r="C1903" s="3354" t="s">
        <v>2089</v>
      </c>
      <c r="D1903" s="358"/>
      <c r="E1903" s="358"/>
      <c r="F1903" s="358"/>
      <c r="G1903" s="358"/>
      <c r="H1903" s="358"/>
      <c r="I1903" s="358"/>
      <c r="J1903" s="358"/>
      <c r="K1903" s="358"/>
      <c r="L1903" s="358"/>
      <c r="M1903" s="358"/>
      <c r="N1903" s="3573" t="s">
        <v>379</v>
      </c>
      <c r="O1903" s="3424" t="str">
        <f>'Part IX A-Scoring Criteria'!O349</f>
        <v>N/a</v>
      </c>
      <c r="P1903" s="3424">
        <f>'Part IX A-Scoring Criteria'!P349</f>
        <v>0</v>
      </c>
      <c r="Q1903" s="358"/>
      <c r="R1903" s="358"/>
      <c r="S1903" s="358"/>
      <c r="T1903" s="358"/>
      <c r="U1903" s="358"/>
      <c r="V1903" s="358"/>
      <c r="W1903" s="358"/>
      <c r="X1903" s="358"/>
      <c r="Y1903" s="358"/>
      <c r="Z1903" s="358"/>
    </row>
    <row r="1904" spans="1:26">
      <c r="A1904" s="358"/>
      <c r="B1904" s="3573" t="s">
        <v>389</v>
      </c>
      <c r="C1904" s="3354" t="s">
        <v>2090</v>
      </c>
      <c r="D1904" s="358"/>
      <c r="E1904" s="358"/>
      <c r="F1904" s="358"/>
      <c r="G1904" s="358"/>
      <c r="H1904" s="358"/>
      <c r="I1904" s="358"/>
      <c r="J1904" s="358"/>
      <c r="K1904" s="358"/>
      <c r="L1904" s="358"/>
      <c r="M1904" s="358"/>
      <c r="N1904" s="3573" t="s">
        <v>389</v>
      </c>
      <c r="O1904" s="3424" t="str">
        <f>'Part IX A-Scoring Criteria'!O350</f>
        <v>N/a</v>
      </c>
      <c r="P1904" s="3424">
        <f>'Part IX A-Scoring Criteria'!P350</f>
        <v>0</v>
      </c>
      <c r="Q1904" s="358"/>
      <c r="R1904" s="358"/>
      <c r="S1904" s="358"/>
      <c r="T1904" s="358"/>
      <c r="U1904" s="358"/>
      <c r="V1904" s="358"/>
      <c r="W1904" s="358"/>
      <c r="X1904" s="358"/>
      <c r="Y1904" s="358"/>
      <c r="Z1904" s="358"/>
    </row>
    <row r="1905" spans="1:26">
      <c r="A1905" s="358"/>
      <c r="B1905" s="3573" t="s">
        <v>393</v>
      </c>
      <c r="C1905" s="3354" t="s">
        <v>2091</v>
      </c>
      <c r="D1905" s="358"/>
      <c r="E1905" s="358"/>
      <c r="F1905" s="358"/>
      <c r="G1905" s="358"/>
      <c r="H1905" s="358"/>
      <c r="I1905" s="358"/>
      <c r="J1905" s="358"/>
      <c r="K1905" s="358"/>
      <c r="L1905" s="358"/>
      <c r="M1905" s="358"/>
      <c r="N1905" s="3573" t="s">
        <v>393</v>
      </c>
      <c r="O1905" s="3424" t="str">
        <f>'Part IX A-Scoring Criteria'!O351</f>
        <v>N/a</v>
      </c>
      <c r="P1905" s="3424">
        <f>'Part IX A-Scoring Criteria'!P351</f>
        <v>0</v>
      </c>
      <c r="Q1905" s="358"/>
      <c r="R1905" s="358"/>
      <c r="S1905" s="358"/>
      <c r="T1905" s="358"/>
      <c r="U1905" s="358"/>
      <c r="V1905" s="358"/>
      <c r="W1905" s="358"/>
      <c r="X1905" s="358"/>
      <c r="Y1905" s="358"/>
      <c r="Z1905" s="358"/>
    </row>
    <row r="1906" spans="1:26">
      <c r="A1906" s="943"/>
      <c r="B1906" s="3527" t="s">
        <v>2092</v>
      </c>
      <c r="C1906" s="943"/>
      <c r="D1906" s="358"/>
      <c r="E1906" s="358"/>
      <c r="F1906" s="358"/>
      <c r="G1906" s="358"/>
      <c r="H1906" s="358"/>
      <c r="I1906" s="358"/>
      <c r="J1906" s="358"/>
      <c r="K1906" s="358"/>
      <c r="L1906" s="358"/>
      <c r="M1906" s="358"/>
      <c r="N1906" s="3459"/>
      <c r="O1906" s="3459"/>
      <c r="P1906" s="3459"/>
      <c r="Q1906" s="943"/>
      <c r="R1906" s="943"/>
      <c r="S1906" s="943"/>
      <c r="T1906" s="943"/>
      <c r="U1906" s="943"/>
      <c r="V1906" s="943"/>
      <c r="W1906" s="943"/>
      <c r="X1906" s="943"/>
      <c r="Y1906" s="943"/>
      <c r="Z1906" s="943"/>
    </row>
    <row r="1907" spans="1:26">
      <c r="A1907" s="943"/>
      <c r="B1907" s="3527"/>
      <c r="C1907" s="943"/>
      <c r="D1907" s="358"/>
      <c r="E1907" s="358"/>
      <c r="F1907" s="358"/>
      <c r="G1907" s="358"/>
      <c r="H1907" s="358"/>
      <c r="I1907" s="358"/>
      <c r="J1907" s="358"/>
      <c r="K1907" s="358"/>
      <c r="L1907" s="358"/>
      <c r="M1907" s="358"/>
      <c r="N1907" s="3459"/>
      <c r="O1907" s="3459"/>
      <c r="P1907" s="3459"/>
      <c r="Q1907" s="943"/>
      <c r="R1907" s="943"/>
      <c r="S1907" s="943"/>
      <c r="T1907" s="943"/>
      <c r="U1907" s="943"/>
      <c r="V1907" s="943"/>
      <c r="W1907" s="943"/>
      <c r="X1907" s="943"/>
      <c r="Y1907" s="943"/>
      <c r="Z1907" s="943"/>
    </row>
    <row r="1908" spans="1:26" ht="13.5">
      <c r="A1908" s="3337" t="s">
        <v>121</v>
      </c>
      <c r="B1908" s="3326" t="s">
        <v>2093</v>
      </c>
      <c r="D1908" s="3111"/>
      <c r="H1908" s="3632" t="s">
        <v>2094</v>
      </c>
      <c r="I1908" s="3632"/>
      <c r="J1908" s="3632"/>
      <c r="K1908" s="3632"/>
      <c r="L1908" s="3632"/>
      <c r="M1908" s="3313">
        <v>1</v>
      </c>
      <c r="N1908" s="3459" t="s">
        <v>121</v>
      </c>
      <c r="O1908" s="3503">
        <f>'Part IX A-Scoring Criteria'!O354</f>
        <v>0</v>
      </c>
      <c r="P1908" s="3503">
        <f>'Part IX A-Scoring Criteria'!P354</f>
        <v>0</v>
      </c>
      <c r="Q1908" s="3543" t="str">
        <f>IF(OR($O1908=$M1908,$O1908=0,$O1908=""),"","*CHECK!*")</f>
        <v/>
      </c>
      <c r="R1908" s="3587" t="s">
        <v>1806</v>
      </c>
    </row>
    <row r="1909" spans="1:26">
      <c r="A1909" s="3111"/>
      <c r="B1909" s="358" t="s">
        <v>2095</v>
      </c>
      <c r="C1909" s="3111"/>
      <c r="D1909" s="3111"/>
      <c r="E1909" s="3111"/>
      <c r="F1909" s="3111"/>
      <c r="G1909" s="3111"/>
      <c r="H1909" s="3111"/>
      <c r="I1909" s="3111"/>
      <c r="J1909" s="3111"/>
      <c r="K1909" s="3111"/>
      <c r="L1909" s="3111"/>
      <c r="M1909" s="3111"/>
      <c r="N1909" s="3111"/>
      <c r="O1909" s="3424" t="str">
        <f>'Part IX A-Scoring Criteria'!O355</f>
        <v>No</v>
      </c>
      <c r="P1909" s="3424">
        <f>'Part IX A-Scoring Criteria'!P355</f>
        <v>0</v>
      </c>
      <c r="Q1909" s="3113"/>
      <c r="R1909" s="3111"/>
      <c r="S1909" s="3111"/>
      <c r="T1909" s="3111"/>
      <c r="U1909" s="3111"/>
      <c r="V1909" s="3111"/>
      <c r="W1909" s="3111"/>
      <c r="X1909" s="3111"/>
      <c r="Y1909" s="3111"/>
      <c r="Z1909" s="3111"/>
    </row>
    <row r="1910" spans="1:26">
      <c r="A1910" s="3457"/>
      <c r="B1910" s="358" t="s">
        <v>2096</v>
      </c>
      <c r="C1910" s="358" t="str">
        <f>'Part I-Project Information'!$F$38</f>
        <v>Ball Ground</v>
      </c>
      <c r="D1910" s="3111"/>
      <c r="E1910" s="358" t="s">
        <v>2097</v>
      </c>
      <c r="F1910" s="358" t="str">
        <f>'Part I-Project Information'!$J$39</f>
        <v>Cherokee</v>
      </c>
      <c r="G1910" s="3111"/>
      <c r="H1910" s="3354" t="s">
        <v>80</v>
      </c>
      <c r="I1910" s="3354" t="str">
        <f>'Part I-Project Information'!$N$39</f>
        <v>No</v>
      </c>
      <c r="J1910" s="3111"/>
      <c r="K1910" s="3354" t="s">
        <v>2098</v>
      </c>
      <c r="L1910" s="3602" t="str">
        <f>'Part I-Project Information'!$O$38</f>
        <v>0901.00</v>
      </c>
      <c r="M1910" s="3602"/>
      <c r="N1910" s="3602"/>
      <c r="O1910" s="3602"/>
      <c r="P1910" s="3602"/>
      <c r="Q1910" s="3111"/>
      <c r="R1910" s="3111"/>
      <c r="S1910" s="3111"/>
      <c r="T1910" s="3111"/>
      <c r="U1910" s="3111"/>
      <c r="V1910" s="3111"/>
      <c r="W1910" s="3111"/>
      <c r="X1910" s="3111"/>
      <c r="Y1910" s="3111"/>
      <c r="Z1910" s="3111"/>
    </row>
    <row r="1911" spans="1:26" ht="15">
      <c r="A1911" s="3111"/>
      <c r="B1911" s="3523" t="s">
        <v>1810</v>
      </c>
      <c r="C1911" s="3111"/>
      <c r="D1911" s="3312"/>
      <c r="E1911" s="3312"/>
      <c r="F1911" s="3312"/>
      <c r="G1911" s="3312"/>
      <c r="H1911" s="358"/>
      <c r="I1911" s="358"/>
      <c r="J1911" s="358"/>
      <c r="K1911" s="358"/>
      <c r="L1911" s="3522"/>
      <c r="M1911" s="3310"/>
      <c r="N1911" s="3310"/>
      <c r="O1911" s="3503"/>
      <c r="P1911" s="3319"/>
      <c r="Q1911" s="3522"/>
      <c r="R1911" s="3522"/>
      <c r="S1911" s="3522"/>
      <c r="T1911" s="3522"/>
      <c r="U1911" s="3522"/>
      <c r="V1911" s="3522"/>
      <c r="W1911" s="3522"/>
      <c r="X1911" s="3522"/>
      <c r="Y1911" s="3522"/>
      <c r="Z1911" s="3522"/>
    </row>
    <row r="1912" spans="1:26" ht="135">
      <c r="A1912" s="3418" t="str">
        <f>'Part IX A-Scoring Criteria'!A358</f>
        <v>The Mill at Stone Valley is located in neither a GICH Community nor a Georgia-designated Military Zone</v>
      </c>
      <c r="B1912" s="3418">
        <f>'Part IX A-Scoring Criteria'!B358</f>
        <v>0</v>
      </c>
      <c r="C1912" s="3418">
        <f>'Part IX A-Scoring Criteria'!C358</f>
        <v>0</v>
      </c>
      <c r="D1912" s="3418">
        <f>'Part IX A-Scoring Criteria'!D358</f>
        <v>0</v>
      </c>
      <c r="E1912" s="3418">
        <f>'Part IX A-Scoring Criteria'!E358</f>
        <v>0</v>
      </c>
      <c r="F1912" s="3418">
        <f>'Part IX A-Scoring Criteria'!F358</f>
        <v>0</v>
      </c>
      <c r="G1912" s="3418">
        <f>'Part IX A-Scoring Criteria'!G358</f>
        <v>0</v>
      </c>
      <c r="H1912" s="3418">
        <f>'Part IX A-Scoring Criteria'!H358</f>
        <v>0</v>
      </c>
      <c r="I1912" s="3418">
        <f>'Part IX A-Scoring Criteria'!I358</f>
        <v>0</v>
      </c>
      <c r="J1912" s="3418">
        <f>'Part IX A-Scoring Criteria'!J358</f>
        <v>0</v>
      </c>
      <c r="K1912" s="3418">
        <f>'Part IX A-Scoring Criteria'!K358</f>
        <v>0</v>
      </c>
      <c r="L1912" s="3418">
        <f>'Part IX A-Scoring Criteria'!L358</f>
        <v>0</v>
      </c>
      <c r="M1912" s="3418">
        <f>'Part IX A-Scoring Criteria'!M358</f>
        <v>0</v>
      </c>
      <c r="N1912" s="3418">
        <f>'Part IX A-Scoring Criteria'!N358</f>
        <v>0</v>
      </c>
      <c r="O1912" s="3418">
        <f>'Part IX A-Scoring Criteria'!O358</f>
        <v>0</v>
      </c>
      <c r="P1912" s="3418">
        <f>'Part IX A-Scoring Criteria'!P358</f>
        <v>0</v>
      </c>
      <c r="Q1912" s="3512"/>
      <c r="R1912" s="3504"/>
      <c r="S1912" s="3504"/>
      <c r="T1912" s="3504"/>
      <c r="U1912" s="3504"/>
      <c r="V1912" s="3504"/>
      <c r="W1912" s="3504"/>
      <c r="X1912" s="3504"/>
      <c r="Y1912" s="3504"/>
      <c r="Z1912" s="3504"/>
    </row>
    <row r="1913" spans="1:26" ht="15">
      <c r="A1913" s="3111"/>
      <c r="B1913" s="3382" t="s">
        <v>1276</v>
      </c>
      <c r="C1913" s="3111"/>
      <c r="D1913" s="3382"/>
      <c r="E1913" s="3348"/>
      <c r="F1913" s="3348"/>
      <c r="G1913" s="3348"/>
      <c r="H1913" s="3348"/>
      <c r="I1913" s="3348"/>
      <c r="J1913" s="3348"/>
      <c r="K1913" s="3348"/>
      <c r="L1913" s="3348"/>
      <c r="M1913" s="3348"/>
      <c r="N1913" s="3445"/>
      <c r="O1913" s="3324"/>
      <c r="P1913" s="3319"/>
      <c r="Q1913" s="3535"/>
      <c r="R1913" s="3522"/>
      <c r="S1913" s="3522"/>
      <c r="T1913" s="3522"/>
      <c r="U1913" s="3522"/>
      <c r="V1913" s="3522"/>
      <c r="W1913" s="3522"/>
      <c r="X1913" s="3522"/>
      <c r="Y1913" s="3522"/>
      <c r="Z1913" s="3522"/>
    </row>
    <row r="1914" spans="1:26" ht="15.75">
      <c r="A1914" s="3418">
        <f>'Part IX A-Scoring Criteria'!A360</f>
        <v>0</v>
      </c>
      <c r="B1914" s="3418">
        <f>'Part IX A-Scoring Criteria'!B360</f>
        <v>0</v>
      </c>
      <c r="C1914" s="3418">
        <f>'Part IX A-Scoring Criteria'!C360</f>
        <v>0</v>
      </c>
      <c r="D1914" s="3418">
        <f>'Part IX A-Scoring Criteria'!D360</f>
        <v>0</v>
      </c>
      <c r="E1914" s="3418">
        <f>'Part IX A-Scoring Criteria'!E360</f>
        <v>0</v>
      </c>
      <c r="F1914" s="3418">
        <f>'Part IX A-Scoring Criteria'!F360</f>
        <v>0</v>
      </c>
      <c r="G1914" s="3418">
        <f>'Part IX A-Scoring Criteria'!G360</f>
        <v>0</v>
      </c>
      <c r="H1914" s="3418">
        <f>'Part IX A-Scoring Criteria'!H360</f>
        <v>0</v>
      </c>
      <c r="I1914" s="3418">
        <f>'Part IX A-Scoring Criteria'!I360</f>
        <v>0</v>
      </c>
      <c r="J1914" s="3418">
        <f>'Part IX A-Scoring Criteria'!J360</f>
        <v>0</v>
      </c>
      <c r="K1914" s="3418">
        <f>'Part IX A-Scoring Criteria'!K360</f>
        <v>0</v>
      </c>
      <c r="L1914" s="3418">
        <f>'Part IX A-Scoring Criteria'!L360</f>
        <v>0</v>
      </c>
      <c r="M1914" s="3418">
        <f>'Part IX A-Scoring Criteria'!M360</f>
        <v>0</v>
      </c>
      <c r="N1914" s="3418">
        <f>'Part IX A-Scoring Criteria'!N360</f>
        <v>0</v>
      </c>
      <c r="O1914" s="3418">
        <f>'Part IX A-Scoring Criteria'!O360</f>
        <v>0</v>
      </c>
      <c r="P1914" s="3418">
        <f>'Part IX A-Scoring Criteria'!P360</f>
        <v>0</v>
      </c>
      <c r="Q1914" s="3512"/>
      <c r="R1914" s="3504"/>
      <c r="S1914" s="3504"/>
      <c r="T1914" s="3504"/>
      <c r="U1914" s="3504"/>
      <c r="V1914" s="3504"/>
      <c r="W1914" s="3504"/>
      <c r="X1914" s="3504"/>
      <c r="Y1914" s="3504"/>
      <c r="Z1914" s="3504"/>
    </row>
    <row r="1915" spans="1:26">
      <c r="N1915" s="3306"/>
      <c r="O1915" s="3308"/>
      <c r="P1915" s="3308"/>
    </row>
    <row r="1916" spans="1:26" ht="15">
      <c r="A1916" s="3505" t="s">
        <v>1486</v>
      </c>
      <c r="B1916" s="3506" t="s">
        <v>2099</v>
      </c>
      <c r="C1916" s="3504"/>
      <c r="D1916" s="3376"/>
      <c r="E1916" s="3376"/>
      <c r="F1916" s="358"/>
      <c r="G1916" s="358"/>
      <c r="H1916" s="3326" t="s">
        <v>1815</v>
      </c>
      <c r="I1916" s="3504"/>
      <c r="J1916" s="3326" t="str">
        <f>'Part I-Project Information'!$H$100</f>
        <v>Rural</v>
      </c>
      <c r="K1916" s="3504"/>
      <c r="L1916" s="3467" t="str">
        <f>IF(OR($O1916=$M1916,$O1916=$M1923,$O1916=$M1941,$O1916=0,$O1916=""),"","* * Check Score! * *")</f>
        <v/>
      </c>
      <c r="M1916" s="3503">
        <v>4</v>
      </c>
      <c r="N1916" s="3310"/>
      <c r="O1916" s="3503">
        <f>'Part IX A-Scoring Criteria'!O362</f>
        <v>0</v>
      </c>
      <c r="P1916" s="3503">
        <f>'Part IX A-Scoring Criteria'!P362</f>
        <v>0</v>
      </c>
      <c r="Q1916" s="3319" t="s">
        <v>834</v>
      </c>
      <c r="R1916" s="3504"/>
      <c r="S1916" s="3504"/>
      <c r="T1916" s="3504"/>
      <c r="U1916" s="3504"/>
      <c r="V1916" s="3504"/>
      <c r="W1916" s="3504"/>
      <c r="X1916" s="3504"/>
      <c r="Y1916" s="3504"/>
      <c r="Z1916" s="3504"/>
    </row>
    <row r="1917" spans="1:26" ht="15">
      <c r="A1917" s="3111"/>
      <c r="B1917" s="3451" t="s">
        <v>2100</v>
      </c>
      <c r="C1917" s="3504"/>
      <c r="D1917" s="3504"/>
      <c r="E1917" s="3376"/>
      <c r="F1917" s="358"/>
      <c r="G1917" s="358"/>
      <c r="H1917" s="358"/>
      <c r="I1917" s="358"/>
      <c r="J1917" s="3504"/>
      <c r="K1917" s="3416"/>
      <c r="L1917" s="3633"/>
      <c r="M1917" s="3504"/>
      <c r="N1917" s="3504"/>
      <c r="O1917" s="3416" t="s">
        <v>437</v>
      </c>
      <c r="P1917" s="3416" t="s">
        <v>437</v>
      </c>
      <c r="Q1917" s="3504"/>
      <c r="R1917" s="3504"/>
      <c r="S1917" s="3504"/>
      <c r="T1917" s="3504"/>
      <c r="U1917" s="3504"/>
      <c r="V1917" s="3504"/>
      <c r="W1917" s="3504"/>
      <c r="X1917" s="3504"/>
      <c r="Y1917" s="3504"/>
      <c r="Z1917" s="3504"/>
    </row>
    <row r="1918" spans="1:26" ht="15">
      <c r="A1918" s="943"/>
      <c r="B1918" s="3459" t="s">
        <v>1359</v>
      </c>
      <c r="C1918" s="943" t="s">
        <v>2101</v>
      </c>
      <c r="D1918" s="943"/>
      <c r="E1918" s="3376"/>
      <c r="F1918" s="358"/>
      <c r="G1918" s="358"/>
      <c r="H1918" s="358"/>
      <c r="I1918" s="358"/>
      <c r="J1918" s="3504"/>
      <c r="K1918" s="3416"/>
      <c r="L1918" s="3493" t="str">
        <f>IF(OR(O1918="No",O1918="",O1919="No",O1919="",O1920="No",O1920="",O1921="No",O1921=""),"Unmet criterion results in no points!","")</f>
        <v/>
      </c>
      <c r="M1918" s="3493"/>
      <c r="N1918" s="3459" t="s">
        <v>1359</v>
      </c>
      <c r="O1918" s="3424" t="str">
        <f>'Part IX A-Scoring Criteria'!O364</f>
        <v>N/a</v>
      </c>
      <c r="P1918" s="3424">
        <f>'Part IX A-Scoring Criteria'!P364</f>
        <v>0</v>
      </c>
      <c r="Q1918" s="943"/>
      <c r="R1918" s="3493" t="str">
        <f>IF(OR(P1918="No",P1918="",P1919="No",P1919="",P1920="No",P1920="",P1921="No",P1921=""),"Unmet criterion results in no points!","")</f>
        <v/>
      </c>
      <c r="S1918" s="3493" t="e">
        <f>IF(OR(V1918="No",V1918="",V1919="No",V1919="",V1920="No",V1920="",V1921="No",V1921="",#REF!="No",#REF!="",#REF!="No",#REF!=""),"Unmet criterion results in no points!","")</f>
        <v>#REF!</v>
      </c>
      <c r="T1918" s="943"/>
      <c r="U1918" s="943"/>
      <c r="V1918" s="943"/>
      <c r="W1918" s="943"/>
      <c r="X1918" s="943"/>
      <c r="Y1918" s="943"/>
      <c r="Z1918" s="943"/>
    </row>
    <row r="1919" spans="1:26">
      <c r="A1919" s="943"/>
      <c r="B1919" s="3469" t="s">
        <v>1361</v>
      </c>
      <c r="C1919" s="943" t="s">
        <v>2102</v>
      </c>
      <c r="D1919" s="943"/>
      <c r="E1919" s="943"/>
      <c r="F1919" s="943"/>
      <c r="G1919" s="943"/>
      <c r="H1919" s="943"/>
      <c r="I1919" s="943"/>
      <c r="J1919" s="943"/>
      <c r="K1919" s="943"/>
      <c r="L1919" s="3493"/>
      <c r="M1919" s="3493"/>
      <c r="N1919" s="3469" t="s">
        <v>1361</v>
      </c>
      <c r="O1919" s="3424" t="str">
        <f>'Part IX A-Scoring Criteria'!O365</f>
        <v>N/a</v>
      </c>
      <c r="P1919" s="3424">
        <f>'Part IX A-Scoring Criteria'!P365</f>
        <v>0</v>
      </c>
      <c r="Q1919" s="943"/>
      <c r="R1919" s="3493"/>
      <c r="S1919" s="3493"/>
      <c r="T1919" s="943"/>
      <c r="U1919" s="943"/>
      <c r="V1919" s="943"/>
      <c r="W1919" s="943"/>
      <c r="X1919" s="943"/>
      <c r="Y1919" s="943"/>
      <c r="Z1919" s="943"/>
    </row>
    <row r="1920" spans="1:26">
      <c r="A1920" s="943"/>
      <c r="B1920" s="3459" t="s">
        <v>1363</v>
      </c>
      <c r="C1920" s="943" t="s">
        <v>2103</v>
      </c>
      <c r="D1920" s="943"/>
      <c r="E1920" s="943"/>
      <c r="F1920" s="943"/>
      <c r="G1920" s="943"/>
      <c r="H1920" s="943"/>
      <c r="I1920" s="943"/>
      <c r="J1920" s="943"/>
      <c r="K1920" s="943"/>
      <c r="L1920" s="3493"/>
      <c r="M1920" s="3493"/>
      <c r="N1920" s="3459" t="s">
        <v>1363</v>
      </c>
      <c r="O1920" s="3424" t="str">
        <f>'Part IX A-Scoring Criteria'!O366</f>
        <v>N/a</v>
      </c>
      <c r="P1920" s="3424">
        <f>'Part IX A-Scoring Criteria'!P366</f>
        <v>0</v>
      </c>
      <c r="Q1920" s="943"/>
      <c r="R1920" s="3493"/>
      <c r="S1920" s="3493"/>
      <c r="T1920" s="943"/>
      <c r="U1920" s="943"/>
      <c r="V1920" s="943"/>
      <c r="W1920" s="943"/>
      <c r="X1920" s="943"/>
      <c r="Y1920" s="943"/>
      <c r="Z1920" s="943"/>
    </row>
    <row r="1921" spans="1:26" ht="12.75" customHeight="1">
      <c r="A1921" s="943"/>
      <c r="B1921" s="3469" t="s">
        <v>1921</v>
      </c>
      <c r="C1921" s="3383" t="s">
        <v>2104</v>
      </c>
      <c r="D1921" s="3383"/>
      <c r="E1921" s="3383"/>
      <c r="F1921" s="3383"/>
      <c r="G1921" s="3383"/>
      <c r="H1921" s="3383"/>
      <c r="I1921" s="3383"/>
      <c r="J1921" s="3383"/>
      <c r="K1921" s="3383"/>
      <c r="L1921" s="3383"/>
      <c r="M1921" s="3383"/>
      <c r="N1921" s="3469" t="s">
        <v>1921</v>
      </c>
      <c r="O1921" s="3470" t="str">
        <f>'Part IX A-Scoring Criteria'!O367</f>
        <v>N/a</v>
      </c>
      <c r="P1921" s="3470">
        <f>'Part IX A-Scoring Criteria'!P367</f>
        <v>0</v>
      </c>
      <c r="Q1921" s="943"/>
      <c r="R1921" s="943"/>
      <c r="S1921" s="943"/>
      <c r="T1921" s="943"/>
      <c r="U1921" s="943"/>
      <c r="V1921" s="943"/>
      <c r="W1921" s="943"/>
      <c r="X1921" s="943"/>
      <c r="Y1921" s="943"/>
      <c r="Z1921" s="943"/>
    </row>
    <row r="1922" spans="1:26">
      <c r="C1922" s="3383"/>
      <c r="D1922" s="3383"/>
      <c r="E1922" s="3383"/>
      <c r="F1922" s="3383"/>
      <c r="G1922" s="3383"/>
      <c r="H1922" s="3383"/>
      <c r="I1922" s="3383"/>
      <c r="J1922" s="3383"/>
      <c r="K1922" s="3383"/>
      <c r="L1922" s="3383"/>
      <c r="M1922" s="3383"/>
      <c r="N1922" s="3306"/>
      <c r="O1922" s="3308"/>
      <c r="P1922" s="3308"/>
    </row>
    <row r="1923" spans="1:26">
      <c r="A1923" s="3634" t="s">
        <v>110</v>
      </c>
      <c r="B1923" s="3326" t="s">
        <v>2105</v>
      </c>
      <c r="L1923" s="3467" t="str">
        <f>IF(OR($O1923=$M1923,$O1923=0,$O1923=""),"","* * Check Score! * *")</f>
        <v/>
      </c>
      <c r="M1923" s="3313">
        <v>3</v>
      </c>
      <c r="N1923" s="3459" t="s">
        <v>110</v>
      </c>
      <c r="O1923" s="3503">
        <f>'Part IX A-Scoring Criteria'!O369</f>
        <v>0</v>
      </c>
      <c r="P1923" s="3503">
        <f>'Part IX A-Scoring Criteria'!P369</f>
        <v>0</v>
      </c>
      <c r="Q1923" s="3543" t="str">
        <f>IF(OR($O1923=$M1923,$O1923=0,$O1923=""),"","*CHECK!*")</f>
        <v/>
      </c>
      <c r="R1923" s="3587" t="s">
        <v>1806</v>
      </c>
    </row>
    <row r="1924" spans="1:26" ht="12.75" customHeight="1">
      <c r="A1924" s="3634"/>
      <c r="B1924" s="3556" t="s">
        <v>379</v>
      </c>
      <c r="C1924" s="3418" t="s">
        <v>2106</v>
      </c>
      <c r="D1924" s="3418"/>
      <c r="E1924" s="3418"/>
      <c r="F1924" s="3418"/>
      <c r="G1924" s="3418"/>
      <c r="H1924" s="3418"/>
      <c r="I1924" s="3418"/>
      <c r="J1924" s="3567" t="s">
        <v>564</v>
      </c>
      <c r="K1924" s="3567"/>
      <c r="M1924" s="3567" t="s">
        <v>564</v>
      </c>
      <c r="N1924" s="3567"/>
      <c r="O1924" s="3567"/>
      <c r="P1924" s="3567"/>
    </row>
    <row r="1925" spans="1:26" ht="15">
      <c r="A1925" s="3466"/>
      <c r="B1925" s="3459" t="s">
        <v>1359</v>
      </c>
      <c r="C1925" s="358" t="s">
        <v>2107</v>
      </c>
      <c r="D1925" s="3504"/>
      <c r="E1925" s="3504"/>
      <c r="F1925" s="3504"/>
      <c r="G1925" s="3504"/>
      <c r="H1925" s="3504"/>
      <c r="I1925" s="3459" t="s">
        <v>1359</v>
      </c>
      <c r="J1925" s="3371">
        <f>'Part IX A-Scoring Criteria'!J371</f>
        <v>0</v>
      </c>
      <c r="K1925" s="3371">
        <f>'Part IX A-Scoring Criteria'!K371</f>
        <v>0</v>
      </c>
      <c r="L1925" s="3459" t="s">
        <v>1359</v>
      </c>
      <c r="M1925" s="3371">
        <f>'Part IX A-Scoring Criteria'!M371</f>
        <v>0</v>
      </c>
      <c r="N1925" s="3371">
        <f>'Part IX A-Scoring Criteria'!N371</f>
        <v>0</v>
      </c>
      <c r="O1925" s="3371">
        <f>'Part IX A-Scoring Criteria'!O371</f>
        <v>0</v>
      </c>
      <c r="P1925" s="3371">
        <f>'Part IX A-Scoring Criteria'!P371</f>
        <v>0</v>
      </c>
      <c r="Q1925" s="3504"/>
      <c r="R1925" s="3467"/>
      <c r="S1925" s="3504"/>
      <c r="T1925" s="3504"/>
      <c r="U1925" s="3504"/>
      <c r="V1925" s="3504"/>
      <c r="W1925" s="3504"/>
      <c r="X1925" s="3504"/>
      <c r="Y1925" s="3504"/>
      <c r="Z1925" s="3504"/>
    </row>
    <row r="1926" spans="1:26">
      <c r="A1926" s="3397"/>
      <c r="B1926" s="3469" t="s">
        <v>1361</v>
      </c>
      <c r="C1926" s="358" t="s">
        <v>2108</v>
      </c>
      <c r="I1926" s="3469" t="s">
        <v>1361</v>
      </c>
      <c r="J1926" s="3371">
        <f>'Part IX A-Scoring Criteria'!J372</f>
        <v>0</v>
      </c>
      <c r="K1926" s="3371">
        <f>'Part IX A-Scoring Criteria'!K372</f>
        <v>0</v>
      </c>
      <c r="L1926" s="3469" t="s">
        <v>1361</v>
      </c>
      <c r="M1926" s="3371">
        <f>'Part IX A-Scoring Criteria'!M372</f>
        <v>0</v>
      </c>
      <c r="N1926" s="3371">
        <f>'Part IX A-Scoring Criteria'!N372</f>
        <v>0</v>
      </c>
      <c r="O1926" s="3371">
        <f>'Part IX A-Scoring Criteria'!O372</f>
        <v>0</v>
      </c>
      <c r="P1926" s="3371">
        <f>'Part IX A-Scoring Criteria'!P372</f>
        <v>0</v>
      </c>
      <c r="R1926" s="3467"/>
    </row>
    <row r="1927" spans="1:26">
      <c r="B1927" s="3459" t="s">
        <v>1363</v>
      </c>
      <c r="C1927" s="358" t="s">
        <v>2109</v>
      </c>
      <c r="I1927" s="3459" t="s">
        <v>1363</v>
      </c>
      <c r="J1927" s="3371">
        <f>'Part IX A-Scoring Criteria'!J373</f>
        <v>0</v>
      </c>
      <c r="K1927" s="3371">
        <f>'Part IX A-Scoring Criteria'!K373</f>
        <v>0</v>
      </c>
      <c r="L1927" s="3459" t="s">
        <v>1363</v>
      </c>
      <c r="M1927" s="3371">
        <f>'Part IX A-Scoring Criteria'!M373</f>
        <v>0</v>
      </c>
      <c r="N1927" s="3371">
        <f>'Part IX A-Scoring Criteria'!N373</f>
        <v>0</v>
      </c>
      <c r="O1927" s="3371">
        <f>'Part IX A-Scoring Criteria'!O373</f>
        <v>0</v>
      </c>
      <c r="P1927" s="3371">
        <f>'Part IX A-Scoring Criteria'!P373</f>
        <v>0</v>
      </c>
      <c r="R1927" s="3467"/>
    </row>
    <row r="1928" spans="1:26">
      <c r="A1928" s="3397"/>
      <c r="B1928" s="3459" t="s">
        <v>1921</v>
      </c>
      <c r="C1928" s="358" t="s">
        <v>2110</v>
      </c>
      <c r="I1928" s="3459" t="s">
        <v>1921</v>
      </c>
      <c r="J1928" s="3371">
        <f>'Part IX A-Scoring Criteria'!J374</f>
        <v>0</v>
      </c>
      <c r="K1928" s="3371">
        <f>'Part IX A-Scoring Criteria'!K374</f>
        <v>0</v>
      </c>
      <c r="L1928" s="3459" t="s">
        <v>1921</v>
      </c>
      <c r="M1928" s="3371">
        <f>'Part IX A-Scoring Criteria'!M374</f>
        <v>0</v>
      </c>
      <c r="N1928" s="3371">
        <f>'Part IX A-Scoring Criteria'!N374</f>
        <v>0</v>
      </c>
      <c r="O1928" s="3371">
        <f>'Part IX A-Scoring Criteria'!O374</f>
        <v>0</v>
      </c>
      <c r="P1928" s="3371">
        <f>'Part IX A-Scoring Criteria'!P374</f>
        <v>0</v>
      </c>
      <c r="R1928" s="3467"/>
    </row>
    <row r="1929" spans="1:26" ht="15">
      <c r="A1929" s="3466"/>
      <c r="B1929" s="3469" t="s">
        <v>1922</v>
      </c>
      <c r="C1929" s="358" t="s">
        <v>2111</v>
      </c>
      <c r="D1929" s="3504"/>
      <c r="E1929" s="3504"/>
      <c r="F1929" s="3504"/>
      <c r="G1929" s="3504"/>
      <c r="H1929" s="3504"/>
      <c r="I1929" s="3469" t="s">
        <v>1922</v>
      </c>
      <c r="J1929" s="3371">
        <f>'Part IX A-Scoring Criteria'!J375</f>
        <v>0</v>
      </c>
      <c r="K1929" s="3371">
        <f>'Part IX A-Scoring Criteria'!K375</f>
        <v>0</v>
      </c>
      <c r="L1929" s="3469" t="s">
        <v>1922</v>
      </c>
      <c r="M1929" s="3371">
        <f>'Part IX A-Scoring Criteria'!M375</f>
        <v>0</v>
      </c>
      <c r="N1929" s="3371">
        <f>'Part IX A-Scoring Criteria'!N375</f>
        <v>0</v>
      </c>
      <c r="O1929" s="3371">
        <f>'Part IX A-Scoring Criteria'!O375</f>
        <v>0</v>
      </c>
      <c r="P1929" s="3371">
        <f>'Part IX A-Scoring Criteria'!P375</f>
        <v>0</v>
      </c>
      <c r="Q1929" s="3504"/>
      <c r="R1929" s="3467"/>
      <c r="S1929" s="3504"/>
      <c r="T1929" s="3504"/>
      <c r="U1929" s="3504"/>
      <c r="V1929" s="3504"/>
      <c r="W1929" s="3504"/>
      <c r="X1929" s="3504"/>
      <c r="Y1929" s="3504"/>
      <c r="Z1929" s="3504"/>
    </row>
    <row r="1930" spans="1:26">
      <c r="B1930" s="3459" t="s">
        <v>1924</v>
      </c>
      <c r="C1930" s="358" t="s">
        <v>2112</v>
      </c>
      <c r="I1930" s="3459" t="s">
        <v>1924</v>
      </c>
      <c r="J1930" s="3371">
        <f>'Part IX A-Scoring Criteria'!J376</f>
        <v>0</v>
      </c>
      <c r="K1930" s="3371">
        <f>'Part IX A-Scoring Criteria'!K376</f>
        <v>0</v>
      </c>
      <c r="L1930" s="3459" t="s">
        <v>1924</v>
      </c>
      <c r="M1930" s="3371">
        <f>'Part IX A-Scoring Criteria'!M376</f>
        <v>0</v>
      </c>
      <c r="N1930" s="3371">
        <f>'Part IX A-Scoring Criteria'!N376</f>
        <v>0</v>
      </c>
      <c r="O1930" s="3371">
        <f>'Part IX A-Scoring Criteria'!O376</f>
        <v>0</v>
      </c>
      <c r="P1930" s="3371">
        <f>'Part IX A-Scoring Criteria'!P376</f>
        <v>0</v>
      </c>
      <c r="R1930" s="3467"/>
    </row>
    <row r="1931" spans="1:26">
      <c r="A1931" s="3397"/>
      <c r="B1931" s="3459" t="s">
        <v>1958</v>
      </c>
      <c r="C1931" s="358" t="s">
        <v>552</v>
      </c>
      <c r="I1931" s="3459" t="s">
        <v>1958</v>
      </c>
      <c r="J1931" s="3371">
        <f>'Part IX A-Scoring Criteria'!J377</f>
        <v>0</v>
      </c>
      <c r="K1931" s="3371">
        <f>'Part IX A-Scoring Criteria'!K377</f>
        <v>0</v>
      </c>
      <c r="L1931" s="3459" t="s">
        <v>1958</v>
      </c>
      <c r="M1931" s="3371">
        <f>'Part IX A-Scoring Criteria'!M377</f>
        <v>0</v>
      </c>
      <c r="N1931" s="3371">
        <f>'Part IX A-Scoring Criteria'!N377</f>
        <v>0</v>
      </c>
      <c r="O1931" s="3371">
        <f>'Part IX A-Scoring Criteria'!O377</f>
        <v>0</v>
      </c>
      <c r="P1931" s="3371">
        <f>'Part IX A-Scoring Criteria'!P377</f>
        <v>0</v>
      </c>
      <c r="R1931" s="3467"/>
    </row>
    <row r="1932" spans="1:26">
      <c r="A1932" s="3397"/>
      <c r="B1932" s="3459" t="s">
        <v>1962</v>
      </c>
      <c r="C1932" s="358" t="s">
        <v>4616</v>
      </c>
      <c r="I1932" s="3459" t="s">
        <v>1962</v>
      </c>
      <c r="J1932" s="3371">
        <f>'Part IX A-Scoring Criteria'!J378</f>
        <v>0</v>
      </c>
      <c r="K1932" s="3371">
        <f>'Part IX A-Scoring Criteria'!K378</f>
        <v>0</v>
      </c>
      <c r="L1932" s="3459" t="s">
        <v>1962</v>
      </c>
      <c r="M1932" s="3371">
        <f>'Part IX A-Scoring Criteria'!M378</f>
        <v>0</v>
      </c>
      <c r="N1932" s="3371">
        <f>'Part IX A-Scoring Criteria'!N378</f>
        <v>0</v>
      </c>
      <c r="O1932" s="3371">
        <f>'Part IX A-Scoring Criteria'!O378</f>
        <v>0</v>
      </c>
      <c r="P1932" s="3371">
        <f>'Part IX A-Scoring Criteria'!P378</f>
        <v>0</v>
      </c>
      <c r="R1932" s="3467"/>
    </row>
    <row r="1933" spans="1:26">
      <c r="B1933" s="3459" t="s">
        <v>2114</v>
      </c>
      <c r="C1933" s="358" t="s">
        <v>2115</v>
      </c>
      <c r="I1933" s="3459" t="s">
        <v>2114</v>
      </c>
      <c r="J1933" s="3371">
        <f>'Part IX A-Scoring Criteria'!J379</f>
        <v>0</v>
      </c>
      <c r="K1933" s="3371">
        <f>'Part IX A-Scoring Criteria'!K379</f>
        <v>0</v>
      </c>
      <c r="L1933" s="3459" t="s">
        <v>2114</v>
      </c>
      <c r="M1933" s="3371">
        <f>'Part IX A-Scoring Criteria'!M379</f>
        <v>0</v>
      </c>
      <c r="N1933" s="3371">
        <f>'Part IX A-Scoring Criteria'!N379</f>
        <v>0</v>
      </c>
      <c r="O1933" s="3371">
        <f>'Part IX A-Scoring Criteria'!O379</f>
        <v>0</v>
      </c>
      <c r="P1933" s="3371">
        <f>'Part IX A-Scoring Criteria'!P379</f>
        <v>0</v>
      </c>
      <c r="R1933" s="3467"/>
    </row>
    <row r="1934" spans="1:26">
      <c r="B1934" s="3459" t="s">
        <v>2116</v>
      </c>
      <c r="C1934" s="358" t="s">
        <v>2117</v>
      </c>
      <c r="I1934" s="3459" t="s">
        <v>2116</v>
      </c>
      <c r="J1934" s="3371">
        <f>'Part IX A-Scoring Criteria'!J380</f>
        <v>0</v>
      </c>
      <c r="K1934" s="3371">
        <f>'Part IX A-Scoring Criteria'!K380</f>
        <v>0</v>
      </c>
      <c r="L1934" s="3459" t="s">
        <v>2116</v>
      </c>
      <c r="M1934" s="3371">
        <f>'Part IX A-Scoring Criteria'!M380</f>
        <v>0</v>
      </c>
      <c r="N1934" s="3371">
        <f>'Part IX A-Scoring Criteria'!N380</f>
        <v>0</v>
      </c>
      <c r="O1934" s="3371">
        <f>'Part IX A-Scoring Criteria'!O380</f>
        <v>0</v>
      </c>
      <c r="P1934" s="3371">
        <f>'Part IX A-Scoring Criteria'!P380</f>
        <v>0</v>
      </c>
      <c r="R1934" s="3467"/>
    </row>
    <row r="1935" spans="1:26">
      <c r="A1935" s="3397"/>
      <c r="B1935" s="3635" t="s">
        <v>4850</v>
      </c>
      <c r="H1935" s="3451" t="s">
        <v>2119</v>
      </c>
      <c r="J1935" s="3371">
        <f>SUM(J1925:K1934)</f>
        <v>0</v>
      </c>
      <c r="K1935" s="3371"/>
      <c r="M1935" s="3371">
        <f>SUM($M1925:$M1934)</f>
        <v>0</v>
      </c>
      <c r="N1935" s="3371"/>
      <c r="O1935" s="3371"/>
      <c r="P1935" s="3371"/>
      <c r="R1935" s="3467"/>
    </row>
    <row r="1936" spans="1:26" ht="15">
      <c r="A1936" s="3111"/>
      <c r="B1936" s="3504"/>
      <c r="C1936" s="3504"/>
      <c r="D1936" s="358"/>
      <c r="E1936" s="358"/>
      <c r="F1936" s="3319"/>
      <c r="G1936" s="3230"/>
      <c r="H1936" s="3483"/>
      <c r="I1936" s="3504"/>
      <c r="J1936" s="3104"/>
      <c r="K1936" s="3104"/>
      <c r="L1936" s="3230"/>
      <c r="M1936" s="3104"/>
      <c r="N1936" s="3104"/>
      <c r="O1936" s="3636"/>
      <c r="P1936" s="3104"/>
      <c r="Q1936" s="3504"/>
      <c r="R1936" s="3504"/>
      <c r="S1936" s="3504"/>
      <c r="T1936" s="3504"/>
      <c r="U1936" s="3504"/>
      <c r="V1936" s="3504"/>
      <c r="W1936" s="3504"/>
      <c r="X1936" s="3504"/>
      <c r="Y1936" s="3504"/>
      <c r="Z1936" s="3504"/>
    </row>
    <row r="1937" spans="1:26">
      <c r="B1937" s="3634" t="s">
        <v>389</v>
      </c>
      <c r="C1937" s="3361" t="s">
        <v>2120</v>
      </c>
      <c r="E1937" s="3354" t="s">
        <v>1984</v>
      </c>
      <c r="H1937" s="3446">
        <f>'Part IX A-Scoring Criteria'!H383</f>
        <v>0</v>
      </c>
      <c r="I1937" s="3313"/>
      <c r="J1937" s="3371">
        <f>'Part IV-A-Uses of Funds'!$G$132</f>
        <v>13885091</v>
      </c>
      <c r="K1937" s="3371"/>
      <c r="M1937" s="3104"/>
      <c r="N1937" s="3104"/>
      <c r="P1937" s="3104"/>
    </row>
    <row r="1938" spans="1:26" ht="12.75" customHeight="1">
      <c r="A1938" s="3409" t="s">
        <v>4851</v>
      </c>
      <c r="B1938" s="3409"/>
      <c r="C1938" s="3409"/>
      <c r="D1938" s="3409"/>
      <c r="E1938" s="3492" t="s">
        <v>2122</v>
      </c>
      <c r="H1938" s="3637">
        <f>'Part IX A-Scoring Criteria'!H384</f>
        <v>0</v>
      </c>
      <c r="I1938" s="3313"/>
      <c r="J1938" s="3638">
        <f>IF($J1937=0,0,$J1935/$J1937)</f>
        <v>0</v>
      </c>
      <c r="K1938" s="3638"/>
      <c r="M1938" s="3638">
        <f>IF($J1937=0,0,$M1935/$J1937)</f>
        <v>0</v>
      </c>
      <c r="N1938" s="3638"/>
      <c r="O1938" s="3638"/>
      <c r="P1938" s="3638"/>
    </row>
    <row r="1939" spans="1:26" ht="15">
      <c r="A1939" s="3409"/>
      <c r="B1939" s="3409"/>
      <c r="C1939" s="3409"/>
      <c r="D1939" s="3409"/>
      <c r="E1939" s="3481" t="s">
        <v>2123</v>
      </c>
      <c r="F1939" s="3504"/>
      <c r="G1939" s="3504"/>
      <c r="H1939" s="3446">
        <f>'Part IX A-Scoring Criteria'!H385</f>
        <v>0</v>
      </c>
      <c r="I1939" s="3313"/>
      <c r="J1939" s="3359">
        <f>IF(L1918="",IF(OR(AND($J1916="Flexible",$J1938&gt;=0.15),AND($J1916="Rural",$J1938&gt;=0.1)), 4,IF(AND($J1916="Flexible",$J1938&gt;=0.1), 3,IF(OR(AND($J1916="Flexible",$J1938&gt;=0.05),AND($J1916="Rural",$J1938&gt;=0.05)), 2,IF(OR(AND($J1916="Flexible",$J1938&gt;=0.02),AND($J1916="Rural",$J1938&gt;=0.02)),1,0)))),0)</f>
        <v>0</v>
      </c>
      <c r="K1939" s="3359"/>
      <c r="L1939" s="3326"/>
      <c r="M1939" s="3359">
        <f>IF(R1918="",IF(OR(AND($J1916="Flexible",$M1938&gt;=0.15),AND($J1916="Rural",$M1938&gt;=0.1)), 4,IF(AND($J1916="Flexible",$M1938&gt;=0.1), 3,IF(OR(AND($J1916="Flexible",$M1938&gt;=0.05),AND($J1916="Rural",$M1938&gt;=0.05)), 2,IF(OR(AND($J1916="Flexible",$M1938&gt;=0.02),AND($J1916="Rural",$M1938&gt;=0.02)),1,0)))),0)</f>
        <v>0</v>
      </c>
      <c r="N1939" s="3359"/>
      <c r="O1939" s="3359"/>
      <c r="P1939" s="3359"/>
      <c r="Q1939" s="3504"/>
      <c r="R1939" s="3504"/>
      <c r="S1939" s="3504"/>
      <c r="T1939" s="3504"/>
      <c r="U1939" s="3504"/>
      <c r="V1939" s="3504"/>
      <c r="W1939" s="3504"/>
      <c r="X1939" s="3504"/>
      <c r="Y1939" s="3504"/>
      <c r="Z1939" s="3504"/>
    </row>
    <row r="1940" spans="1:26">
      <c r="N1940" s="3306"/>
      <c r="O1940" s="3308"/>
      <c r="P1940" s="3308"/>
    </row>
    <row r="1941" spans="1:26" ht="18.75">
      <c r="A1941" s="3337" t="s">
        <v>121</v>
      </c>
      <c r="B1941" s="3527" t="s">
        <v>2124</v>
      </c>
      <c r="C1941" s="3522"/>
      <c r="D1941" s="358"/>
      <c r="E1941" s="358"/>
      <c r="F1941" s="3319"/>
      <c r="G1941" s="3522"/>
      <c r="H1941" s="358"/>
      <c r="I1941" s="3319"/>
      <c r="J1941" s="3354"/>
      <c r="K1941" s="3354"/>
      <c r="L1941" s="3467" t="str">
        <f>IF(OR($O1941=$M1941,$O1941=0,$O1941=""),"","* * Check Score! * *")</f>
        <v/>
      </c>
      <c r="M1941" s="3313">
        <v>1</v>
      </c>
      <c r="N1941" s="3459" t="s">
        <v>121</v>
      </c>
      <c r="O1941" s="3503">
        <f>'Part IX A-Scoring Criteria'!O387</f>
        <v>0</v>
      </c>
      <c r="P1941" s="3503">
        <f>'Part IX A-Scoring Criteria'!P387</f>
        <v>0</v>
      </c>
      <c r="Q1941" s="3319" t="s">
        <v>834</v>
      </c>
      <c r="R1941" s="3587" t="s">
        <v>1806</v>
      </c>
      <c r="S1941" s="3522"/>
      <c r="T1941" s="3522"/>
      <c r="U1941" s="3522"/>
      <c r="V1941" s="3571"/>
      <c r="W1941" s="3571"/>
      <c r="X1941" s="3522"/>
      <c r="Y1941" s="3522"/>
      <c r="Z1941" s="3522"/>
    </row>
    <row r="1942" spans="1:26" ht="18.75" customHeight="1">
      <c r="A1942" s="3337"/>
      <c r="B1942" s="3469" t="s">
        <v>1359</v>
      </c>
      <c r="C1942" s="3418" t="s">
        <v>2125</v>
      </c>
      <c r="D1942" s="3418"/>
      <c r="E1942" s="3418"/>
      <c r="F1942" s="3418"/>
      <c r="G1942" s="3418"/>
      <c r="H1942" s="3418"/>
      <c r="I1942" s="3418"/>
      <c r="J1942" s="3418"/>
      <c r="K1942" s="3418"/>
      <c r="L1942" s="3418"/>
      <c r="M1942" s="3418"/>
      <c r="N1942" s="3469" t="s">
        <v>1359</v>
      </c>
      <c r="O1942" s="3470" t="str">
        <f>'Part IX A-Scoring Criteria'!O388</f>
        <v>N/a</v>
      </c>
      <c r="P1942" s="3470">
        <f>'Part IX A-Scoring Criteria'!P388</f>
        <v>0</v>
      </c>
      <c r="Q1942" s="3504"/>
      <c r="R1942" s="3504"/>
      <c r="S1942" s="3504"/>
      <c r="T1942" s="3504"/>
      <c r="U1942" s="3504"/>
      <c r="V1942" s="3571"/>
      <c r="W1942" s="3571"/>
      <c r="X1942" s="3504"/>
      <c r="Y1942" s="3504"/>
      <c r="Z1942" s="3504"/>
    </row>
    <row r="1943" spans="1:26" ht="18.75">
      <c r="A1943" s="3337"/>
      <c r="B1943" s="3459" t="s">
        <v>1361</v>
      </c>
      <c r="C1943" s="358" t="s">
        <v>2126</v>
      </c>
      <c r="D1943" s="358"/>
      <c r="E1943" s="358"/>
      <c r="F1943" s="358"/>
      <c r="G1943" s="358"/>
      <c r="H1943" s="358"/>
      <c r="I1943" s="358"/>
      <c r="J1943" s="358"/>
      <c r="K1943" s="358"/>
      <c r="L1943" s="3504"/>
      <c r="M1943" s="358"/>
      <c r="N1943" s="3469" t="s">
        <v>1361</v>
      </c>
      <c r="O1943" s="3424" t="str">
        <f>'Part IX A-Scoring Criteria'!O389</f>
        <v>N/a</v>
      </c>
      <c r="P1943" s="3424">
        <f>'Part IX A-Scoring Criteria'!P389</f>
        <v>0</v>
      </c>
      <c r="Q1943" s="3504"/>
      <c r="R1943" s="3504"/>
      <c r="S1943" s="3504"/>
      <c r="T1943" s="3504"/>
      <c r="U1943" s="3504"/>
      <c r="V1943" s="3571"/>
      <c r="W1943" s="3571"/>
      <c r="X1943" s="3504"/>
      <c r="Y1943" s="3504"/>
      <c r="Z1943" s="3504"/>
    </row>
    <row r="1944" spans="1:26">
      <c r="B1944" s="3459" t="s">
        <v>1363</v>
      </c>
      <c r="C1944" s="943" t="s">
        <v>2127</v>
      </c>
      <c r="N1944" s="3459" t="s">
        <v>1363</v>
      </c>
      <c r="O1944" s="3424" t="str">
        <f>'Part IX A-Scoring Criteria'!O390</f>
        <v>N/a</v>
      </c>
      <c r="P1944" s="3424">
        <f>'Part IX A-Scoring Criteria'!P390</f>
        <v>0</v>
      </c>
    </row>
    <row r="1945" spans="1:26">
      <c r="B1945" s="3523" t="s">
        <v>1810</v>
      </c>
      <c r="N1945" s="3306"/>
      <c r="O1945" s="3308"/>
      <c r="P1945" s="3308"/>
    </row>
    <row r="1946" spans="1:26" ht="236.25">
      <c r="A1946" s="3418" t="str">
        <f>'Part IX A-Scoring Criteria'!A392</f>
        <v>The owner, developer, and sponsor of the Mill at Stone Valley will be leveraging the private investment incentivized by the 9% Credit with conventional financing.  Therefore, no points will be claimed here.</v>
      </c>
      <c r="B1946" s="3418">
        <f>'Part IX A-Scoring Criteria'!B392</f>
        <v>0</v>
      </c>
      <c r="C1946" s="3418">
        <f>'Part IX A-Scoring Criteria'!C392</f>
        <v>0</v>
      </c>
      <c r="D1946" s="3418">
        <f>'Part IX A-Scoring Criteria'!D392</f>
        <v>0</v>
      </c>
      <c r="E1946" s="3418">
        <f>'Part IX A-Scoring Criteria'!E392</f>
        <v>0</v>
      </c>
      <c r="F1946" s="3418">
        <f>'Part IX A-Scoring Criteria'!F392</f>
        <v>0</v>
      </c>
      <c r="G1946" s="3418">
        <f>'Part IX A-Scoring Criteria'!G392</f>
        <v>0</v>
      </c>
      <c r="H1946" s="3418">
        <f>'Part IX A-Scoring Criteria'!H392</f>
        <v>0</v>
      </c>
      <c r="I1946" s="3418">
        <f>'Part IX A-Scoring Criteria'!I392</f>
        <v>0</v>
      </c>
      <c r="J1946" s="3418">
        <f>'Part IX A-Scoring Criteria'!J392</f>
        <v>0</v>
      </c>
      <c r="K1946" s="3418">
        <f>'Part IX A-Scoring Criteria'!K392</f>
        <v>0</v>
      </c>
      <c r="L1946" s="3418">
        <f>'Part IX A-Scoring Criteria'!L392</f>
        <v>0</v>
      </c>
      <c r="M1946" s="3418">
        <f>'Part IX A-Scoring Criteria'!M392</f>
        <v>0</v>
      </c>
      <c r="N1946" s="3418">
        <f>'Part IX A-Scoring Criteria'!N392</f>
        <v>0</v>
      </c>
      <c r="O1946" s="3418">
        <f>'Part IX A-Scoring Criteria'!O392</f>
        <v>0</v>
      </c>
      <c r="P1946" s="3418">
        <f>'Part IX A-Scoring Criteria'!P392</f>
        <v>0</v>
      </c>
      <c r="Q1946" s="3512"/>
      <c r="R1946" s="3504"/>
      <c r="S1946" s="3504"/>
      <c r="T1946" s="3504"/>
      <c r="U1946" s="3504"/>
      <c r="V1946" s="3504"/>
      <c r="W1946" s="3504"/>
      <c r="X1946" s="3504"/>
      <c r="Y1946" s="3504"/>
      <c r="Z1946" s="3504"/>
    </row>
    <row r="1947" spans="1:26" ht="15">
      <c r="A1947" s="3111"/>
      <c r="B1947" s="3146" t="s">
        <v>1276</v>
      </c>
      <c r="C1947" s="3111"/>
      <c r="D1947" s="3382"/>
      <c r="E1947" s="3348"/>
      <c r="F1947" s="3348"/>
      <c r="G1947" s="3348"/>
      <c r="H1947" s="3348"/>
      <c r="I1947" s="3348"/>
      <c r="J1947" s="3348"/>
      <c r="K1947" s="3348"/>
      <c r="L1947" s="3348"/>
      <c r="M1947" s="3348"/>
      <c r="N1947" s="3445"/>
      <c r="O1947" s="3324"/>
      <c r="P1947" s="3319"/>
      <c r="Q1947" s="3535"/>
      <c r="R1947" s="3522"/>
      <c r="S1947" s="3522"/>
      <c r="T1947" s="3522"/>
      <c r="U1947" s="3522"/>
      <c r="V1947" s="3522"/>
      <c r="W1947" s="3522"/>
      <c r="X1947" s="3522"/>
      <c r="Y1947" s="3522"/>
      <c r="Z1947" s="3522"/>
    </row>
    <row r="1948" spans="1:26" ht="15.75">
      <c r="A1948" s="3418">
        <f>'Part IX A-Scoring Criteria'!A394</f>
        <v>0</v>
      </c>
      <c r="B1948" s="3418">
        <f>'Part IX A-Scoring Criteria'!B394</f>
        <v>0</v>
      </c>
      <c r="C1948" s="3418">
        <f>'Part IX A-Scoring Criteria'!C394</f>
        <v>0</v>
      </c>
      <c r="D1948" s="3418">
        <f>'Part IX A-Scoring Criteria'!D394</f>
        <v>0</v>
      </c>
      <c r="E1948" s="3418">
        <f>'Part IX A-Scoring Criteria'!E394</f>
        <v>0</v>
      </c>
      <c r="F1948" s="3418">
        <f>'Part IX A-Scoring Criteria'!F394</f>
        <v>0</v>
      </c>
      <c r="G1948" s="3418">
        <f>'Part IX A-Scoring Criteria'!G394</f>
        <v>0</v>
      </c>
      <c r="H1948" s="3418">
        <f>'Part IX A-Scoring Criteria'!H394</f>
        <v>0</v>
      </c>
      <c r="I1948" s="3418">
        <f>'Part IX A-Scoring Criteria'!I394</f>
        <v>0</v>
      </c>
      <c r="J1948" s="3418">
        <f>'Part IX A-Scoring Criteria'!J394</f>
        <v>0</v>
      </c>
      <c r="K1948" s="3418">
        <f>'Part IX A-Scoring Criteria'!K394</f>
        <v>0</v>
      </c>
      <c r="L1948" s="3418">
        <f>'Part IX A-Scoring Criteria'!L394</f>
        <v>0</v>
      </c>
      <c r="M1948" s="3418">
        <f>'Part IX A-Scoring Criteria'!M394</f>
        <v>0</v>
      </c>
      <c r="N1948" s="3418">
        <f>'Part IX A-Scoring Criteria'!N394</f>
        <v>0</v>
      </c>
      <c r="O1948" s="3418">
        <f>'Part IX A-Scoring Criteria'!O394</f>
        <v>0</v>
      </c>
      <c r="P1948" s="3418">
        <f>'Part IX A-Scoring Criteria'!P394</f>
        <v>0</v>
      </c>
      <c r="Q1948" s="3512"/>
      <c r="R1948" s="3504"/>
      <c r="S1948" s="3504"/>
      <c r="T1948" s="3504"/>
      <c r="U1948" s="3504"/>
      <c r="V1948" s="3504"/>
      <c r="W1948" s="3504"/>
      <c r="X1948" s="3504"/>
      <c r="Y1948" s="3504"/>
      <c r="Z1948" s="3504"/>
    </row>
    <row r="1949" spans="1:26" ht="15">
      <c r="A1949" s="3111"/>
      <c r="B1949" s="3111"/>
      <c r="C1949" s="3421"/>
      <c r="D1949" s="3421"/>
      <c r="E1949" s="3421"/>
      <c r="F1949" s="3421"/>
      <c r="G1949" s="3421"/>
      <c r="H1949" s="3421"/>
      <c r="I1949" s="3421"/>
      <c r="J1949" s="3421"/>
      <c r="K1949" s="3421"/>
      <c r="L1949" s="3421"/>
      <c r="M1949" s="3421"/>
      <c r="N1949" s="3539"/>
      <c r="O1949" s="3510"/>
      <c r="P1949" s="3319"/>
      <c r="Q1949" s="3504"/>
      <c r="R1949" s="3504"/>
      <c r="S1949" s="3504"/>
      <c r="T1949" s="3504"/>
      <c r="U1949" s="3504"/>
      <c r="V1949" s="3504"/>
      <c r="W1949" s="3504"/>
      <c r="X1949" s="3504"/>
      <c r="Y1949" s="3504"/>
      <c r="Z1949" s="3504"/>
    </row>
    <row r="1950" spans="1:26" ht="15">
      <c r="A1950" s="3631" t="s">
        <v>1517</v>
      </c>
      <c r="B1950" s="3504"/>
      <c r="C1950" s="3506" t="s">
        <v>2128</v>
      </c>
      <c r="D1950" s="3481"/>
      <c r="E1950" s="358"/>
      <c r="F1950" s="3504"/>
      <c r="G1950" s="3504"/>
      <c r="H1950" s="3504"/>
      <c r="I1950" s="3504"/>
      <c r="J1950" s="3553"/>
      <c r="K1950" s="3504"/>
      <c r="L1950" s="3504"/>
      <c r="M1950" s="3319">
        <v>3</v>
      </c>
      <c r="N1950" s="3310"/>
      <c r="O1950" s="3503">
        <f>'Part IX A-Scoring Criteria'!O396</f>
        <v>2</v>
      </c>
      <c r="P1950" s="3319">
        <f>'Part IX A-Scoring Criteria'!P396</f>
        <v>0</v>
      </c>
      <c r="Q1950" s="3319" t="s">
        <v>834</v>
      </c>
      <c r="R1950" s="3504"/>
      <c r="S1950" s="3504"/>
      <c r="T1950" s="3504"/>
      <c r="U1950" s="3504"/>
      <c r="V1950" s="3504"/>
      <c r="W1950" s="3504"/>
      <c r="X1950" s="3504"/>
      <c r="Y1950" s="3504"/>
      <c r="Z1950" s="3504"/>
    </row>
    <row r="1951" spans="1:26" ht="15">
      <c r="A1951" s="3337" t="s">
        <v>110</v>
      </c>
      <c r="B1951" s="3326" t="s">
        <v>2129</v>
      </c>
      <c r="C1951" s="3504"/>
      <c r="D1951" s="3111"/>
      <c r="E1951" s="3111"/>
      <c r="F1951" s="3111"/>
      <c r="G1951" s="3504"/>
      <c r="H1951" s="3504"/>
      <c r="I1951" s="3504"/>
      <c r="J1951" s="3354" t="s">
        <v>2130</v>
      </c>
      <c r="K1951" s="3504"/>
      <c r="L1951" s="3391">
        <f>'Part VI-Revenues &amp; Expenses'!$O$62*0.1</f>
        <v>7.4</v>
      </c>
      <c r="M1951" s="3310">
        <v>2</v>
      </c>
      <c r="N1951" s="3459" t="s">
        <v>110</v>
      </c>
      <c r="O1951" s="3601">
        <f>'Part IX A-Scoring Criteria'!O397</f>
        <v>2</v>
      </c>
      <c r="P1951" s="3601">
        <f>'Part IX A-Scoring Criteria'!P397</f>
        <v>0</v>
      </c>
      <c r="Q1951" s="3358"/>
      <c r="R1951" s="3319"/>
      <c r="S1951" s="3504"/>
      <c r="T1951" s="3504"/>
      <c r="U1951" s="3504"/>
      <c r="V1951" s="3504"/>
      <c r="W1951" s="3504"/>
      <c r="X1951" s="3504"/>
      <c r="Y1951" s="3504"/>
      <c r="Z1951" s="3504"/>
    </row>
    <row r="1952" spans="1:26" ht="15" customHeight="1">
      <c r="A1952" s="3458"/>
      <c r="B1952" s="3556" t="s">
        <v>379</v>
      </c>
      <c r="C1952" s="3418" t="s">
        <v>2131</v>
      </c>
      <c r="D1952" s="3418"/>
      <c r="E1952" s="3418"/>
      <c r="F1952" s="3418"/>
      <c r="G1952" s="3418"/>
      <c r="H1952" s="3418"/>
      <c r="I1952" s="3418"/>
      <c r="J1952" s="3354" t="s">
        <v>2132</v>
      </c>
      <c r="K1952" s="3504"/>
      <c r="L1952" s="3391">
        <f>'Part VI-Revenues &amp; Expenses'!$O$58</f>
        <v>63</v>
      </c>
      <c r="M1952" s="3343" t="str">
        <f>IF(L1954&lt;L1953,"Check 1BR LI count!","")</f>
        <v/>
      </c>
      <c r="N1952" s="3530" t="s">
        <v>379</v>
      </c>
      <c r="O1952" s="3470" t="str">
        <f>'Part IX A-Scoring Criteria'!O398</f>
        <v>Agree</v>
      </c>
      <c r="P1952" s="3470">
        <f>'Part IX A-Scoring Criteria'!P398</f>
        <v>0</v>
      </c>
      <c r="Q1952" s="3561"/>
      <c r="R1952" s="3562"/>
      <c r="S1952" s="3555"/>
      <c r="T1952" s="3555"/>
      <c r="U1952" s="3555"/>
      <c r="V1952" s="3555"/>
      <c r="W1952" s="3555"/>
      <c r="X1952" s="3555"/>
      <c r="Y1952" s="3555"/>
      <c r="Z1952" s="3555"/>
    </row>
    <row r="1953" spans="1:26" ht="15">
      <c r="A1953" s="3458"/>
      <c r="B1953" s="3556"/>
      <c r="C1953" s="3418"/>
      <c r="D1953" s="3418"/>
      <c r="E1953" s="3418"/>
      <c r="F1953" s="3418"/>
      <c r="G1953" s="3418"/>
      <c r="H1953" s="3418"/>
      <c r="I1953" s="3418"/>
      <c r="J1953" s="3354" t="s">
        <v>2133</v>
      </c>
      <c r="K1953" s="3555"/>
      <c r="L1953" s="3391">
        <f>L1952*0.1</f>
        <v>6.3000000000000007</v>
      </c>
      <c r="M1953" s="3343"/>
      <c r="N1953" s="3530"/>
      <c r="O1953" s="3530"/>
      <c r="P1953" s="3530"/>
      <c r="Q1953" s="3561"/>
      <c r="R1953" s="3562"/>
      <c r="S1953" s="3555"/>
      <c r="T1953" s="3555"/>
      <c r="U1953" s="3555"/>
      <c r="V1953" s="3555"/>
      <c r="W1953" s="3555"/>
      <c r="X1953" s="3555"/>
      <c r="Y1953" s="3555"/>
      <c r="Z1953" s="3555"/>
    </row>
    <row r="1954" spans="1:26" ht="15">
      <c r="A1954" s="3458"/>
      <c r="B1954" s="3556"/>
      <c r="C1954" s="3418"/>
      <c r="D1954" s="3418"/>
      <c r="E1954" s="3418"/>
      <c r="F1954" s="3418"/>
      <c r="G1954" s="3418"/>
      <c r="H1954" s="3418"/>
      <c r="I1954" s="3418"/>
      <c r="J1954" s="3354" t="s">
        <v>2134</v>
      </c>
      <c r="K1954" s="3555"/>
      <c r="L1954" s="3391">
        <f>'Part VI-Revenues &amp; Expenses'!$K$58</f>
        <v>12</v>
      </c>
      <c r="M1954" s="3343"/>
      <c r="N1954" s="3530"/>
      <c r="O1954" s="3530"/>
      <c r="P1954" s="3530"/>
      <c r="Q1954" s="3561"/>
      <c r="R1954" s="3562"/>
      <c r="S1954" s="3555"/>
      <c r="T1954" s="3555"/>
      <c r="U1954" s="3555"/>
      <c r="V1954" s="3555"/>
      <c r="W1954" s="3555"/>
      <c r="X1954" s="3555"/>
      <c r="Y1954" s="3555"/>
      <c r="Z1954" s="3555"/>
    </row>
    <row r="1955" spans="1:26" ht="12.75" customHeight="1">
      <c r="A1955" s="3376"/>
      <c r="B1955" s="3556" t="s">
        <v>389</v>
      </c>
      <c r="C1955" s="3418" t="s">
        <v>2135</v>
      </c>
      <c r="D1955" s="3418"/>
      <c r="E1955" s="3418"/>
      <c r="F1955" s="3418"/>
      <c r="G1955" s="3418"/>
      <c r="H1955" s="3418"/>
      <c r="I1955" s="3418"/>
      <c r="J1955" s="3418"/>
      <c r="K1955" s="3418"/>
      <c r="L1955" s="3418"/>
      <c r="M1955" s="3418"/>
      <c r="N1955" s="3530" t="s">
        <v>389</v>
      </c>
      <c r="O1955" s="3424" t="str">
        <f>'Part IX A-Scoring Criteria'!O401</f>
        <v>Yes</v>
      </c>
      <c r="P1955" s="3424">
        <f>'Part IX A-Scoring Criteria'!P401</f>
        <v>0</v>
      </c>
      <c r="Q1955" s="3443"/>
      <c r="R1955" s="3443"/>
      <c r="S1955" s="3443"/>
      <c r="T1955" s="3443"/>
      <c r="U1955" s="3443"/>
      <c r="V1955" s="3443"/>
      <c r="W1955" s="3443"/>
      <c r="X1955" s="3443"/>
      <c r="Y1955" s="3443"/>
      <c r="Z1955" s="3443"/>
    </row>
    <row r="1956" spans="1:26" ht="12.75" customHeight="1">
      <c r="A1956" s="3376"/>
      <c r="B1956" s="3556" t="s">
        <v>393</v>
      </c>
      <c r="C1956" s="3418" t="s">
        <v>2136</v>
      </c>
      <c r="D1956" s="3418"/>
      <c r="E1956" s="3418"/>
      <c r="F1956" s="3418"/>
      <c r="G1956" s="3418"/>
      <c r="H1956" s="3418"/>
      <c r="I1956" s="3418"/>
      <c r="J1956" s="3418"/>
      <c r="K1956" s="3418"/>
      <c r="L1956" s="3418"/>
      <c r="M1956" s="3418"/>
      <c r="N1956" s="3530" t="s">
        <v>393</v>
      </c>
      <c r="O1956" s="3424" t="str">
        <f>'Part IX A-Scoring Criteria'!O402</f>
        <v>Yes</v>
      </c>
      <c r="P1956" s="3424">
        <f>'Part IX A-Scoring Criteria'!P402</f>
        <v>0</v>
      </c>
      <c r="Q1956" s="3443"/>
      <c r="R1956" s="3443"/>
      <c r="S1956" s="3443"/>
      <c r="T1956" s="3443"/>
      <c r="U1956" s="3443"/>
      <c r="V1956" s="3443"/>
      <c r="W1956" s="3443"/>
      <c r="X1956" s="3443"/>
      <c r="Y1956" s="3443"/>
      <c r="Z1956" s="3443"/>
    </row>
    <row r="1957" spans="1:26" ht="12.75" customHeight="1">
      <c r="A1957" s="3376"/>
      <c r="B1957" s="3556" t="s">
        <v>445</v>
      </c>
      <c r="C1957" s="3418" t="s">
        <v>2137</v>
      </c>
      <c r="D1957" s="3418"/>
      <c r="E1957" s="3418"/>
      <c r="F1957" s="3418"/>
      <c r="G1957" s="3418"/>
      <c r="H1957" s="3418"/>
      <c r="I1957" s="3418"/>
      <c r="J1957" s="3418"/>
      <c r="K1957" s="3418"/>
      <c r="L1957" s="3418"/>
      <c r="M1957" s="3418"/>
      <c r="N1957" s="3530" t="s">
        <v>445</v>
      </c>
      <c r="O1957" s="3424" t="str">
        <f>'Part IX A-Scoring Criteria'!O403</f>
        <v>Yes</v>
      </c>
      <c r="P1957" s="3424">
        <f>'Part IX A-Scoring Criteria'!P403</f>
        <v>0</v>
      </c>
      <c r="Q1957" s="3443"/>
      <c r="R1957" s="3443"/>
      <c r="S1957" s="3443"/>
      <c r="T1957" s="3443"/>
      <c r="U1957" s="3443"/>
      <c r="V1957" s="3443"/>
      <c r="W1957" s="3443"/>
      <c r="X1957" s="3443"/>
      <c r="Y1957" s="3443"/>
      <c r="Z1957" s="3443"/>
    </row>
    <row r="1958" spans="1:26">
      <c r="A1958" s="3443"/>
      <c r="B1958" s="3549"/>
      <c r="C1958" s="3578"/>
      <c r="D1958" s="3578"/>
      <c r="E1958" s="3578"/>
      <c r="F1958" s="3578"/>
      <c r="G1958" s="3578"/>
      <c r="H1958" s="3578"/>
      <c r="I1958" s="3443"/>
      <c r="J1958" s="3443"/>
      <c r="K1958" s="3443"/>
      <c r="L1958" s="3443"/>
      <c r="M1958" s="3578"/>
      <c r="N1958" s="3578"/>
      <c r="O1958" s="3578"/>
      <c r="P1958" s="3578"/>
      <c r="Q1958" s="3443"/>
      <c r="R1958" s="3443"/>
      <c r="S1958" s="3443"/>
      <c r="T1958" s="3443"/>
      <c r="U1958" s="3443"/>
      <c r="V1958" s="3443"/>
      <c r="W1958" s="3443"/>
      <c r="X1958" s="3443"/>
      <c r="Y1958" s="3443"/>
      <c r="Z1958" s="3443"/>
    </row>
    <row r="1959" spans="1:26" ht="15">
      <c r="A1959" s="3337" t="s">
        <v>121</v>
      </c>
      <c r="B1959" s="3326" t="s">
        <v>2138</v>
      </c>
      <c r="C1959" s="3504"/>
      <c r="D1959" s="3354"/>
      <c r="E1959" s="3504"/>
      <c r="F1959" s="3504"/>
      <c r="G1959" s="358"/>
      <c r="H1959" s="3504"/>
      <c r="I1959" s="3504"/>
      <c r="J1959" s="3504"/>
      <c r="K1959" s="3504"/>
      <c r="L1959" s="3504"/>
      <c r="M1959" s="3310">
        <v>3</v>
      </c>
      <c r="N1959" s="3459" t="s">
        <v>121</v>
      </c>
      <c r="O1959" s="3601">
        <f>'Part IX A-Scoring Criteria'!O405</f>
        <v>0</v>
      </c>
      <c r="P1959" s="3601">
        <f>'Part IX A-Scoring Criteria'!P405</f>
        <v>0</v>
      </c>
      <c r="Q1959" s="3358"/>
      <c r="R1959" s="3467"/>
      <c r="S1959" s="3504"/>
      <c r="T1959" s="3504"/>
      <c r="U1959" s="3504"/>
      <c r="V1959" s="3504"/>
      <c r="W1959" s="3504"/>
      <c r="X1959" s="3504"/>
      <c r="Y1959" s="3504"/>
      <c r="Z1959" s="3504"/>
    </row>
    <row r="1960" spans="1:26" ht="15" customHeight="1">
      <c r="A1960" s="3458"/>
      <c r="B1960" s="3556" t="s">
        <v>379</v>
      </c>
      <c r="C1960" s="3418" t="s">
        <v>2139</v>
      </c>
      <c r="D1960" s="3418"/>
      <c r="E1960" s="3418"/>
      <c r="F1960" s="3418"/>
      <c r="G1960" s="3418"/>
      <c r="H1960" s="3418"/>
      <c r="I1960" s="3418"/>
      <c r="J1960" s="3418"/>
      <c r="K1960" s="3418"/>
      <c r="L1960" s="3418"/>
      <c r="M1960" s="3418"/>
      <c r="N1960" s="3530" t="s">
        <v>379</v>
      </c>
      <c r="O1960" s="3470">
        <f>'Part IX A-Scoring Criteria'!O406</f>
        <v>0</v>
      </c>
      <c r="P1960" s="3470">
        <f>'Part IX A-Scoring Criteria'!P406</f>
        <v>0</v>
      </c>
      <c r="Q1960" s="3561"/>
      <c r="R1960" s="3562"/>
      <c r="S1960" s="3555"/>
      <c r="T1960" s="3555"/>
      <c r="U1960" s="3555"/>
      <c r="V1960" s="3555"/>
      <c r="W1960" s="3555"/>
      <c r="X1960" s="3555"/>
      <c r="Y1960" s="3555"/>
      <c r="Z1960" s="3555"/>
    </row>
    <row r="1961" spans="1:26" ht="15">
      <c r="A1961" s="3458"/>
      <c r="B1961" s="3556"/>
      <c r="C1961" s="3478" t="s">
        <v>2140</v>
      </c>
      <c r="D1961" s="3421"/>
      <c r="E1961" s="3421"/>
      <c r="F1961" s="3421"/>
      <c r="G1961" s="3189">
        <f>'Part IX A-Scoring Criteria'!G407</f>
        <v>0</v>
      </c>
      <c r="H1961" s="3189">
        <f>'Part IX A-Scoring Criteria'!H407</f>
        <v>0</v>
      </c>
      <c r="I1961" s="3189">
        <f>'Part IX A-Scoring Criteria'!I407</f>
        <v>0</v>
      </c>
      <c r="J1961" s="3639" t="s">
        <v>2141</v>
      </c>
      <c r="K1961" s="3555"/>
      <c r="L1961" s="3640">
        <f>'Part IX A-Scoring Criteria'!L407</f>
        <v>0</v>
      </c>
      <c r="M1961" s="3418"/>
      <c r="N1961" s="3530"/>
      <c r="O1961" s="3530"/>
      <c r="P1961" s="3530"/>
      <c r="Q1961" s="3561"/>
      <c r="R1961" s="3562"/>
      <c r="S1961" s="3555"/>
      <c r="T1961" s="3555"/>
      <c r="U1961" s="3555"/>
      <c r="V1961" s="3555"/>
      <c r="W1961" s="3555"/>
      <c r="X1961" s="3555"/>
      <c r="Y1961" s="3555"/>
      <c r="Z1961" s="3555"/>
    </row>
    <row r="1962" spans="1:26">
      <c r="A1962" s="3376"/>
      <c r="B1962" s="3556" t="s">
        <v>389</v>
      </c>
      <c r="C1962" s="3443" t="s">
        <v>2142</v>
      </c>
      <c r="D1962" s="3443"/>
      <c r="E1962" s="3443"/>
      <c r="F1962" s="3443"/>
      <c r="G1962" s="3443"/>
      <c r="H1962" s="3443"/>
      <c r="I1962" s="3443"/>
      <c r="J1962" s="3443" t="s">
        <v>2143</v>
      </c>
      <c r="K1962" s="3443"/>
      <c r="L1962" s="3391">
        <v>0</v>
      </c>
      <c r="M1962" s="3641">
        <f>IF('Part VI-Revenues &amp; Expenses'!$O$62=0,0,L1962/'Part VI-Revenues &amp; Expenses'!$O$62)</f>
        <v>0</v>
      </c>
      <c r="N1962" s="3530" t="s">
        <v>389</v>
      </c>
      <c r="O1962" s="3470">
        <f>'Part IX A-Scoring Criteria'!O408</f>
        <v>0</v>
      </c>
      <c r="P1962" s="3470">
        <f>'Part IX A-Scoring Criteria'!P408</f>
        <v>0</v>
      </c>
      <c r="Q1962" s="3443"/>
      <c r="R1962" s="3443"/>
      <c r="S1962" s="3443"/>
      <c r="T1962" s="3443"/>
      <c r="U1962" s="3443"/>
      <c r="V1962" s="3443"/>
      <c r="W1962" s="3443"/>
      <c r="X1962" s="3443"/>
      <c r="Y1962" s="3443"/>
      <c r="Z1962" s="3443"/>
    </row>
    <row r="1963" spans="1:26" ht="15">
      <c r="A1963" s="3111"/>
      <c r="B1963" s="3523" t="s">
        <v>1810</v>
      </c>
      <c r="C1963" s="3111"/>
      <c r="D1963" s="3312"/>
      <c r="E1963" s="3312"/>
      <c r="F1963" s="3312"/>
      <c r="G1963" s="3312"/>
      <c r="H1963" s="358"/>
      <c r="I1963" s="358"/>
      <c r="J1963" s="358"/>
      <c r="K1963" s="358"/>
      <c r="L1963" s="3504"/>
      <c r="M1963" s="3310"/>
      <c r="N1963" s="3306"/>
      <c r="O1963" s="3503"/>
      <c r="P1963" s="3308"/>
      <c r="Q1963" s="3504"/>
      <c r="R1963" s="3504"/>
      <c r="S1963" s="3504"/>
      <c r="T1963" s="3504"/>
      <c r="U1963" s="3504"/>
      <c r="V1963" s="3504"/>
      <c r="W1963" s="3504"/>
      <c r="X1963" s="3504"/>
      <c r="Y1963" s="3504"/>
      <c r="Z1963" s="3504"/>
    </row>
    <row r="1964" spans="1:26" ht="409.5">
      <c r="A1964" s="3418" t="str">
        <f>'Part IX A-Scoring Criteria'!A410</f>
        <v>The owner, developer, and sponsor of the Mill at Stone Valley agrees to assist DCA in meeting its obligations under the Olmstead Settlement by accepting Section 811 or other DCA rental assistance for up to 10% of the units in the property for Persons with Disabilities, as defined above.  Furthermore, at least 10% of the low-income units in the property will be one-bedroom units, as stipulated above.</v>
      </c>
      <c r="B1964" s="3418">
        <f>'Part IX A-Scoring Criteria'!B410</f>
        <v>0</v>
      </c>
      <c r="C1964" s="3418">
        <f>'Part IX A-Scoring Criteria'!C410</f>
        <v>0</v>
      </c>
      <c r="D1964" s="3418">
        <f>'Part IX A-Scoring Criteria'!D410</f>
        <v>0</v>
      </c>
      <c r="E1964" s="3418">
        <f>'Part IX A-Scoring Criteria'!E410</f>
        <v>0</v>
      </c>
      <c r="F1964" s="3418">
        <f>'Part IX A-Scoring Criteria'!F410</f>
        <v>0</v>
      </c>
      <c r="G1964" s="3418">
        <f>'Part IX A-Scoring Criteria'!G410</f>
        <v>0</v>
      </c>
      <c r="H1964" s="3418">
        <f>'Part IX A-Scoring Criteria'!H410</f>
        <v>0</v>
      </c>
      <c r="I1964" s="3418">
        <f>'Part IX A-Scoring Criteria'!I410</f>
        <v>0</v>
      </c>
      <c r="J1964" s="3418">
        <f>'Part IX A-Scoring Criteria'!J410</f>
        <v>0</v>
      </c>
      <c r="K1964" s="3418">
        <f>'Part IX A-Scoring Criteria'!K410</f>
        <v>0</v>
      </c>
      <c r="L1964" s="3418">
        <f>'Part IX A-Scoring Criteria'!L410</f>
        <v>0</v>
      </c>
      <c r="M1964" s="3418">
        <f>'Part IX A-Scoring Criteria'!M410</f>
        <v>0</v>
      </c>
      <c r="N1964" s="3418">
        <f>'Part IX A-Scoring Criteria'!N410</f>
        <v>0</v>
      </c>
      <c r="O1964" s="3418">
        <f>'Part IX A-Scoring Criteria'!O410</f>
        <v>0</v>
      </c>
      <c r="P1964" s="3418">
        <f>'Part IX A-Scoring Criteria'!P410</f>
        <v>0</v>
      </c>
      <c r="Q1964" s="3512"/>
      <c r="R1964" s="3512"/>
      <c r="S1964" s="3504"/>
      <c r="T1964" s="3504"/>
      <c r="U1964" s="3504"/>
      <c r="V1964" s="3504"/>
      <c r="W1964" s="3504"/>
      <c r="X1964" s="3504"/>
      <c r="Y1964" s="3504"/>
      <c r="Z1964" s="3504"/>
    </row>
    <row r="1965" spans="1:26" ht="15">
      <c r="A1965" s="3504"/>
      <c r="B1965" s="3419" t="s">
        <v>1276</v>
      </c>
      <c r="C1965" s="3111"/>
      <c r="D1965" s="3419"/>
      <c r="E1965" s="3421"/>
      <c r="F1965" s="3421"/>
      <c r="G1965" s="3421"/>
      <c r="H1965" s="3421"/>
      <c r="I1965" s="3421"/>
      <c r="J1965" s="3421"/>
      <c r="K1965" s="3421"/>
      <c r="L1965" s="3421"/>
      <c r="M1965" s="3421"/>
      <c r="N1965" s="3539"/>
      <c r="O1965" s="3510"/>
      <c r="P1965" s="3319"/>
      <c r="Q1965" s="3535"/>
      <c r="R1965" s="3504"/>
      <c r="S1965" s="3504"/>
      <c r="T1965" s="3504"/>
      <c r="U1965" s="3504"/>
      <c r="V1965" s="3504"/>
      <c r="W1965" s="3504"/>
      <c r="X1965" s="3504"/>
      <c r="Y1965" s="3504"/>
      <c r="Z1965" s="3504"/>
    </row>
    <row r="1966" spans="1:26" ht="15.75">
      <c r="A1966" s="3418">
        <f>'Part IX A-Scoring Criteria'!A412</f>
        <v>0</v>
      </c>
      <c r="B1966" s="3418">
        <f>'Part IX A-Scoring Criteria'!B412</f>
        <v>0</v>
      </c>
      <c r="C1966" s="3418">
        <f>'Part IX A-Scoring Criteria'!C412</f>
        <v>0</v>
      </c>
      <c r="D1966" s="3418">
        <f>'Part IX A-Scoring Criteria'!D412</f>
        <v>0</v>
      </c>
      <c r="E1966" s="3418">
        <f>'Part IX A-Scoring Criteria'!E412</f>
        <v>0</v>
      </c>
      <c r="F1966" s="3418">
        <f>'Part IX A-Scoring Criteria'!F412</f>
        <v>0</v>
      </c>
      <c r="G1966" s="3418">
        <f>'Part IX A-Scoring Criteria'!G412</f>
        <v>0</v>
      </c>
      <c r="H1966" s="3418">
        <f>'Part IX A-Scoring Criteria'!H412</f>
        <v>0</v>
      </c>
      <c r="I1966" s="3418">
        <f>'Part IX A-Scoring Criteria'!I412</f>
        <v>0</v>
      </c>
      <c r="J1966" s="3418">
        <f>'Part IX A-Scoring Criteria'!J412</f>
        <v>0</v>
      </c>
      <c r="K1966" s="3418">
        <f>'Part IX A-Scoring Criteria'!K412</f>
        <v>0</v>
      </c>
      <c r="L1966" s="3418">
        <f>'Part IX A-Scoring Criteria'!L412</f>
        <v>0</v>
      </c>
      <c r="M1966" s="3418">
        <f>'Part IX A-Scoring Criteria'!M412</f>
        <v>0</v>
      </c>
      <c r="N1966" s="3418">
        <f>'Part IX A-Scoring Criteria'!N412</f>
        <v>0</v>
      </c>
      <c r="O1966" s="3418">
        <f>'Part IX A-Scoring Criteria'!O412</f>
        <v>0</v>
      </c>
      <c r="P1966" s="3418">
        <f>'Part IX A-Scoring Criteria'!P412</f>
        <v>0</v>
      </c>
      <c r="Q1966" s="3512"/>
      <c r="R1966" s="3504"/>
      <c r="S1966" s="3504"/>
      <c r="T1966" s="3504"/>
      <c r="U1966" s="3504"/>
      <c r="V1966" s="3504"/>
      <c r="W1966" s="3504"/>
      <c r="X1966" s="3504"/>
      <c r="Y1966" s="3504"/>
      <c r="Z1966" s="3504"/>
    </row>
    <row r="1967" spans="1:26" ht="15">
      <c r="A1967" s="3111"/>
      <c r="B1967" s="3111"/>
      <c r="C1967" s="3421"/>
      <c r="D1967" s="3421"/>
      <c r="E1967" s="3421"/>
      <c r="F1967" s="3421"/>
      <c r="G1967" s="3421"/>
      <c r="H1967" s="3421"/>
      <c r="I1967" s="3421"/>
      <c r="J1967" s="3421"/>
      <c r="K1967" s="3421"/>
      <c r="L1967" s="3421"/>
      <c r="M1967" s="3421"/>
      <c r="N1967" s="3539"/>
      <c r="O1967" s="3510"/>
      <c r="P1967" s="3319"/>
      <c r="Q1967" s="3504"/>
      <c r="R1967" s="3504"/>
      <c r="S1967" s="3504"/>
      <c r="T1967" s="3504"/>
      <c r="U1967" s="3504"/>
      <c r="V1967" s="3504"/>
      <c r="W1967" s="3504"/>
      <c r="X1967" s="3504"/>
      <c r="Y1967" s="3504"/>
      <c r="Z1967" s="3504"/>
    </row>
    <row r="1968" spans="1:26" ht="15">
      <c r="A1968" s="3505" t="s">
        <v>1530</v>
      </c>
      <c r="B1968" s="3506" t="s">
        <v>2144</v>
      </c>
      <c r="C1968" s="3504"/>
      <c r="D1968" s="3354"/>
      <c r="E1968" s="3504"/>
      <c r="F1968" s="3504"/>
      <c r="G1968" s="3553" t="s">
        <v>1926</v>
      </c>
      <c r="H1968" s="3504"/>
      <c r="I1968" s="3504"/>
      <c r="J1968" s="358" t="s">
        <v>2145</v>
      </c>
      <c r="K1968" s="3522"/>
      <c r="L1968" s="3392">
        <f>'Part VI-Revenues &amp; Expenses'!$O$84</f>
        <v>0</v>
      </c>
      <c r="M1968" s="3319">
        <v>1</v>
      </c>
      <c r="N1968" s="3459"/>
      <c r="O1968" s="3319">
        <f>'Part IX A-Scoring Criteria'!O414</f>
        <v>0</v>
      </c>
      <c r="P1968" s="3319">
        <f>'Part IX A-Scoring Criteria'!P414</f>
        <v>0</v>
      </c>
      <c r="Q1968" s="3319" t="s">
        <v>834</v>
      </c>
      <c r="R1968" s="3467" t="str">
        <f>IF(OR($O1972=$M1968,$O1972=0,$O1972=""),"","* * Check Score! * *")</f>
        <v/>
      </c>
      <c r="S1968" s="3504"/>
      <c r="T1968" s="3504"/>
      <c r="U1968" s="3504"/>
      <c r="V1968" s="3504"/>
      <c r="W1968" s="3504"/>
      <c r="X1968" s="3504"/>
      <c r="Y1968" s="3504"/>
      <c r="Z1968" s="3504"/>
    </row>
    <row r="1969" spans="1:26" ht="15">
      <c r="A1969" s="3555"/>
      <c r="B1969" s="3556"/>
      <c r="C1969" s="3555"/>
      <c r="D1969" s="3555"/>
      <c r="E1969" s="3555"/>
      <c r="F1969" s="3473"/>
      <c r="G1969" s="3318"/>
      <c r="H1969" s="3555"/>
      <c r="I1969" s="3555"/>
      <c r="J1969" s="3555"/>
      <c r="K1969" s="3555"/>
      <c r="L1969" s="3555"/>
      <c r="M1969" s="3557"/>
      <c r="N1969" s="3557"/>
      <c r="O1969" s="3557"/>
      <c r="P1969" s="3557"/>
      <c r="Q1969" s="3113"/>
      <c r="R1969" s="3555"/>
      <c r="S1969" s="3555"/>
      <c r="T1969" s="3555"/>
      <c r="U1969" s="3555"/>
      <c r="V1969" s="3555"/>
      <c r="W1969" s="3555"/>
      <c r="X1969" s="3555"/>
      <c r="Y1969" s="3555"/>
      <c r="Z1969" s="3555"/>
    </row>
    <row r="1970" spans="1:26" ht="15">
      <c r="A1970" s="3631"/>
      <c r="B1970" s="3572" t="s">
        <v>2146</v>
      </c>
      <c r="C1970" s="3555"/>
      <c r="D1970" s="358" t="str">
        <f>'Part IX A-Scoring Criteria'!D416</f>
        <v>&lt;&lt;Select applicable status&gt;&gt;</v>
      </c>
      <c r="E1970" s="358">
        <f>'Part IX A-Scoring Criteria'!E416</f>
        <v>0</v>
      </c>
      <c r="F1970" s="358">
        <f>'Part IX A-Scoring Criteria'!F416</f>
        <v>0</v>
      </c>
      <c r="G1970" s="358">
        <f>'Part IX A-Scoring Criteria'!G416</f>
        <v>0</v>
      </c>
      <c r="H1970" s="358">
        <f>'Part IX A-Scoring Criteria'!H416</f>
        <v>0</v>
      </c>
      <c r="I1970" s="358">
        <f>'Part IX A-Scoring Criteria'!I416</f>
        <v>0</v>
      </c>
      <c r="J1970" s="3443" t="s">
        <v>2148</v>
      </c>
      <c r="K1970" s="3555"/>
      <c r="L1970" s="3392">
        <f>'Part III-Sources of Funds'!$I$51</f>
        <v>0</v>
      </c>
      <c r="M1970" s="3557"/>
      <c r="N1970" s="3557"/>
      <c r="O1970" s="3557"/>
      <c r="P1970" s="3557"/>
      <c r="Q1970" s="3113"/>
      <c r="R1970" s="3555"/>
      <c r="S1970" s="3555"/>
      <c r="T1970" s="3555"/>
      <c r="U1970" s="3555"/>
      <c r="V1970" s="3555"/>
      <c r="W1970" s="3555"/>
      <c r="X1970" s="3555"/>
      <c r="Y1970" s="3555"/>
      <c r="Z1970" s="3555"/>
    </row>
    <row r="1971" spans="1:26" ht="15">
      <c r="A1971" s="3555"/>
      <c r="B1971" s="3556"/>
      <c r="C1971" s="3555"/>
      <c r="D1971" s="3555"/>
      <c r="E1971" s="3555"/>
      <c r="F1971" s="3555"/>
      <c r="G1971" s="3555"/>
      <c r="H1971" s="3555"/>
      <c r="I1971" s="3555"/>
      <c r="J1971" s="3555"/>
      <c r="K1971" s="3555"/>
      <c r="L1971" s="3555"/>
      <c r="M1971" s="3557"/>
      <c r="N1971" s="3557"/>
      <c r="O1971" s="3557"/>
      <c r="P1971" s="3557"/>
      <c r="Q1971" s="3113"/>
      <c r="R1971" s="3555"/>
      <c r="S1971" s="3555"/>
      <c r="T1971" s="3555"/>
      <c r="U1971" s="3555"/>
      <c r="V1971" s="3555"/>
      <c r="W1971" s="3555"/>
      <c r="X1971" s="3555"/>
      <c r="Y1971" s="3555"/>
      <c r="Z1971" s="3555"/>
    </row>
    <row r="1972" spans="1:26" ht="15">
      <c r="A1972" s="3642" t="s">
        <v>110</v>
      </c>
      <c r="B1972" s="3415" t="s">
        <v>4852</v>
      </c>
      <c r="C1972" s="3443"/>
      <c r="D1972" s="3443"/>
      <c r="E1972" s="3443"/>
      <c r="F1972" s="3443"/>
      <c r="G1972" s="3443"/>
      <c r="H1972" s="3443"/>
      <c r="I1972" s="3443"/>
      <c r="J1972" s="3555"/>
      <c r="K1972" s="3555"/>
      <c r="L1972" s="3555"/>
      <c r="M1972" s="3557">
        <v>1</v>
      </c>
      <c r="N1972" s="3469" t="s">
        <v>110</v>
      </c>
      <c r="O1972" s="3503">
        <f>'Part IX A-Scoring Criteria'!O418</f>
        <v>0</v>
      </c>
      <c r="P1972" s="3503">
        <f>'Part IX A-Scoring Criteria'!P418</f>
        <v>0</v>
      </c>
      <c r="Q1972" s="3543" t="str">
        <f>IF(OR($O1972=$M1972,$O1972=0,$O1972=""),"","*CHECK!*")</f>
        <v/>
      </c>
      <c r="R1972" s="3587" t="s">
        <v>1806</v>
      </c>
      <c r="S1972" s="3555"/>
      <c r="T1972" s="3555"/>
      <c r="U1972" s="3555"/>
      <c r="V1972" s="3555"/>
      <c r="W1972" s="3555"/>
      <c r="X1972" s="3555"/>
      <c r="Y1972" s="3555"/>
      <c r="Z1972" s="3555"/>
    </row>
    <row r="1973" spans="1:26" ht="15" customHeight="1">
      <c r="A1973" s="3561"/>
      <c r="B1973" s="3383" t="s">
        <v>2150</v>
      </c>
      <c r="C1973" s="3383"/>
      <c r="D1973" s="3383"/>
      <c r="E1973" s="3383"/>
      <c r="F1973" s="3383"/>
      <c r="G1973" s="3383"/>
      <c r="H1973" s="3383"/>
      <c r="I1973" s="3383"/>
      <c r="J1973" s="3383"/>
      <c r="K1973" s="3383"/>
      <c r="L1973" s="3383"/>
      <c r="M1973" s="3418" t="s">
        <v>4853</v>
      </c>
      <c r="N1973" s="3418"/>
      <c r="O1973" s="3555"/>
      <c r="P1973" s="3555"/>
      <c r="Q1973" s="3113"/>
      <c r="R1973" s="3555"/>
      <c r="S1973" s="3555"/>
      <c r="T1973" s="3555"/>
      <c r="U1973" s="3555"/>
      <c r="V1973" s="3555"/>
      <c r="W1973" s="3555"/>
      <c r="X1973" s="3555"/>
      <c r="Y1973" s="3555"/>
      <c r="Z1973" s="3555"/>
    </row>
    <row r="1974" spans="1:26" ht="15">
      <c r="A1974" s="3555"/>
      <c r="B1974" s="3383"/>
      <c r="C1974" s="3383"/>
      <c r="D1974" s="3383"/>
      <c r="E1974" s="3383"/>
      <c r="F1974" s="3383"/>
      <c r="G1974" s="3383"/>
      <c r="H1974" s="3383"/>
      <c r="I1974" s="3383"/>
      <c r="J1974" s="3383"/>
      <c r="K1974" s="3383"/>
      <c r="L1974" s="3383"/>
      <c r="M1974" s="3418"/>
      <c r="N1974" s="3418"/>
      <c r="O1974" s="3643">
        <f>'Part VI-Revenues &amp; Expenses'!$O$82</f>
        <v>0</v>
      </c>
      <c r="P1974" s="3643"/>
      <c r="Q1974" s="3113"/>
      <c r="R1974" s="3555"/>
      <c r="S1974" s="3555"/>
      <c r="T1974" s="3555"/>
      <c r="U1974" s="3555"/>
      <c r="V1974" s="3555"/>
      <c r="W1974" s="3555"/>
      <c r="X1974" s="3555"/>
      <c r="Y1974" s="3555"/>
      <c r="Z1974" s="3555"/>
    </row>
    <row r="1975" spans="1:26" ht="15">
      <c r="A1975" s="3555"/>
      <c r="B1975" s="3383"/>
      <c r="C1975" s="3383"/>
      <c r="D1975" s="3383"/>
      <c r="E1975" s="3383"/>
      <c r="F1975" s="3383"/>
      <c r="G1975" s="3383"/>
      <c r="H1975" s="3383"/>
      <c r="I1975" s="3383"/>
      <c r="J1975" s="3383"/>
      <c r="K1975" s="3383"/>
      <c r="L1975" s="3383"/>
      <c r="M1975" s="3354" t="s">
        <v>2152</v>
      </c>
      <c r="N1975" s="3557"/>
      <c r="O1975" s="3643">
        <f>'Part VI-Revenues &amp; Expenses'!$O$62</f>
        <v>74</v>
      </c>
      <c r="P1975" s="3643"/>
      <c r="Q1975" s="3113"/>
      <c r="R1975" s="3555"/>
      <c r="S1975" s="3555"/>
      <c r="T1975" s="3555"/>
      <c r="U1975" s="3555"/>
      <c r="V1975" s="3555"/>
      <c r="W1975" s="3555"/>
      <c r="X1975" s="3555"/>
      <c r="Y1975" s="3555"/>
      <c r="Z1975" s="3555"/>
    </row>
    <row r="1976" spans="1:26" ht="15">
      <c r="A1976" s="3555"/>
      <c r="B1976" s="3383"/>
      <c r="C1976" s="3383"/>
      <c r="D1976" s="3383"/>
      <c r="E1976" s="3383"/>
      <c r="F1976" s="3383"/>
      <c r="G1976" s="3383"/>
      <c r="H1976" s="3383"/>
      <c r="I1976" s="3383"/>
      <c r="J1976" s="3383"/>
      <c r="K1976" s="3383"/>
      <c r="L1976" s="3383"/>
      <c r="M1976" s="3354" t="s">
        <v>2153</v>
      </c>
      <c r="N1976" s="3557"/>
      <c r="O1976" s="3644">
        <f>IF(O1975=0,0,O1974/O1975)</f>
        <v>0</v>
      </c>
      <c r="P1976" s="3644"/>
      <c r="Q1976" s="3113"/>
      <c r="R1976" s="3555"/>
      <c r="S1976" s="3555"/>
      <c r="T1976" s="3555"/>
      <c r="U1976" s="3555"/>
      <c r="V1976" s="3555"/>
      <c r="W1976" s="3555"/>
      <c r="X1976" s="3555"/>
      <c r="Y1976" s="3555"/>
      <c r="Z1976" s="3555"/>
    </row>
    <row r="1977" spans="1:26" ht="15.75" customHeight="1">
      <c r="A1977" s="3376"/>
      <c r="B1977" s="3189" t="str">
        <f>'Part IX A-Scoring Criteria'!B423</f>
        <v>&lt;&lt; Enter here Applicant's Narrative of how building will be reused. Adjust row height as needed. &gt;&gt;</v>
      </c>
      <c r="C1977" s="3189">
        <f>'Part IX A-Scoring Criteria'!C423</f>
        <v>0</v>
      </c>
      <c r="D1977" s="3189">
        <f>'Part IX A-Scoring Criteria'!D423</f>
        <v>0</v>
      </c>
      <c r="E1977" s="3189">
        <f>'Part IX A-Scoring Criteria'!E423</f>
        <v>0</v>
      </c>
      <c r="F1977" s="3189">
        <f>'Part IX A-Scoring Criteria'!F423</f>
        <v>0</v>
      </c>
      <c r="G1977" s="3189">
        <f>'Part IX A-Scoring Criteria'!G423</f>
        <v>0</v>
      </c>
      <c r="H1977" s="3189">
        <f>'Part IX A-Scoring Criteria'!H423</f>
        <v>0</v>
      </c>
      <c r="I1977" s="3189">
        <f>'Part IX A-Scoring Criteria'!I423</f>
        <v>0</v>
      </c>
      <c r="J1977" s="3189">
        <f>'Part IX A-Scoring Criteria'!J423</f>
        <v>0</v>
      </c>
      <c r="K1977" s="3189">
        <f>'Part IX A-Scoring Criteria'!K423</f>
        <v>0</v>
      </c>
      <c r="L1977" s="3189">
        <f>'Part IX A-Scoring Criteria'!L423</f>
        <v>0</v>
      </c>
      <c r="M1977" s="3189">
        <f>'Part IX A-Scoring Criteria'!M423</f>
        <v>0</v>
      </c>
      <c r="N1977" s="3189">
        <f>'Part IX A-Scoring Criteria'!N423</f>
        <v>0</v>
      </c>
      <c r="O1977" s="3189">
        <f>'Part IX A-Scoring Criteria'!O423</f>
        <v>0</v>
      </c>
      <c r="P1977" s="3189">
        <f>'Part IX A-Scoring Criteria'!P423</f>
        <v>0</v>
      </c>
      <c r="Q1977" s="3512"/>
      <c r="R1977" s="3512"/>
      <c r="S1977" s="3512"/>
      <c r="T1977" s="3504"/>
      <c r="U1977" s="3504"/>
      <c r="V1977" s="3504"/>
      <c r="W1977" s="3504"/>
      <c r="X1977" s="3504"/>
      <c r="Y1977" s="3504"/>
      <c r="Z1977" s="3504"/>
    </row>
    <row r="1978" spans="1:26" ht="15">
      <c r="A1978" s="3424"/>
      <c r="B1978" s="3556"/>
      <c r="C1978" s="3555"/>
      <c r="D1978" s="3555"/>
      <c r="E1978" s="3555"/>
      <c r="F1978" s="3473"/>
      <c r="G1978" s="3318"/>
      <c r="H1978" s="3555"/>
      <c r="I1978" s="3555"/>
      <c r="J1978" s="3555"/>
      <c r="K1978" s="3555"/>
      <c r="L1978" s="3555"/>
      <c r="M1978" s="3557"/>
      <c r="N1978" s="3557"/>
      <c r="O1978" s="3557"/>
      <c r="P1978" s="3557"/>
      <c r="Q1978" s="3113"/>
      <c r="R1978" s="3555"/>
      <c r="S1978" s="3555"/>
      <c r="T1978" s="3555"/>
      <c r="U1978" s="3555"/>
      <c r="V1978" s="3555"/>
      <c r="W1978" s="3555"/>
      <c r="X1978" s="3555"/>
      <c r="Y1978" s="3555"/>
      <c r="Z1978" s="3555"/>
    </row>
    <row r="1979" spans="1:26" ht="15">
      <c r="A1979" s="3645" t="s">
        <v>4854</v>
      </c>
      <c r="B1979" s="3414" t="s">
        <v>115</v>
      </c>
      <c r="C1979" s="3443"/>
      <c r="D1979" s="3555"/>
      <c r="E1979" s="3555"/>
      <c r="F1979" s="3555"/>
      <c r="G1979" s="3555"/>
      <c r="H1979" s="3443"/>
      <c r="I1979" s="3555"/>
      <c r="J1979" s="3555"/>
      <c r="K1979" s="3555"/>
      <c r="L1979" s="3555"/>
      <c r="M1979" s="3557">
        <v>1</v>
      </c>
      <c r="N1979" s="3469" t="s">
        <v>121</v>
      </c>
      <c r="O1979" s="3503">
        <f>'Part IX A-Scoring Criteria'!O425</f>
        <v>0</v>
      </c>
      <c r="P1979" s="3503">
        <f>'Part IX A-Scoring Criteria'!P425</f>
        <v>0</v>
      </c>
      <c r="Q1979" s="3543" t="str">
        <f>IF(OR($O1979=$M1979,$O1979=0,$O1979=""),"","*CHECK!*")</f>
        <v/>
      </c>
      <c r="R1979" s="3587" t="s">
        <v>1806</v>
      </c>
      <c r="S1979" s="3555"/>
      <c r="T1979" s="3555"/>
      <c r="U1979" s="3555"/>
      <c r="V1979" s="3555"/>
      <c r="W1979" s="3555"/>
      <c r="X1979" s="3555"/>
      <c r="Y1979" s="3555"/>
      <c r="Z1979" s="3555"/>
    </row>
    <row r="1980" spans="1:26" ht="15" customHeight="1">
      <c r="A1980" s="3645"/>
      <c r="B1980" s="3418" t="s">
        <v>2156</v>
      </c>
      <c r="C1980" s="3418"/>
      <c r="D1980" s="3418"/>
      <c r="E1980" s="3418"/>
      <c r="F1980" s="3418"/>
      <c r="G1980" s="3418"/>
      <c r="H1980" s="3418"/>
      <c r="I1980" s="3418"/>
      <c r="J1980" s="3418"/>
      <c r="K1980" s="3418"/>
      <c r="L1980" s="3418"/>
      <c r="M1980" s="3478" t="s">
        <v>2152</v>
      </c>
      <c r="N1980" s="3557"/>
      <c r="O1980" s="3643">
        <f>'Part VI-Revenues &amp; Expenses'!$O$62</f>
        <v>74</v>
      </c>
      <c r="P1980" s="3643"/>
      <c r="Q1980" s="3113"/>
      <c r="R1980" s="3555"/>
      <c r="S1980" s="3555"/>
      <c r="T1980" s="3555"/>
      <c r="U1980" s="3555"/>
      <c r="V1980" s="3555"/>
      <c r="W1980" s="3555"/>
      <c r="X1980" s="3555"/>
      <c r="Y1980" s="3555"/>
      <c r="Z1980" s="3555"/>
    </row>
    <row r="1981" spans="1:26" ht="15">
      <c r="A1981" s="3645"/>
      <c r="B1981" s="3418"/>
      <c r="C1981" s="3418"/>
      <c r="D1981" s="3418"/>
      <c r="E1981" s="3418"/>
      <c r="F1981" s="3418"/>
      <c r="G1981" s="3418"/>
      <c r="H1981" s="3418"/>
      <c r="I1981" s="3418"/>
      <c r="J1981" s="3418"/>
      <c r="K1981" s="3418"/>
      <c r="L1981" s="3418"/>
      <c r="M1981" s="3354" t="s">
        <v>2153</v>
      </c>
      <c r="N1981" s="3557"/>
      <c r="O1981" s="3644">
        <f>IF(O1980=0,0,L1968/O1980)</f>
        <v>0</v>
      </c>
      <c r="P1981" s="3644"/>
      <c r="Q1981" s="3113"/>
      <c r="R1981" s="3555"/>
      <c r="S1981" s="3555"/>
      <c r="T1981" s="3555"/>
      <c r="U1981" s="3555"/>
      <c r="V1981" s="3555"/>
      <c r="W1981" s="3555"/>
      <c r="X1981" s="3555"/>
      <c r="Y1981" s="3555"/>
      <c r="Z1981" s="3555"/>
    </row>
    <row r="1982" spans="1:26" ht="15">
      <c r="A1982" s="3111"/>
      <c r="B1982" s="3523" t="s">
        <v>1810</v>
      </c>
      <c r="C1982" s="3111"/>
      <c r="D1982" s="3312"/>
      <c r="E1982" s="3312"/>
      <c r="F1982" s="3312"/>
      <c r="G1982" s="3312"/>
      <c r="H1982" s="358"/>
      <c r="I1982" s="358"/>
      <c r="J1982" s="358"/>
      <c r="K1982" s="358"/>
      <c r="L1982" s="3504"/>
      <c r="M1982" s="3310"/>
      <c r="N1982" s="3306"/>
      <c r="O1982" s="3503"/>
      <c r="P1982" s="3308"/>
      <c r="Q1982" s="3504"/>
      <c r="R1982" s="3504"/>
      <c r="S1982" s="3504"/>
      <c r="T1982" s="3504"/>
      <c r="U1982" s="3504"/>
      <c r="V1982" s="3504"/>
      <c r="W1982" s="3504"/>
      <c r="X1982" s="3504"/>
      <c r="Y1982" s="3504"/>
      <c r="Z1982" s="3504"/>
    </row>
    <row r="1983" spans="1:26" ht="191.25">
      <c r="A1983" s="3418" t="str">
        <f>'Part IX A-Scoring Criteria'!A429</f>
        <v>The Mill at Stone Valley is the development of new affordable housing in Ball Ground, Cherokee County, Georgia, and is thus not subject to scoring for Historic Preservation.</v>
      </c>
      <c r="B1983" s="3418">
        <f>'Part IX A-Scoring Criteria'!B429</f>
        <v>0</v>
      </c>
      <c r="C1983" s="3418">
        <f>'Part IX A-Scoring Criteria'!C429</f>
        <v>0</v>
      </c>
      <c r="D1983" s="3418">
        <f>'Part IX A-Scoring Criteria'!D429</f>
        <v>0</v>
      </c>
      <c r="E1983" s="3418">
        <f>'Part IX A-Scoring Criteria'!E429</f>
        <v>0</v>
      </c>
      <c r="F1983" s="3418">
        <f>'Part IX A-Scoring Criteria'!F429</f>
        <v>0</v>
      </c>
      <c r="G1983" s="3418">
        <f>'Part IX A-Scoring Criteria'!G429</f>
        <v>0</v>
      </c>
      <c r="H1983" s="3418">
        <f>'Part IX A-Scoring Criteria'!H429</f>
        <v>0</v>
      </c>
      <c r="I1983" s="3418">
        <f>'Part IX A-Scoring Criteria'!I429</f>
        <v>0</v>
      </c>
      <c r="J1983" s="3418">
        <f>'Part IX A-Scoring Criteria'!J429</f>
        <v>0</v>
      </c>
      <c r="K1983" s="3418">
        <f>'Part IX A-Scoring Criteria'!K429</f>
        <v>0</v>
      </c>
      <c r="L1983" s="3418">
        <f>'Part IX A-Scoring Criteria'!L429</f>
        <v>0</v>
      </c>
      <c r="M1983" s="3418">
        <f>'Part IX A-Scoring Criteria'!M429</f>
        <v>0</v>
      </c>
      <c r="N1983" s="3418">
        <f>'Part IX A-Scoring Criteria'!N429</f>
        <v>0</v>
      </c>
      <c r="O1983" s="3418">
        <f>'Part IX A-Scoring Criteria'!O429</f>
        <v>0</v>
      </c>
      <c r="P1983" s="3418">
        <f>'Part IX A-Scoring Criteria'!P429</f>
        <v>0</v>
      </c>
      <c r="Q1983" s="3512"/>
      <c r="R1983" s="3512"/>
      <c r="S1983" s="3504"/>
      <c r="T1983" s="3504"/>
      <c r="U1983" s="3504"/>
      <c r="V1983" s="3504"/>
      <c r="W1983" s="3504"/>
      <c r="X1983" s="3504"/>
      <c r="Y1983" s="3504"/>
      <c r="Z1983" s="3504"/>
    </row>
    <row r="1984" spans="1:26" ht="15">
      <c r="A1984" s="3504"/>
      <c r="B1984" s="3419" t="s">
        <v>1276</v>
      </c>
      <c r="C1984" s="3111"/>
      <c r="D1984" s="3419"/>
      <c r="E1984" s="3421"/>
      <c r="F1984" s="3421"/>
      <c r="G1984" s="3421"/>
      <c r="H1984" s="3421"/>
      <c r="I1984" s="3421"/>
      <c r="J1984" s="3421"/>
      <c r="K1984" s="3421"/>
      <c r="L1984" s="3421"/>
      <c r="M1984" s="3421"/>
      <c r="N1984" s="3539"/>
      <c r="O1984" s="3510"/>
      <c r="P1984" s="3319"/>
      <c r="Q1984" s="3535"/>
      <c r="R1984" s="3504"/>
      <c r="S1984" s="3504"/>
      <c r="T1984" s="3504"/>
      <c r="U1984" s="3504"/>
      <c r="V1984" s="3504"/>
      <c r="W1984" s="3504"/>
      <c r="X1984" s="3504"/>
      <c r="Y1984" s="3504"/>
      <c r="Z1984" s="3504"/>
    </row>
    <row r="1985" spans="1:26" ht="15.75">
      <c r="A1985" s="3418">
        <f>'Part IX A-Scoring Criteria'!A431</f>
        <v>0</v>
      </c>
      <c r="B1985" s="3418">
        <f>'Part IX A-Scoring Criteria'!B431</f>
        <v>0</v>
      </c>
      <c r="C1985" s="3418">
        <f>'Part IX A-Scoring Criteria'!C431</f>
        <v>0</v>
      </c>
      <c r="D1985" s="3418">
        <f>'Part IX A-Scoring Criteria'!D431</f>
        <v>0</v>
      </c>
      <c r="E1985" s="3418">
        <f>'Part IX A-Scoring Criteria'!E431</f>
        <v>0</v>
      </c>
      <c r="F1985" s="3418">
        <f>'Part IX A-Scoring Criteria'!F431</f>
        <v>0</v>
      </c>
      <c r="G1985" s="3418">
        <f>'Part IX A-Scoring Criteria'!G431</f>
        <v>0</v>
      </c>
      <c r="H1985" s="3418">
        <f>'Part IX A-Scoring Criteria'!H431</f>
        <v>0</v>
      </c>
      <c r="I1985" s="3418">
        <f>'Part IX A-Scoring Criteria'!I431</f>
        <v>0</v>
      </c>
      <c r="J1985" s="3418">
        <f>'Part IX A-Scoring Criteria'!J431</f>
        <v>0</v>
      </c>
      <c r="K1985" s="3418">
        <f>'Part IX A-Scoring Criteria'!K431</f>
        <v>0</v>
      </c>
      <c r="L1985" s="3418">
        <f>'Part IX A-Scoring Criteria'!L431</f>
        <v>0</v>
      </c>
      <c r="M1985" s="3418">
        <f>'Part IX A-Scoring Criteria'!M431</f>
        <v>0</v>
      </c>
      <c r="N1985" s="3418">
        <f>'Part IX A-Scoring Criteria'!N431</f>
        <v>0</v>
      </c>
      <c r="O1985" s="3418">
        <f>'Part IX A-Scoring Criteria'!O431</f>
        <v>0</v>
      </c>
      <c r="P1985" s="3418">
        <f>'Part IX A-Scoring Criteria'!P431</f>
        <v>0</v>
      </c>
      <c r="Q1985" s="3512"/>
      <c r="R1985" s="3504"/>
      <c r="S1985" s="3504"/>
      <c r="T1985" s="3504"/>
      <c r="U1985" s="3504"/>
      <c r="V1985" s="3504"/>
      <c r="W1985" s="3504"/>
      <c r="X1985" s="3504"/>
      <c r="Y1985" s="3504"/>
      <c r="Z1985" s="3504"/>
    </row>
    <row r="1986" spans="1:26" ht="15">
      <c r="A1986" s="3111"/>
      <c r="B1986" s="3111"/>
      <c r="C1986" s="3421"/>
      <c r="D1986" s="3421"/>
      <c r="E1986" s="3421"/>
      <c r="F1986" s="3421"/>
      <c r="G1986" s="3421"/>
      <c r="H1986" s="3421"/>
      <c r="I1986" s="3421"/>
      <c r="J1986" s="3421"/>
      <c r="K1986" s="3421"/>
      <c r="L1986" s="3421"/>
      <c r="M1986" s="3421"/>
      <c r="N1986" s="3539"/>
      <c r="O1986" s="3510"/>
      <c r="P1986" s="3319"/>
      <c r="Q1986" s="3504"/>
      <c r="R1986" s="3504"/>
      <c r="S1986" s="3504"/>
      <c r="T1986" s="3504"/>
      <c r="U1986" s="3504"/>
      <c r="V1986" s="3504"/>
      <c r="W1986" s="3504"/>
      <c r="X1986" s="3504"/>
      <c r="Y1986" s="3504"/>
      <c r="Z1986" s="3504"/>
    </row>
    <row r="1987" spans="1:26" ht="15">
      <c r="A1987" s="3631" t="s">
        <v>1538</v>
      </c>
      <c r="B1987" s="3506" t="s">
        <v>2157</v>
      </c>
      <c r="C1987" s="3522"/>
      <c r="D1987" s="3523"/>
      <c r="E1987" s="3523"/>
      <c r="F1987" s="358"/>
      <c r="G1987" s="358"/>
      <c r="H1987" s="3522"/>
      <c r="I1987" s="358"/>
      <c r="J1987" s="358"/>
      <c r="K1987" s="358"/>
      <c r="L1987" s="3467" t="str">
        <f>IF(OR($O1987=$M1987,$O1987&lt;=0,$O1987=""),"","* * Check Score! * *")</f>
        <v/>
      </c>
      <c r="M1987" s="3319">
        <v>10</v>
      </c>
      <c r="N1987" s="3310"/>
      <c r="O1987" s="3503">
        <f>'Part IX A-Scoring Criteria'!O433</f>
        <v>10</v>
      </c>
      <c r="P1987" s="3503">
        <f>'Part IX A-Scoring Criteria'!P433</f>
        <v>10</v>
      </c>
      <c r="Q1987" s="3319" t="s">
        <v>834</v>
      </c>
      <c r="R1987" s="3522"/>
      <c r="S1987" s="3522"/>
      <c r="T1987" s="3522"/>
      <c r="U1987" s="3522"/>
      <c r="V1987" s="3522"/>
      <c r="W1987" s="3522"/>
      <c r="X1987" s="3522"/>
      <c r="Y1987" s="3522"/>
      <c r="Z1987" s="3522"/>
    </row>
    <row r="1988" spans="1:26" ht="15">
      <c r="A1988" s="3631"/>
      <c r="B1988" s="3506"/>
      <c r="C1988" s="3522"/>
      <c r="D1988" s="3523"/>
      <c r="E1988" s="3523"/>
      <c r="F1988" s="358"/>
      <c r="G1988" s="358"/>
      <c r="H1988" s="3522"/>
      <c r="I1988" s="358"/>
      <c r="J1988" s="358"/>
      <c r="K1988" s="358"/>
      <c r="L1988" s="3467"/>
      <c r="M1988" s="3319"/>
      <c r="N1988" s="3310"/>
      <c r="O1988" s="3310"/>
      <c r="P1988" s="3310"/>
      <c r="Q1988" s="3319"/>
      <c r="R1988" s="3522"/>
      <c r="S1988" s="3522"/>
      <c r="T1988" s="3522"/>
      <c r="U1988" s="3522"/>
      <c r="V1988" s="3522"/>
      <c r="W1988" s="3522"/>
      <c r="X1988" s="3522"/>
      <c r="Y1988" s="3522"/>
      <c r="Z1988" s="3522"/>
    </row>
    <row r="1989" spans="1:26" ht="15">
      <c r="A1989" s="3631"/>
      <c r="B1989" s="3415" t="s">
        <v>2158</v>
      </c>
      <c r="C1989" s="3522"/>
      <c r="D1989" s="3523"/>
      <c r="E1989" s="3523"/>
      <c r="F1989" s="358"/>
      <c r="G1989" s="358"/>
      <c r="H1989" s="3522"/>
      <c r="I1989" s="358"/>
      <c r="J1989" s="358"/>
      <c r="K1989" s="358"/>
      <c r="L1989" s="3467"/>
      <c r="M1989" s="3319"/>
      <c r="N1989" s="3310"/>
      <c r="O1989" s="3503">
        <f>'Part IX A-Scoring Criteria'!O435</f>
        <v>10</v>
      </c>
      <c r="P1989" s="3503">
        <f>'Part IX A-Scoring Criteria'!P435</f>
        <v>10</v>
      </c>
      <c r="Q1989" s="3319"/>
      <c r="R1989" s="3522"/>
      <c r="S1989" s="3522"/>
      <c r="T1989" s="3522"/>
      <c r="U1989" s="3522"/>
      <c r="V1989" s="3522"/>
      <c r="W1989" s="3522"/>
      <c r="X1989" s="3522"/>
      <c r="Y1989" s="3522"/>
      <c r="Z1989" s="3522"/>
    </row>
    <row r="1990" spans="1:26" ht="15">
      <c r="A1990" s="3631"/>
      <c r="B1990" s="3415" t="s">
        <v>2159</v>
      </c>
      <c r="C1990" s="3522"/>
      <c r="D1990" s="3523"/>
      <c r="E1990" s="3523"/>
      <c r="F1990" s="358"/>
      <c r="G1990" s="358"/>
      <c r="H1990" s="3522"/>
      <c r="I1990" s="358"/>
      <c r="J1990" s="358"/>
      <c r="K1990" s="358"/>
      <c r="L1990" s="3467"/>
      <c r="M1990" s="3319"/>
      <c r="N1990" s="3310"/>
      <c r="O1990" s="3503">
        <f>'Part IX A-Scoring Criteria'!O436</f>
        <v>0</v>
      </c>
      <c r="P1990" s="3503">
        <f>'Part IX A-Scoring Criteria'!P436</f>
        <v>0</v>
      </c>
      <c r="Q1990" s="3319"/>
      <c r="R1990" s="3522"/>
      <c r="S1990" s="3522"/>
      <c r="T1990" s="3522"/>
      <c r="U1990" s="3522"/>
      <c r="V1990" s="3522"/>
      <c r="W1990" s="3522"/>
      <c r="X1990" s="3522"/>
      <c r="Y1990" s="3522"/>
      <c r="Z1990" s="3522"/>
    </row>
    <row r="1991" spans="1:26" ht="15">
      <c r="A1991" s="3631"/>
      <c r="B1991" s="3415" t="s">
        <v>2160</v>
      </c>
      <c r="C1991" s="3522"/>
      <c r="D1991" s="3523"/>
      <c r="E1991" s="3523"/>
      <c r="F1991" s="358"/>
      <c r="G1991" s="358"/>
      <c r="H1991" s="3522"/>
      <c r="I1991" s="358"/>
      <c r="J1991" s="358"/>
      <c r="K1991" s="358"/>
      <c r="L1991" s="3467"/>
      <c r="M1991" s="3319"/>
      <c r="N1991" s="3310"/>
      <c r="O1991" s="3503">
        <f>'Part IX A-Scoring Criteria'!O437</f>
        <v>0</v>
      </c>
      <c r="P1991" s="3503">
        <f>'Part IX A-Scoring Criteria'!P437</f>
        <v>0</v>
      </c>
      <c r="Q1991" s="3319"/>
      <c r="R1991" s="3522"/>
      <c r="S1991" s="3522"/>
      <c r="T1991" s="3522"/>
      <c r="U1991" s="3522"/>
      <c r="V1991" s="3522"/>
      <c r="W1991" s="3522"/>
      <c r="X1991" s="3522"/>
      <c r="Y1991" s="3522"/>
      <c r="Z1991" s="3522"/>
    </row>
    <row r="1992" spans="1:26" ht="15">
      <c r="A1992" s="3382"/>
      <c r="B1992" s="3382" t="s">
        <v>1276</v>
      </c>
      <c r="C1992" s="3111"/>
      <c r="D1992" s="3382"/>
      <c r="E1992" s="3348"/>
      <c r="F1992" s="3348"/>
      <c r="G1992" s="3348"/>
      <c r="H1992" s="3348"/>
      <c r="I1992" s="3348"/>
      <c r="J1992" s="3348"/>
      <c r="K1992" s="3348"/>
      <c r="L1992" s="3348"/>
      <c r="M1992" s="3348"/>
      <c r="N1992" s="3445"/>
      <c r="O1992" s="3324"/>
      <c r="P1992" s="3319"/>
      <c r="Q1992" s="3522"/>
      <c r="R1992" s="3522"/>
      <c r="S1992" s="3522"/>
      <c r="T1992" s="3522"/>
      <c r="U1992" s="3522"/>
      <c r="V1992" s="3522"/>
      <c r="W1992" s="3522"/>
      <c r="X1992" s="3522"/>
      <c r="Y1992" s="3522"/>
      <c r="Z1992" s="3522"/>
    </row>
    <row r="1993" spans="1:26" ht="15.75">
      <c r="A1993" s="3418">
        <f>'Part IX A-Scoring Criteria'!A439</f>
        <v>0</v>
      </c>
      <c r="B1993" s="3418">
        <f>'Part IX A-Scoring Criteria'!B439</f>
        <v>0</v>
      </c>
      <c r="C1993" s="3418">
        <f>'Part IX A-Scoring Criteria'!C439</f>
        <v>0</v>
      </c>
      <c r="D1993" s="3418">
        <f>'Part IX A-Scoring Criteria'!D439</f>
        <v>0</v>
      </c>
      <c r="E1993" s="3418">
        <f>'Part IX A-Scoring Criteria'!E439</f>
        <v>0</v>
      </c>
      <c r="F1993" s="3418">
        <f>'Part IX A-Scoring Criteria'!F439</f>
        <v>0</v>
      </c>
      <c r="G1993" s="3418">
        <f>'Part IX A-Scoring Criteria'!G439</f>
        <v>0</v>
      </c>
      <c r="H1993" s="3418">
        <f>'Part IX A-Scoring Criteria'!H439</f>
        <v>0</v>
      </c>
      <c r="I1993" s="3418">
        <f>'Part IX A-Scoring Criteria'!I439</f>
        <v>0</v>
      </c>
      <c r="J1993" s="3418">
        <f>'Part IX A-Scoring Criteria'!J439</f>
        <v>0</v>
      </c>
      <c r="K1993" s="3418">
        <f>'Part IX A-Scoring Criteria'!K439</f>
        <v>0</v>
      </c>
      <c r="L1993" s="3418">
        <f>'Part IX A-Scoring Criteria'!L439</f>
        <v>0</v>
      </c>
      <c r="M1993" s="3418">
        <f>'Part IX A-Scoring Criteria'!M439</f>
        <v>0</v>
      </c>
      <c r="N1993" s="3418">
        <f>'Part IX A-Scoring Criteria'!N439</f>
        <v>0</v>
      </c>
      <c r="O1993" s="3418">
        <f>'Part IX A-Scoring Criteria'!O439</f>
        <v>0</v>
      </c>
      <c r="P1993" s="3418">
        <f>'Part IX A-Scoring Criteria'!P439</f>
        <v>0</v>
      </c>
      <c r="Q1993" s="3512"/>
      <c r="R1993" s="3512"/>
      <c r="S1993" s="3504"/>
      <c r="T1993" s="3504"/>
      <c r="U1993" s="3504"/>
      <c r="V1993" s="3504"/>
      <c r="W1993" s="3504"/>
      <c r="X1993" s="3504"/>
      <c r="Y1993" s="3504"/>
      <c r="Z1993" s="3504"/>
    </row>
    <row r="1994" spans="1:26" ht="15">
      <c r="A1994" s="3631"/>
      <c r="B1994" s="3111"/>
      <c r="C1994" s="3421"/>
      <c r="D1994" s="3421"/>
      <c r="E1994" s="3421"/>
      <c r="F1994" s="3421"/>
      <c r="G1994" s="3421"/>
      <c r="H1994" s="3421"/>
      <c r="I1994" s="3421"/>
      <c r="J1994" s="3421"/>
      <c r="K1994" s="3421"/>
      <c r="L1994" s="3421"/>
      <c r="M1994" s="3421"/>
      <c r="N1994" s="3539"/>
      <c r="O1994" s="3510"/>
      <c r="P1994" s="3319"/>
      <c r="Q1994" s="3504"/>
      <c r="R1994" s="3504"/>
      <c r="S1994" s="3504"/>
      <c r="T1994" s="3504"/>
      <c r="U1994" s="3504"/>
      <c r="V1994" s="3504"/>
      <c r="W1994" s="3504"/>
      <c r="X1994" s="3504"/>
      <c r="Y1994" s="3504"/>
      <c r="Z1994" s="3504"/>
    </row>
    <row r="1995" spans="1:26" ht="15">
      <c r="A1995" s="3631"/>
      <c r="B1995" s="3646"/>
      <c r="C1995" s="3111"/>
      <c r="F1995" s="3504"/>
      <c r="G1995" s="3647" t="s">
        <v>2161</v>
      </c>
      <c r="H1995" s="3111"/>
      <c r="I1995" s="3500"/>
      <c r="J1995" s="3500"/>
      <c r="K1995" s="3500"/>
      <c r="L1995" s="3522"/>
      <c r="M1995" s="3648">
        <f>M1562+M1597+M1611+M1621+M1648+M1665+M1707+M1743+M1782+M1824+M1840+M1848+M1870+M1878+M1891+M1900+M1916+M1950+M1968+M1987</f>
        <v>95</v>
      </c>
      <c r="N1995" s="3649"/>
      <c r="O1995" s="3648">
        <f>O1562+O1597+O1611+O1621+O1648+O1665+O1707+O1743+O1824+O1840+O1848+O1870+O1891+O1900+O1916+O1950+O1968+O1987</f>
        <v>55</v>
      </c>
      <c r="P1995" s="3648">
        <f>P1562+P1597+P1611+P1621+P1648+P1665+P1707+P1743+P1782+P1824+P1840+P1848+P1870+P1878+P1891+P1900+P1916+P1950+P1968+P1987</f>
        <v>20</v>
      </c>
      <c r="Q1995" s="3111"/>
      <c r="R1995" s="3359">
        <f>'Part IX A-Scoring Criteria'!O441</f>
        <v>55</v>
      </c>
      <c r="S1995" s="3111"/>
      <c r="T1995" s="3111"/>
      <c r="U1995" s="3111"/>
      <c r="V1995" s="3111"/>
      <c r="W1995" s="3111"/>
      <c r="X1995" s="3111"/>
      <c r="Y1995" s="3111"/>
      <c r="Z1995" s="3111"/>
    </row>
    <row r="1996" spans="1:26" ht="15.75">
      <c r="A1996" s="3504"/>
      <c r="B1996" s="3646"/>
      <c r="C1996" s="3504"/>
      <c r="F1996" s="3502"/>
      <c r="G1996" s="3502"/>
      <c r="H1996" s="3326" t="s">
        <v>2162</v>
      </c>
      <c r="I1996" s="3111"/>
      <c r="J1996" s="3198"/>
      <c r="K1996" s="3198"/>
      <c r="L1996" s="3504"/>
      <c r="N1996" s="3319"/>
      <c r="O1996" s="3319"/>
      <c r="P1996" s="3601">
        <f>P1782</f>
        <v>0</v>
      </c>
      <c r="Q1996" s="3111"/>
      <c r="R1996" s="3111"/>
      <c r="S1996" s="3111"/>
      <c r="T1996" s="3111"/>
      <c r="U1996" s="3111"/>
      <c r="V1996" s="3111"/>
      <c r="W1996" s="3111"/>
      <c r="X1996" s="3111"/>
      <c r="Y1996" s="3111"/>
      <c r="Z1996" s="3111"/>
    </row>
    <row r="1997" spans="1:26" ht="15.75">
      <c r="A1997" s="3504"/>
      <c r="B1997" s="3646"/>
      <c r="C1997" s="3504"/>
      <c r="F1997" s="3502"/>
      <c r="G1997" s="3502"/>
      <c r="H1997" s="3326" t="s">
        <v>2163</v>
      </c>
      <c r="I1997" s="3111"/>
      <c r="J1997" s="3198"/>
      <c r="K1997" s="3198"/>
      <c r="L1997" s="3504"/>
      <c r="N1997" s="3319"/>
      <c r="O1997" s="3601"/>
      <c r="P1997" s="3601">
        <f>P1878</f>
        <v>0</v>
      </c>
      <c r="Q1997" s="3111"/>
      <c r="R1997" s="3111"/>
      <c r="S1997" s="3111"/>
      <c r="T1997" s="3111"/>
      <c r="U1997" s="3111"/>
      <c r="V1997" s="3111"/>
      <c r="W1997" s="3111"/>
      <c r="X1997" s="3111"/>
      <c r="Y1997" s="3111"/>
      <c r="Z1997" s="3111"/>
    </row>
    <row r="1998" spans="1:26" ht="15">
      <c r="A1998" s="3111"/>
      <c r="B1998" s="3504"/>
      <c r="C1998" s="3504"/>
      <c r="D1998" s="358"/>
      <c r="E1998" s="358"/>
      <c r="F1998" s="3319"/>
      <c r="G1998" s="3504"/>
      <c r="H1998" s="3326" t="s">
        <v>2164</v>
      </c>
      <c r="I1998" s="3319"/>
      <c r="J1998" s="3354"/>
      <c r="K1998" s="3354"/>
      <c r="L1998" s="3354"/>
      <c r="M1998" s="3416"/>
      <c r="N1998" s="3319"/>
      <c r="O1998" s="3308"/>
      <c r="P1998" s="3503">
        <f>P1995-P1996-P1997</f>
        <v>20</v>
      </c>
      <c r="Q1998" s="3504"/>
      <c r="R1998" s="3504"/>
      <c r="S1998" s="3504"/>
      <c r="T1998" s="3504"/>
      <c r="U1998" s="3504"/>
      <c r="V1998" s="3504"/>
      <c r="W1998" s="3504"/>
      <c r="X1998" s="3504"/>
      <c r="Y1998" s="3504"/>
      <c r="Z1998" s="3504"/>
    </row>
    <row r="1999" spans="1:26" ht="15.75">
      <c r="A1999" s="3504"/>
      <c r="B1999" s="3646"/>
      <c r="C1999" s="3504"/>
      <c r="F1999" s="3354"/>
      <c r="G1999" s="3354"/>
      <c r="H1999" s="3502"/>
      <c r="I1999" s="3502"/>
      <c r="J1999" s="3198"/>
      <c r="K1999" s="3198"/>
      <c r="L1999" s="3504"/>
      <c r="N1999" s="3319"/>
      <c r="O1999" s="3319"/>
      <c r="P1999" s="3503"/>
    </row>
    <row r="2000" spans="1:26" ht="15" customHeight="1">
      <c r="A2000" s="3650" t="s">
        <v>2165</v>
      </c>
      <c r="B2000" s="3650"/>
      <c r="C2000" s="3650"/>
      <c r="D2000" s="3650"/>
      <c r="E2000" s="3650"/>
      <c r="F2000" s="3650"/>
      <c r="G2000" s="3650"/>
      <c r="H2000" s="3650"/>
      <c r="I2000" s="3650"/>
      <c r="J2000" s="3650"/>
      <c r="K2000" s="3650"/>
      <c r="L2000" s="3650"/>
      <c r="M2000" s="3650"/>
      <c r="N2000" s="3650"/>
      <c r="O2000" s="3650"/>
      <c r="P2000" s="3650"/>
      <c r="Q2000" s="3504"/>
      <c r="R2000" s="3504"/>
      <c r="S2000" s="3504"/>
      <c r="T2000" s="3504"/>
      <c r="U2000" s="3504"/>
      <c r="V2000" s="3504"/>
      <c r="W2000" s="3504"/>
      <c r="X2000" s="3504"/>
      <c r="Y2000" s="3504"/>
      <c r="Z2000" s="3504"/>
    </row>
    <row r="2001" spans="1:26" ht="409.5">
      <c r="A2001" s="3418" t="str">
        <f>'Part IX A-Scoring Criteria'!A447</f>
        <v>I.  Application Completeness.  The owner, developer, and sponsor of the Mill at Stone Valley are presenting a complete, organized application for the 9% Low-Income Housing Tax Credit.
II(A).  Deeper Rent Targeting.  The owner, developer, and sponsor of the Mill at Stone Valley elect to set aside 15 units (20.83% of the total) to be income- and rent-restricted at the 50% of area median income (AMI) level.
IV(B)(4).  Community Transportation Options.  The Mill at Stone Valley will be served by an on-call public transportation service, Cherokee Area Transportation System (CATS), operated by the Cherokee County government.  The documentation for this service is included in Tab 28.
VI(B).  Enriched Property Services - Healthy Housing Initiatives.  The Mill at Stone Valley will offer residents a full healthy housing environment, including both health care assistance and healthy eating options.  These involve both services conducted onsite, information and educational opportunties, and a community garden.  Further discussion of this item is found in Part IX B of this Core Application, as well as in Tab 30.
X.  Stable Communities.  The Mill at Stone Valley is located in Cherokee County Census Tract 901.00, which is designated by the FFIEC as a "Middle"-income censust tract with a poverty rate of 9.75%, which is below the 10% maximum for scoring as a "Stable Community" under the Rural Pool provisions.  Documentation including map and FFIEC report are located in Tab 34.
XIII.  Extended Affordability Commitment.  The owner of the Mill at Stone Valley commits to forego its rights to pursue a Qualified Contract under Section 42 of the Internal Revenue Code for a period of five (5) years following the end of the Compliance Period, and agrees to codify this commitment in its Land Use Restrictive Covenant with DCA, to be recorded on or about the time of closing.
XX.  The development team of the Mill at Stone Valley has a longstanding track record of successfully owning, developing, and operating quality affordable housing throughout the state of Georgia, a current updated list of which is included in Tab 43.  As such, no deductions from the maximum Compliance Score are warranted.</v>
      </c>
      <c r="B2001" s="3418">
        <f>'Part IX A-Scoring Criteria'!B447</f>
        <v>0</v>
      </c>
      <c r="C2001" s="3418">
        <f>'Part IX A-Scoring Criteria'!C447</f>
        <v>0</v>
      </c>
      <c r="D2001" s="3418">
        <f>'Part IX A-Scoring Criteria'!D447</f>
        <v>0</v>
      </c>
      <c r="E2001" s="3418">
        <f>'Part IX A-Scoring Criteria'!E447</f>
        <v>0</v>
      </c>
      <c r="F2001" s="3418">
        <f>'Part IX A-Scoring Criteria'!F447</f>
        <v>0</v>
      </c>
      <c r="G2001" s="3418">
        <f>'Part IX A-Scoring Criteria'!G447</f>
        <v>0</v>
      </c>
      <c r="H2001" s="3418">
        <f>'Part IX A-Scoring Criteria'!H447</f>
        <v>0</v>
      </c>
      <c r="I2001" s="3418">
        <f>'Part IX A-Scoring Criteria'!I447</f>
        <v>0</v>
      </c>
      <c r="J2001" s="3418">
        <f>'Part IX A-Scoring Criteria'!J447</f>
        <v>0</v>
      </c>
      <c r="K2001" s="3418">
        <f>'Part IX A-Scoring Criteria'!K447</f>
        <v>0</v>
      </c>
      <c r="L2001" s="3418">
        <f>'Part IX A-Scoring Criteria'!L447</f>
        <v>0</v>
      </c>
      <c r="M2001" s="3418">
        <f>'Part IX A-Scoring Criteria'!M447</f>
        <v>0</v>
      </c>
      <c r="N2001" s="3418">
        <f>'Part IX A-Scoring Criteria'!N447</f>
        <v>0</v>
      </c>
      <c r="O2001" s="3418">
        <f>'Part IX A-Scoring Criteria'!O447</f>
        <v>0</v>
      </c>
      <c r="P2001" s="3418">
        <f>'Part IX A-Scoring Criteria'!P447</f>
        <v>0</v>
      </c>
      <c r="Q2001" s="3512"/>
      <c r="R2001" s="3512"/>
      <c r="S2001" s="3504"/>
      <c r="T2001" s="3504"/>
      <c r="U2001" s="3504"/>
      <c r="V2001" s="3504"/>
      <c r="W2001" s="3504"/>
      <c r="X2001" s="3504"/>
      <c r="Y2001" s="3504"/>
      <c r="Z2001" s="3504"/>
    </row>
    <row r="2009" spans="1:26" ht="15.75">
      <c r="A2009" s="3222" t="s">
        <v>2279</v>
      </c>
    </row>
    <row r="2010" spans="1:26" ht="16.5">
      <c r="A2010" s="3651" t="str">
        <f>'Part I-Project Information'!$F$34</f>
        <v>Mill at Stone Valley</v>
      </c>
    </row>
    <row r="2011" spans="1:26" ht="16.5">
      <c r="A2011" s="3651" t="str">
        <f>CONCATENATE('Part I-Project Information'!$F$38,", ", 'Part I-Project Information'!$J$39," County")</f>
        <v>Ball Ground, Cherokee County</v>
      </c>
    </row>
    <row r="2013" spans="1:26" ht="12.75" customHeight="1">
      <c r="A2013" s="3103" t="str">
        <f>'Pt IX B-Healthy Housg Init Narr'!A5</f>
        <v>TISHCO Ballground, LP is proposing to implement a Healthy Initiative and Preventative Program on the
New Construction Mill at Stone Valley Apartments in Ballground, Cherokee County, Georgia. From
reviewing the Community Health Needs Assessments of Northside Hospital and WellStar it is becoming
evident that one of the major barriers to a healthy lifestyle was the inability to pay for medical services.
TISHCO Ballground, LP commits to a Healthy Initiative and Preventative Plan by first developing
affordable housing which will give individuals the capability to pay for healthy foods and medical
services when needed. The Northside Hospital CHNA states on page 51, “Affordable Housing is more
likely to allow families enough money to cover other needs that are also associated with health,
including medical expenses, food and transportation.” Continued on page 51 of the Northside Hospital
CHNA it shows evidence that Cherokee County is one of the communities effected by high housing cost
“exceeding 50% of monthly income”. Housing and Health are associated because when an individual
cannot afford proper housing for “themselves or their families, they are forced into living situations that
are not appropriate… these conditions can lead to stress, high blood pressure, and other illnesses.”
(Northside Hospital CHNA pg. 51).
The data suggest many lifestyle habits as being the barrier to healthy routine such as tobacco use, poor
nutrition and little to no physical activity. Mill at Stone Valley Apartments will have a Health Service
Coordinator (HSC) staffed on site to help the residents implement change in these lifestyle behaviors as
part as the preventative care plan. Also, Mill at Stone Valley Apartments will be a Smoke Free Property
which will address both needs assessments’ unhealthy behaviors as a reason for major health
challenges. It is TISHCO Ballground, LP’s goal to break down the barriers for the underuse of
preventative measures for our residents and community. We must start by building affordable quality
housing, then staffing an individual on site who will assess the needs and create a Healthy Initiative and
Preventative atmosphere for everyone in the community. The Mill at Stone Valley Apartments
primarily bridges the gap between housing and health care and allows opportunity for a low-income
individual to achieve a healthier lifestyle by establishing healthier habits and being able to afford to stay
current on well-care visits, screenings and immunizations.</v>
      </c>
    </row>
    <row r="2014" spans="1:26">
      <c r="A2014" s="3103"/>
    </row>
    <row r="2015" spans="1:26">
      <c r="A2015" s="3103"/>
    </row>
    <row r="2016" spans="1:26">
      <c r="A2016" s="3103"/>
    </row>
    <row r="2017" spans="1:1">
      <c r="A2017" s="3103"/>
    </row>
    <row r="2018" spans="1:1">
      <c r="A2018" s="3103"/>
    </row>
    <row r="2019" spans="1:1">
      <c r="A2019" s="3103"/>
    </row>
    <row r="2020" spans="1:1">
      <c r="A2020" s="3103"/>
    </row>
    <row r="2021" spans="1:1">
      <c r="A2021" s="3103"/>
    </row>
    <row r="2022" spans="1:1">
      <c r="A2022" s="3103"/>
    </row>
    <row r="2023" spans="1:1">
      <c r="A2023" s="3103"/>
    </row>
    <row r="2024" spans="1:1">
      <c r="A2024" s="3103"/>
    </row>
    <row r="2025" spans="1:1">
      <c r="A2025" s="3103"/>
    </row>
    <row r="2026" spans="1:1">
      <c r="A2026" s="3103"/>
    </row>
    <row r="2027" spans="1:1">
      <c r="A2027" s="3103"/>
    </row>
    <row r="2028" spans="1:1">
      <c r="A2028" s="3103"/>
    </row>
    <row r="2029" spans="1:1">
      <c r="A2029" s="3103"/>
    </row>
    <row r="2030" spans="1:1">
      <c r="A2030" s="3103"/>
    </row>
    <row r="2031" spans="1:1">
      <c r="A2031" s="3103"/>
    </row>
  </sheetData>
  <sheetProtection algorithmName="SHA-512" hashValue="lM2ikHcu3gOagwcB3xn2rakCMDAqR+vziHiBpeTjeI3mnkyMx4cfnV0N6ghQSIbh1UOPT2CwaUIQYASFQvC/3g==" saltValue="//r1w9XS3kbgR/lXqO9iPw=="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Normal="100" workbookViewId="0">
      <selection activeCell="L8" sqref="L8"/>
    </sheetView>
  </sheetViews>
  <sheetFormatPr defaultColWidth="9.140625" defaultRowHeight="12.75"/>
  <cols>
    <col min="1" max="1" width="2.7109375" style="221" customWidth="1"/>
    <col min="2" max="4" width="1.85546875" style="221" customWidth="1"/>
    <col min="5" max="5" width="14.7109375" style="221" customWidth="1"/>
    <col min="6" max="6" width="6.140625" style="221" customWidth="1"/>
    <col min="7" max="7" width="2.7109375" style="221" customWidth="1"/>
    <col min="8" max="8" width="8" style="221" customWidth="1"/>
    <col min="9" max="9" width="6.28515625" style="221" customWidth="1"/>
    <col min="10" max="10" width="8.28515625" style="221" customWidth="1"/>
    <col min="11" max="11" width="9.7109375" style="221" customWidth="1"/>
    <col min="12" max="13" width="8.85546875" style="221" customWidth="1"/>
    <col min="14" max="14" width="9.42578125" style="221" customWidth="1"/>
    <col min="15" max="15" width="9.7109375" style="221" customWidth="1"/>
    <col min="16" max="16" width="6.140625" style="221" customWidth="1"/>
    <col min="17" max="19" width="6.28515625" style="221" customWidth="1"/>
    <col min="20" max="24" width="11.5703125" style="221" customWidth="1"/>
    <col min="25" max="16384" width="9.140625" style="221"/>
  </cols>
  <sheetData>
    <row r="1" spans="1:27" s="204" customFormat="1" ht="13.9" customHeight="1">
      <c r="A1" s="1635" t="str">
        <f>CONCATENATE("PART TWO - DEVELOPMENT TEAM INFORMATION","  -  ",'Part I-Project Information'!$O$6," ",'Part I-Project Information'!$F$34,", ",'Part I-Project Information'!F38,", ",'Part I-Project Information'!J39," County")</f>
        <v>PART TWO - DEVELOPMENT TEAM INFORMATION  -  2018-008 Mill at Stone Valley, Ball Ground, Cherokee County</v>
      </c>
      <c r="B1" s="1636"/>
      <c r="C1" s="1636"/>
      <c r="D1" s="1636"/>
      <c r="E1" s="1636"/>
      <c r="F1" s="1636"/>
      <c r="G1" s="1636"/>
      <c r="H1" s="1636"/>
      <c r="I1" s="1636"/>
      <c r="J1" s="1636"/>
      <c r="K1" s="1636"/>
      <c r="L1" s="1636"/>
      <c r="M1" s="1636"/>
      <c r="N1" s="1636"/>
      <c r="O1" s="1636"/>
      <c r="P1" s="1636"/>
      <c r="Q1" s="1636"/>
      <c r="R1" s="1636"/>
      <c r="S1" s="1637"/>
    </row>
    <row r="2" spans="1:27" ht="12" customHeight="1">
      <c r="A2" s="829" t="s">
        <v>365</v>
      </c>
      <c r="B2" s="830"/>
      <c r="C2" s="830"/>
      <c r="D2" s="830"/>
      <c r="E2" s="830"/>
      <c r="F2" s="830"/>
      <c r="G2" s="830"/>
      <c r="H2" s="830"/>
      <c r="I2" s="830"/>
      <c r="J2" s="830"/>
      <c r="K2" s="830"/>
      <c r="L2" s="830"/>
      <c r="M2" s="830"/>
      <c r="N2" s="830"/>
      <c r="O2" s="830"/>
      <c r="P2" s="830"/>
      <c r="Q2" s="830"/>
      <c r="R2" s="830"/>
      <c r="S2" s="830"/>
    </row>
    <row r="3" spans="1:27" s="204" customFormat="1" ht="13.15" customHeight="1">
      <c r="A3" s="205" t="s">
        <v>9</v>
      </c>
      <c r="B3" s="208" t="s">
        <v>366</v>
      </c>
      <c r="C3" s="208"/>
      <c r="E3" s="208"/>
      <c r="F3" s="208"/>
      <c r="G3" s="208"/>
      <c r="H3" s="1166" t="s">
        <v>367</v>
      </c>
    </row>
    <row r="4" spans="1:27" s="204" customFormat="1" ht="8.4499999999999993" customHeight="1">
      <c r="A4" s="205"/>
      <c r="B4" s="205"/>
      <c r="C4" s="205"/>
      <c r="D4" s="208"/>
      <c r="E4" s="208"/>
      <c r="F4" s="208"/>
      <c r="G4" s="208"/>
      <c r="H4" s="208"/>
      <c r="I4" s="208"/>
      <c r="J4" s="208"/>
    </row>
    <row r="5" spans="1:27" s="204" customFormat="1" ht="11.25" customHeight="1">
      <c r="B5" s="205" t="s">
        <v>110</v>
      </c>
      <c r="C5" s="208" t="s">
        <v>368</v>
      </c>
      <c r="H5" s="2886" t="s">
        <v>369</v>
      </c>
      <c r="I5" s="2887"/>
      <c r="J5" s="2887"/>
      <c r="K5" s="2887"/>
      <c r="L5" s="2887"/>
      <c r="M5" s="2887"/>
      <c r="N5" s="2888"/>
      <c r="O5" s="1499" t="s">
        <v>370</v>
      </c>
      <c r="P5" s="1499"/>
      <c r="Q5" s="2886" t="s">
        <v>36</v>
      </c>
      <c r="R5" s="2887"/>
      <c r="S5" s="2888"/>
      <c r="Y5" s="950"/>
      <c r="Z5" s="951"/>
      <c r="AA5" s="1510"/>
    </row>
    <row r="6" spans="1:27" s="204" customFormat="1" ht="11.25" customHeight="1">
      <c r="D6" s="239"/>
      <c r="E6" s="207" t="s">
        <v>189</v>
      </c>
      <c r="F6" s="215"/>
      <c r="H6" s="2886" t="s">
        <v>40</v>
      </c>
      <c r="I6" s="2887"/>
      <c r="J6" s="2887"/>
      <c r="K6" s="2887"/>
      <c r="L6" s="2887"/>
      <c r="M6" s="2887"/>
      <c r="N6" s="2888"/>
      <c r="O6" s="1499" t="s">
        <v>371</v>
      </c>
      <c r="Q6" s="2886" t="s">
        <v>372</v>
      </c>
      <c r="R6" s="2887"/>
      <c r="S6" s="2888"/>
      <c r="V6" s="950"/>
      <c r="W6" s="950"/>
      <c r="X6" s="950"/>
      <c r="Y6" s="950"/>
      <c r="Z6" s="951"/>
      <c r="AA6" s="1510"/>
    </row>
    <row r="7" spans="1:27" s="204" customFormat="1" ht="11.25" customHeight="1">
      <c r="D7" s="239"/>
      <c r="E7" s="207" t="s">
        <v>42</v>
      </c>
      <c r="H7" s="2886" t="s">
        <v>43</v>
      </c>
      <c r="I7" s="2887"/>
      <c r="J7" s="2888"/>
      <c r="K7" s="2889" t="s">
        <v>373</v>
      </c>
      <c r="L7" s="2886"/>
      <c r="M7" s="2887"/>
      <c r="N7" s="2888"/>
      <c r="O7" s="1499" t="s">
        <v>49</v>
      </c>
      <c r="Q7" s="2890">
        <v>2293162232</v>
      </c>
      <c r="R7" s="2891"/>
      <c r="S7" s="2892"/>
    </row>
    <row r="8" spans="1:27" s="204" customFormat="1" ht="11.25" customHeight="1">
      <c r="D8" s="239"/>
      <c r="E8" s="207" t="s">
        <v>44</v>
      </c>
      <c r="H8" s="2893" t="s">
        <v>45</v>
      </c>
      <c r="I8" s="1502" t="s">
        <v>46</v>
      </c>
      <c r="J8" s="2894">
        <v>316015526</v>
      </c>
      <c r="K8" s="2888"/>
      <c r="L8" s="204" t="s">
        <v>374</v>
      </c>
      <c r="M8" s="2895" t="s">
        <v>375</v>
      </c>
      <c r="N8" s="2896"/>
      <c r="O8" s="1499" t="s">
        <v>52</v>
      </c>
      <c r="Q8" s="2890">
        <v>2295615959</v>
      </c>
      <c r="R8" s="2891"/>
      <c r="S8" s="2892"/>
    </row>
    <row r="9" spans="1:27" s="204" customFormat="1" ht="11.25" customHeight="1">
      <c r="D9" s="239"/>
      <c r="E9" s="207" t="s">
        <v>376</v>
      </c>
      <c r="H9" s="2890">
        <v>2292427759</v>
      </c>
      <c r="I9" s="2892"/>
      <c r="J9" s="2897">
        <v>2232</v>
      </c>
      <c r="K9" s="1511" t="s">
        <v>50</v>
      </c>
      <c r="L9" s="2898" t="s">
        <v>51</v>
      </c>
      <c r="M9" s="2899"/>
      <c r="N9" s="2899"/>
      <c r="O9" s="2899"/>
      <c r="P9" s="2899"/>
      <c r="Q9" s="2899"/>
      <c r="R9" s="2899"/>
      <c r="S9" s="2900"/>
    </row>
    <row r="10" spans="1:27" s="204" customFormat="1" ht="11.25" customHeight="1">
      <c r="D10" s="239"/>
      <c r="E10" s="1166" t="s">
        <v>367</v>
      </c>
      <c r="H10" s="234"/>
      <c r="K10" s="181"/>
      <c r="N10" s="271" t="s">
        <v>377</v>
      </c>
      <c r="Q10" s="1511"/>
    </row>
    <row r="11" spans="1:27" s="204" customFormat="1" ht="4.1500000000000004" customHeight="1">
      <c r="D11" s="240"/>
      <c r="E11" s="207"/>
      <c r="F11" s="208"/>
      <c r="G11" s="208"/>
      <c r="H11" s="208"/>
      <c r="I11" s="208"/>
      <c r="J11" s="208"/>
      <c r="N11" s="208"/>
      <c r="O11" s="208"/>
      <c r="P11" s="208"/>
      <c r="Q11" s="208"/>
      <c r="R11" s="208"/>
      <c r="S11" s="208"/>
      <c r="T11" s="208"/>
    </row>
    <row r="12" spans="1:27" s="204" customFormat="1" ht="11.25" customHeight="1">
      <c r="B12" s="238" t="s">
        <v>121</v>
      </c>
      <c r="C12" s="208" t="s">
        <v>378</v>
      </c>
      <c r="F12" s="208"/>
      <c r="G12" s="208"/>
      <c r="H12" s="208"/>
      <c r="I12" s="208"/>
      <c r="N12" s="2901" t="s">
        <v>93</v>
      </c>
      <c r="W12" s="2901"/>
      <c r="X12" s="2901"/>
      <c r="Y12" s="2901"/>
      <c r="Z12" s="2901"/>
    </row>
    <row r="13" spans="1:27" s="204" customFormat="1" ht="11.25" customHeight="1">
      <c r="C13" s="241" t="s">
        <v>379</v>
      </c>
      <c r="D13" s="238" t="s">
        <v>380</v>
      </c>
      <c r="H13" s="1510"/>
      <c r="I13" s="1510"/>
      <c r="J13" s="1510"/>
      <c r="N13" s="952"/>
      <c r="W13" s="2902"/>
      <c r="X13" s="2902"/>
      <c r="Y13" s="2902"/>
      <c r="Z13" s="2902"/>
    </row>
    <row r="14" spans="1:27" s="204" customFormat="1" ht="11.25" customHeight="1">
      <c r="D14" s="205" t="s">
        <v>381</v>
      </c>
      <c r="E14" s="204" t="s">
        <v>382</v>
      </c>
      <c r="H14" s="2886" t="s">
        <v>383</v>
      </c>
      <c r="I14" s="2887"/>
      <c r="J14" s="2887"/>
      <c r="K14" s="2887"/>
      <c r="L14" s="2887"/>
      <c r="M14" s="2887"/>
      <c r="N14" s="2888"/>
      <c r="O14" s="1499" t="s">
        <v>370</v>
      </c>
      <c r="P14" s="1499"/>
      <c r="Q14" s="2886" t="s">
        <v>36</v>
      </c>
      <c r="R14" s="2887"/>
      <c r="S14" s="2888"/>
    </row>
    <row r="15" spans="1:27" s="204" customFormat="1" ht="11.25" customHeight="1">
      <c r="D15" s="239"/>
      <c r="E15" s="207" t="s">
        <v>189</v>
      </c>
      <c r="F15" s="215"/>
      <c r="H15" s="2886" t="s">
        <v>40</v>
      </c>
      <c r="I15" s="2887"/>
      <c r="J15" s="2887"/>
      <c r="K15" s="2887"/>
      <c r="L15" s="2887"/>
      <c r="M15" s="2887"/>
      <c r="N15" s="2888"/>
      <c r="O15" s="1499" t="s">
        <v>371</v>
      </c>
      <c r="Q15" s="2886" t="s">
        <v>384</v>
      </c>
      <c r="R15" s="2887"/>
      <c r="S15" s="2888"/>
    </row>
    <row r="16" spans="1:27" s="204" customFormat="1" ht="11.25" customHeight="1">
      <c r="D16" s="239"/>
      <c r="E16" s="207" t="s">
        <v>42</v>
      </c>
      <c r="H16" s="2886" t="s">
        <v>43</v>
      </c>
      <c r="I16" s="2887"/>
      <c r="J16" s="2888"/>
      <c r="K16" s="1501" t="s">
        <v>99</v>
      </c>
      <c r="L16" s="2886" t="s">
        <v>385</v>
      </c>
      <c r="M16" s="2887"/>
      <c r="N16" s="2888"/>
      <c r="O16" s="1499" t="s">
        <v>49</v>
      </c>
      <c r="Q16" s="2890">
        <v>2293162232</v>
      </c>
      <c r="R16" s="2891"/>
      <c r="S16" s="2892"/>
    </row>
    <row r="17" spans="3:19" s="204" customFormat="1" ht="11.25" customHeight="1">
      <c r="D17" s="205"/>
      <c r="E17" s="207" t="s">
        <v>44</v>
      </c>
      <c r="H17" s="2893" t="s">
        <v>45</v>
      </c>
      <c r="K17" s="1502" t="s">
        <v>46</v>
      </c>
      <c r="L17" s="2903">
        <v>316015526</v>
      </c>
      <c r="M17" s="2904"/>
      <c r="O17" s="1499" t="s">
        <v>52</v>
      </c>
      <c r="Q17" s="2890">
        <v>2295615959</v>
      </c>
      <c r="R17" s="2891"/>
      <c r="S17" s="2892"/>
    </row>
    <row r="18" spans="3:19" s="204" customFormat="1" ht="11.25" customHeight="1">
      <c r="D18" s="239"/>
      <c r="E18" s="207" t="s">
        <v>376</v>
      </c>
      <c r="H18" s="2890">
        <v>2292427759</v>
      </c>
      <c r="I18" s="2892"/>
      <c r="J18" s="2897">
        <v>2232</v>
      </c>
      <c r="K18" s="1511" t="s">
        <v>50</v>
      </c>
      <c r="L18" s="2898" t="s">
        <v>51</v>
      </c>
      <c r="M18" s="2899"/>
      <c r="N18" s="2899"/>
      <c r="O18" s="2899"/>
      <c r="P18" s="2899"/>
      <c r="Q18" s="2899"/>
      <c r="R18" s="2899"/>
      <c r="S18" s="2900"/>
    </row>
    <row r="19" spans="3:19" ht="4.1500000000000004" customHeight="1">
      <c r="D19" s="227"/>
      <c r="H19" s="2905"/>
      <c r="I19" s="2905"/>
      <c r="J19" s="2905"/>
      <c r="K19" s="1511"/>
      <c r="L19" s="2905"/>
      <c r="M19" s="2905"/>
      <c r="N19" s="1498"/>
      <c r="O19" s="1554"/>
      <c r="P19" s="1554"/>
      <c r="Q19" s="1511"/>
      <c r="R19" s="1554"/>
      <c r="S19" s="1554"/>
    </row>
    <row r="20" spans="3:19" s="204" customFormat="1" ht="11.25" customHeight="1">
      <c r="D20" s="205" t="s">
        <v>386</v>
      </c>
      <c r="E20" s="204" t="s">
        <v>387</v>
      </c>
      <c r="F20" s="1510"/>
      <c r="H20" s="2886"/>
      <c r="I20" s="2887"/>
      <c r="J20" s="2887"/>
      <c r="K20" s="2887"/>
      <c r="L20" s="2887"/>
      <c r="M20" s="2887"/>
      <c r="N20" s="2888"/>
      <c r="O20" s="1499" t="s">
        <v>370</v>
      </c>
      <c r="P20" s="1499"/>
      <c r="Q20" s="2886"/>
      <c r="R20" s="2887"/>
      <c r="S20" s="2888"/>
    </row>
    <row r="21" spans="3:19" s="204" customFormat="1" ht="11.25" customHeight="1">
      <c r="D21" s="239"/>
      <c r="E21" s="207" t="s">
        <v>189</v>
      </c>
      <c r="F21" s="215"/>
      <c r="H21" s="2886"/>
      <c r="I21" s="2887"/>
      <c r="J21" s="2887"/>
      <c r="K21" s="2887"/>
      <c r="L21" s="2887"/>
      <c r="M21" s="2887"/>
      <c r="N21" s="2888"/>
      <c r="O21" s="1499" t="s">
        <v>371</v>
      </c>
      <c r="Q21" s="2886"/>
      <c r="R21" s="2887"/>
      <c r="S21" s="2888"/>
    </row>
    <row r="22" spans="3:19" s="204" customFormat="1" ht="11.25" customHeight="1">
      <c r="D22" s="239"/>
      <c r="E22" s="207" t="s">
        <v>42</v>
      </c>
      <c r="H22" s="2886"/>
      <c r="I22" s="2887"/>
      <c r="J22" s="2888"/>
      <c r="K22" s="1501" t="s">
        <v>99</v>
      </c>
      <c r="L22" s="2886"/>
      <c r="M22" s="2887"/>
      <c r="N22" s="2888"/>
      <c r="O22" s="1499" t="s">
        <v>49</v>
      </c>
      <c r="Q22" s="2890"/>
      <c r="R22" s="2891"/>
      <c r="S22" s="2892"/>
    </row>
    <row r="23" spans="3:19" s="204" customFormat="1" ht="11.25" customHeight="1">
      <c r="E23" s="207" t="s">
        <v>44</v>
      </c>
      <c r="H23" s="2893"/>
      <c r="K23" s="1502" t="s">
        <v>46</v>
      </c>
      <c r="L23" s="2903"/>
      <c r="M23" s="2904"/>
      <c r="O23" s="1499" t="s">
        <v>52</v>
      </c>
      <c r="Q23" s="2890"/>
      <c r="R23" s="2891"/>
      <c r="S23" s="2892"/>
    </row>
    <row r="24" spans="3:19" s="204" customFormat="1" ht="11.25" customHeight="1">
      <c r="D24" s="239"/>
      <c r="E24" s="207" t="s">
        <v>376</v>
      </c>
      <c r="H24" s="2890"/>
      <c r="I24" s="2892"/>
      <c r="J24" s="2897"/>
      <c r="K24" s="1511" t="s">
        <v>50</v>
      </c>
      <c r="L24" s="2898"/>
      <c r="M24" s="2899"/>
      <c r="N24" s="2899"/>
      <c r="O24" s="2899"/>
      <c r="P24" s="2899"/>
      <c r="Q24" s="2899"/>
      <c r="R24" s="2899"/>
      <c r="S24" s="2900"/>
    </row>
    <row r="25" spans="3:19" s="204" customFormat="1" ht="4.1500000000000004" customHeight="1">
      <c r="D25" s="239"/>
      <c r="E25" s="1510"/>
      <c r="F25" s="1510"/>
      <c r="G25" s="1499"/>
      <c r="H25" s="2905"/>
      <c r="I25" s="2905"/>
      <c r="J25" s="2905"/>
      <c r="K25" s="1511"/>
      <c r="L25" s="2905"/>
      <c r="M25" s="2905"/>
      <c r="N25" s="1498"/>
      <c r="O25" s="1554"/>
      <c r="P25" s="1554"/>
      <c r="Q25" s="1511"/>
      <c r="R25" s="1554"/>
      <c r="S25" s="1554"/>
    </row>
    <row r="26" spans="3:19" s="204" customFormat="1" ht="11.25" customHeight="1">
      <c r="D26" s="205" t="s">
        <v>388</v>
      </c>
      <c r="E26" s="204" t="s">
        <v>387</v>
      </c>
      <c r="F26" s="1510"/>
      <c r="H26" s="2886"/>
      <c r="I26" s="2887"/>
      <c r="J26" s="2887"/>
      <c r="K26" s="2887"/>
      <c r="L26" s="2887"/>
      <c r="M26" s="2887"/>
      <c r="N26" s="2888"/>
      <c r="O26" s="1499" t="s">
        <v>370</v>
      </c>
      <c r="P26" s="1499"/>
      <c r="Q26" s="2886"/>
      <c r="R26" s="2887"/>
      <c r="S26" s="2888"/>
    </row>
    <row r="27" spans="3:19" s="204" customFormat="1" ht="11.25" customHeight="1">
      <c r="D27" s="239"/>
      <c r="E27" s="207" t="s">
        <v>189</v>
      </c>
      <c r="F27" s="215"/>
      <c r="H27" s="2886"/>
      <c r="I27" s="2887"/>
      <c r="J27" s="2887"/>
      <c r="K27" s="2887"/>
      <c r="L27" s="2887"/>
      <c r="M27" s="2887"/>
      <c r="N27" s="2888"/>
      <c r="O27" s="1499" t="s">
        <v>371</v>
      </c>
      <c r="Q27" s="2886"/>
      <c r="R27" s="2887"/>
      <c r="S27" s="2888"/>
    </row>
    <row r="28" spans="3:19" s="204" customFormat="1" ht="11.25" customHeight="1">
      <c r="D28" s="239"/>
      <c r="E28" s="207" t="s">
        <v>42</v>
      </c>
      <c r="H28" s="2886"/>
      <c r="I28" s="2887"/>
      <c r="J28" s="2888"/>
      <c r="K28" s="1501" t="s">
        <v>99</v>
      </c>
      <c r="L28" s="2886"/>
      <c r="M28" s="2887"/>
      <c r="N28" s="2888"/>
      <c r="O28" s="1499" t="s">
        <v>49</v>
      </c>
      <c r="Q28" s="2890"/>
      <c r="R28" s="2891"/>
      <c r="S28" s="2892"/>
    </row>
    <row r="29" spans="3:19" s="204" customFormat="1" ht="11.25" customHeight="1">
      <c r="E29" s="207" t="s">
        <v>44</v>
      </c>
      <c r="H29" s="2893"/>
      <c r="K29" s="1502" t="s">
        <v>46</v>
      </c>
      <c r="L29" s="2903"/>
      <c r="M29" s="2904"/>
      <c r="O29" s="1499" t="s">
        <v>52</v>
      </c>
      <c r="Q29" s="2890"/>
      <c r="R29" s="2891"/>
      <c r="S29" s="2892"/>
    </row>
    <row r="30" spans="3:19" s="204" customFormat="1" ht="11.25" customHeight="1">
      <c r="D30" s="239"/>
      <c r="E30" s="207" t="s">
        <v>376</v>
      </c>
      <c r="H30" s="2890"/>
      <c r="I30" s="2892"/>
      <c r="J30" s="2897"/>
      <c r="K30" s="1511" t="s">
        <v>50</v>
      </c>
      <c r="L30" s="2898"/>
      <c r="M30" s="2899"/>
      <c r="N30" s="2899"/>
      <c r="O30" s="2899"/>
      <c r="P30" s="2899"/>
      <c r="Q30" s="2899"/>
      <c r="R30" s="2899"/>
      <c r="S30" s="2900"/>
    </row>
    <row r="31" spans="3:19" ht="4.1500000000000004" customHeight="1"/>
    <row r="32" spans="3:19" s="204" customFormat="1" ht="11.25" customHeight="1">
      <c r="C32" s="241" t="s">
        <v>389</v>
      </c>
      <c r="D32" s="238" t="s">
        <v>390</v>
      </c>
      <c r="H32" s="1510"/>
      <c r="I32" s="1510"/>
      <c r="J32" s="1510"/>
      <c r="K32" s="1166" t="s">
        <v>367</v>
      </c>
      <c r="L32" s="1510"/>
      <c r="M32" s="1510"/>
    </row>
    <row r="33" spans="3:19" s="204" customFormat="1" ht="11.25" customHeight="1">
      <c r="D33" s="205" t="s">
        <v>381</v>
      </c>
      <c r="E33" s="204" t="s">
        <v>391</v>
      </c>
      <c r="H33" s="2886" t="s">
        <v>4662</v>
      </c>
      <c r="I33" s="2887"/>
      <c r="J33" s="2887"/>
      <c r="K33" s="2887"/>
      <c r="L33" s="2887"/>
      <c r="M33" s="2887"/>
      <c r="N33" s="2888"/>
      <c r="O33" s="1499" t="s">
        <v>370</v>
      </c>
      <c r="P33" s="1499"/>
      <c r="Q33" s="2886" t="s">
        <v>4716</v>
      </c>
      <c r="R33" s="2887"/>
      <c r="S33" s="2888"/>
    </row>
    <row r="34" spans="3:19" s="204" customFormat="1" ht="11.25" customHeight="1">
      <c r="D34" s="239"/>
      <c r="E34" s="207" t="s">
        <v>189</v>
      </c>
      <c r="F34" s="215"/>
      <c r="H34" s="2886" t="s">
        <v>4714</v>
      </c>
      <c r="I34" s="2887"/>
      <c r="J34" s="2887"/>
      <c r="K34" s="2887"/>
      <c r="L34" s="2887"/>
      <c r="M34" s="2887"/>
      <c r="N34" s="2888"/>
      <c r="O34" s="1499" t="s">
        <v>371</v>
      </c>
      <c r="Q34" s="2886" t="s">
        <v>4717</v>
      </c>
      <c r="R34" s="2887"/>
      <c r="S34" s="2888"/>
    </row>
    <row r="35" spans="3:19" s="204" customFormat="1" ht="11.25" customHeight="1">
      <c r="D35" s="239"/>
      <c r="E35" s="207" t="s">
        <v>42</v>
      </c>
      <c r="H35" s="2886" t="s">
        <v>4715</v>
      </c>
      <c r="I35" s="2887"/>
      <c r="J35" s="2888"/>
      <c r="K35" s="1501" t="s">
        <v>99</v>
      </c>
      <c r="L35" s="2886"/>
      <c r="M35" s="2887"/>
      <c r="N35" s="2888"/>
      <c r="O35" s="1499" t="s">
        <v>49</v>
      </c>
      <c r="Q35" s="2890">
        <v>9785355600</v>
      </c>
      <c r="R35" s="2891"/>
      <c r="S35" s="2892"/>
    </row>
    <row r="36" spans="3:19" s="204" customFormat="1" ht="11.25" customHeight="1">
      <c r="E36" s="207" t="s">
        <v>44</v>
      </c>
      <c r="H36" s="2893" t="s">
        <v>499</v>
      </c>
      <c r="K36" s="1502" t="s">
        <v>46</v>
      </c>
      <c r="L36" s="2903">
        <v>19608535</v>
      </c>
      <c r="M36" s="2904"/>
      <c r="O36" s="1499" t="s">
        <v>52</v>
      </c>
      <c r="Q36" s="2890">
        <v>9735259324</v>
      </c>
      <c r="R36" s="2891"/>
      <c r="S36" s="2892"/>
    </row>
    <row r="37" spans="3:19" s="204" customFormat="1" ht="11.25" customHeight="1">
      <c r="D37" s="239"/>
      <c r="E37" s="207" t="s">
        <v>376</v>
      </c>
      <c r="H37" s="2890"/>
      <c r="I37" s="2892"/>
      <c r="J37" s="2897"/>
      <c r="K37" s="1511" t="s">
        <v>50</v>
      </c>
      <c r="L37" s="2898"/>
      <c r="M37" s="2899"/>
      <c r="N37" s="2899"/>
      <c r="O37" s="2899"/>
      <c r="P37" s="2899"/>
      <c r="Q37" s="2899"/>
      <c r="R37" s="2899"/>
      <c r="S37" s="2900"/>
    </row>
    <row r="38" spans="3:19" ht="4.1500000000000004" customHeight="1">
      <c r="H38" s="2905"/>
      <c r="I38" s="2905"/>
      <c r="J38" s="2905"/>
      <c r="K38" s="1511"/>
      <c r="L38" s="2905"/>
      <c r="M38" s="2905"/>
      <c r="N38" s="1498"/>
      <c r="O38" s="1554"/>
      <c r="P38" s="1554"/>
      <c r="Q38" s="1511"/>
      <c r="R38" s="1554"/>
      <c r="S38" s="1554"/>
    </row>
    <row r="39" spans="3:19" s="204" customFormat="1" ht="11.25" customHeight="1">
      <c r="D39" s="205" t="s">
        <v>386</v>
      </c>
      <c r="E39" s="204" t="s">
        <v>392</v>
      </c>
      <c r="F39" s="205"/>
      <c r="H39" s="2886" t="s">
        <v>4618</v>
      </c>
      <c r="I39" s="2887"/>
      <c r="J39" s="2887"/>
      <c r="K39" s="2887"/>
      <c r="L39" s="2887"/>
      <c r="M39" s="2887"/>
      <c r="N39" s="2888"/>
      <c r="O39" s="1499" t="s">
        <v>370</v>
      </c>
      <c r="P39" s="1499"/>
      <c r="Q39" s="2886" t="s">
        <v>36</v>
      </c>
      <c r="R39" s="2887"/>
      <c r="S39" s="2888"/>
    </row>
    <row r="40" spans="3:19" s="204" customFormat="1" ht="11.25" customHeight="1">
      <c r="D40" s="239"/>
      <c r="E40" s="207" t="s">
        <v>189</v>
      </c>
      <c r="F40" s="215"/>
      <c r="H40" s="2886" t="s">
        <v>40</v>
      </c>
      <c r="I40" s="2887"/>
      <c r="J40" s="2887"/>
      <c r="K40" s="2887"/>
      <c r="L40" s="2887"/>
      <c r="M40" s="2887"/>
      <c r="N40" s="2888"/>
      <c r="O40" s="1499" t="s">
        <v>371</v>
      </c>
      <c r="Q40" s="2886" t="s">
        <v>384</v>
      </c>
      <c r="R40" s="2887"/>
      <c r="S40" s="2888"/>
    </row>
    <row r="41" spans="3:19" s="204" customFormat="1" ht="11.25" customHeight="1">
      <c r="D41" s="239"/>
      <c r="E41" s="207" t="s">
        <v>42</v>
      </c>
      <c r="H41" s="2886" t="s">
        <v>43</v>
      </c>
      <c r="I41" s="2887"/>
      <c r="J41" s="2888"/>
      <c r="K41" s="1501" t="s">
        <v>99</v>
      </c>
      <c r="L41" s="2886" t="s">
        <v>385</v>
      </c>
      <c r="M41" s="2887"/>
      <c r="N41" s="2888"/>
      <c r="O41" s="1499" t="s">
        <v>49</v>
      </c>
      <c r="Q41" s="2890">
        <v>2293162232</v>
      </c>
      <c r="R41" s="2891"/>
      <c r="S41" s="2892"/>
    </row>
    <row r="42" spans="3:19" s="204" customFormat="1" ht="11.25" customHeight="1">
      <c r="D42" s="205"/>
      <c r="E42" s="207" t="s">
        <v>44</v>
      </c>
      <c r="H42" s="2893" t="s">
        <v>45</v>
      </c>
      <c r="K42" s="1502" t="s">
        <v>46</v>
      </c>
      <c r="L42" s="2903">
        <v>316015526</v>
      </c>
      <c r="M42" s="2904"/>
      <c r="O42" s="1499" t="s">
        <v>52</v>
      </c>
      <c r="Q42" s="2890">
        <v>2295615959</v>
      </c>
      <c r="R42" s="2891"/>
      <c r="S42" s="2892"/>
    </row>
    <row r="43" spans="3:19" s="204" customFormat="1" ht="11.25" customHeight="1">
      <c r="D43" s="239"/>
      <c r="E43" s="207" t="s">
        <v>376</v>
      </c>
      <c r="H43" s="2890">
        <v>2292427759</v>
      </c>
      <c r="I43" s="2892"/>
      <c r="J43" s="2897">
        <v>2232</v>
      </c>
      <c r="K43" s="1511" t="s">
        <v>50</v>
      </c>
      <c r="L43" s="2898" t="s">
        <v>51</v>
      </c>
      <c r="M43" s="2899"/>
      <c r="N43" s="2899"/>
      <c r="O43" s="2899"/>
      <c r="P43" s="2899"/>
      <c r="Q43" s="2899"/>
      <c r="R43" s="2899"/>
      <c r="S43" s="2900"/>
    </row>
    <row r="44" spans="3:19" s="204" customFormat="1" ht="4.1500000000000004" customHeight="1">
      <c r="D44" s="239"/>
      <c r="E44" s="207"/>
      <c r="F44" s="205"/>
      <c r="H44" s="234"/>
      <c r="I44" s="234"/>
      <c r="J44" s="1555"/>
      <c r="K44" s="1511"/>
      <c r="L44" s="234"/>
      <c r="M44" s="234"/>
      <c r="N44" s="1511"/>
      <c r="O44" s="234"/>
      <c r="P44" s="234"/>
      <c r="Q44" s="1511"/>
      <c r="R44" s="234"/>
      <c r="S44" s="234"/>
    </row>
    <row r="45" spans="3:19" s="204" customFormat="1" ht="11.25" customHeight="1">
      <c r="C45" s="242" t="s">
        <v>393</v>
      </c>
      <c r="D45" s="238" t="s">
        <v>394</v>
      </c>
      <c r="H45" s="1510"/>
      <c r="I45" s="1510"/>
      <c r="J45" s="1510"/>
      <c r="K45" s="1166" t="s">
        <v>367</v>
      </c>
      <c r="L45" s="1510"/>
      <c r="M45" s="1510"/>
    </row>
    <row r="46" spans="3:19" s="204" customFormat="1" ht="11.25" customHeight="1">
      <c r="E46" s="204" t="s">
        <v>395</v>
      </c>
      <c r="H46" s="2886"/>
      <c r="I46" s="2887"/>
      <c r="J46" s="2887"/>
      <c r="K46" s="2887"/>
      <c r="L46" s="2887"/>
      <c r="M46" s="2887"/>
      <c r="N46" s="2888"/>
      <c r="O46" s="1499" t="s">
        <v>370</v>
      </c>
      <c r="P46" s="1499"/>
      <c r="Q46" s="2886"/>
      <c r="R46" s="2887"/>
      <c r="S46" s="2888"/>
    </row>
    <row r="47" spans="3:19" s="204" customFormat="1" ht="11.25" customHeight="1">
      <c r="D47" s="239"/>
      <c r="E47" s="207" t="s">
        <v>189</v>
      </c>
      <c r="F47" s="215"/>
      <c r="H47" s="2886"/>
      <c r="I47" s="2887"/>
      <c r="J47" s="2887"/>
      <c r="K47" s="2887"/>
      <c r="L47" s="2887"/>
      <c r="M47" s="2887"/>
      <c r="N47" s="2888"/>
      <c r="O47" s="1499" t="s">
        <v>371</v>
      </c>
      <c r="Q47" s="2886"/>
      <c r="R47" s="2887"/>
      <c r="S47" s="2888"/>
    </row>
    <row r="48" spans="3:19" s="204" customFormat="1" ht="11.25" customHeight="1">
      <c r="D48" s="239"/>
      <c r="E48" s="207" t="s">
        <v>42</v>
      </c>
      <c r="H48" s="2886"/>
      <c r="I48" s="2887"/>
      <c r="J48" s="2888"/>
      <c r="K48" s="1501" t="s">
        <v>99</v>
      </c>
      <c r="L48" s="2886"/>
      <c r="M48" s="2887"/>
      <c r="N48" s="2888"/>
      <c r="O48" s="1499" t="s">
        <v>49</v>
      </c>
      <c r="Q48" s="2890"/>
      <c r="R48" s="2891"/>
      <c r="S48" s="2892"/>
    </row>
    <row r="49" spans="1:19" s="204" customFormat="1" ht="11.25" customHeight="1">
      <c r="E49" s="207" t="s">
        <v>44</v>
      </c>
      <c r="H49" s="2893"/>
      <c r="K49" s="1502" t="s">
        <v>46</v>
      </c>
      <c r="L49" s="2903"/>
      <c r="M49" s="2904"/>
      <c r="O49" s="1499" t="s">
        <v>52</v>
      </c>
      <c r="Q49" s="2890"/>
      <c r="R49" s="2891"/>
      <c r="S49" s="2892"/>
    </row>
    <row r="50" spans="1:19" s="204" customFormat="1" ht="11.25" customHeight="1">
      <c r="D50" s="239"/>
      <c r="E50" s="207" t="s">
        <v>376</v>
      </c>
      <c r="H50" s="2890"/>
      <c r="I50" s="2892"/>
      <c r="J50" s="2897"/>
      <c r="K50" s="1511" t="s">
        <v>50</v>
      </c>
      <c r="L50" s="2898"/>
      <c r="M50" s="2899"/>
      <c r="N50" s="2899"/>
      <c r="O50" s="2899"/>
      <c r="P50" s="2899"/>
      <c r="Q50" s="2899"/>
      <c r="R50" s="2899"/>
      <c r="S50" s="2900"/>
    </row>
    <row r="51" spans="1:19" ht="6.75" customHeight="1"/>
    <row r="52" spans="1:19" s="204" customFormat="1" ht="13.15" customHeight="1">
      <c r="A52" s="205" t="s">
        <v>13</v>
      </c>
      <c r="B52" s="205" t="s">
        <v>396</v>
      </c>
      <c r="F52" s="205"/>
      <c r="G52" s="1511"/>
      <c r="H52" s="1511"/>
      <c r="I52" s="1511"/>
      <c r="J52" s="1510"/>
      <c r="K52" s="1166" t="s">
        <v>367</v>
      </c>
      <c r="L52" s="1510"/>
      <c r="M52" s="1510"/>
      <c r="N52" s="1510"/>
      <c r="O52" s="1510"/>
      <c r="P52" s="1510"/>
      <c r="Q52" s="1510"/>
      <c r="R52" s="1510"/>
      <c r="S52" s="1510"/>
    </row>
    <row r="53" spans="1:19" s="204" customFormat="1" ht="3" customHeight="1">
      <c r="A53" s="205"/>
      <c r="B53" s="205"/>
      <c r="F53" s="205"/>
      <c r="G53" s="1511"/>
      <c r="H53" s="2906"/>
      <c r="I53" s="2906"/>
      <c r="J53" s="2906"/>
      <c r="K53" s="1498"/>
      <c r="L53" s="2906"/>
      <c r="M53" s="2906"/>
      <c r="N53" s="1498"/>
      <c r="O53" s="1554"/>
      <c r="P53" s="1554"/>
      <c r="Q53" s="1511"/>
      <c r="R53" s="1554"/>
      <c r="S53" s="1554"/>
    </row>
    <row r="54" spans="1:19" s="204" customFormat="1" ht="11.25" customHeight="1">
      <c r="B54" s="205" t="s">
        <v>110</v>
      </c>
      <c r="C54" s="205" t="s">
        <v>397</v>
      </c>
      <c r="H54" s="2886" t="s">
        <v>398</v>
      </c>
      <c r="I54" s="2887"/>
      <c r="J54" s="2887"/>
      <c r="K54" s="2887"/>
      <c r="L54" s="2887"/>
      <c r="M54" s="2887"/>
      <c r="N54" s="2888"/>
      <c r="O54" s="1499" t="s">
        <v>370</v>
      </c>
      <c r="P54" s="1499"/>
      <c r="Q54" s="2886" t="s">
        <v>36</v>
      </c>
      <c r="R54" s="2887"/>
      <c r="S54" s="2888"/>
    </row>
    <row r="55" spans="1:19" s="204" customFormat="1" ht="11.25" customHeight="1">
      <c r="D55" s="239"/>
      <c r="E55" s="207" t="s">
        <v>189</v>
      </c>
      <c r="F55" s="215"/>
      <c r="H55" s="2886" t="s">
        <v>40</v>
      </c>
      <c r="I55" s="2887"/>
      <c r="J55" s="2887"/>
      <c r="K55" s="2887"/>
      <c r="L55" s="2887"/>
      <c r="M55" s="2887"/>
      <c r="N55" s="2888"/>
      <c r="O55" s="1499" t="s">
        <v>371</v>
      </c>
      <c r="Q55" s="2886" t="s">
        <v>38</v>
      </c>
      <c r="R55" s="2887"/>
      <c r="S55" s="2888"/>
    </row>
    <row r="56" spans="1:19" s="204" customFormat="1" ht="11.25" customHeight="1">
      <c r="D56" s="239"/>
      <c r="E56" s="207" t="s">
        <v>42</v>
      </c>
      <c r="H56" s="2886" t="s">
        <v>43</v>
      </c>
      <c r="I56" s="2887"/>
      <c r="J56" s="2888"/>
      <c r="K56" s="1501" t="s">
        <v>99</v>
      </c>
      <c r="L56" s="2886" t="s">
        <v>385</v>
      </c>
      <c r="M56" s="2887"/>
      <c r="N56" s="2888"/>
      <c r="O56" s="1499" t="s">
        <v>49</v>
      </c>
      <c r="Q56" s="2890">
        <v>2293162232</v>
      </c>
      <c r="R56" s="2891"/>
      <c r="S56" s="2892"/>
    </row>
    <row r="57" spans="1:19" s="204" customFormat="1" ht="11.25" customHeight="1">
      <c r="E57" s="207" t="s">
        <v>44</v>
      </c>
      <c r="H57" s="2893" t="s">
        <v>45</v>
      </c>
      <c r="K57" s="1502" t="s">
        <v>46</v>
      </c>
      <c r="L57" s="2903">
        <v>316015526</v>
      </c>
      <c r="M57" s="2904"/>
      <c r="O57" s="1499" t="s">
        <v>52</v>
      </c>
      <c r="Q57" s="2890">
        <v>2295615959</v>
      </c>
      <c r="R57" s="2891"/>
      <c r="S57" s="2892"/>
    </row>
    <row r="58" spans="1:19" s="204" customFormat="1" ht="11.25" customHeight="1">
      <c r="D58" s="239"/>
      <c r="E58" s="207" t="s">
        <v>376</v>
      </c>
      <c r="H58" s="2890">
        <v>2292427759</v>
      </c>
      <c r="I58" s="2892"/>
      <c r="J58" s="2897">
        <v>2232</v>
      </c>
      <c r="K58" s="1511" t="s">
        <v>50</v>
      </c>
      <c r="L58" s="2898" t="s">
        <v>51</v>
      </c>
      <c r="M58" s="2899"/>
      <c r="N58" s="2899"/>
      <c r="O58" s="2899"/>
      <c r="P58" s="2899"/>
      <c r="Q58" s="2899"/>
      <c r="R58" s="2899"/>
      <c r="S58" s="2900"/>
    </row>
    <row r="59" spans="1:19" s="204" customFormat="1" ht="6.6" customHeight="1">
      <c r="D59" s="239"/>
      <c r="E59" s="1510"/>
      <c r="F59" s="1510"/>
      <c r="G59" s="1499"/>
      <c r="H59" s="2905"/>
      <c r="I59" s="2905"/>
      <c r="J59" s="2905"/>
      <c r="K59" s="1511"/>
      <c r="L59" s="2905"/>
      <c r="M59" s="2905"/>
      <c r="N59" s="1498"/>
      <c r="O59" s="1554"/>
      <c r="P59" s="1554"/>
      <c r="Q59" s="1511"/>
      <c r="R59" s="1554"/>
      <c r="S59" s="1554"/>
    </row>
    <row r="60" spans="1:19" s="204" customFormat="1" ht="11.25" customHeight="1">
      <c r="B60" s="205" t="s">
        <v>121</v>
      </c>
      <c r="C60" s="205" t="s">
        <v>399</v>
      </c>
      <c r="H60" s="2886"/>
      <c r="I60" s="2887"/>
      <c r="J60" s="2887"/>
      <c r="K60" s="2887"/>
      <c r="L60" s="2887"/>
      <c r="M60" s="2887"/>
      <c r="N60" s="2888"/>
      <c r="O60" s="1499" t="s">
        <v>370</v>
      </c>
      <c r="P60" s="1499"/>
      <c r="Q60" s="2886"/>
      <c r="R60" s="2887"/>
      <c r="S60" s="2888"/>
    </row>
    <row r="61" spans="1:19" s="204" customFormat="1" ht="11.25" customHeight="1">
      <c r="D61" s="239"/>
      <c r="E61" s="207" t="s">
        <v>189</v>
      </c>
      <c r="F61" s="215"/>
      <c r="H61" s="2886"/>
      <c r="I61" s="2887"/>
      <c r="J61" s="2887"/>
      <c r="K61" s="2887"/>
      <c r="L61" s="2887"/>
      <c r="M61" s="2887"/>
      <c r="N61" s="2888"/>
      <c r="O61" s="1499" t="s">
        <v>371</v>
      </c>
      <c r="Q61" s="2886"/>
      <c r="R61" s="2887"/>
      <c r="S61" s="2888"/>
    </row>
    <row r="62" spans="1:19" s="204" customFormat="1" ht="11.25" customHeight="1">
      <c r="D62" s="239"/>
      <c r="E62" s="207" t="s">
        <v>42</v>
      </c>
      <c r="H62" s="2886"/>
      <c r="I62" s="2887"/>
      <c r="J62" s="2888"/>
      <c r="K62" s="1501" t="s">
        <v>99</v>
      </c>
      <c r="L62" s="2886"/>
      <c r="M62" s="2887"/>
      <c r="N62" s="2888"/>
      <c r="O62" s="1499" t="s">
        <v>49</v>
      </c>
      <c r="Q62" s="2890"/>
      <c r="R62" s="2891"/>
      <c r="S62" s="2892"/>
    </row>
    <row r="63" spans="1:19" s="204" customFormat="1" ht="11.25" customHeight="1">
      <c r="E63" s="207" t="s">
        <v>44</v>
      </c>
      <c r="H63" s="2893"/>
      <c r="K63" s="1502" t="s">
        <v>46</v>
      </c>
      <c r="L63" s="2903"/>
      <c r="M63" s="2904"/>
      <c r="O63" s="1499" t="s">
        <v>52</v>
      </c>
      <c r="Q63" s="2890"/>
      <c r="R63" s="2891"/>
      <c r="S63" s="2892"/>
    </row>
    <row r="64" spans="1:19" s="204" customFormat="1" ht="11.25" customHeight="1">
      <c r="D64" s="239"/>
      <c r="E64" s="207" t="s">
        <v>376</v>
      </c>
      <c r="H64" s="2890"/>
      <c r="I64" s="2892"/>
      <c r="J64" s="2897"/>
      <c r="K64" s="1511" t="s">
        <v>50</v>
      </c>
      <c r="L64" s="2898"/>
      <c r="M64" s="2899"/>
      <c r="N64" s="2899"/>
      <c r="O64" s="2899"/>
      <c r="P64" s="2899"/>
      <c r="Q64" s="2899"/>
      <c r="R64" s="2899"/>
      <c r="S64" s="2900"/>
    </row>
    <row r="65" spans="1:19" s="204" customFormat="1" ht="6.6" customHeight="1">
      <c r="D65" s="239"/>
      <c r="E65" s="1510"/>
      <c r="F65" s="1510"/>
      <c r="G65" s="1499"/>
      <c r="H65" s="2905"/>
      <c r="I65" s="2905"/>
      <c r="J65" s="2905"/>
      <c r="K65" s="1511"/>
      <c r="L65" s="2905"/>
      <c r="M65" s="2905"/>
      <c r="N65" s="1498"/>
      <c r="O65" s="1554"/>
      <c r="P65" s="1554"/>
      <c r="Q65" s="1511"/>
      <c r="R65" s="1554"/>
      <c r="S65" s="1554"/>
    </row>
    <row r="66" spans="1:19" s="204" customFormat="1" ht="11.25" customHeight="1">
      <c r="B66" s="205" t="s">
        <v>123</v>
      </c>
      <c r="C66" s="205" t="s">
        <v>400</v>
      </c>
      <c r="H66" s="2886"/>
      <c r="I66" s="2887"/>
      <c r="J66" s="2887"/>
      <c r="K66" s="2887"/>
      <c r="L66" s="2887"/>
      <c r="M66" s="2887"/>
      <c r="N66" s="2888"/>
      <c r="O66" s="1499" t="s">
        <v>370</v>
      </c>
      <c r="P66" s="1499"/>
      <c r="Q66" s="2886"/>
      <c r="R66" s="2887"/>
      <c r="S66" s="2888"/>
    </row>
    <row r="67" spans="1:19" s="204" customFormat="1" ht="11.25" customHeight="1">
      <c r="D67" s="239"/>
      <c r="E67" s="207" t="s">
        <v>189</v>
      </c>
      <c r="F67" s="215"/>
      <c r="H67" s="2886"/>
      <c r="I67" s="2887"/>
      <c r="J67" s="2887"/>
      <c r="K67" s="2887"/>
      <c r="L67" s="2887"/>
      <c r="M67" s="2887"/>
      <c r="N67" s="2888"/>
      <c r="O67" s="1499" t="s">
        <v>371</v>
      </c>
      <c r="Q67" s="2886"/>
      <c r="R67" s="2887"/>
      <c r="S67" s="2888"/>
    </row>
    <row r="68" spans="1:19" s="204" customFormat="1" ht="11.25" customHeight="1">
      <c r="D68" s="239"/>
      <c r="E68" s="207" t="s">
        <v>42</v>
      </c>
      <c r="H68" s="2886"/>
      <c r="I68" s="2887"/>
      <c r="J68" s="2888"/>
      <c r="K68" s="1501" t="s">
        <v>99</v>
      </c>
      <c r="L68" s="2886"/>
      <c r="M68" s="2887"/>
      <c r="N68" s="2888"/>
      <c r="O68" s="1499" t="s">
        <v>49</v>
      </c>
      <c r="Q68" s="2890"/>
      <c r="R68" s="2891"/>
      <c r="S68" s="2892"/>
    </row>
    <row r="69" spans="1:19" s="204" customFormat="1" ht="11.25" customHeight="1">
      <c r="E69" s="207" t="s">
        <v>44</v>
      </c>
      <c r="H69" s="2893"/>
      <c r="K69" s="1502" t="s">
        <v>46</v>
      </c>
      <c r="L69" s="2903"/>
      <c r="M69" s="2904"/>
      <c r="O69" s="1499" t="s">
        <v>52</v>
      </c>
      <c r="Q69" s="2890"/>
      <c r="R69" s="2891"/>
      <c r="S69" s="2892"/>
    </row>
    <row r="70" spans="1:19" s="204" customFormat="1" ht="11.25" customHeight="1">
      <c r="D70" s="239"/>
      <c r="E70" s="207" t="s">
        <v>376</v>
      </c>
      <c r="H70" s="2890"/>
      <c r="I70" s="2892"/>
      <c r="J70" s="2897"/>
      <c r="K70" s="1511" t="s">
        <v>50</v>
      </c>
      <c r="L70" s="2898"/>
      <c r="M70" s="2899"/>
      <c r="N70" s="2899"/>
      <c r="O70" s="2899"/>
      <c r="P70" s="2899"/>
      <c r="Q70" s="2899"/>
      <c r="R70" s="2899"/>
      <c r="S70" s="2900"/>
    </row>
    <row r="71" spans="1:19" ht="6.6" customHeight="1">
      <c r="H71" s="2905"/>
      <c r="I71" s="2905"/>
      <c r="J71" s="2905"/>
      <c r="K71" s="1511"/>
      <c r="L71" s="2905"/>
      <c r="M71" s="2905"/>
      <c r="N71" s="1498"/>
      <c r="O71" s="1554"/>
      <c r="P71" s="1554"/>
      <c r="Q71" s="1511"/>
      <c r="R71" s="1554"/>
      <c r="S71" s="1554"/>
    </row>
    <row r="72" spans="1:19" s="204" customFormat="1" ht="11.25" customHeight="1">
      <c r="B72" s="205" t="s">
        <v>126</v>
      </c>
      <c r="C72" s="205" t="s">
        <v>401</v>
      </c>
      <c r="H72" s="2886"/>
      <c r="I72" s="2887"/>
      <c r="J72" s="2887"/>
      <c r="K72" s="2887"/>
      <c r="L72" s="2887"/>
      <c r="M72" s="2887"/>
      <c r="N72" s="2888"/>
      <c r="O72" s="1499" t="s">
        <v>370</v>
      </c>
      <c r="P72" s="1499"/>
      <c r="Q72" s="2886"/>
      <c r="R72" s="2887"/>
      <c r="S72" s="2888"/>
    </row>
    <row r="73" spans="1:19" s="204" customFormat="1" ht="11.25" customHeight="1">
      <c r="D73" s="239"/>
      <c r="E73" s="207" t="s">
        <v>189</v>
      </c>
      <c r="F73" s="215"/>
      <c r="H73" s="2886"/>
      <c r="I73" s="2887"/>
      <c r="J73" s="2887"/>
      <c r="K73" s="2887"/>
      <c r="L73" s="2887"/>
      <c r="M73" s="2887"/>
      <c r="N73" s="2888"/>
      <c r="O73" s="1499" t="s">
        <v>371</v>
      </c>
      <c r="Q73" s="2886"/>
      <c r="R73" s="2887"/>
      <c r="S73" s="2888"/>
    </row>
    <row r="74" spans="1:19" s="204" customFormat="1" ht="11.25" customHeight="1">
      <c r="D74" s="239"/>
      <c r="E74" s="207" t="s">
        <v>42</v>
      </c>
      <c r="H74" s="2886"/>
      <c r="I74" s="2887"/>
      <c r="J74" s="2888"/>
      <c r="K74" s="1501" t="s">
        <v>99</v>
      </c>
      <c r="L74" s="2886"/>
      <c r="M74" s="2887"/>
      <c r="N74" s="2888"/>
      <c r="O74" s="1499" t="s">
        <v>49</v>
      </c>
      <c r="Q74" s="2890"/>
      <c r="R74" s="2891"/>
      <c r="S74" s="2892"/>
    </row>
    <row r="75" spans="1:19" s="204" customFormat="1" ht="11.25" customHeight="1">
      <c r="E75" s="207" t="s">
        <v>44</v>
      </c>
      <c r="H75" s="2893"/>
      <c r="K75" s="1502" t="s">
        <v>46</v>
      </c>
      <c r="L75" s="2903"/>
      <c r="M75" s="2904"/>
      <c r="O75" s="1499" t="s">
        <v>52</v>
      </c>
      <c r="Q75" s="2890"/>
      <c r="R75" s="2891"/>
      <c r="S75" s="2892"/>
    </row>
    <row r="76" spans="1:19" s="204" customFormat="1" ht="11.25" customHeight="1">
      <c r="D76" s="239"/>
      <c r="E76" s="207" t="s">
        <v>376</v>
      </c>
      <c r="H76" s="2890"/>
      <c r="I76" s="2892"/>
      <c r="J76" s="2897"/>
      <c r="K76" s="1511" t="s">
        <v>50</v>
      </c>
      <c r="L76" s="2898"/>
      <c r="M76" s="2899"/>
      <c r="N76" s="2899"/>
      <c r="O76" s="2899"/>
      <c r="P76" s="2899"/>
      <c r="Q76" s="2899"/>
      <c r="R76" s="2899"/>
      <c r="S76" s="2900"/>
    </row>
    <row r="77" spans="1:19" ht="6.75" customHeight="1"/>
    <row r="78" spans="1:19" s="207" customFormat="1" ht="13.15" customHeight="1">
      <c r="A78" s="208" t="s">
        <v>31</v>
      </c>
      <c r="B78" s="208" t="s">
        <v>402</v>
      </c>
      <c r="D78" s="208"/>
      <c r="E78" s="1499"/>
      <c r="F78" s="180"/>
      <c r="G78" s="180"/>
      <c r="H78" s="180"/>
      <c r="I78" s="180"/>
      <c r="J78" s="180"/>
      <c r="K78" s="1166" t="s">
        <v>367</v>
      </c>
      <c r="L78" s="180"/>
      <c r="M78" s="180"/>
    </row>
    <row r="79" spans="1:19" s="207" customFormat="1" ht="3" customHeight="1">
      <c r="A79" s="208"/>
      <c r="B79" s="208"/>
      <c r="D79" s="208"/>
      <c r="E79" s="1499"/>
      <c r="F79" s="180"/>
      <c r="G79" s="180"/>
      <c r="H79" s="2906"/>
      <c r="I79" s="2906"/>
      <c r="J79" s="2906"/>
      <c r="K79" s="1498"/>
      <c r="L79" s="2906"/>
      <c r="M79" s="2906"/>
      <c r="N79" s="1498"/>
      <c r="O79" s="1554"/>
      <c r="P79" s="1554"/>
      <c r="Q79" s="1511"/>
      <c r="R79" s="1554"/>
      <c r="S79" s="1554"/>
    </row>
    <row r="80" spans="1:19" s="204" customFormat="1" ht="11.25" customHeight="1">
      <c r="B80" s="205" t="s">
        <v>110</v>
      </c>
      <c r="C80" s="205" t="s">
        <v>403</v>
      </c>
      <c r="H80" s="2886"/>
      <c r="I80" s="2887"/>
      <c r="J80" s="2887"/>
      <c r="K80" s="2887"/>
      <c r="L80" s="2887"/>
      <c r="M80" s="2887"/>
      <c r="N80" s="2888"/>
      <c r="O80" s="1499" t="s">
        <v>370</v>
      </c>
      <c r="P80" s="1499"/>
      <c r="Q80" s="2886"/>
      <c r="R80" s="2887"/>
      <c r="S80" s="2888"/>
    </row>
    <row r="81" spans="2:19" s="204" customFormat="1" ht="11.25" customHeight="1">
      <c r="D81" s="239"/>
      <c r="E81" s="207" t="s">
        <v>189</v>
      </c>
      <c r="F81" s="215"/>
      <c r="H81" s="2886"/>
      <c r="I81" s="2887"/>
      <c r="J81" s="2887"/>
      <c r="K81" s="2887"/>
      <c r="L81" s="2887"/>
      <c r="M81" s="2887"/>
      <c r="N81" s="2888"/>
      <c r="O81" s="1499" t="s">
        <v>371</v>
      </c>
      <c r="Q81" s="2886"/>
      <c r="R81" s="2887"/>
      <c r="S81" s="2888"/>
    </row>
    <row r="82" spans="2:19" s="204" customFormat="1" ht="11.25" customHeight="1">
      <c r="D82" s="239"/>
      <c r="E82" s="207" t="s">
        <v>42</v>
      </c>
      <c r="H82" s="2886"/>
      <c r="I82" s="2887"/>
      <c r="J82" s="2888"/>
      <c r="K82" s="1501" t="s">
        <v>99</v>
      </c>
      <c r="L82" s="2886"/>
      <c r="M82" s="2887"/>
      <c r="N82" s="2888"/>
      <c r="O82" s="1499" t="s">
        <v>49</v>
      </c>
      <c r="Q82" s="2890"/>
      <c r="R82" s="2891"/>
      <c r="S82" s="2892"/>
    </row>
    <row r="83" spans="2:19" s="204" customFormat="1" ht="11.25" customHeight="1">
      <c r="E83" s="207" t="s">
        <v>44</v>
      </c>
      <c r="H83" s="2893"/>
      <c r="K83" s="1502" t="s">
        <v>46</v>
      </c>
      <c r="L83" s="2903"/>
      <c r="M83" s="2904"/>
      <c r="O83" s="1499" t="s">
        <v>52</v>
      </c>
      <c r="Q83" s="2890"/>
      <c r="R83" s="2891"/>
      <c r="S83" s="2892"/>
    </row>
    <row r="84" spans="2:19" s="204" customFormat="1" ht="11.25" customHeight="1">
      <c r="D84" s="239"/>
      <c r="E84" s="207" t="s">
        <v>376</v>
      </c>
      <c r="H84" s="2890"/>
      <c r="I84" s="2892"/>
      <c r="J84" s="2897"/>
      <c r="K84" s="1511" t="s">
        <v>50</v>
      </c>
      <c r="L84" s="2898"/>
      <c r="M84" s="2899"/>
      <c r="N84" s="2899"/>
      <c r="O84" s="2899"/>
      <c r="P84" s="2899"/>
      <c r="Q84" s="2899"/>
      <c r="R84" s="2899"/>
      <c r="S84" s="2900"/>
    </row>
    <row r="85" spans="2:19" ht="6.6" customHeight="1">
      <c r="H85" s="2905"/>
      <c r="I85" s="2905"/>
      <c r="J85" s="2905"/>
      <c r="K85" s="1511"/>
      <c r="L85" s="2905"/>
      <c r="M85" s="2905"/>
      <c r="N85" s="1498"/>
      <c r="O85" s="1554"/>
      <c r="P85" s="1554"/>
      <c r="Q85" s="1511"/>
      <c r="R85" s="1554"/>
      <c r="S85" s="1554"/>
    </row>
    <row r="86" spans="2:19" s="204" customFormat="1" ht="11.25" customHeight="1">
      <c r="B86" s="205" t="s">
        <v>121</v>
      </c>
      <c r="C86" s="205" t="s">
        <v>404</v>
      </c>
      <c r="H86" s="2886" t="s">
        <v>405</v>
      </c>
      <c r="I86" s="2887"/>
      <c r="J86" s="2887"/>
      <c r="K86" s="2887"/>
      <c r="L86" s="2887"/>
      <c r="M86" s="2887"/>
      <c r="N86" s="2888"/>
      <c r="O86" s="1499" t="s">
        <v>370</v>
      </c>
      <c r="P86" s="1499"/>
      <c r="Q86" s="2886" t="s">
        <v>54</v>
      </c>
      <c r="R86" s="2887"/>
      <c r="S86" s="2888"/>
    </row>
    <row r="87" spans="2:19" s="204" customFormat="1" ht="11.25" customHeight="1">
      <c r="D87" s="239"/>
      <c r="E87" s="207" t="s">
        <v>189</v>
      </c>
      <c r="F87" s="215"/>
      <c r="H87" s="2886" t="s">
        <v>40</v>
      </c>
      <c r="I87" s="2887"/>
      <c r="J87" s="2887"/>
      <c r="K87" s="2887"/>
      <c r="L87" s="2887"/>
      <c r="M87" s="2887"/>
      <c r="N87" s="2888"/>
      <c r="O87" s="1499" t="s">
        <v>371</v>
      </c>
      <c r="Q87" s="2886" t="s">
        <v>38</v>
      </c>
      <c r="R87" s="2887"/>
      <c r="S87" s="2888"/>
    </row>
    <row r="88" spans="2:19" s="204" customFormat="1" ht="11.25" customHeight="1">
      <c r="D88" s="239"/>
      <c r="E88" s="207" t="s">
        <v>42</v>
      </c>
      <c r="H88" s="2886" t="s">
        <v>43</v>
      </c>
      <c r="I88" s="2887"/>
      <c r="J88" s="2888"/>
      <c r="K88" s="1501" t="s">
        <v>99</v>
      </c>
      <c r="L88" s="2886" t="s">
        <v>385</v>
      </c>
      <c r="M88" s="2887"/>
      <c r="N88" s="2888"/>
      <c r="O88" s="1499" t="s">
        <v>49</v>
      </c>
      <c r="Q88" s="2890">
        <v>2293162212</v>
      </c>
      <c r="R88" s="2891"/>
      <c r="S88" s="2892"/>
    </row>
    <row r="89" spans="2:19" s="204" customFormat="1" ht="11.25" customHeight="1">
      <c r="E89" s="207" t="s">
        <v>44</v>
      </c>
      <c r="H89" s="2893" t="s">
        <v>45</v>
      </c>
      <c r="K89" s="1502" t="s">
        <v>46</v>
      </c>
      <c r="L89" s="2903">
        <v>316015526</v>
      </c>
      <c r="M89" s="2904"/>
      <c r="O89" s="1499" t="s">
        <v>52</v>
      </c>
      <c r="Q89" s="2890">
        <v>8503401334</v>
      </c>
      <c r="R89" s="2891"/>
      <c r="S89" s="2892"/>
    </row>
    <row r="90" spans="2:19" s="204" customFormat="1" ht="11.25" customHeight="1">
      <c r="D90" s="239"/>
      <c r="E90" s="207" t="s">
        <v>376</v>
      </c>
      <c r="H90" s="2890">
        <v>2292427759</v>
      </c>
      <c r="I90" s="2892"/>
      <c r="J90" s="2897">
        <v>2212</v>
      </c>
      <c r="K90" s="1511" t="s">
        <v>50</v>
      </c>
      <c r="L90" s="2898" t="s">
        <v>56</v>
      </c>
      <c r="M90" s="2899"/>
      <c r="N90" s="2899"/>
      <c r="O90" s="2899"/>
      <c r="P90" s="2899"/>
      <c r="Q90" s="2899"/>
      <c r="R90" s="2899"/>
      <c r="S90" s="2900"/>
    </row>
    <row r="91" spans="2:19" ht="6.6" customHeight="1">
      <c r="H91" s="2905"/>
      <c r="I91" s="2905"/>
      <c r="J91" s="2905"/>
      <c r="K91" s="1511"/>
      <c r="L91" s="2905"/>
      <c r="M91" s="2905"/>
      <c r="N91" s="1498"/>
      <c r="O91" s="1554"/>
      <c r="P91" s="1554"/>
      <c r="Q91" s="1511"/>
      <c r="R91" s="1554"/>
      <c r="S91" s="1554"/>
    </row>
    <row r="92" spans="2:19" s="204" customFormat="1" ht="11.25" customHeight="1">
      <c r="B92" s="205" t="s">
        <v>123</v>
      </c>
      <c r="C92" s="205" t="s">
        <v>406</v>
      </c>
      <c r="F92" s="221"/>
      <c r="H92" s="2886" t="s">
        <v>407</v>
      </c>
      <c r="I92" s="2887"/>
      <c r="J92" s="2887"/>
      <c r="K92" s="2887"/>
      <c r="L92" s="2887"/>
      <c r="M92" s="2887"/>
      <c r="N92" s="2888"/>
      <c r="O92" s="1499" t="s">
        <v>370</v>
      </c>
      <c r="P92" s="1499"/>
      <c r="Q92" s="2886" t="s">
        <v>36</v>
      </c>
      <c r="R92" s="2887"/>
      <c r="S92" s="2888"/>
    </row>
    <row r="93" spans="2:19" s="204" customFormat="1" ht="11.25" customHeight="1">
      <c r="D93" s="239"/>
      <c r="E93" s="207" t="s">
        <v>189</v>
      </c>
      <c r="F93" s="215"/>
      <c r="H93" s="2886" t="s">
        <v>40</v>
      </c>
      <c r="I93" s="2887"/>
      <c r="J93" s="2887"/>
      <c r="K93" s="2887"/>
      <c r="L93" s="2887"/>
      <c r="M93" s="2887"/>
      <c r="N93" s="2888"/>
      <c r="O93" s="1499" t="s">
        <v>371</v>
      </c>
      <c r="Q93" s="2886" t="s">
        <v>384</v>
      </c>
      <c r="R93" s="2887"/>
      <c r="S93" s="2888"/>
    </row>
    <row r="94" spans="2:19" s="204" customFormat="1" ht="11.25" customHeight="1">
      <c r="D94" s="239"/>
      <c r="E94" s="207" t="s">
        <v>42</v>
      </c>
      <c r="H94" s="2886" t="s">
        <v>43</v>
      </c>
      <c r="I94" s="2887"/>
      <c r="J94" s="2888"/>
      <c r="K94" s="1501" t="s">
        <v>99</v>
      </c>
      <c r="L94" s="2886" t="s">
        <v>385</v>
      </c>
      <c r="M94" s="2887"/>
      <c r="N94" s="2888"/>
      <c r="O94" s="1499" t="s">
        <v>49</v>
      </c>
      <c r="Q94" s="2890">
        <v>2293162232</v>
      </c>
      <c r="R94" s="2891"/>
      <c r="S94" s="2892"/>
    </row>
    <row r="95" spans="2:19" s="204" customFormat="1" ht="11.25" customHeight="1">
      <c r="D95" s="239"/>
      <c r="E95" s="207" t="s">
        <v>44</v>
      </c>
      <c r="H95" s="2893" t="s">
        <v>45</v>
      </c>
      <c r="K95" s="1502" t="s">
        <v>46</v>
      </c>
      <c r="L95" s="2903">
        <v>316015526</v>
      </c>
      <c r="M95" s="2904"/>
      <c r="O95" s="1499" t="s">
        <v>52</v>
      </c>
      <c r="Q95" s="2890">
        <v>2295615959</v>
      </c>
      <c r="R95" s="2891"/>
      <c r="S95" s="2892"/>
    </row>
    <row r="96" spans="2:19" s="204" customFormat="1" ht="11.25" customHeight="1">
      <c r="D96" s="239"/>
      <c r="E96" s="207" t="s">
        <v>376</v>
      </c>
      <c r="H96" s="2890">
        <v>2292427759</v>
      </c>
      <c r="I96" s="2892"/>
      <c r="J96" s="2897">
        <v>2232</v>
      </c>
      <c r="K96" s="1511" t="s">
        <v>50</v>
      </c>
      <c r="L96" s="2898" t="s">
        <v>51</v>
      </c>
      <c r="M96" s="2899"/>
      <c r="N96" s="2899"/>
      <c r="O96" s="2899"/>
      <c r="P96" s="2899"/>
      <c r="Q96" s="2899"/>
      <c r="R96" s="2899"/>
      <c r="S96" s="2900"/>
    </row>
    <row r="97" spans="2:19" ht="6.6" customHeight="1">
      <c r="H97" s="2905"/>
      <c r="I97" s="2905"/>
      <c r="J97" s="2905"/>
      <c r="K97" s="1511"/>
      <c r="L97" s="2905"/>
      <c r="M97" s="2905"/>
      <c r="N97" s="1498"/>
      <c r="O97" s="1554"/>
      <c r="P97" s="1554"/>
      <c r="Q97" s="1511"/>
      <c r="R97" s="1554"/>
      <c r="S97" s="1554"/>
    </row>
    <row r="98" spans="2:19" s="204" customFormat="1" ht="11.25" customHeight="1">
      <c r="B98" s="205" t="s">
        <v>126</v>
      </c>
      <c r="C98" s="205" t="s">
        <v>408</v>
      </c>
      <c r="H98" s="2886" t="s">
        <v>409</v>
      </c>
      <c r="I98" s="2887"/>
      <c r="J98" s="2887"/>
      <c r="K98" s="2887"/>
      <c r="L98" s="2887"/>
      <c r="M98" s="2887"/>
      <c r="N98" s="2888"/>
      <c r="O98" s="1499" t="s">
        <v>370</v>
      </c>
      <c r="P98" s="1499"/>
      <c r="Q98" s="2886" t="s">
        <v>410</v>
      </c>
      <c r="R98" s="2887"/>
      <c r="S98" s="2888"/>
    </row>
    <row r="99" spans="2:19" s="204" customFormat="1" ht="11.25" customHeight="1">
      <c r="D99" s="239"/>
      <c r="E99" s="207" t="s">
        <v>189</v>
      </c>
      <c r="F99" s="215"/>
      <c r="H99" s="2886" t="s">
        <v>411</v>
      </c>
      <c r="I99" s="2887"/>
      <c r="J99" s="2887"/>
      <c r="K99" s="2887"/>
      <c r="L99" s="2887"/>
      <c r="M99" s="2887"/>
      <c r="N99" s="2888"/>
      <c r="O99" s="1499" t="s">
        <v>371</v>
      </c>
      <c r="Q99" s="2886" t="s">
        <v>412</v>
      </c>
      <c r="R99" s="2887"/>
      <c r="S99" s="2888"/>
    </row>
    <row r="100" spans="2:19" s="204" customFormat="1" ht="11.25" customHeight="1">
      <c r="D100" s="239"/>
      <c r="E100" s="207" t="s">
        <v>42</v>
      </c>
      <c r="H100" s="2886" t="s">
        <v>413</v>
      </c>
      <c r="I100" s="2887"/>
      <c r="J100" s="2888"/>
      <c r="K100" s="1501" t="s">
        <v>99</v>
      </c>
      <c r="L100" s="2886" t="s">
        <v>414</v>
      </c>
      <c r="M100" s="2887"/>
      <c r="N100" s="2888"/>
      <c r="O100" s="1499" t="s">
        <v>49</v>
      </c>
      <c r="Q100" s="2890">
        <v>4048738708</v>
      </c>
      <c r="R100" s="2891"/>
      <c r="S100" s="2892"/>
    </row>
    <row r="101" spans="2:19" s="204" customFormat="1" ht="11.25" customHeight="1">
      <c r="D101" s="239"/>
      <c r="E101" s="207" t="s">
        <v>44</v>
      </c>
      <c r="H101" s="2893" t="s">
        <v>45</v>
      </c>
      <c r="K101" s="1502" t="s">
        <v>46</v>
      </c>
      <c r="L101" s="2903">
        <v>303631028</v>
      </c>
      <c r="M101" s="2904"/>
      <c r="O101" s="1499" t="s">
        <v>52</v>
      </c>
      <c r="Q101" s="2890">
        <v>4042810723</v>
      </c>
      <c r="R101" s="2891"/>
      <c r="S101" s="2892"/>
    </row>
    <row r="102" spans="2:19" ht="11.25" customHeight="1">
      <c r="E102" s="207" t="s">
        <v>376</v>
      </c>
      <c r="F102" s="204"/>
      <c r="G102" s="204"/>
      <c r="H102" s="2890">
        <v>4048738708</v>
      </c>
      <c r="I102" s="2892"/>
      <c r="J102" s="2897"/>
      <c r="K102" s="1511" t="s">
        <v>50</v>
      </c>
      <c r="L102" s="2898" t="s">
        <v>415</v>
      </c>
      <c r="M102" s="2899"/>
      <c r="N102" s="2899"/>
      <c r="O102" s="2899"/>
      <c r="P102" s="2899"/>
      <c r="Q102" s="2899"/>
      <c r="R102" s="2899"/>
      <c r="S102" s="2900"/>
    </row>
    <row r="103" spans="2:19" ht="6" customHeight="1">
      <c r="E103" s="207"/>
      <c r="F103" s="204"/>
      <c r="G103" s="1510"/>
      <c r="H103" s="2906"/>
      <c r="I103" s="2906"/>
      <c r="J103" s="2906"/>
      <c r="K103" s="1498"/>
      <c r="L103" s="2906"/>
      <c r="M103" s="2906"/>
      <c r="N103" s="1498"/>
      <c r="O103" s="1554"/>
      <c r="P103" s="1554"/>
      <c r="Q103" s="1511"/>
      <c r="R103" s="1554"/>
      <c r="S103" s="1554"/>
    </row>
    <row r="104" spans="2:19" s="204" customFormat="1" ht="11.25" customHeight="1">
      <c r="B104" s="205" t="s">
        <v>140</v>
      </c>
      <c r="C104" s="205" t="s">
        <v>416</v>
      </c>
      <c r="H104" s="2886" t="s">
        <v>417</v>
      </c>
      <c r="I104" s="2887"/>
      <c r="J104" s="2887"/>
      <c r="K104" s="2887"/>
      <c r="L104" s="2887"/>
      <c r="M104" s="2887"/>
      <c r="N104" s="2888"/>
      <c r="O104" s="1499" t="s">
        <v>370</v>
      </c>
      <c r="P104" s="1499"/>
      <c r="Q104" s="2886" t="s">
        <v>418</v>
      </c>
      <c r="R104" s="2887"/>
      <c r="S104" s="2888"/>
    </row>
    <row r="105" spans="2:19" s="204" customFormat="1" ht="11.25" customHeight="1">
      <c r="D105" s="239"/>
      <c r="E105" s="207" t="s">
        <v>189</v>
      </c>
      <c r="F105" s="215"/>
      <c r="H105" s="2886" t="s">
        <v>419</v>
      </c>
      <c r="I105" s="2887"/>
      <c r="J105" s="2887"/>
      <c r="K105" s="2887"/>
      <c r="L105" s="2887"/>
      <c r="M105" s="2887"/>
      <c r="N105" s="2888"/>
      <c r="O105" s="1499" t="s">
        <v>371</v>
      </c>
      <c r="Q105" s="2886" t="s">
        <v>412</v>
      </c>
      <c r="R105" s="2887"/>
      <c r="S105" s="2888"/>
    </row>
    <row r="106" spans="2:19" s="204" customFormat="1" ht="11.25" customHeight="1">
      <c r="D106" s="239"/>
      <c r="E106" s="207" t="s">
        <v>42</v>
      </c>
      <c r="H106" s="2886" t="s">
        <v>413</v>
      </c>
      <c r="I106" s="2887"/>
      <c r="J106" s="2888"/>
      <c r="K106" s="1501" t="s">
        <v>99</v>
      </c>
      <c r="L106" s="2886" t="s">
        <v>420</v>
      </c>
      <c r="M106" s="2887"/>
      <c r="N106" s="2888"/>
      <c r="O106" s="1499" t="s">
        <v>49</v>
      </c>
      <c r="Q106" s="2890">
        <v>7703537115</v>
      </c>
      <c r="R106" s="2891"/>
      <c r="S106" s="2892"/>
    </row>
    <row r="107" spans="2:19" s="204" customFormat="1" ht="11.25" customHeight="1">
      <c r="D107" s="239"/>
      <c r="E107" s="207" t="s">
        <v>44</v>
      </c>
      <c r="H107" s="2893" t="s">
        <v>45</v>
      </c>
      <c r="K107" s="1502" t="s">
        <v>46</v>
      </c>
      <c r="L107" s="2903">
        <v>303286132</v>
      </c>
      <c r="M107" s="2904"/>
      <c r="O107" s="1499" t="s">
        <v>52</v>
      </c>
      <c r="Q107" s="2890">
        <v>4043142857</v>
      </c>
      <c r="R107" s="2891"/>
      <c r="S107" s="2892"/>
    </row>
    <row r="108" spans="2:19" ht="11.25" customHeight="1">
      <c r="E108" s="207" t="s">
        <v>376</v>
      </c>
      <c r="F108" s="204"/>
      <c r="G108" s="204"/>
      <c r="H108" s="2890">
        <v>7703537115</v>
      </c>
      <c r="I108" s="2892"/>
      <c r="J108" s="2897"/>
      <c r="K108" s="1511" t="s">
        <v>50</v>
      </c>
      <c r="L108" s="2898" t="s">
        <v>421</v>
      </c>
      <c r="M108" s="2899"/>
      <c r="N108" s="2899"/>
      <c r="O108" s="2899"/>
      <c r="P108" s="2899"/>
      <c r="Q108" s="2899"/>
      <c r="R108" s="2899"/>
      <c r="S108" s="2900"/>
    </row>
    <row r="109" spans="2:19" ht="6.6" customHeight="1">
      <c r="E109" s="207"/>
      <c r="F109" s="204"/>
      <c r="G109" s="1510"/>
      <c r="H109" s="2905"/>
      <c r="I109" s="2905"/>
      <c r="J109" s="2905"/>
      <c r="K109" s="1511"/>
      <c r="L109" s="2905"/>
      <c r="M109" s="2905"/>
      <c r="N109" s="1498"/>
      <c r="O109" s="1554"/>
      <c r="P109" s="1554"/>
      <c r="Q109" s="1511"/>
      <c r="R109" s="1554"/>
      <c r="S109" s="1554"/>
    </row>
    <row r="110" spans="2:19" s="204" customFormat="1" ht="11.25" customHeight="1">
      <c r="B110" s="205" t="s">
        <v>147</v>
      </c>
      <c r="C110" s="205" t="s">
        <v>422</v>
      </c>
      <c r="H110" s="2886" t="s">
        <v>423</v>
      </c>
      <c r="I110" s="2887"/>
      <c r="J110" s="2887"/>
      <c r="K110" s="2887"/>
      <c r="L110" s="2887"/>
      <c r="M110" s="2887"/>
      <c r="N110" s="2888"/>
      <c r="O110" s="1499" t="s">
        <v>370</v>
      </c>
      <c r="P110" s="1499"/>
      <c r="Q110" s="2886" t="s">
        <v>424</v>
      </c>
      <c r="R110" s="2887"/>
      <c r="S110" s="2888"/>
    </row>
    <row r="111" spans="2:19" s="204" customFormat="1" ht="11.25" customHeight="1">
      <c r="D111" s="239"/>
      <c r="E111" s="207" t="s">
        <v>189</v>
      </c>
      <c r="F111" s="215"/>
      <c r="H111" s="2886" t="s">
        <v>425</v>
      </c>
      <c r="I111" s="2887"/>
      <c r="J111" s="2887"/>
      <c r="K111" s="2887"/>
      <c r="L111" s="2887"/>
      <c r="M111" s="2887"/>
      <c r="N111" s="2888"/>
      <c r="O111" s="1499" t="s">
        <v>371</v>
      </c>
      <c r="Q111" s="2886" t="s">
        <v>426</v>
      </c>
      <c r="R111" s="2887"/>
      <c r="S111" s="2888"/>
    </row>
    <row r="112" spans="2:19" s="204" customFormat="1" ht="11.25" customHeight="1">
      <c r="D112" s="239"/>
      <c r="E112" s="207" t="s">
        <v>42</v>
      </c>
      <c r="H112" s="2886" t="s">
        <v>43</v>
      </c>
      <c r="I112" s="2887"/>
      <c r="J112" s="2888"/>
      <c r="K112" s="1501" t="s">
        <v>99</v>
      </c>
      <c r="L112" s="2886" t="s">
        <v>427</v>
      </c>
      <c r="M112" s="2887"/>
      <c r="N112" s="2888"/>
      <c r="O112" s="1499" t="s">
        <v>49</v>
      </c>
      <c r="Q112" s="2890"/>
      <c r="R112" s="2891"/>
      <c r="S112" s="2892"/>
    </row>
    <row r="113" spans="1:22" s="204" customFormat="1" ht="11.25" customHeight="1">
      <c r="D113" s="243"/>
      <c r="E113" s="207" t="s">
        <v>44</v>
      </c>
      <c r="H113" s="2893" t="s">
        <v>45</v>
      </c>
      <c r="K113" s="1502" t="s">
        <v>46</v>
      </c>
      <c r="L113" s="2903">
        <v>316021770</v>
      </c>
      <c r="M113" s="2904"/>
      <c r="O113" s="1499" t="s">
        <v>52</v>
      </c>
      <c r="Q113" s="2890">
        <v>2295611863</v>
      </c>
      <c r="R113" s="2891"/>
      <c r="S113" s="2892"/>
    </row>
    <row r="114" spans="1:22" s="204" customFormat="1" ht="11.25" customHeight="1">
      <c r="D114" s="243"/>
      <c r="E114" s="207" t="s">
        <v>376</v>
      </c>
      <c r="H114" s="2890">
        <v>2292441188</v>
      </c>
      <c r="I114" s="2892"/>
      <c r="J114" s="2897"/>
      <c r="K114" s="1511" t="s">
        <v>50</v>
      </c>
      <c r="L114" s="2898" t="s">
        <v>428</v>
      </c>
      <c r="M114" s="2899"/>
      <c r="N114" s="2899"/>
      <c r="O114" s="2899"/>
      <c r="P114" s="2899"/>
      <c r="Q114" s="2899"/>
      <c r="R114" s="2899"/>
      <c r="S114" s="2900"/>
    </row>
    <row r="115" spans="1:22" ht="3" customHeight="1"/>
    <row r="116" spans="1:22" s="204" customFormat="1" ht="12" customHeight="1">
      <c r="A116" s="205" t="s">
        <v>57</v>
      </c>
      <c r="B116" s="205" t="s">
        <v>429</v>
      </c>
      <c r="F116" s="205"/>
      <c r="G116" s="1511"/>
      <c r="H116" s="1511"/>
      <c r="I116" s="1511"/>
      <c r="J116" s="1511"/>
      <c r="K116" s="1511"/>
      <c r="L116" s="1511"/>
      <c r="M116" s="1511"/>
      <c r="N116" s="1511"/>
      <c r="O116" s="1511"/>
      <c r="P116" s="1511"/>
      <c r="Q116" s="1501"/>
    </row>
    <row r="117" spans="1:22" s="204" customFormat="1" ht="11.25" customHeight="1">
      <c r="B117" s="205" t="s">
        <v>110</v>
      </c>
      <c r="C117" s="205" t="s">
        <v>430</v>
      </c>
      <c r="H117" s="2886" t="s">
        <v>431</v>
      </c>
      <c r="I117" s="2907"/>
      <c r="J117" s="2908"/>
      <c r="K117" s="1511" t="s">
        <v>55</v>
      </c>
      <c r="L117" s="2886" t="s">
        <v>36</v>
      </c>
      <c r="M117" s="2887"/>
      <c r="N117" s="2888"/>
      <c r="O117" s="207" t="s">
        <v>432</v>
      </c>
      <c r="Q117" s="2886" t="s">
        <v>433</v>
      </c>
      <c r="R117" s="2887"/>
      <c r="S117" s="2888"/>
    </row>
    <row r="118" spans="1:22" s="204" customFormat="1" ht="11.25" customHeight="1">
      <c r="D118" s="239"/>
      <c r="E118" s="207" t="s">
        <v>189</v>
      </c>
      <c r="F118" s="215"/>
      <c r="H118" s="2886" t="s">
        <v>40</v>
      </c>
      <c r="I118" s="2887"/>
      <c r="J118" s="2887"/>
      <c r="K118" s="2887"/>
      <c r="L118" s="2887"/>
      <c r="M118" s="2887"/>
      <c r="N118" s="2888"/>
      <c r="O118" s="207" t="s">
        <v>42</v>
      </c>
      <c r="Q118" s="2886"/>
      <c r="R118" s="2887"/>
      <c r="S118" s="2888"/>
    </row>
    <row r="119" spans="1:22" s="204" customFormat="1" ht="11.25" customHeight="1">
      <c r="D119" s="239"/>
      <c r="E119" s="207" t="s">
        <v>44</v>
      </c>
      <c r="H119" s="2893" t="s">
        <v>45</v>
      </c>
      <c r="I119" s="1502" t="s">
        <v>46</v>
      </c>
      <c r="J119" s="2894">
        <v>316015526</v>
      </c>
      <c r="K119" s="2888"/>
      <c r="L119" s="1511" t="s">
        <v>50</v>
      </c>
      <c r="M119" s="2898" t="s">
        <v>434</v>
      </c>
      <c r="N119" s="2899"/>
      <c r="O119" s="2899"/>
      <c r="P119" s="2899"/>
      <c r="Q119" s="2899"/>
      <c r="R119" s="2899"/>
      <c r="S119" s="2900"/>
    </row>
    <row r="120" spans="1:22" ht="12" customHeight="1">
      <c r="B120" s="205" t="s">
        <v>121</v>
      </c>
      <c r="C120" s="205" t="s">
        <v>435</v>
      </c>
      <c r="H120" s="1553"/>
      <c r="I120" s="1553"/>
      <c r="J120" s="1553"/>
      <c r="K120" s="1553"/>
      <c r="L120" s="1553"/>
      <c r="M120" s="1553"/>
      <c r="N120" s="1553"/>
      <c r="O120" s="1553"/>
      <c r="P120" s="1553"/>
      <c r="Q120" s="1553"/>
      <c r="R120" s="1553"/>
      <c r="S120" s="1553"/>
    </row>
    <row r="121" spans="1:22" ht="11.25" customHeight="1">
      <c r="A121" s="1632" t="s">
        <v>436</v>
      </c>
      <c r="B121" s="1632"/>
      <c r="C121" s="1632"/>
      <c r="D121" s="1632"/>
      <c r="E121" s="1633"/>
      <c r="F121" s="2909" t="s">
        <v>437</v>
      </c>
      <c r="G121" s="2910" t="s">
        <v>438</v>
      </c>
      <c r="H121" s="2911"/>
      <c r="I121" s="2911"/>
      <c r="J121" s="2911"/>
      <c r="K121" s="2911"/>
      <c r="L121" s="2911"/>
      <c r="M121" s="2911"/>
      <c r="N121" s="2911"/>
      <c r="O121" s="2911"/>
      <c r="P121" s="2911"/>
      <c r="Q121" s="2911"/>
      <c r="R121" s="2911"/>
      <c r="S121" s="2912"/>
    </row>
    <row r="122" spans="1:22" s="204" customFormat="1" ht="31.5" customHeight="1">
      <c r="B122" s="398"/>
      <c r="C122" s="1349" t="s">
        <v>379</v>
      </c>
      <c r="D122" s="1602" t="s">
        <v>439</v>
      </c>
      <c r="E122" s="1634"/>
      <c r="F122" s="2913" t="s">
        <v>22</v>
      </c>
      <c r="G122" s="2431" t="s">
        <v>440</v>
      </c>
      <c r="H122" s="2432"/>
      <c r="I122" s="2432"/>
      <c r="J122" s="2432"/>
      <c r="K122" s="2432"/>
      <c r="L122" s="2432"/>
      <c r="M122" s="2432"/>
      <c r="N122" s="2432"/>
      <c r="O122" s="2432"/>
      <c r="P122" s="2432"/>
      <c r="Q122" s="2432"/>
      <c r="R122" s="2432"/>
      <c r="S122" s="2433"/>
      <c r="U122" s="1638" t="s">
        <v>441</v>
      </c>
      <c r="V122" s="1638"/>
    </row>
    <row r="123" spans="1:22" s="204" customFormat="1" ht="31.5" customHeight="1">
      <c r="B123" s="398"/>
      <c r="C123" s="492" t="s">
        <v>389</v>
      </c>
      <c r="D123" s="1573" t="s">
        <v>442</v>
      </c>
      <c r="E123" s="1631"/>
      <c r="F123" s="2914" t="s">
        <v>22</v>
      </c>
      <c r="G123" s="2434" t="s">
        <v>4718</v>
      </c>
      <c r="H123" s="2435"/>
      <c r="I123" s="2435"/>
      <c r="J123" s="2435"/>
      <c r="K123" s="2435"/>
      <c r="L123" s="2435"/>
      <c r="M123" s="2435"/>
      <c r="N123" s="2435"/>
      <c r="O123" s="2435"/>
      <c r="P123" s="2435"/>
      <c r="Q123" s="2435"/>
      <c r="R123" s="2435"/>
      <c r="S123" s="2436"/>
      <c r="U123" s="1638"/>
      <c r="V123" s="1638"/>
    </row>
    <row r="124" spans="1:22" s="204" customFormat="1" ht="31.5" customHeight="1">
      <c r="B124" s="398"/>
      <c r="C124" s="492" t="s">
        <v>393</v>
      </c>
      <c r="D124" s="1573" t="s">
        <v>443</v>
      </c>
      <c r="E124" s="1631"/>
      <c r="F124" s="2914" t="s">
        <v>22</v>
      </c>
      <c r="G124" s="2431" t="s">
        <v>444</v>
      </c>
      <c r="H124" s="2432"/>
      <c r="I124" s="2432"/>
      <c r="J124" s="2432"/>
      <c r="K124" s="2432"/>
      <c r="L124" s="2432"/>
      <c r="M124" s="2432"/>
      <c r="N124" s="2432"/>
      <c r="O124" s="2432"/>
      <c r="P124" s="2432"/>
      <c r="Q124" s="2432"/>
      <c r="R124" s="2432"/>
      <c r="S124" s="2433"/>
      <c r="U124" s="1638"/>
      <c r="V124" s="1638"/>
    </row>
    <row r="125" spans="1:22" s="204" customFormat="1" ht="31.5" customHeight="1">
      <c r="B125" s="398"/>
      <c r="C125" s="492" t="s">
        <v>445</v>
      </c>
      <c r="D125" s="1573" t="s">
        <v>446</v>
      </c>
      <c r="E125" s="1631"/>
      <c r="F125" s="2914" t="s">
        <v>21</v>
      </c>
      <c r="G125" s="2434"/>
      <c r="H125" s="2435"/>
      <c r="I125" s="2435"/>
      <c r="J125" s="2435"/>
      <c r="K125" s="2435"/>
      <c r="L125" s="2435"/>
      <c r="M125" s="2435"/>
      <c r="N125" s="2435"/>
      <c r="O125" s="2435"/>
      <c r="P125" s="2435"/>
      <c r="Q125" s="2435"/>
      <c r="R125" s="2435"/>
      <c r="S125" s="2436"/>
      <c r="U125" s="1638"/>
      <c r="V125" s="1638"/>
    </row>
    <row r="126" spans="1:22" s="204" customFormat="1" ht="31.5" customHeight="1">
      <c r="B126" s="398"/>
      <c r="C126" s="492" t="s">
        <v>447</v>
      </c>
      <c r="D126" s="1573" t="s">
        <v>448</v>
      </c>
      <c r="E126" s="1631"/>
      <c r="F126" s="2914" t="s">
        <v>22</v>
      </c>
      <c r="G126" s="2434" t="s">
        <v>4708</v>
      </c>
      <c r="H126" s="2435"/>
      <c r="I126" s="2435"/>
      <c r="J126" s="2435"/>
      <c r="K126" s="2435"/>
      <c r="L126" s="2435"/>
      <c r="M126" s="2435"/>
      <c r="N126" s="2435"/>
      <c r="O126" s="2435"/>
      <c r="P126" s="2435"/>
      <c r="Q126" s="2435"/>
      <c r="R126" s="2435"/>
      <c r="S126" s="2436"/>
      <c r="U126" s="1638"/>
      <c r="V126" s="1638"/>
    </row>
    <row r="127" spans="1:22" s="204" customFormat="1" ht="31.5" customHeight="1">
      <c r="B127" s="398"/>
      <c r="C127" s="492" t="s">
        <v>449</v>
      </c>
      <c r="D127" s="1573" t="s">
        <v>450</v>
      </c>
      <c r="E127" s="1631"/>
      <c r="F127" s="2914" t="s">
        <v>22</v>
      </c>
      <c r="G127" s="2434" t="s">
        <v>4709</v>
      </c>
      <c r="H127" s="2435"/>
      <c r="I127" s="2435"/>
      <c r="J127" s="2435"/>
      <c r="K127" s="2435"/>
      <c r="L127" s="2435"/>
      <c r="M127" s="2435"/>
      <c r="N127" s="2435"/>
      <c r="O127" s="2435"/>
      <c r="P127" s="2435"/>
      <c r="Q127" s="2435"/>
      <c r="R127" s="2435"/>
      <c r="S127" s="2436"/>
      <c r="U127" s="1638"/>
      <c r="V127" s="1638"/>
    </row>
    <row r="128" spans="1:22" s="204" customFormat="1" ht="31.5" customHeight="1">
      <c r="B128" s="398"/>
      <c r="C128" s="492" t="s">
        <v>451</v>
      </c>
      <c r="D128" s="1573" t="s">
        <v>452</v>
      </c>
      <c r="E128" s="1631"/>
      <c r="F128" s="2914" t="s">
        <v>21</v>
      </c>
      <c r="G128" s="2434"/>
      <c r="H128" s="2435"/>
      <c r="I128" s="2435"/>
      <c r="J128" s="2435"/>
      <c r="K128" s="2435"/>
      <c r="L128" s="2435"/>
      <c r="M128" s="2435"/>
      <c r="N128" s="2435"/>
      <c r="O128" s="2435"/>
      <c r="P128" s="2435"/>
      <c r="Q128" s="2435"/>
      <c r="R128" s="2435"/>
      <c r="S128" s="2436"/>
    </row>
    <row r="129" spans="1:22" s="204" customFormat="1" ht="46.5" customHeight="1">
      <c r="B129" s="398"/>
      <c r="C129" s="492" t="s">
        <v>453</v>
      </c>
      <c r="D129" s="2915" t="s">
        <v>4710</v>
      </c>
      <c r="E129" s="2916"/>
      <c r="F129" s="2917" t="s">
        <v>22</v>
      </c>
      <c r="G129" s="2437" t="s">
        <v>465</v>
      </c>
      <c r="H129" s="2438"/>
      <c r="I129" s="2438"/>
      <c r="J129" s="2438"/>
      <c r="K129" s="2438"/>
      <c r="L129" s="2438"/>
      <c r="M129" s="2438"/>
      <c r="N129" s="2438"/>
      <c r="O129" s="2438"/>
      <c r="P129" s="2438"/>
      <c r="Q129" s="2438"/>
      <c r="R129" s="2438"/>
      <c r="S129" s="2439"/>
    </row>
    <row r="130" spans="1:22" s="204" customFormat="1" ht="13.15" customHeight="1">
      <c r="A130" s="205" t="s">
        <v>108</v>
      </c>
      <c r="B130" s="205" t="s">
        <v>454</v>
      </c>
      <c r="F130" s="205"/>
      <c r="G130" s="1511"/>
      <c r="H130" s="1511"/>
      <c r="I130" s="1511"/>
      <c r="J130" s="1511"/>
      <c r="K130" s="1511"/>
      <c r="L130" s="1511"/>
      <c r="M130" s="1511"/>
      <c r="N130" s="1511"/>
      <c r="O130" s="1511"/>
      <c r="P130" s="1511"/>
      <c r="Q130" s="1501"/>
    </row>
    <row r="131" spans="1:22" s="204" customFormat="1" ht="2.25" customHeight="1">
      <c r="A131" s="205"/>
      <c r="B131" s="205"/>
      <c r="F131" s="205"/>
      <c r="G131" s="1511"/>
      <c r="H131" s="1511"/>
      <c r="I131" s="1511"/>
      <c r="J131" s="1511"/>
      <c r="K131" s="1511"/>
      <c r="L131" s="1511"/>
      <c r="M131" s="1511"/>
      <c r="N131" s="1511"/>
      <c r="O131" s="1511"/>
      <c r="P131" s="1511"/>
      <c r="Q131" s="1501"/>
    </row>
    <row r="132" spans="1:22" ht="13.15" customHeight="1">
      <c r="B132" s="205" t="s">
        <v>123</v>
      </c>
      <c r="C132" s="205" t="s">
        <v>455</v>
      </c>
    </row>
    <row r="133" spans="1:22" s="204" customFormat="1" ht="13.5" customHeight="1">
      <c r="A133" s="1601" t="s">
        <v>456</v>
      </c>
      <c r="B133" s="1602"/>
      <c r="C133" s="1602"/>
      <c r="D133" s="1602"/>
      <c r="E133" s="1606" t="s">
        <v>457</v>
      </c>
      <c r="F133" s="1607"/>
      <c r="G133" s="1607"/>
      <c r="H133" s="1607"/>
      <c r="I133" s="1608"/>
      <c r="J133" s="1612" t="s">
        <v>458</v>
      </c>
      <c r="K133" s="1615" t="s">
        <v>459</v>
      </c>
      <c r="L133" s="1615" t="s">
        <v>460</v>
      </c>
      <c r="M133" s="1618" t="s">
        <v>461</v>
      </c>
      <c r="N133" s="1619"/>
      <c r="O133" s="1619"/>
      <c r="P133" s="1619"/>
      <c r="Q133" s="1619"/>
      <c r="R133" s="1619"/>
      <c r="S133" s="1620"/>
    </row>
    <row r="134" spans="1:22" s="204" customFormat="1" ht="13.5" customHeight="1">
      <c r="A134" s="1603"/>
      <c r="B134" s="1572"/>
      <c r="C134" s="1572"/>
      <c r="D134" s="1572"/>
      <c r="E134" s="1609"/>
      <c r="F134" s="1610"/>
      <c r="G134" s="1610"/>
      <c r="H134" s="1610"/>
      <c r="I134" s="1611"/>
      <c r="J134" s="1613"/>
      <c r="K134" s="1616"/>
      <c r="L134" s="1616"/>
      <c r="M134" s="1621"/>
      <c r="N134" s="1622"/>
      <c r="O134" s="1622"/>
      <c r="P134" s="1622"/>
      <c r="Q134" s="1622"/>
      <c r="R134" s="1622"/>
      <c r="S134" s="1623"/>
    </row>
    <row r="135" spans="1:22" s="204" customFormat="1" ht="13.5" customHeight="1">
      <c r="A135" s="1603"/>
      <c r="B135" s="1572"/>
      <c r="C135" s="1572"/>
      <c r="D135" s="1572"/>
      <c r="E135" s="1609"/>
      <c r="F135" s="1610"/>
      <c r="G135" s="1610"/>
      <c r="H135" s="1610"/>
      <c r="I135" s="1611"/>
      <c r="J135" s="1613"/>
      <c r="K135" s="1616"/>
      <c r="L135" s="1616"/>
      <c r="M135" s="1621"/>
      <c r="N135" s="1622"/>
      <c r="O135" s="1622"/>
      <c r="P135" s="1622"/>
      <c r="Q135" s="1622"/>
      <c r="R135" s="1622"/>
      <c r="S135" s="1623"/>
    </row>
    <row r="136" spans="1:22" s="204" customFormat="1" ht="23.25" customHeight="1">
      <c r="A136" s="1603"/>
      <c r="B136" s="1572"/>
      <c r="C136" s="1572"/>
      <c r="D136" s="1572"/>
      <c r="E136" s="1624" t="s">
        <v>462</v>
      </c>
      <c r="F136" s="1625"/>
      <c r="G136" s="1625"/>
      <c r="H136" s="1626"/>
      <c r="I136" s="493"/>
      <c r="J136" s="1613"/>
      <c r="K136" s="1616"/>
      <c r="L136" s="1616"/>
      <c r="M136" s="1621"/>
      <c r="N136" s="1622"/>
      <c r="O136" s="1622"/>
      <c r="P136" s="1622"/>
      <c r="Q136" s="1622"/>
      <c r="R136" s="1622"/>
      <c r="S136" s="1623"/>
    </row>
    <row r="137" spans="1:22" s="204" customFormat="1" ht="13.5" customHeight="1">
      <c r="A137" s="1604"/>
      <c r="B137" s="1605"/>
      <c r="C137" s="1605"/>
      <c r="D137" s="1605"/>
      <c r="E137" s="1627"/>
      <c r="F137" s="1628"/>
      <c r="G137" s="1628"/>
      <c r="H137" s="1629"/>
      <c r="I137" s="723" t="s">
        <v>437</v>
      </c>
      <c r="J137" s="1614"/>
      <c r="K137" s="1617"/>
      <c r="L137" s="1616"/>
      <c r="M137" s="272" t="s">
        <v>437</v>
      </c>
      <c r="N137" s="1578" t="s">
        <v>463</v>
      </c>
      <c r="O137" s="1578"/>
      <c r="P137" s="1578"/>
      <c r="Q137" s="1578"/>
      <c r="R137" s="1578"/>
      <c r="S137" s="1630"/>
    </row>
    <row r="138" spans="1:22" s="204" customFormat="1" ht="87" customHeight="1">
      <c r="A138" s="1598" t="s">
        <v>464</v>
      </c>
      <c r="B138" s="1599"/>
      <c r="C138" s="1599"/>
      <c r="D138" s="1600"/>
      <c r="E138" s="2431"/>
      <c r="F138" s="2432"/>
      <c r="G138" s="2432"/>
      <c r="H138" s="2432"/>
      <c r="I138" s="2918" t="s">
        <v>21</v>
      </c>
      <c r="J138" s="2913" t="s">
        <v>21</v>
      </c>
      <c r="K138" s="2919" t="s">
        <v>375</v>
      </c>
      <c r="L138" s="2920">
        <v>1E-4</v>
      </c>
      <c r="M138" s="2921" t="s">
        <v>22</v>
      </c>
      <c r="N138" s="2922" t="s">
        <v>465</v>
      </c>
      <c r="O138" s="2432"/>
      <c r="P138" s="2432"/>
      <c r="Q138" s="2432"/>
      <c r="R138" s="2432"/>
      <c r="S138" s="2433"/>
    </row>
    <row r="139" spans="1:22" s="204" customFormat="1" ht="29.25" customHeight="1">
      <c r="A139" s="1592" t="s">
        <v>466</v>
      </c>
      <c r="B139" s="1593"/>
      <c r="C139" s="1593"/>
      <c r="D139" s="1594"/>
      <c r="E139" s="2434"/>
      <c r="F139" s="2435"/>
      <c r="G139" s="2435"/>
      <c r="H139" s="2435"/>
      <c r="I139" s="2923"/>
      <c r="J139" s="2914"/>
      <c r="K139" s="2924"/>
      <c r="L139" s="2925"/>
      <c r="M139" s="2926"/>
      <c r="N139" s="2927"/>
      <c r="O139" s="2435"/>
      <c r="P139" s="2435"/>
      <c r="Q139" s="2435"/>
      <c r="R139" s="2435"/>
      <c r="S139" s="2436"/>
      <c r="U139" s="1638" t="s">
        <v>441</v>
      </c>
      <c r="V139" s="1638"/>
    </row>
    <row r="140" spans="1:22" s="204" customFormat="1" ht="27" customHeight="1">
      <c r="A140" s="1592" t="s">
        <v>467</v>
      </c>
      <c r="B140" s="1593"/>
      <c r="C140" s="1593"/>
      <c r="D140" s="1594"/>
      <c r="E140" s="2434"/>
      <c r="F140" s="2435"/>
      <c r="G140" s="2435"/>
      <c r="H140" s="2435"/>
      <c r="I140" s="2923"/>
      <c r="J140" s="2914"/>
      <c r="K140" s="2924"/>
      <c r="L140" s="2925"/>
      <c r="M140" s="2926"/>
      <c r="N140" s="2927"/>
      <c r="O140" s="2435"/>
      <c r="P140" s="2435"/>
      <c r="Q140" s="2435"/>
      <c r="R140" s="2435"/>
      <c r="S140" s="2436"/>
      <c r="U140" s="1638"/>
      <c r="V140" s="1638"/>
    </row>
    <row r="141" spans="1:22" s="204" customFormat="1" ht="81" customHeight="1">
      <c r="A141" s="1592" t="s">
        <v>468</v>
      </c>
      <c r="B141" s="1593"/>
      <c r="C141" s="1593"/>
      <c r="D141" s="1594"/>
      <c r="E141" s="2434"/>
      <c r="F141" s="2435"/>
      <c r="G141" s="2435"/>
      <c r="H141" s="2435"/>
      <c r="I141" s="2923" t="s">
        <v>21</v>
      </c>
      <c r="J141" s="2914" t="s">
        <v>21</v>
      </c>
      <c r="K141" s="2924" t="s">
        <v>375</v>
      </c>
      <c r="L141" s="2925">
        <v>0.9899</v>
      </c>
      <c r="M141" s="2926" t="s">
        <v>21</v>
      </c>
      <c r="N141" s="2927"/>
      <c r="O141" s="2435"/>
      <c r="P141" s="2435"/>
      <c r="Q141" s="2435"/>
      <c r="R141" s="2435"/>
      <c r="S141" s="2436"/>
      <c r="U141" s="1638"/>
      <c r="V141" s="1638"/>
    </row>
    <row r="142" spans="1:22" s="204" customFormat="1" ht="86.25" customHeight="1">
      <c r="A142" s="1592" t="s">
        <v>469</v>
      </c>
      <c r="B142" s="1593"/>
      <c r="C142" s="1593"/>
      <c r="D142" s="1594"/>
      <c r="E142" s="2434"/>
      <c r="F142" s="2435"/>
      <c r="G142" s="2435"/>
      <c r="H142" s="2435"/>
      <c r="I142" s="2923" t="s">
        <v>21</v>
      </c>
      <c r="J142" s="2914" t="s">
        <v>21</v>
      </c>
      <c r="K142" s="2924" t="s">
        <v>375</v>
      </c>
      <c r="L142" s="2925">
        <v>0.01</v>
      </c>
      <c r="M142" s="2926" t="s">
        <v>22</v>
      </c>
      <c r="N142" s="2927" t="s">
        <v>465</v>
      </c>
      <c r="O142" s="2435"/>
      <c r="P142" s="2435"/>
      <c r="Q142" s="2435"/>
      <c r="R142" s="2435"/>
      <c r="S142" s="2436"/>
      <c r="U142" s="1638"/>
      <c r="V142" s="1638"/>
    </row>
    <row r="143" spans="1:22" s="204" customFormat="1" ht="27.75" customHeight="1">
      <c r="A143" s="1592" t="s">
        <v>470</v>
      </c>
      <c r="B143" s="1593"/>
      <c r="C143" s="1593"/>
      <c r="D143" s="1594"/>
      <c r="E143" s="2434"/>
      <c r="F143" s="2435"/>
      <c r="G143" s="2435"/>
      <c r="H143" s="2435"/>
      <c r="I143" s="2923"/>
      <c r="J143" s="2914"/>
      <c r="K143" s="2924"/>
      <c r="L143" s="2925"/>
      <c r="M143" s="2926"/>
      <c r="N143" s="2927"/>
      <c r="O143" s="2435"/>
      <c r="P143" s="2435"/>
      <c r="Q143" s="2435"/>
      <c r="R143" s="2435"/>
      <c r="S143" s="2436"/>
      <c r="U143" s="1638"/>
      <c r="V143" s="1638"/>
    </row>
    <row r="144" spans="1:22" s="204" customFormat="1" ht="83.25" customHeight="1">
      <c r="A144" s="1592" t="s">
        <v>471</v>
      </c>
      <c r="B144" s="1593"/>
      <c r="C144" s="1593"/>
      <c r="D144" s="1594"/>
      <c r="E144" s="2434"/>
      <c r="F144" s="2435"/>
      <c r="G144" s="2435"/>
      <c r="H144" s="2435"/>
      <c r="I144" s="2923" t="s">
        <v>21</v>
      </c>
      <c r="J144" s="2914" t="s">
        <v>21</v>
      </c>
      <c r="K144" s="2924" t="s">
        <v>375</v>
      </c>
      <c r="L144" s="2925">
        <v>0</v>
      </c>
      <c r="M144" s="2926" t="s">
        <v>22</v>
      </c>
      <c r="N144" s="2927" t="s">
        <v>465</v>
      </c>
      <c r="O144" s="2435"/>
      <c r="P144" s="2435"/>
      <c r="Q144" s="2435"/>
      <c r="R144" s="2435"/>
      <c r="S144" s="2436"/>
      <c r="U144" s="1638"/>
      <c r="V144" s="1638"/>
    </row>
    <row r="145" spans="1:24" s="204" customFormat="1" ht="26.25" customHeight="1">
      <c r="A145" s="1592" t="s">
        <v>472</v>
      </c>
      <c r="B145" s="1593"/>
      <c r="C145" s="1593"/>
      <c r="D145" s="1594"/>
      <c r="E145" s="2434"/>
      <c r="F145" s="2435"/>
      <c r="G145" s="2435"/>
      <c r="H145" s="2435"/>
      <c r="I145" s="2923"/>
      <c r="J145" s="2914"/>
      <c r="K145" s="2924"/>
      <c r="L145" s="2925"/>
      <c r="M145" s="2926"/>
      <c r="N145" s="2927"/>
      <c r="O145" s="2435"/>
      <c r="P145" s="2435"/>
      <c r="Q145" s="2435"/>
      <c r="R145" s="2435"/>
      <c r="S145" s="2436"/>
    </row>
    <row r="146" spans="1:24" s="204" customFormat="1" ht="27.75" customHeight="1">
      <c r="A146" s="1592" t="s">
        <v>473</v>
      </c>
      <c r="B146" s="1593"/>
      <c r="C146" s="1593"/>
      <c r="D146" s="1594"/>
      <c r="E146" s="2434"/>
      <c r="F146" s="2435"/>
      <c r="G146" s="2435"/>
      <c r="H146" s="2435"/>
      <c r="I146" s="2923"/>
      <c r="J146" s="2914"/>
      <c r="K146" s="2924"/>
      <c r="L146" s="2925"/>
      <c r="M146" s="2926"/>
      <c r="N146" s="2927"/>
      <c r="O146" s="2435"/>
      <c r="P146" s="2435"/>
      <c r="Q146" s="2435"/>
      <c r="R146" s="2435"/>
      <c r="S146" s="2436"/>
    </row>
    <row r="147" spans="1:24" s="204" customFormat="1" ht="29.25" customHeight="1">
      <c r="A147" s="1592" t="s">
        <v>474</v>
      </c>
      <c r="B147" s="1593"/>
      <c r="C147" s="1593"/>
      <c r="D147" s="1594"/>
      <c r="E147" s="2434"/>
      <c r="F147" s="2435"/>
      <c r="G147" s="2435"/>
      <c r="H147" s="2435"/>
      <c r="I147" s="2923"/>
      <c r="J147" s="2914"/>
      <c r="K147" s="2924"/>
      <c r="L147" s="2925"/>
      <c r="M147" s="2926"/>
      <c r="N147" s="2927"/>
      <c r="O147" s="2435"/>
      <c r="P147" s="2435"/>
      <c r="Q147" s="2435"/>
      <c r="R147" s="2435"/>
      <c r="S147" s="2436"/>
    </row>
    <row r="148" spans="1:24" s="204" customFormat="1" ht="33" customHeight="1">
      <c r="A148" s="1592" t="s">
        <v>475</v>
      </c>
      <c r="B148" s="1593"/>
      <c r="C148" s="1593"/>
      <c r="D148" s="1594"/>
      <c r="E148" s="2434"/>
      <c r="F148" s="2435"/>
      <c r="G148" s="2435"/>
      <c r="H148" s="2435"/>
      <c r="I148" s="2923"/>
      <c r="J148" s="2914"/>
      <c r="K148" s="2924"/>
      <c r="L148" s="2925"/>
      <c r="M148" s="2926"/>
      <c r="N148" s="2927"/>
      <c r="O148" s="2435"/>
      <c r="P148" s="2435"/>
      <c r="Q148" s="2435"/>
      <c r="R148" s="2435"/>
      <c r="S148" s="2436"/>
    </row>
    <row r="149" spans="1:24" s="204" customFormat="1" ht="78" customHeight="1">
      <c r="A149" s="1592" t="s">
        <v>476</v>
      </c>
      <c r="B149" s="1593"/>
      <c r="C149" s="1593"/>
      <c r="D149" s="1594"/>
      <c r="E149" s="2434"/>
      <c r="F149" s="2435"/>
      <c r="G149" s="2435"/>
      <c r="H149" s="2435"/>
      <c r="I149" s="2923" t="s">
        <v>21</v>
      </c>
      <c r="J149" s="2914" t="s">
        <v>21</v>
      </c>
      <c r="K149" s="2924" t="s">
        <v>375</v>
      </c>
      <c r="L149" s="2925">
        <v>0</v>
      </c>
      <c r="M149" s="2926" t="s">
        <v>22</v>
      </c>
      <c r="N149" s="2927" t="s">
        <v>465</v>
      </c>
      <c r="O149" s="2435"/>
      <c r="P149" s="2435"/>
      <c r="Q149" s="2435"/>
      <c r="R149" s="2435"/>
      <c r="S149" s="2436"/>
    </row>
    <row r="150" spans="1:24" s="204" customFormat="1" ht="81.75" customHeight="1">
      <c r="A150" s="1595" t="s">
        <v>477</v>
      </c>
      <c r="B150" s="1596"/>
      <c r="C150" s="1596"/>
      <c r="D150" s="1597"/>
      <c r="E150" s="2437"/>
      <c r="F150" s="2438"/>
      <c r="G150" s="2438"/>
      <c r="H150" s="2438"/>
      <c r="I150" s="2928" t="s">
        <v>21</v>
      </c>
      <c r="J150" s="2917" t="s">
        <v>21</v>
      </c>
      <c r="K150" s="2929" t="s">
        <v>375</v>
      </c>
      <c r="L150" s="2930">
        <v>0</v>
      </c>
      <c r="M150" s="2931" t="s">
        <v>22</v>
      </c>
      <c r="N150" s="2932" t="s">
        <v>465</v>
      </c>
      <c r="O150" s="2438"/>
      <c r="P150" s="2438"/>
      <c r="Q150" s="2438"/>
      <c r="R150" s="2438"/>
      <c r="S150" s="2439"/>
    </row>
    <row r="151" spans="1:24" s="1510" customFormat="1" ht="12" customHeight="1">
      <c r="G151" s="213"/>
      <c r="H151" s="213"/>
      <c r="I151" s="213"/>
      <c r="J151" s="1511"/>
      <c r="K151" s="226" t="s">
        <v>478</v>
      </c>
      <c r="L151" s="438">
        <f>SUM(L138:S150)</f>
        <v>1</v>
      </c>
      <c r="M151" s="1511"/>
      <c r="P151" s="211"/>
    </row>
    <row r="152" spans="1:24" ht="11.25" customHeight="1">
      <c r="A152" s="227" t="s">
        <v>150</v>
      </c>
      <c r="B152" s="238"/>
      <c r="C152" s="227" t="s">
        <v>259</v>
      </c>
      <c r="N152" s="227" t="s">
        <v>150</v>
      </c>
      <c r="O152" s="227" t="s">
        <v>261</v>
      </c>
    </row>
    <row r="153" spans="1:24" ht="60" customHeight="1">
      <c r="A153" s="2933" t="s">
        <v>465</v>
      </c>
      <c r="B153" s="2934"/>
      <c r="C153" s="2934"/>
      <c r="D153" s="2934"/>
      <c r="E153" s="2934"/>
      <c r="F153" s="2934"/>
      <c r="G153" s="2934"/>
      <c r="H153" s="2934"/>
      <c r="I153" s="2934"/>
      <c r="J153" s="2934"/>
      <c r="K153" s="2934"/>
      <c r="L153" s="2934"/>
      <c r="M153" s="2935"/>
      <c r="N153" s="2936"/>
      <c r="O153" s="2937"/>
      <c r="P153" s="2937"/>
      <c r="Q153" s="2937"/>
      <c r="R153" s="2937"/>
      <c r="S153" s="2938"/>
      <c r="T153" s="1561" t="s">
        <v>262</v>
      </c>
      <c r="U153" s="1561"/>
      <c r="V153" s="1561"/>
      <c r="W153" s="1561"/>
      <c r="X153" s="1561"/>
    </row>
    <row r="154" spans="1:24" s="204" customFormat="1" ht="12" customHeight="1">
      <c r="A154" s="208"/>
      <c r="B154" s="221"/>
      <c r="C154" s="221"/>
      <c r="D154" s="221"/>
      <c r="E154" s="221"/>
      <c r="F154" s="221"/>
      <c r="G154" s="221"/>
      <c r="H154" s="221"/>
      <c r="I154" s="221"/>
      <c r="J154" s="221"/>
      <c r="K154" s="221"/>
      <c r="L154" s="221"/>
      <c r="M154" s="221"/>
      <c r="N154" s="221"/>
      <c r="O154" s="221"/>
      <c r="T154" s="1561"/>
      <c r="U154" s="1561"/>
      <c r="V154" s="1561"/>
      <c r="W154" s="1561"/>
      <c r="X154" s="1561"/>
    </row>
    <row r="155" spans="1:24" s="204" customFormat="1" ht="12" customHeight="1">
      <c r="A155" s="379"/>
      <c r="B155" s="221"/>
      <c r="C155" s="221"/>
      <c r="D155" s="221"/>
      <c r="E155" s="221"/>
      <c r="F155" s="221"/>
      <c r="G155" s="221"/>
      <c r="H155" s="221"/>
      <c r="I155" s="221"/>
      <c r="J155" s="221"/>
      <c r="K155" s="221"/>
      <c r="L155" s="221"/>
      <c r="M155" s="221"/>
      <c r="N155" s="221"/>
      <c r="O155" s="221"/>
    </row>
    <row r="156" spans="1:24" s="204" customFormat="1" ht="12" customHeight="1">
      <c r="A156" s="208"/>
      <c r="B156" s="221"/>
      <c r="C156" s="221"/>
      <c r="D156" s="221"/>
      <c r="E156" s="221"/>
      <c r="F156" s="221"/>
      <c r="G156" s="221"/>
      <c r="H156" s="221"/>
      <c r="I156" s="221"/>
      <c r="J156" s="221"/>
      <c r="K156" s="221"/>
      <c r="L156" s="221"/>
      <c r="M156" s="221"/>
      <c r="N156" s="221"/>
      <c r="O156" s="221"/>
    </row>
    <row r="157" spans="1:24" s="204" customFormat="1" ht="12" customHeight="1">
      <c r="A157" s="208"/>
      <c r="B157" s="221"/>
      <c r="C157" s="221"/>
      <c r="D157" s="221"/>
      <c r="E157" s="221"/>
      <c r="F157" s="221"/>
      <c r="G157" s="221"/>
      <c r="H157" s="221"/>
      <c r="I157" s="221"/>
      <c r="J157" s="221"/>
      <c r="K157" s="221"/>
      <c r="L157" s="221"/>
      <c r="M157" s="221"/>
      <c r="N157" s="221"/>
      <c r="O157" s="221"/>
    </row>
    <row r="158" spans="1:24" s="204" customFormat="1" ht="12" customHeight="1">
      <c r="B158" s="221"/>
      <c r="C158" s="221"/>
      <c r="D158" s="221"/>
      <c r="E158" s="221"/>
      <c r="F158" s="221"/>
      <c r="G158" s="221"/>
      <c r="H158" s="221"/>
      <c r="I158" s="221"/>
      <c r="J158" s="221"/>
      <c r="K158" s="221"/>
      <c r="L158" s="221"/>
      <c r="M158" s="221"/>
      <c r="N158" s="221"/>
      <c r="O158" s="221"/>
      <c r="P158" s="2939" t="s">
        <v>44</v>
      </c>
    </row>
    <row r="159" spans="1:24" s="204" customFormat="1" ht="12" customHeight="1">
      <c r="A159" s="239"/>
      <c r="B159" s="221"/>
      <c r="C159" s="221"/>
      <c r="D159" s="221"/>
      <c r="E159" s="221"/>
      <c r="F159" s="221"/>
      <c r="G159" s="221"/>
      <c r="H159" s="221"/>
      <c r="I159" s="221"/>
      <c r="J159" s="221"/>
      <c r="K159" s="221"/>
      <c r="L159" s="221"/>
      <c r="M159" s="221"/>
      <c r="N159" s="221"/>
      <c r="O159" s="221"/>
      <c r="P159" s="2940" t="s">
        <v>479</v>
      </c>
    </row>
    <row r="160" spans="1:24" s="204" customFormat="1" ht="12" customHeight="1">
      <c r="A160" s="239"/>
      <c r="B160" s="221"/>
      <c r="C160" s="221"/>
      <c r="D160" s="221"/>
      <c r="E160" s="221"/>
      <c r="F160" s="221"/>
      <c r="G160" s="221"/>
      <c r="H160" s="221"/>
      <c r="I160" s="221"/>
      <c r="J160" s="221"/>
      <c r="K160" s="221"/>
      <c r="L160" s="221"/>
      <c r="M160" s="221"/>
      <c r="N160" s="221"/>
      <c r="O160" s="221"/>
      <c r="P160" s="2940" t="s">
        <v>480</v>
      </c>
    </row>
    <row r="161" spans="1:16" s="204" customFormat="1" ht="12" customHeight="1">
      <c r="A161" s="239"/>
      <c r="B161" s="221"/>
      <c r="C161" s="221"/>
      <c r="D161" s="221"/>
      <c r="E161" s="221"/>
      <c r="F161" s="221"/>
      <c r="G161" s="221"/>
      <c r="H161" s="221"/>
      <c r="I161" s="221"/>
      <c r="J161" s="221"/>
      <c r="K161" s="221"/>
      <c r="L161" s="221"/>
      <c r="M161" s="221"/>
      <c r="N161" s="221"/>
      <c r="O161" s="221"/>
      <c r="P161" s="2940" t="s">
        <v>481</v>
      </c>
    </row>
    <row r="162" spans="1:16" s="204" customFormat="1" ht="12" customHeight="1">
      <c r="A162" s="379"/>
      <c r="B162" s="221"/>
      <c r="C162" s="221"/>
      <c r="D162" s="221"/>
      <c r="E162" s="221"/>
      <c r="F162" s="221"/>
      <c r="G162" s="221"/>
      <c r="H162" s="221"/>
      <c r="I162" s="221"/>
      <c r="J162" s="221"/>
      <c r="K162" s="221"/>
      <c r="L162" s="221"/>
      <c r="M162" s="221"/>
      <c r="N162" s="221"/>
      <c r="O162" s="221"/>
      <c r="P162" s="2940" t="s">
        <v>482</v>
      </c>
    </row>
    <row r="163" spans="1:16" s="204" customFormat="1" ht="12" customHeight="1">
      <c r="B163" s="221"/>
      <c r="C163" s="221"/>
      <c r="D163" s="221"/>
      <c r="E163" s="221"/>
      <c r="F163" s="221"/>
      <c r="G163" s="221"/>
      <c r="H163" s="221"/>
      <c r="I163" s="221"/>
      <c r="J163" s="221"/>
      <c r="K163" s="221"/>
      <c r="L163" s="221"/>
      <c r="M163" s="221"/>
      <c r="N163" s="221"/>
      <c r="O163" s="221"/>
      <c r="P163" s="2940" t="s">
        <v>483</v>
      </c>
    </row>
    <row r="164" spans="1:16" s="204" customFormat="1" ht="12" customHeight="1">
      <c r="B164" s="221"/>
      <c r="C164" s="221"/>
      <c r="D164" s="221"/>
      <c r="E164" s="221"/>
      <c r="F164" s="221"/>
      <c r="G164" s="221"/>
      <c r="H164" s="221"/>
      <c r="I164" s="221"/>
      <c r="J164" s="221"/>
      <c r="K164" s="221"/>
      <c r="L164" s="221"/>
      <c r="M164" s="221"/>
      <c r="N164" s="221"/>
      <c r="O164" s="221"/>
      <c r="P164" s="2940" t="s">
        <v>484</v>
      </c>
    </row>
    <row r="165" spans="1:16" s="204" customFormat="1" ht="12" customHeight="1">
      <c r="B165" s="221"/>
      <c r="C165" s="221"/>
      <c r="D165" s="221"/>
      <c r="E165" s="221"/>
      <c r="F165" s="221"/>
      <c r="G165" s="221"/>
      <c r="H165" s="221"/>
      <c r="I165" s="221"/>
      <c r="J165" s="221"/>
      <c r="K165" s="221"/>
      <c r="L165" s="221"/>
      <c r="M165" s="221"/>
      <c r="N165" s="221"/>
      <c r="O165" s="221"/>
      <c r="P165" s="2940" t="s">
        <v>485</v>
      </c>
    </row>
    <row r="166" spans="1:16" s="204" customFormat="1" ht="12" customHeight="1">
      <c r="B166" s="221"/>
      <c r="C166" s="221"/>
      <c r="D166" s="221"/>
      <c r="E166" s="221"/>
      <c r="F166" s="221"/>
      <c r="G166" s="221"/>
      <c r="H166" s="221"/>
      <c r="I166" s="221"/>
      <c r="J166" s="221"/>
      <c r="K166" s="221"/>
      <c r="L166" s="221"/>
      <c r="M166" s="221"/>
      <c r="N166" s="221"/>
      <c r="O166" s="221"/>
      <c r="P166" s="2940" t="s">
        <v>486</v>
      </c>
    </row>
    <row r="167" spans="1:16" ht="12" customHeight="1">
      <c r="P167" s="2940" t="s">
        <v>487</v>
      </c>
    </row>
    <row r="168" spans="1:16" ht="12" customHeight="1">
      <c r="A168" s="227"/>
      <c r="P168" s="2940" t="s">
        <v>488</v>
      </c>
    </row>
    <row r="169" spans="1:16" ht="12" customHeight="1">
      <c r="P169" s="2940" t="s">
        <v>45</v>
      </c>
    </row>
    <row r="170" spans="1:16" ht="12" customHeight="1">
      <c r="P170" s="2940" t="s">
        <v>489</v>
      </c>
    </row>
    <row r="171" spans="1:16" ht="12" customHeight="1">
      <c r="P171" s="2940" t="s">
        <v>490</v>
      </c>
    </row>
    <row r="172" spans="1:16" ht="12" customHeight="1">
      <c r="P172" s="2940" t="s">
        <v>491</v>
      </c>
    </row>
    <row r="173" spans="1:16" ht="12" customHeight="1">
      <c r="P173" s="2940" t="s">
        <v>492</v>
      </c>
    </row>
    <row r="174" spans="1:16" ht="12" customHeight="1">
      <c r="P174" s="2940" t="s">
        <v>493</v>
      </c>
    </row>
    <row r="175" spans="1:16" ht="12" customHeight="1">
      <c r="P175" s="2940" t="s">
        <v>494</v>
      </c>
    </row>
    <row r="176" spans="1:16" ht="12" customHeight="1">
      <c r="P176" s="2940" t="s">
        <v>495</v>
      </c>
    </row>
    <row r="177" spans="16:16" ht="12" customHeight="1">
      <c r="P177" s="2940" t="s">
        <v>496</v>
      </c>
    </row>
    <row r="178" spans="16:16" ht="12" customHeight="1">
      <c r="P178" s="2940" t="s">
        <v>497</v>
      </c>
    </row>
    <row r="179" spans="16:16" ht="12" customHeight="1">
      <c r="P179" s="2940" t="s">
        <v>498</v>
      </c>
    </row>
    <row r="180" spans="16:16" ht="12" customHeight="1">
      <c r="P180" s="2940" t="s">
        <v>499</v>
      </c>
    </row>
    <row r="181" spans="16:16" ht="12" customHeight="1">
      <c r="P181" s="2940" t="s">
        <v>500</v>
      </c>
    </row>
    <row r="182" spans="16:16" ht="12" customHeight="1">
      <c r="P182" s="2940" t="s">
        <v>501</v>
      </c>
    </row>
    <row r="183" spans="16:16" ht="12" customHeight="1">
      <c r="P183" s="2940" t="s">
        <v>502</v>
      </c>
    </row>
    <row r="184" spans="16:16" ht="12" customHeight="1">
      <c r="P184" s="2940" t="s">
        <v>503</v>
      </c>
    </row>
    <row r="185" spans="16:16" ht="12" customHeight="1">
      <c r="P185" s="2940" t="s">
        <v>504</v>
      </c>
    </row>
    <row r="186" spans="16:16" ht="12" customHeight="1">
      <c r="P186" s="2940" t="s">
        <v>505</v>
      </c>
    </row>
    <row r="187" spans="16:16" ht="12" customHeight="1">
      <c r="P187" s="2940" t="s">
        <v>506</v>
      </c>
    </row>
    <row r="188" spans="16:16" ht="12" customHeight="1">
      <c r="P188" s="2940" t="s">
        <v>507</v>
      </c>
    </row>
    <row r="189" spans="16:16" ht="13.5">
      <c r="P189" s="2940" t="s">
        <v>508</v>
      </c>
    </row>
    <row r="190" spans="16:16" ht="12" customHeight="1">
      <c r="P190" s="2940" t="s">
        <v>509</v>
      </c>
    </row>
    <row r="191" spans="16:16" ht="12" customHeight="1">
      <c r="P191" s="2940" t="s">
        <v>510</v>
      </c>
    </row>
    <row r="192" spans="16:16" ht="12" customHeight="1">
      <c r="P192" s="2940" t="s">
        <v>511</v>
      </c>
    </row>
    <row r="193" spans="16:16" ht="12" customHeight="1">
      <c r="P193" s="2940" t="s">
        <v>512</v>
      </c>
    </row>
    <row r="194" spans="16:16" ht="12" customHeight="1">
      <c r="P194" s="2940" t="s">
        <v>513</v>
      </c>
    </row>
    <row r="195" spans="16:16" ht="12" customHeight="1">
      <c r="P195" s="2940" t="s">
        <v>514</v>
      </c>
    </row>
    <row r="196" spans="16:16" ht="12" customHeight="1">
      <c r="P196" s="2940" t="s">
        <v>515</v>
      </c>
    </row>
    <row r="197" spans="16:16" ht="12" customHeight="1">
      <c r="P197" s="2940" t="s">
        <v>516</v>
      </c>
    </row>
    <row r="198" spans="16:16" ht="12" customHeight="1">
      <c r="P198" s="2940" t="s">
        <v>517</v>
      </c>
    </row>
    <row r="199" spans="16:16" ht="12" customHeight="1">
      <c r="P199" s="2940" t="s">
        <v>518</v>
      </c>
    </row>
    <row r="200" spans="16:16" ht="12" customHeight="1">
      <c r="P200" s="2940" t="s">
        <v>519</v>
      </c>
    </row>
    <row r="201" spans="16:16" ht="12" customHeight="1">
      <c r="P201" s="2940" t="s">
        <v>520</v>
      </c>
    </row>
    <row r="202" spans="16:16" ht="12" customHeight="1">
      <c r="P202" s="2940" t="s">
        <v>521</v>
      </c>
    </row>
    <row r="203" spans="16:16" ht="12" customHeight="1">
      <c r="P203" s="2940" t="s">
        <v>522</v>
      </c>
    </row>
    <row r="204" spans="16:16" ht="12" customHeight="1">
      <c r="P204" s="2940" t="s">
        <v>523</v>
      </c>
    </row>
    <row r="205" spans="16:16" ht="12" customHeight="1">
      <c r="P205" s="2940" t="s">
        <v>524</v>
      </c>
    </row>
    <row r="206" spans="16:16" ht="12" customHeight="1">
      <c r="P206" s="2940" t="s">
        <v>525</v>
      </c>
    </row>
    <row r="207" spans="16:16" ht="12" customHeight="1">
      <c r="P207" s="2940" t="s">
        <v>526</v>
      </c>
    </row>
    <row r="208" spans="16:16" ht="12" customHeight="1">
      <c r="P208" s="2940" t="s">
        <v>527</v>
      </c>
    </row>
    <row r="209" spans="16:16" ht="12" customHeight="1">
      <c r="P209" s="2940" t="s">
        <v>528</v>
      </c>
    </row>
  </sheetData>
  <sheetProtection algorithmName="SHA-512" hashValue="Celh8KYyUfthPQFHH7iXrr7besTKO16d3XNacADkvu9uz7Wm07dDbJ1YjlnZ8qYlV1af0Rku+uOn4gP00XH5cg==" saltValue="5NDq0hoKOnpU1cbDpMxBtA=="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43" zoomScaleNormal="100" workbookViewId="0">
      <selection activeCell="A4" sqref="A1:XFD1048576"/>
    </sheetView>
  </sheetViews>
  <sheetFormatPr defaultColWidth="9.140625" defaultRowHeight="13.5"/>
  <cols>
    <col min="1" max="1" width="4.28515625" style="245" customWidth="1"/>
    <col min="2" max="17" width="8.140625" style="245" customWidth="1"/>
    <col min="18" max="18" width="3.28515625" style="245" customWidth="1"/>
    <col min="19" max="19" width="13.5703125" style="245" customWidth="1"/>
    <col min="20" max="20" width="98.7109375" style="245" customWidth="1"/>
    <col min="21" max="16384" width="9.140625" style="245"/>
  </cols>
  <sheetData>
    <row r="1" spans="1:20" s="181" customFormat="1" ht="13.9" customHeight="1">
      <c r="A1" s="1635" t="str">
        <f>CONCATENATE("PART THREE - SOURCES OF FUNDS","  -  ",'Part I-Project Information'!$O$6," ",'Part I-Project Information'!$F$34,", ",'Part I-Project Information'!$F$38,", ",'Part I-Project Information'!$J$39," County")</f>
        <v>PART THREE - SOURCES OF FUNDS  -  2018-008 Mill at Stone Valley, Ball Ground, Cherokee County</v>
      </c>
      <c r="B1" s="1636"/>
      <c r="C1" s="1636"/>
      <c r="D1" s="1636"/>
      <c r="E1" s="1636"/>
      <c r="F1" s="1636"/>
      <c r="G1" s="1636"/>
      <c r="H1" s="1636"/>
      <c r="I1" s="1636"/>
      <c r="J1" s="1636"/>
      <c r="K1" s="1636"/>
      <c r="L1" s="1636"/>
      <c r="M1" s="1636"/>
      <c r="N1" s="1636"/>
      <c r="O1" s="1636"/>
      <c r="P1" s="1636"/>
      <c r="Q1" s="1637"/>
      <c r="S1" s="1676" t="str">
        <f>$A$1</f>
        <v>PART THREE - SOURCES OF FUNDS  -  2018-008 Mill at Stone Valley, Ball Ground, Cherokee County</v>
      </c>
      <c r="T1" s="1676"/>
    </row>
    <row r="2" spans="1:20" ht="17.45" customHeight="1">
      <c r="A2" s="221"/>
      <c r="B2" s="221"/>
      <c r="C2" s="221"/>
      <c r="D2" s="221"/>
      <c r="E2" s="221"/>
      <c r="F2" s="221"/>
      <c r="G2" s="1350"/>
      <c r="H2" s="1350"/>
      <c r="I2" s="1350"/>
      <c r="J2" s="1350"/>
      <c r="K2" s="1350"/>
      <c r="L2" s="1350"/>
      <c r="M2" s="221"/>
      <c r="N2" s="221"/>
      <c r="O2" s="221"/>
      <c r="P2" s="221"/>
      <c r="Q2" s="221"/>
    </row>
    <row r="3" spans="1:20" s="181" customFormat="1" ht="13.15" customHeight="1">
      <c r="A3" s="205" t="s">
        <v>9</v>
      </c>
      <c r="B3" s="223" t="s">
        <v>529</v>
      </c>
      <c r="C3" s="204"/>
      <c r="D3" s="1510"/>
      <c r="E3" s="1510"/>
      <c r="F3" s="1510"/>
      <c r="G3" s="1510"/>
      <c r="J3" s="1510"/>
      <c r="P3" s="1279" t="s">
        <v>6</v>
      </c>
      <c r="S3" s="246" t="str">
        <f>B3</f>
        <v>GOVERNMENT FUNDING SOURCES  (check all that apply)</v>
      </c>
    </row>
    <row r="4" spans="1:20" s="181" customFormat="1" ht="15.75" customHeight="1">
      <c r="A4" s="227"/>
      <c r="B4" s="379"/>
      <c r="C4" s="223"/>
      <c r="D4" s="1510"/>
      <c r="E4" s="1510"/>
      <c r="F4" s="1510"/>
      <c r="G4" s="1510"/>
      <c r="S4" s="1666" t="s">
        <v>530</v>
      </c>
      <c r="T4" s="1666"/>
    </row>
    <row r="5" spans="1:20" s="181" customFormat="1" ht="16.5" customHeight="1">
      <c r="A5" s="379"/>
      <c r="B5" s="2796" t="s">
        <v>22</v>
      </c>
      <c r="C5" s="1499" t="s">
        <v>531</v>
      </c>
      <c r="D5" s="204"/>
      <c r="H5" s="2796" t="s">
        <v>21</v>
      </c>
      <c r="I5" s="1499" t="s">
        <v>532</v>
      </c>
      <c r="L5" s="2796" t="s">
        <v>21</v>
      </c>
      <c r="M5" s="204" t="s">
        <v>533</v>
      </c>
      <c r="S5" s="2797"/>
      <c r="T5" s="2798"/>
    </row>
    <row r="6" spans="1:20" s="181" customFormat="1" ht="16.5" customHeight="1">
      <c r="A6" s="379"/>
      <c r="B6" s="2799" t="s">
        <v>21</v>
      </c>
      <c r="C6" s="1499" t="s">
        <v>534</v>
      </c>
      <c r="D6" s="204"/>
      <c r="H6" s="2799" t="s">
        <v>21</v>
      </c>
      <c r="I6" s="1499" t="s">
        <v>535</v>
      </c>
      <c r="L6" s="2799" t="s">
        <v>21</v>
      </c>
      <c r="M6" s="1499" t="s">
        <v>536</v>
      </c>
      <c r="S6" s="2800"/>
      <c r="T6" s="2801"/>
    </row>
    <row r="7" spans="1:20" s="181" customFormat="1" ht="16.5" customHeight="1">
      <c r="A7" s="204"/>
      <c r="B7" s="2799" t="s">
        <v>21</v>
      </c>
      <c r="C7" s="1499" t="s">
        <v>537</v>
      </c>
      <c r="F7" s="2802"/>
      <c r="G7" s="2803"/>
      <c r="H7" s="2799" t="s">
        <v>21</v>
      </c>
      <c r="I7" s="1499" t="s">
        <v>538</v>
      </c>
      <c r="L7" s="2799" t="s">
        <v>21</v>
      </c>
      <c r="M7" s="1499" t="s">
        <v>539</v>
      </c>
      <c r="S7" s="2800"/>
      <c r="T7" s="2801"/>
    </row>
    <row r="8" spans="1:20" s="181" customFormat="1" ht="16.5" customHeight="1">
      <c r="A8" s="379"/>
      <c r="B8" s="2799" t="s">
        <v>21</v>
      </c>
      <c r="C8" s="1499" t="s">
        <v>540</v>
      </c>
      <c r="D8" s="204"/>
      <c r="H8" s="2799" t="s">
        <v>21</v>
      </c>
      <c r="I8" s="204" t="s">
        <v>541</v>
      </c>
      <c r="L8" s="2799" t="s">
        <v>21</v>
      </c>
      <c r="M8" s="207" t="s">
        <v>542</v>
      </c>
      <c r="S8" s="2804"/>
      <c r="T8" s="2805"/>
    </row>
    <row r="9" spans="1:20" s="181" customFormat="1" ht="16.5" customHeight="1">
      <c r="A9" s="379"/>
      <c r="B9" s="2799" t="s">
        <v>21</v>
      </c>
      <c r="C9" s="1499" t="s">
        <v>543</v>
      </c>
      <c r="H9" s="2799" t="s">
        <v>21</v>
      </c>
      <c r="I9" s="204" t="s">
        <v>544</v>
      </c>
      <c r="L9" s="2799" t="s">
        <v>21</v>
      </c>
      <c r="M9" s="207" t="s">
        <v>545</v>
      </c>
      <c r="S9" s="2797"/>
      <c r="T9" s="2798"/>
    </row>
    <row r="10" spans="1:20" s="181" customFormat="1" ht="16.5" customHeight="1">
      <c r="A10" s="379"/>
      <c r="B10" s="2799" t="s">
        <v>21</v>
      </c>
      <c r="C10" s="207" t="s">
        <v>546</v>
      </c>
      <c r="G10" s="494"/>
      <c r="H10" s="2799" t="s">
        <v>21</v>
      </c>
      <c r="I10" s="204" t="s">
        <v>547</v>
      </c>
      <c r="J10" s="838"/>
      <c r="K10" s="838"/>
      <c r="L10" s="2799" t="s">
        <v>21</v>
      </c>
      <c r="M10" s="207" t="s">
        <v>548</v>
      </c>
      <c r="O10" s="2806" t="s">
        <v>549</v>
      </c>
      <c r="P10" s="2807"/>
      <c r="Q10" s="2808"/>
      <c r="S10" s="2800"/>
      <c r="T10" s="2801"/>
    </row>
    <row r="11" spans="1:20" s="181" customFormat="1" ht="16.5" customHeight="1">
      <c r="A11" s="379"/>
      <c r="B11" s="2799" t="s">
        <v>21</v>
      </c>
      <c r="C11" s="1499" t="s">
        <v>550</v>
      </c>
      <c r="D11" s="204"/>
      <c r="E11" s="2809"/>
      <c r="F11" s="2810"/>
      <c r="H11" s="2799" t="s">
        <v>21</v>
      </c>
      <c r="I11" s="204" t="s">
        <v>551</v>
      </c>
      <c r="L11" s="2811" t="s">
        <v>21</v>
      </c>
      <c r="M11" s="204" t="s">
        <v>552</v>
      </c>
      <c r="S11" s="2800"/>
      <c r="T11" s="2801"/>
    </row>
    <row r="12" spans="1:20" s="181" customFormat="1" ht="16.5" customHeight="1">
      <c r="A12" s="379"/>
      <c r="B12" s="2811" t="s">
        <v>21</v>
      </c>
      <c r="C12" s="1499" t="s">
        <v>553</v>
      </c>
      <c r="E12" s="2812"/>
      <c r="F12" s="2813"/>
      <c r="H12" s="2799" t="s">
        <v>21</v>
      </c>
      <c r="I12" s="398" t="s">
        <v>554</v>
      </c>
      <c r="J12" s="398"/>
      <c r="K12" s="398"/>
      <c r="L12" s="2814" t="s">
        <v>21</v>
      </c>
      <c r="M12" s="2815" t="s">
        <v>555</v>
      </c>
      <c r="N12" s="2816"/>
      <c r="O12" s="2816"/>
      <c r="P12" s="2816"/>
      <c r="Q12" s="2817"/>
      <c r="S12" s="2804"/>
      <c r="T12" s="2805"/>
    </row>
    <row r="13" spans="1:20" s="181" customFormat="1" ht="16.5" customHeight="1">
      <c r="A13" s="379"/>
      <c r="C13" s="181" t="s">
        <v>556</v>
      </c>
      <c r="E13" s="2806" t="s">
        <v>557</v>
      </c>
      <c r="F13" s="2807"/>
      <c r="G13" s="2808"/>
      <c r="H13" s="2811" t="s">
        <v>21</v>
      </c>
      <c r="I13" s="207" t="s">
        <v>558</v>
      </c>
      <c r="J13" s="398"/>
      <c r="K13" s="398"/>
      <c r="M13" s="2818" t="s">
        <v>559</v>
      </c>
      <c r="N13" s="2819"/>
      <c r="O13" s="2819"/>
      <c r="P13" s="2819"/>
      <c r="Q13" s="2820"/>
    </row>
    <row r="14" spans="1:20" s="181" customFormat="1" ht="16.899999999999999" customHeight="1">
      <c r="A14" s="379"/>
      <c r="B14" s="181" t="s">
        <v>560</v>
      </c>
      <c r="C14" s="204"/>
      <c r="D14" s="204"/>
      <c r="E14" s="204"/>
      <c r="F14" s="204"/>
      <c r="G14" s="204"/>
      <c r="H14" s="204"/>
      <c r="I14" s="204"/>
      <c r="J14" s="204"/>
      <c r="K14" s="204"/>
      <c r="L14" s="204"/>
      <c r="M14" s="224"/>
      <c r="N14" s="204"/>
      <c r="O14" s="204"/>
      <c r="P14" s="204"/>
      <c r="Q14" s="204"/>
    </row>
    <row r="15" spans="1:20" s="181" customFormat="1" ht="17.45" customHeight="1">
      <c r="A15" s="379"/>
      <c r="L15" s="204"/>
      <c r="M15" s="224"/>
      <c r="N15" s="204"/>
      <c r="O15" s="204"/>
      <c r="P15" s="204"/>
      <c r="Q15" s="204"/>
    </row>
    <row r="16" spans="1:20" s="246" customFormat="1" ht="15" customHeight="1">
      <c r="A16" s="205" t="s">
        <v>13</v>
      </c>
      <c r="B16" s="180" t="s">
        <v>561</v>
      </c>
      <c r="C16" s="204"/>
      <c r="D16" s="1510"/>
      <c r="E16" s="204"/>
      <c r="F16" s="204"/>
      <c r="G16" s="204"/>
      <c r="H16" s="181"/>
      <c r="L16" s="204"/>
      <c r="M16" s="1510"/>
      <c r="N16" s="1566"/>
      <c r="O16" s="1566"/>
      <c r="P16" s="204"/>
      <c r="Q16" s="204"/>
      <c r="S16" s="246" t="str">
        <f>B16</f>
        <v>CONSTRUCTION FINANCING</v>
      </c>
    </row>
    <row r="17" spans="1:20" s="246" customFormat="1" ht="13.9" customHeight="1">
      <c r="A17" s="205"/>
      <c r="B17" s="180"/>
      <c r="C17" s="204"/>
      <c r="K17" s="204"/>
      <c r="L17" s="204"/>
      <c r="M17" s="1510"/>
      <c r="N17" s="1501"/>
      <c r="O17" s="1501"/>
      <c r="P17" s="204"/>
      <c r="Q17" s="204"/>
    </row>
    <row r="18" spans="1:20" s="181" customFormat="1" ht="16.899999999999999" customHeight="1">
      <c r="A18" s="204"/>
      <c r="B18" s="1499" t="s">
        <v>562</v>
      </c>
      <c r="C18" s="204"/>
      <c r="D18" s="204"/>
      <c r="E18" s="204"/>
      <c r="F18" s="204"/>
      <c r="G18" s="204"/>
      <c r="H18" s="1675" t="s">
        <v>563</v>
      </c>
      <c r="I18" s="1675"/>
      <c r="J18" s="1675"/>
      <c r="K18" s="1675"/>
      <c r="L18" s="1579" t="s">
        <v>564</v>
      </c>
      <c r="M18" s="1579"/>
      <c r="N18" s="1579" t="s">
        <v>565</v>
      </c>
      <c r="O18" s="1579"/>
      <c r="P18" s="1579" t="s">
        <v>566</v>
      </c>
      <c r="Q18" s="1579"/>
      <c r="S18" s="1666" t="s">
        <v>530</v>
      </c>
      <c r="T18" s="1666"/>
    </row>
    <row r="19" spans="1:20" s="181" customFormat="1" ht="16.5" customHeight="1">
      <c r="A19" s="204"/>
      <c r="B19" s="1646" t="s">
        <v>567</v>
      </c>
      <c r="C19" s="1647"/>
      <c r="D19" s="1647"/>
      <c r="E19" s="1508"/>
      <c r="F19" s="1508"/>
      <c r="G19" s="1508"/>
      <c r="H19" s="2821" t="s">
        <v>4622</v>
      </c>
      <c r="I19" s="2822"/>
      <c r="J19" s="2822"/>
      <c r="K19" s="2823"/>
      <c r="L19" s="2725">
        <v>2267374</v>
      </c>
      <c r="M19" s="2726"/>
      <c r="N19" s="2824">
        <v>0.05</v>
      </c>
      <c r="O19" s="2825"/>
      <c r="P19" s="2826">
        <v>20</v>
      </c>
      <c r="Q19" s="2827"/>
      <c r="S19" s="2797"/>
      <c r="T19" s="2798"/>
    </row>
    <row r="20" spans="1:20" s="181" customFormat="1" ht="16.5" customHeight="1">
      <c r="A20" s="204"/>
      <c r="B20" s="1649" t="s">
        <v>568</v>
      </c>
      <c r="C20" s="1650"/>
      <c r="D20" s="1650"/>
      <c r="E20" s="1510"/>
      <c r="F20" s="1510"/>
      <c r="G20" s="1510"/>
      <c r="H20" s="2828"/>
      <c r="I20" s="2829"/>
      <c r="J20" s="2829"/>
      <c r="K20" s="2830"/>
      <c r="L20" s="2730"/>
      <c r="M20" s="2731"/>
      <c r="N20" s="2831"/>
      <c r="O20" s="2832"/>
      <c r="P20" s="2833"/>
      <c r="Q20" s="2834"/>
      <c r="S20" s="2800"/>
      <c r="T20" s="2801"/>
    </row>
    <row r="21" spans="1:20" s="181" customFormat="1" ht="16.5" customHeight="1">
      <c r="A21" s="204"/>
      <c r="B21" s="1673" t="s">
        <v>569</v>
      </c>
      <c r="C21" s="1674"/>
      <c r="D21" s="1674"/>
      <c r="E21" s="1507"/>
      <c r="F21" s="1507"/>
      <c r="G21" s="1507"/>
      <c r="H21" s="2835"/>
      <c r="I21" s="2836"/>
      <c r="J21" s="2836"/>
      <c r="K21" s="2837"/>
      <c r="L21" s="2759"/>
      <c r="M21" s="2760"/>
      <c r="N21" s="2838"/>
      <c r="O21" s="2839"/>
      <c r="P21" s="2840"/>
      <c r="Q21" s="2841"/>
      <c r="S21" s="2800"/>
      <c r="T21" s="2801"/>
    </row>
    <row r="22" spans="1:20" s="181" customFormat="1" ht="16.5" customHeight="1">
      <c r="A22" s="204"/>
      <c r="B22" s="1646" t="s">
        <v>570</v>
      </c>
      <c r="C22" s="1647"/>
      <c r="D22" s="1647"/>
      <c r="E22" s="1510"/>
      <c r="F22" s="1510"/>
      <c r="G22" s="1510"/>
      <c r="H22" s="2842"/>
      <c r="I22" s="2843"/>
      <c r="J22" s="2843"/>
      <c r="K22" s="2844"/>
      <c r="L22" s="2845"/>
      <c r="M22" s="2846"/>
      <c r="N22" s="1667"/>
      <c r="O22" s="1668"/>
      <c r="P22" s="1664"/>
      <c r="Q22" s="1664"/>
      <c r="S22" s="2800"/>
      <c r="T22" s="2801"/>
    </row>
    <row r="23" spans="1:20" s="181" customFormat="1" ht="16.5" customHeight="1">
      <c r="A23" s="204"/>
      <c r="B23" s="1649" t="s">
        <v>571</v>
      </c>
      <c r="C23" s="1650"/>
      <c r="D23" s="1650"/>
      <c r="E23" s="1510"/>
      <c r="H23" s="2828"/>
      <c r="I23" s="2829"/>
      <c r="J23" s="2829"/>
      <c r="K23" s="2830"/>
      <c r="L23" s="2730"/>
      <c r="M23" s="2731"/>
      <c r="N23" s="1667"/>
      <c r="O23" s="1668"/>
      <c r="P23" s="1664"/>
      <c r="Q23" s="1664"/>
      <c r="S23" s="2800"/>
      <c r="T23" s="2801"/>
    </row>
    <row r="24" spans="1:20" s="181" customFormat="1" ht="16.5" customHeight="1">
      <c r="A24" s="204"/>
      <c r="B24" s="1649" t="s">
        <v>572</v>
      </c>
      <c r="C24" s="1650"/>
      <c r="D24" s="1650"/>
      <c r="E24" s="1510"/>
      <c r="H24" s="2828"/>
      <c r="I24" s="2829"/>
      <c r="J24" s="2829"/>
      <c r="K24" s="2830"/>
      <c r="L24" s="2730"/>
      <c r="M24" s="2731"/>
      <c r="N24" s="1667"/>
      <c r="O24" s="1668"/>
      <c r="P24" s="1664"/>
      <c r="Q24" s="1664"/>
      <c r="S24" s="2800"/>
      <c r="T24" s="2801"/>
    </row>
    <row r="25" spans="1:20" s="181" customFormat="1" ht="16.5" customHeight="1">
      <c r="A25" s="204"/>
      <c r="B25" s="1649" t="s">
        <v>573</v>
      </c>
      <c r="C25" s="1650"/>
      <c r="D25" s="1650"/>
      <c r="E25" s="1510"/>
      <c r="H25" s="2828" t="s">
        <v>4662</v>
      </c>
      <c r="I25" s="2829"/>
      <c r="J25" s="2829"/>
      <c r="K25" s="2830"/>
      <c r="L25" s="2730">
        <v>5925000</v>
      </c>
      <c r="M25" s="2731"/>
      <c r="N25" s="204"/>
      <c r="O25" s="204"/>
      <c r="P25" s="204"/>
      <c r="Q25" s="204"/>
      <c r="S25" s="2804"/>
      <c r="T25" s="2805"/>
    </row>
    <row r="26" spans="1:20" s="181" customFormat="1" ht="16.5" customHeight="1">
      <c r="A26" s="204"/>
      <c r="B26" s="1649" t="s">
        <v>574</v>
      </c>
      <c r="C26" s="1650"/>
      <c r="D26" s="1650"/>
      <c r="E26" s="1510"/>
      <c r="H26" s="2828" t="s">
        <v>4618</v>
      </c>
      <c r="I26" s="2829"/>
      <c r="J26" s="2829"/>
      <c r="K26" s="2830"/>
      <c r="L26" s="2730">
        <v>3655000</v>
      </c>
      <c r="M26" s="2731"/>
      <c r="N26" s="204"/>
      <c r="Q26" s="204"/>
      <c r="S26" s="2797"/>
      <c r="T26" s="2798"/>
    </row>
    <row r="27" spans="1:20" s="181" customFormat="1" ht="16.5" customHeight="1">
      <c r="A27" s="204"/>
      <c r="B27" s="1509" t="s">
        <v>575</v>
      </c>
      <c r="C27" s="1510"/>
      <c r="D27" s="2847" t="s">
        <v>4663</v>
      </c>
      <c r="E27" s="2847"/>
      <c r="F27" s="2847"/>
      <c r="G27" s="2847"/>
      <c r="H27" s="2828" t="s">
        <v>4618</v>
      </c>
      <c r="I27" s="2829"/>
      <c r="J27" s="2829"/>
      <c r="K27" s="2830"/>
      <c r="L27" s="2730">
        <v>74800</v>
      </c>
      <c r="M27" s="2731"/>
      <c r="N27" s="204"/>
      <c r="Q27" s="204"/>
      <c r="S27" s="2800"/>
      <c r="T27" s="2801"/>
    </row>
    <row r="28" spans="1:20" s="181" customFormat="1" ht="16.5" customHeight="1">
      <c r="A28" s="204"/>
      <c r="B28" s="1509" t="s">
        <v>575</v>
      </c>
      <c r="C28" s="1510"/>
      <c r="D28" s="2848"/>
      <c r="E28" s="2848"/>
      <c r="F28" s="2848"/>
      <c r="G28" s="2848"/>
      <c r="H28" s="2828"/>
      <c r="I28" s="2829"/>
      <c r="J28" s="2829"/>
      <c r="K28" s="2830"/>
      <c r="L28" s="2730"/>
      <c r="M28" s="2731"/>
      <c r="N28" s="204"/>
      <c r="S28" s="2800"/>
      <c r="T28" s="2801"/>
    </row>
    <row r="29" spans="1:20" s="181" customFormat="1" ht="16.5" customHeight="1">
      <c r="A29" s="204"/>
      <c r="B29" s="1506" t="s">
        <v>575</v>
      </c>
      <c r="C29" s="1507"/>
      <c r="D29" s="2849"/>
      <c r="E29" s="2849"/>
      <c r="F29" s="2849"/>
      <c r="G29" s="2849"/>
      <c r="H29" s="2835"/>
      <c r="I29" s="2836"/>
      <c r="J29" s="2836"/>
      <c r="K29" s="2837"/>
      <c r="L29" s="2759"/>
      <c r="M29" s="2760"/>
      <c r="N29" s="204"/>
      <c r="S29" s="2800"/>
      <c r="T29" s="2801"/>
    </row>
    <row r="30" spans="1:20" s="181" customFormat="1" ht="16.5" customHeight="1">
      <c r="A30" s="204"/>
      <c r="B30" s="180" t="s">
        <v>576</v>
      </c>
      <c r="C30" s="204"/>
      <c r="D30" s="204"/>
      <c r="E30" s="204"/>
      <c r="F30" s="204"/>
      <c r="G30" s="204"/>
      <c r="H30" s="204"/>
      <c r="I30" s="204"/>
      <c r="L30" s="1669">
        <f>SUM(L19:L29)</f>
        <v>11922174</v>
      </c>
      <c r="M30" s="1670"/>
      <c r="N30" s="221"/>
      <c r="S30" s="2800"/>
      <c r="T30" s="2801"/>
    </row>
    <row r="31" spans="1:20" s="181" customFormat="1" ht="16.5" customHeight="1">
      <c r="A31" s="204"/>
      <c r="B31" s="1499" t="s">
        <v>577</v>
      </c>
      <c r="C31" s="204"/>
      <c r="D31" s="204"/>
      <c r="E31" s="204"/>
      <c r="F31" s="204"/>
      <c r="G31" s="204"/>
      <c r="H31" s="204"/>
      <c r="I31" s="204"/>
      <c r="L31" s="285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11922174</v>
      </c>
      <c r="M31" s="2851"/>
      <c r="N31" s="724"/>
      <c r="S31" s="2800"/>
      <c r="T31" s="2801"/>
    </row>
    <row r="32" spans="1:20" s="181" customFormat="1" ht="16.5" customHeight="1">
      <c r="A32" s="204"/>
      <c r="B32" s="207" t="s">
        <v>578</v>
      </c>
      <c r="C32" s="204"/>
      <c r="D32" s="204"/>
      <c r="E32" s="204"/>
      <c r="F32" s="204"/>
      <c r="G32" s="204"/>
      <c r="H32" s="204"/>
      <c r="I32" s="204"/>
      <c r="L32" s="1671">
        <f>L30-L31</f>
        <v>0</v>
      </c>
      <c r="M32" s="1672"/>
      <c r="N32" s="724"/>
      <c r="S32" s="2804"/>
      <c r="T32" s="2805"/>
    </row>
    <row r="33" spans="1:20" ht="9.6" customHeight="1">
      <c r="A33" s="227"/>
      <c r="B33" s="180"/>
      <c r="C33" s="221"/>
      <c r="D33" s="221"/>
      <c r="E33" s="221"/>
      <c r="F33" s="221"/>
      <c r="G33" s="221"/>
      <c r="H33" s="221"/>
      <c r="I33" s="221"/>
      <c r="J33" s="221"/>
      <c r="K33" s="221"/>
      <c r="L33" s="221"/>
      <c r="M33" s="1511"/>
      <c r="N33" s="1511"/>
    </row>
    <row r="34" spans="1:20" ht="9.6" customHeight="1">
      <c r="A34" s="205" t="s">
        <v>31</v>
      </c>
      <c r="B34" s="180" t="s">
        <v>579</v>
      </c>
      <c r="C34" s="221"/>
      <c r="D34" s="221"/>
      <c r="E34" s="221"/>
      <c r="F34" s="221"/>
      <c r="G34" s="221"/>
      <c r="H34" s="221"/>
      <c r="I34" s="221"/>
      <c r="J34" s="221"/>
      <c r="K34" s="221"/>
      <c r="L34" s="221"/>
      <c r="M34" s="1511"/>
      <c r="N34" s="1511"/>
      <c r="O34" s="221"/>
      <c r="S34" s="246" t="str">
        <f>B34</f>
        <v>PERMANENT FINANCING</v>
      </c>
    </row>
    <row r="35" spans="1:20" s="181" customFormat="1" ht="13.15" customHeight="1">
      <c r="A35" s="204"/>
      <c r="B35" s="204"/>
      <c r="C35" s="204"/>
      <c r="D35" s="204"/>
      <c r="E35" s="204"/>
      <c r="F35" s="1511"/>
      <c r="G35" s="1511"/>
      <c r="H35" s="1664"/>
      <c r="I35" s="1664"/>
      <c r="K35" s="272" t="s">
        <v>580</v>
      </c>
      <c r="L35" s="1511" t="s">
        <v>581</v>
      </c>
      <c r="M35" s="1511" t="s">
        <v>582</v>
      </c>
      <c r="N35" s="1665" t="s">
        <v>583</v>
      </c>
      <c r="O35" s="1665"/>
      <c r="P35" s="1511"/>
      <c r="Q35" s="205"/>
      <c r="S35" s="246"/>
    </row>
    <row r="36" spans="1:20" s="181" customFormat="1" ht="13.15" customHeight="1">
      <c r="A36" s="204"/>
      <c r="B36" s="1504" t="s">
        <v>562</v>
      </c>
      <c r="C36" s="1507"/>
      <c r="D36" s="1507"/>
      <c r="E36" s="1562" t="s">
        <v>563</v>
      </c>
      <c r="F36" s="1562"/>
      <c r="G36" s="1562"/>
      <c r="H36" s="1562"/>
      <c r="I36" s="1579" t="s">
        <v>584</v>
      </c>
      <c r="J36" s="1579"/>
      <c r="K36" s="1498" t="s">
        <v>585</v>
      </c>
      <c r="L36" s="1498" t="s">
        <v>586</v>
      </c>
      <c r="M36" s="1498" t="s">
        <v>586</v>
      </c>
      <c r="N36" s="2852"/>
      <c r="O36" s="2852"/>
      <c r="P36" s="1579" t="s">
        <v>587</v>
      </c>
      <c r="Q36" s="1579"/>
      <c r="S36" s="1666" t="s">
        <v>530</v>
      </c>
      <c r="T36" s="1666"/>
    </row>
    <row r="37" spans="1:20" s="181" customFormat="1" ht="14.25" customHeight="1">
      <c r="A37" s="204"/>
      <c r="B37" s="1646" t="s">
        <v>588</v>
      </c>
      <c r="C37" s="1647"/>
      <c r="D37" s="1647"/>
      <c r="E37" s="2821" t="s">
        <v>4622</v>
      </c>
      <c r="F37" s="2822"/>
      <c r="G37" s="2822"/>
      <c r="H37" s="2823"/>
      <c r="I37" s="2853">
        <v>2650000</v>
      </c>
      <c r="J37" s="2854"/>
      <c r="K37" s="2855">
        <v>5.2499999999999998E-2</v>
      </c>
      <c r="L37" s="2796">
        <v>20</v>
      </c>
      <c r="M37" s="2796">
        <v>40</v>
      </c>
      <c r="N37" s="2856">
        <f t="shared" ref="N37:N41" si="0">IF(OR(I37&lt;=0,I37=""),"",IF(P37="Amortizing",-PMT(K37/12,M37*12,I37,0,0)*12,""))</f>
        <v>158640.76725498866</v>
      </c>
      <c r="O37" s="2856"/>
      <c r="P37" s="2857" t="s">
        <v>589</v>
      </c>
      <c r="Q37" s="2857"/>
      <c r="S37" s="2797"/>
      <c r="T37" s="2798"/>
    </row>
    <row r="38" spans="1:20" s="181" customFormat="1" ht="14.25" customHeight="1">
      <c r="A38" s="204"/>
      <c r="B38" s="1649" t="s">
        <v>590</v>
      </c>
      <c r="C38" s="1650"/>
      <c r="D38" s="1650"/>
      <c r="E38" s="2828"/>
      <c r="F38" s="2829"/>
      <c r="G38" s="2829"/>
      <c r="H38" s="2830"/>
      <c r="I38" s="2858"/>
      <c r="J38" s="2859"/>
      <c r="K38" s="2860"/>
      <c r="L38" s="2799"/>
      <c r="M38" s="2799"/>
      <c r="N38" s="2861" t="str">
        <f t="shared" si="0"/>
        <v/>
      </c>
      <c r="O38" s="2861"/>
      <c r="P38" s="2862"/>
      <c r="Q38" s="2862"/>
      <c r="S38" s="2800"/>
      <c r="T38" s="2801"/>
    </row>
    <row r="39" spans="1:20" s="181" customFormat="1" ht="14.25" customHeight="1">
      <c r="A39" s="204"/>
      <c r="B39" s="1649" t="s">
        <v>591</v>
      </c>
      <c r="C39" s="1650"/>
      <c r="D39" s="1650"/>
      <c r="E39" s="2828"/>
      <c r="F39" s="2829"/>
      <c r="G39" s="2829"/>
      <c r="H39" s="2830"/>
      <c r="I39" s="2858"/>
      <c r="J39" s="2859"/>
      <c r="K39" s="2860"/>
      <c r="L39" s="2799"/>
      <c r="M39" s="2799"/>
      <c r="N39" s="2861" t="str">
        <f t="shared" si="0"/>
        <v/>
      </c>
      <c r="O39" s="2861"/>
      <c r="P39" s="2862"/>
      <c r="Q39" s="2862"/>
      <c r="S39" s="2800"/>
      <c r="T39" s="2801"/>
    </row>
    <row r="40" spans="1:20" s="181" customFormat="1" ht="14.25" customHeight="1">
      <c r="A40" s="204"/>
      <c r="B40" s="1509" t="s">
        <v>592</v>
      </c>
      <c r="C40" s="2863"/>
      <c r="D40" s="2864"/>
      <c r="E40" s="2828"/>
      <c r="F40" s="2829"/>
      <c r="G40" s="2829"/>
      <c r="H40" s="2830"/>
      <c r="I40" s="2858"/>
      <c r="J40" s="2859"/>
      <c r="K40" s="2865"/>
      <c r="L40" s="2811"/>
      <c r="M40" s="2811"/>
      <c r="N40" s="2866" t="str">
        <f t="shared" si="0"/>
        <v/>
      </c>
      <c r="O40" s="2866"/>
      <c r="P40" s="2867"/>
      <c r="Q40" s="2867"/>
      <c r="S40" s="2800"/>
      <c r="T40" s="2801"/>
    </row>
    <row r="41" spans="1:20" s="181" customFormat="1" ht="14.25" customHeight="1">
      <c r="A41" s="204"/>
      <c r="B41" s="1509" t="s">
        <v>593</v>
      </c>
      <c r="C41" s="1510"/>
      <c r="D41" s="1514"/>
      <c r="E41" s="2828"/>
      <c r="F41" s="2829"/>
      <c r="G41" s="2829"/>
      <c r="H41" s="2830"/>
      <c r="I41" s="2858"/>
      <c r="J41" s="2859"/>
      <c r="K41" s="1481"/>
      <c r="L41" s="1513"/>
      <c r="M41" s="1513"/>
      <c r="N41" s="1658" t="str">
        <f t="shared" si="0"/>
        <v/>
      </c>
      <c r="O41" s="1658"/>
      <c r="P41" s="1659"/>
      <c r="Q41" s="1659"/>
      <c r="S41" s="2800"/>
      <c r="T41" s="2801"/>
    </row>
    <row r="42" spans="1:20" s="181" customFormat="1" ht="14.25" customHeight="1">
      <c r="A42" s="204"/>
      <c r="B42" s="1506" t="s">
        <v>594</v>
      </c>
      <c r="C42" s="1507"/>
      <c r="D42" s="1380">
        <f>IF(OR(I42="",I42=0,'Part IV-A-Uses of Funds'!$G$118="",'Part IV-A-Uses of Funds'!$G$118=0),"",I42/'Part IV-A-Uses of Funds'!$G$118)</f>
        <v>6.3955910543130989E-2</v>
      </c>
      <c r="E42" s="2835"/>
      <c r="F42" s="2836"/>
      <c r="G42" s="2836"/>
      <c r="H42" s="2837"/>
      <c r="I42" s="2868">
        <v>100091</v>
      </c>
      <c r="J42" s="2869"/>
      <c r="K42" s="2870">
        <v>0</v>
      </c>
      <c r="L42" s="2814">
        <v>12</v>
      </c>
      <c r="M42" s="2814">
        <v>12</v>
      </c>
      <c r="N42" s="2871"/>
      <c r="O42" s="2872"/>
      <c r="P42" s="2781" t="s">
        <v>595</v>
      </c>
      <c r="Q42" s="2782"/>
      <c r="S42" s="2800"/>
      <c r="T42" s="2801"/>
    </row>
    <row r="43" spans="1:20" s="181" customFormat="1" ht="3" customHeight="1">
      <c r="A43" s="204"/>
      <c r="B43" s="204"/>
      <c r="C43" s="204"/>
      <c r="D43" s="204"/>
      <c r="E43" s="204"/>
      <c r="F43" s="204"/>
      <c r="G43" s="204"/>
      <c r="H43" s="204"/>
      <c r="I43" s="1557"/>
      <c r="J43" s="2873"/>
      <c r="K43" s="1556"/>
      <c r="L43" s="1511"/>
      <c r="M43" s="1511"/>
      <c r="N43" s="1558"/>
      <c r="O43" s="1558"/>
      <c r="P43" s="1511"/>
      <c r="Q43" s="1511"/>
      <c r="S43" s="2874"/>
      <c r="T43" s="2875"/>
    </row>
    <row r="44" spans="1:20" s="181" customFormat="1" ht="14.25" customHeight="1">
      <c r="A44" s="204"/>
      <c r="B44" s="952" t="s">
        <v>596</v>
      </c>
      <c r="C44" s="1510"/>
      <c r="E44" s="181" t="s">
        <v>597</v>
      </c>
      <c r="F44" s="1656">
        <f>IF(OR($I$42="",$I$42=0,'Part VII-Pro Forma'!$S$33=0,'Part VII-Pro Forma'!$S$33=""),"",VLOOKUP($L$42,'Part VII-Pro Forma'!$Q$19:$S$38,3))</f>
        <v>371390.19736789865</v>
      </c>
      <c r="G44" s="1657"/>
      <c r="H44" s="494" t="s">
        <v>598</v>
      </c>
      <c r="I44" s="1662">
        <f>IF(OR($I$42="",$I$42=0,'Part VII-Pro Forma'!$R$33=0,'Part VII-Pro Forma'!$R$33=""),"",VLOOKUP($L$42,'Part VII-Pro Forma'!$Q$19:$S$33,2))</f>
        <v>100091</v>
      </c>
      <c r="J44" s="1663"/>
      <c r="K44" s="2876"/>
      <c r="L44" s="1511"/>
      <c r="M44" s="1511"/>
      <c r="N44" s="1558"/>
      <c r="O44" s="1558"/>
      <c r="P44" s="1511"/>
      <c r="Q44" s="1511"/>
      <c r="S44" s="2874"/>
      <c r="T44" s="2875"/>
    </row>
    <row r="45" spans="1:20" s="181" customFormat="1" ht="14.25" customHeight="1">
      <c r="A45" s="204"/>
      <c r="B45" s="952" t="s">
        <v>599</v>
      </c>
      <c r="C45" s="1510"/>
      <c r="D45" s="953"/>
      <c r="F45" s="2877">
        <f>I45</f>
        <v>0.26950361293690794</v>
      </c>
      <c r="G45" s="2878"/>
      <c r="H45" s="494" t="s">
        <v>600</v>
      </c>
      <c r="I45" s="1660">
        <f>IF(OR($F$44 = 0,$F$44 =""),"",$I$44/$F$44)</f>
        <v>0.26950361293690794</v>
      </c>
      <c r="J45" s="1661"/>
      <c r="K45" s="1556"/>
      <c r="L45" s="1511"/>
      <c r="M45" s="1511"/>
      <c r="N45" s="1558"/>
      <c r="O45" s="1558"/>
      <c r="P45" s="1511"/>
      <c r="Q45" s="1511"/>
      <c r="S45" s="2874"/>
      <c r="T45" s="2875"/>
    </row>
    <row r="46" spans="1:20" s="181" customFormat="1" ht="3" customHeight="1">
      <c r="A46" s="204"/>
      <c r="B46" s="204"/>
      <c r="C46" s="204"/>
      <c r="D46" s="204"/>
      <c r="E46" s="204"/>
      <c r="F46" s="204"/>
      <c r="G46" s="204"/>
      <c r="H46" s="204"/>
      <c r="I46" s="2879"/>
      <c r="J46" s="2880"/>
      <c r="K46" s="1556"/>
      <c r="L46" s="1511"/>
      <c r="M46" s="1511"/>
      <c r="N46" s="1558"/>
      <c r="O46" s="1558"/>
      <c r="P46" s="1511"/>
      <c r="Q46" s="1511"/>
      <c r="S46" s="2874"/>
      <c r="T46" s="2875"/>
    </row>
    <row r="47" spans="1:20" s="181" customFormat="1" ht="14.25" customHeight="1">
      <c r="A47" s="204"/>
      <c r="B47" s="1646" t="s">
        <v>570</v>
      </c>
      <c r="C47" s="1647"/>
      <c r="D47" s="1648"/>
      <c r="E47" s="2821"/>
      <c r="F47" s="2822"/>
      <c r="G47" s="2822"/>
      <c r="H47" s="2823"/>
      <c r="I47" s="2881"/>
      <c r="J47" s="2882"/>
      <c r="K47" s="273"/>
      <c r="L47" s="273"/>
      <c r="M47" s="273"/>
      <c r="N47" s="273"/>
      <c r="O47" s="273"/>
      <c r="P47" s="273"/>
      <c r="Q47" s="273"/>
      <c r="S47" s="2797"/>
      <c r="T47" s="2798"/>
    </row>
    <row r="48" spans="1:20" s="181" customFormat="1" ht="14.25" customHeight="1">
      <c r="A48" s="204"/>
      <c r="B48" s="1649" t="s">
        <v>571</v>
      </c>
      <c r="C48" s="1650"/>
      <c r="D48" s="1651"/>
      <c r="E48" s="2828"/>
      <c r="F48" s="2829"/>
      <c r="G48" s="2829"/>
      <c r="H48" s="2830"/>
      <c r="I48" s="2858"/>
      <c r="J48" s="2859"/>
      <c r="L48" s="1652" t="s">
        <v>601</v>
      </c>
      <c r="M48" s="1652"/>
      <c r="N48" s="1653" t="s">
        <v>602</v>
      </c>
      <c r="O48" s="1653"/>
      <c r="P48" s="300" t="s">
        <v>603</v>
      </c>
      <c r="Q48" s="273"/>
      <c r="S48" s="2800"/>
      <c r="T48" s="2801"/>
    </row>
    <row r="49" spans="1:23" s="181" customFormat="1" ht="14.25" customHeight="1">
      <c r="A49" s="204"/>
      <c r="B49" s="1649" t="s">
        <v>573</v>
      </c>
      <c r="C49" s="1650"/>
      <c r="D49" s="1651"/>
      <c r="E49" s="2828" t="s">
        <v>4723</v>
      </c>
      <c r="F49" s="2829"/>
      <c r="G49" s="2829"/>
      <c r="H49" s="2830"/>
      <c r="I49" s="2858">
        <v>7480000</v>
      </c>
      <c r="J49" s="2858"/>
      <c r="L49" s="1654">
        <f>'Part IV-A-Uses of Funds'!$J$175*10*'Part IV-A-Uses of Funds'!$N$168</f>
        <v>7480000</v>
      </c>
      <c r="M49" s="1654"/>
      <c r="N49" s="1655">
        <f>I49-L49</f>
        <v>0</v>
      </c>
      <c r="O49" s="1655"/>
      <c r="P49" s="301" t="s">
        <v>604</v>
      </c>
      <c r="Q49" s="273"/>
      <c r="S49" s="2800"/>
      <c r="T49" s="2801"/>
    </row>
    <row r="50" spans="1:23" s="181" customFormat="1" ht="14.25" customHeight="1">
      <c r="A50" s="204"/>
      <c r="B50" s="1649" t="s">
        <v>574</v>
      </c>
      <c r="C50" s="1650"/>
      <c r="D50" s="1651"/>
      <c r="E50" s="2828" t="s">
        <v>4618</v>
      </c>
      <c r="F50" s="2829"/>
      <c r="G50" s="2829"/>
      <c r="H50" s="2830"/>
      <c r="I50" s="2858">
        <v>3655000</v>
      </c>
      <c r="J50" s="2858"/>
      <c r="L50" s="1654">
        <f>'Part IV-A-Uses of Funds'!$J$175*10*'Part IV-A-Uses of Funds'!$Q$168</f>
        <v>3655000</v>
      </c>
      <c r="M50" s="1654"/>
      <c r="N50" s="1655">
        <f>I50-L50</f>
        <v>0</v>
      </c>
      <c r="O50" s="1655"/>
      <c r="P50" s="302">
        <f>I49/I59</f>
        <v>0.53870730843607728</v>
      </c>
      <c r="Q50" s="273"/>
      <c r="S50" s="2800"/>
      <c r="T50" s="2801"/>
    </row>
    <row r="51" spans="1:23" s="181" customFormat="1" ht="14.25" customHeight="1">
      <c r="A51" s="204"/>
      <c r="B51" s="1649" t="s">
        <v>605</v>
      </c>
      <c r="C51" s="1650"/>
      <c r="D51" s="1651"/>
      <c r="E51" s="2828"/>
      <c r="F51" s="2829"/>
      <c r="G51" s="2829"/>
      <c r="H51" s="2830"/>
      <c r="I51" s="2858"/>
      <c r="J51" s="2858"/>
      <c r="P51" s="302">
        <f>I50/I59</f>
        <v>0.26323198025853772</v>
      </c>
      <c r="Q51" s="273"/>
      <c r="S51" s="2804"/>
      <c r="T51" s="2805"/>
    </row>
    <row r="52" spans="1:23" s="181" customFormat="1" ht="14.25" customHeight="1">
      <c r="A52" s="204"/>
      <c r="B52" s="1509" t="s">
        <v>606</v>
      </c>
      <c r="C52" s="1510"/>
      <c r="D52" s="1514"/>
      <c r="E52" s="2828"/>
      <c r="F52" s="2829"/>
      <c r="G52" s="2829"/>
      <c r="H52" s="2830"/>
      <c r="I52" s="2858"/>
      <c r="J52" s="2858"/>
      <c r="K52" s="204"/>
      <c r="P52" s="1381">
        <f>SUM(P50:P51)</f>
        <v>0.80193928869461506</v>
      </c>
      <c r="Q52" s="273"/>
      <c r="S52" s="2800"/>
      <c r="T52" s="2801"/>
    </row>
    <row r="53" spans="1:23" s="181" customFormat="1" ht="14.25" customHeight="1">
      <c r="A53" s="204"/>
      <c r="B53" s="1509" t="s">
        <v>607</v>
      </c>
      <c r="C53" s="1510"/>
      <c r="D53" s="1514"/>
      <c r="E53" s="2828"/>
      <c r="F53" s="2829"/>
      <c r="G53" s="2829"/>
      <c r="H53" s="2830"/>
      <c r="I53" s="2858"/>
      <c r="J53" s="2858"/>
      <c r="N53" s="274"/>
      <c r="O53" s="274"/>
      <c r="P53" s="274"/>
      <c r="Q53" s="273"/>
      <c r="S53" s="2800"/>
      <c r="T53" s="2801"/>
    </row>
    <row r="54" spans="1:23" s="181" customFormat="1" ht="14.25" customHeight="1">
      <c r="A54" s="204"/>
      <c r="B54" s="1509" t="s">
        <v>608</v>
      </c>
      <c r="C54" s="1510"/>
      <c r="D54" s="1514"/>
      <c r="E54" s="2828"/>
      <c r="F54" s="2829"/>
      <c r="G54" s="2829"/>
      <c r="H54" s="2830"/>
      <c r="I54" s="2858"/>
      <c r="J54" s="2858"/>
      <c r="M54" s="274"/>
      <c r="N54" s="274"/>
      <c r="O54" s="274"/>
      <c r="P54" s="274"/>
      <c r="Q54" s="273"/>
      <c r="S54" s="2800"/>
      <c r="T54" s="2801"/>
    </row>
    <row r="55" spans="1:23" s="181" customFormat="1" ht="14.25" customHeight="1">
      <c r="A55" s="204"/>
      <c r="B55" s="1509" t="s">
        <v>592</v>
      </c>
      <c r="C55" s="2847"/>
      <c r="D55" s="2847"/>
      <c r="E55" s="2828"/>
      <c r="F55" s="2829"/>
      <c r="G55" s="2829"/>
      <c r="H55" s="2830"/>
      <c r="I55" s="2858"/>
      <c r="J55" s="2858"/>
      <c r="M55" s="274"/>
      <c r="N55" s="274"/>
      <c r="O55" s="274"/>
      <c r="P55" s="274"/>
      <c r="Q55" s="273"/>
      <c r="S55" s="2800"/>
      <c r="T55" s="2801"/>
    </row>
    <row r="56" spans="1:23" s="181" customFormat="1" ht="14.25" customHeight="1">
      <c r="A56" s="204"/>
      <c r="B56" s="1509" t="s">
        <v>592</v>
      </c>
      <c r="C56" s="2848"/>
      <c r="D56" s="2848"/>
      <c r="E56" s="2828"/>
      <c r="F56" s="2829"/>
      <c r="G56" s="2829"/>
      <c r="H56" s="2830"/>
      <c r="I56" s="2858"/>
      <c r="J56" s="2858"/>
      <c r="K56" s="204"/>
      <c r="L56" s="275"/>
      <c r="M56" s="274"/>
      <c r="N56" s="274"/>
      <c r="O56" s="274"/>
      <c r="P56" s="274"/>
      <c r="Q56" s="273"/>
      <c r="S56" s="2800"/>
      <c r="T56" s="2801"/>
    </row>
    <row r="57" spans="1:23" s="181" customFormat="1" ht="14.25" customHeight="1">
      <c r="A57" s="204"/>
      <c r="B57" s="1506" t="s">
        <v>592</v>
      </c>
      <c r="C57" s="2849"/>
      <c r="D57" s="2849"/>
      <c r="E57" s="2835"/>
      <c r="F57" s="2836"/>
      <c r="G57" s="2836"/>
      <c r="H57" s="2837"/>
      <c r="I57" s="2883"/>
      <c r="J57" s="2883"/>
      <c r="K57" s="204"/>
      <c r="L57" s="275"/>
      <c r="M57" s="274"/>
      <c r="N57" s="274"/>
      <c r="O57" s="274"/>
      <c r="P57" s="274"/>
      <c r="Q57" s="273"/>
      <c r="S57" s="2800"/>
      <c r="T57" s="2801"/>
    </row>
    <row r="58" spans="1:23" s="181" customFormat="1" ht="14.25" customHeight="1">
      <c r="A58" s="204"/>
      <c r="B58" s="1499" t="s">
        <v>609</v>
      </c>
      <c r="C58" s="204"/>
      <c r="D58" s="204"/>
      <c r="E58" s="204"/>
      <c r="F58" s="204"/>
      <c r="G58" s="204"/>
      <c r="I58" s="1640">
        <f>SUM(I37:J42)+SUM(I47:J57)</f>
        <v>13885091</v>
      </c>
      <c r="J58" s="1641"/>
      <c r="K58" s="204"/>
      <c r="L58" s="275"/>
      <c r="M58" s="274"/>
      <c r="N58" s="274"/>
      <c r="O58" s="274"/>
      <c r="P58" s="274"/>
      <c r="Q58" s="273"/>
      <c r="S58" s="2800"/>
      <c r="T58" s="2801"/>
    </row>
    <row r="59" spans="1:23" s="181" customFormat="1" ht="14.25" customHeight="1" thickBot="1">
      <c r="A59" s="204"/>
      <c r="B59" s="1499" t="s">
        <v>610</v>
      </c>
      <c r="C59" s="204"/>
      <c r="D59" s="204"/>
      <c r="E59" s="204"/>
      <c r="F59" s="204"/>
      <c r="G59" s="204"/>
      <c r="I59" s="1642">
        <f>'Part IV-A-Uses of Funds'!$G$132</f>
        <v>13885091</v>
      </c>
      <c r="J59" s="1643"/>
      <c r="K59" s="204"/>
      <c r="L59" s="275"/>
      <c r="M59" s="274"/>
      <c r="N59" s="274"/>
      <c r="O59" s="274"/>
      <c r="P59" s="274"/>
      <c r="Q59" s="273"/>
      <c r="S59" s="2800"/>
      <c r="T59" s="2801"/>
    </row>
    <row r="60" spans="1:23" s="181" customFormat="1" ht="14.25" customHeight="1" thickBot="1">
      <c r="A60" s="204"/>
      <c r="B60" s="207" t="s">
        <v>611</v>
      </c>
      <c r="C60" s="204"/>
      <c r="D60" s="204"/>
      <c r="E60" s="204"/>
      <c r="F60" s="204"/>
      <c r="G60" s="204"/>
      <c r="I60" s="1644">
        <f>I58-I59</f>
        <v>0</v>
      </c>
      <c r="J60" s="1645"/>
      <c r="K60" s="204"/>
      <c r="L60" s="275"/>
      <c r="M60" s="274"/>
      <c r="N60" s="274"/>
      <c r="O60" s="274"/>
      <c r="P60" s="274"/>
      <c r="Q60" s="273"/>
      <c r="S60" s="2804"/>
      <c r="T60" s="2805"/>
    </row>
    <row r="61" spans="1:23" s="181" customFormat="1" ht="13.15" customHeight="1">
      <c r="A61" s="204" t="s">
        <v>612</v>
      </c>
      <c r="B61" s="207"/>
      <c r="C61" s="204"/>
      <c r="D61" s="204"/>
      <c r="E61" s="204"/>
      <c r="F61" s="204"/>
      <c r="G61" s="204"/>
      <c r="H61" s="268"/>
      <c r="I61" s="268"/>
      <c r="J61" s="221"/>
      <c r="K61" s="204"/>
      <c r="L61" s="275"/>
      <c r="M61" s="274"/>
      <c r="N61" s="274"/>
      <c r="O61" s="274"/>
      <c r="P61" s="274"/>
      <c r="Q61" s="273"/>
      <c r="R61" s="273"/>
      <c r="S61" s="273"/>
      <c r="T61" s="273"/>
    </row>
    <row r="62" spans="1:23" ht="6" customHeight="1">
      <c r="A62" s="221"/>
      <c r="B62" s="221"/>
      <c r="C62" s="221"/>
      <c r="D62" s="221"/>
      <c r="E62" s="221"/>
      <c r="F62" s="221"/>
      <c r="G62" s="221"/>
      <c r="H62" s="221"/>
      <c r="I62" s="221"/>
      <c r="J62" s="221"/>
      <c r="K62" s="221"/>
      <c r="L62" s="221"/>
      <c r="M62" s="221"/>
      <c r="N62" s="221"/>
      <c r="O62" s="221"/>
      <c r="P62" s="221"/>
      <c r="Q62" s="221"/>
    </row>
    <row r="63" spans="1:23" ht="12" customHeight="1">
      <c r="A63" s="205" t="s">
        <v>57</v>
      </c>
      <c r="B63" s="205" t="s">
        <v>259</v>
      </c>
      <c r="C63" s="221"/>
      <c r="D63" s="221"/>
      <c r="E63" s="221"/>
      <c r="F63" s="221"/>
      <c r="G63" s="221"/>
      <c r="H63" s="221"/>
      <c r="I63" s="221"/>
      <c r="J63" s="221"/>
      <c r="M63" s="205" t="s">
        <v>57</v>
      </c>
      <c r="N63" s="205" t="s">
        <v>261</v>
      </c>
      <c r="O63" s="221"/>
      <c r="P63" s="221"/>
      <c r="Q63" s="221"/>
    </row>
    <row r="64" spans="1:23" ht="111.75" customHeight="1">
      <c r="A64" s="2884" t="s">
        <v>4724</v>
      </c>
      <c r="B64" s="2884"/>
      <c r="C64" s="2884"/>
      <c r="D64" s="2884"/>
      <c r="E64" s="2884"/>
      <c r="F64" s="2884"/>
      <c r="G64" s="2884"/>
      <c r="H64" s="2884"/>
      <c r="I64" s="2884"/>
      <c r="J64" s="2884"/>
      <c r="K64" s="2884"/>
      <c r="L64" s="2884"/>
      <c r="M64" s="2885"/>
      <c r="N64" s="2885"/>
      <c r="O64" s="2885"/>
      <c r="P64" s="2885"/>
      <c r="Q64" s="2885"/>
      <c r="S64" s="1639" t="s">
        <v>262</v>
      </c>
      <c r="T64" s="1639"/>
      <c r="U64" s="370"/>
      <c r="V64" s="370"/>
      <c r="W64" s="370"/>
    </row>
    <row r="65" spans="1:23" ht="11.25" customHeight="1">
      <c r="S65" s="370"/>
      <c r="T65" s="370"/>
      <c r="U65" s="370"/>
      <c r="V65" s="370"/>
      <c r="W65" s="370"/>
    </row>
    <row r="66" spans="1:23" ht="12" customHeight="1"/>
    <row r="67" spans="1:23" ht="12" customHeight="1">
      <c r="B67" s="248"/>
    </row>
    <row r="68" spans="1:23" ht="14.45" customHeight="1"/>
    <row r="69" spans="1:23" s="181" customFormat="1" ht="14.45" customHeight="1"/>
    <row r="70" spans="1:23" s="181" customFormat="1" ht="14.45" customHeight="1"/>
    <row r="71" spans="1:23" s="181" customFormat="1" ht="14.45" customHeight="1"/>
    <row r="72" spans="1:23" ht="14.45" customHeight="1"/>
    <row r="73" spans="1:23" s="181" customFormat="1" ht="14.45" customHeight="1">
      <c r="A73" s="249"/>
    </row>
    <row r="74" spans="1:23" s="181" customFormat="1" ht="14.45" customHeight="1">
      <c r="A74" s="249"/>
    </row>
    <row r="75" spans="1:23" s="181" customFormat="1" ht="14.45" customHeight="1"/>
    <row r="76" spans="1:23" s="181" customFormat="1" ht="14.45" customHeight="1">
      <c r="A76" s="249"/>
    </row>
    <row r="77" spans="1:23" s="181" customFormat="1" ht="14.45" customHeight="1">
      <c r="A77" s="247"/>
    </row>
    <row r="78" spans="1:23" s="181" customFormat="1" ht="14.45" customHeight="1">
      <c r="A78" s="247"/>
    </row>
    <row r="79" spans="1:23" s="181" customFormat="1" ht="14.45" customHeight="1">
      <c r="A79" s="250"/>
    </row>
    <row r="80" spans="1:23" s="181" customFormat="1" ht="14.45" customHeight="1">
      <c r="A80" s="249"/>
    </row>
    <row r="81" spans="1:1" s="181" customFormat="1" ht="14.45" customHeight="1">
      <c r="A81" s="247"/>
    </row>
    <row r="82" spans="1:1" s="181" customFormat="1" ht="14.45" customHeight="1">
      <c r="A82" s="247"/>
    </row>
    <row r="83" spans="1:1" s="181" customFormat="1" ht="14.45" customHeight="1">
      <c r="A83" s="250"/>
    </row>
    <row r="84" spans="1:1" s="181" customFormat="1" ht="14.45" customHeight="1">
      <c r="A84" s="249"/>
    </row>
    <row r="85" spans="1:1" s="181" customFormat="1" ht="14.45" customHeight="1">
      <c r="A85" s="247"/>
    </row>
    <row r="86" spans="1:1" s="181" customFormat="1" ht="14.45" customHeight="1">
      <c r="A86" s="247"/>
    </row>
    <row r="87" spans="1:1" s="181" customFormat="1" ht="14.45" customHeight="1">
      <c r="A87" s="250"/>
    </row>
    <row r="88" spans="1:1" s="181" customFormat="1" ht="14.45" customHeight="1">
      <c r="A88" s="250"/>
    </row>
    <row r="89" spans="1:1" s="181" customFormat="1" ht="14.45" customHeight="1">
      <c r="A89" s="250"/>
    </row>
    <row r="90" spans="1:1" s="181" customFormat="1" ht="14.45" customHeight="1">
      <c r="A90" s="250"/>
    </row>
    <row r="91" spans="1:1" s="181" customFormat="1" ht="14.45" customHeight="1"/>
    <row r="92" spans="1:1" s="181"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AXfhj/SPjXHGHxrXjLGIiSzYB9vIzpqVt/S8Bwt5BuvMG/L5ffWuxStlZtnUJaPHswTPW8thwWwbQoy6roX1ow==" saltValue="vUcQOChRDPn8fC/NCiKiKQ==" spinCount="100000" sheet="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4294967295" verticalDpi="4294967295"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12" customWidth="1"/>
    <col min="2" max="5" width="16.85546875" style="12" customWidth="1"/>
    <col min="6" max="6" width="4.85546875" style="12" bestFit="1" customWidth="1"/>
    <col min="7" max="7" width="11.28515625" style="12" customWidth="1"/>
    <col min="8" max="8" width="12.140625" style="12" bestFit="1" customWidth="1"/>
    <col min="9" max="9" width="12.42578125" style="12" bestFit="1" customWidth="1"/>
    <col min="10" max="10" width="11.7109375" style="12" bestFit="1" customWidth="1"/>
    <col min="11" max="11" width="15.140625" style="12" bestFit="1" customWidth="1"/>
    <col min="12" max="16384" width="8.85546875" style="12"/>
  </cols>
  <sheetData>
    <row r="1" spans="1:17" s="116" customFormat="1" ht="16.149999999999999" customHeight="1">
      <c r="A1" s="1677" t="e">
        <f>CONCATENATE("PART III B: USD 538 LOAN","  -  ",#REF!," ",#REF!,", ",#REF!,", ",#REF!," County")</f>
        <v>#REF!</v>
      </c>
      <c r="B1" s="1678"/>
      <c r="C1" s="1678"/>
      <c r="D1" s="1678"/>
      <c r="E1" s="1678"/>
      <c r="F1" s="1679"/>
      <c r="G1" s="115"/>
      <c r="H1" s="115"/>
      <c r="I1" s="115"/>
      <c r="J1" s="115"/>
      <c r="K1" s="115"/>
      <c r="L1" s="115"/>
      <c r="M1" s="115"/>
      <c r="N1" s="115"/>
      <c r="O1" s="115"/>
      <c r="P1" s="115"/>
      <c r="Q1" s="115"/>
    </row>
    <row r="2" spans="1:17" ht="10.9" customHeight="1">
      <c r="A2" s="140"/>
      <c r="B2" s="140"/>
      <c r="C2" s="140"/>
      <c r="D2" s="140"/>
      <c r="E2" s="140"/>
      <c r="F2" s="140"/>
      <c r="G2" s="140"/>
      <c r="H2" s="140"/>
    </row>
    <row r="3" spans="1:17" ht="14.45" customHeight="1">
      <c r="A3" s="1686" t="s">
        <v>613</v>
      </c>
      <c r="B3" s="1686"/>
      <c r="C3" s="1686"/>
      <c r="D3" s="1686"/>
      <c r="E3" s="1686"/>
      <c r="F3" s="1686"/>
      <c r="G3" s="140"/>
      <c r="H3" s="140"/>
    </row>
    <row r="4" spans="1:17" s="133" customFormat="1" ht="6" customHeight="1"/>
    <row r="5" spans="1:17">
      <c r="A5" s="18" t="s">
        <v>614</v>
      </c>
      <c r="B5" s="18"/>
      <c r="C5" s="1382"/>
      <c r="D5" s="1280">
        <f>IF(C5&gt;1500000,1500000,0)</f>
        <v>0</v>
      </c>
      <c r="E5" s="1281">
        <f>IF(C5&gt;1500000,C5-1500000,0)</f>
        <v>0</v>
      </c>
    </row>
    <row r="6" spans="1:17">
      <c r="A6" s="18" t="s">
        <v>615</v>
      </c>
      <c r="B6" s="764" t="s">
        <v>616</v>
      </c>
      <c r="C6" s="176">
        <v>0</v>
      </c>
      <c r="D6" s="93" t="s">
        <v>617</v>
      </c>
      <c r="E6" s="18"/>
    </row>
    <row r="7" spans="1:17">
      <c r="A7" s="18"/>
      <c r="B7" s="764" t="s">
        <v>618</v>
      </c>
      <c r="C7" s="1383"/>
      <c r="D7" s="93" t="s">
        <v>619</v>
      </c>
      <c r="E7" s="18"/>
    </row>
    <row r="8" spans="1:17" ht="13.15" customHeight="1">
      <c r="A8" s="18" t="s">
        <v>620</v>
      </c>
      <c r="B8" s="18"/>
      <c r="C8" s="176">
        <v>0</v>
      </c>
      <c r="D8" s="93" t="s">
        <v>621</v>
      </c>
      <c r="E8" s="18"/>
    </row>
    <row r="9" spans="1:17">
      <c r="A9" s="18" t="s">
        <v>622</v>
      </c>
      <c r="B9" s="18"/>
      <c r="C9" s="1384"/>
      <c r="D9" s="18"/>
      <c r="E9" s="18"/>
    </row>
    <row r="10" spans="1:17">
      <c r="A10" s="18" t="s">
        <v>623</v>
      </c>
      <c r="B10" s="18"/>
      <c r="C10" s="1384"/>
      <c r="D10" s="18"/>
      <c r="E10" s="18"/>
    </row>
    <row r="11" spans="1:17">
      <c r="A11" s="18" t="s">
        <v>624</v>
      </c>
      <c r="B11" s="18"/>
      <c r="C11" s="177" t="e">
        <f>PMT(C7/12,C10*12,-C5,0,0)*12</f>
        <v>#NUM!</v>
      </c>
      <c r="D11" s="1280" t="e">
        <f>PMT($C$7/12,$C$10*12,-D5,0,0)*12</f>
        <v>#NUM!</v>
      </c>
      <c r="E11" s="1280" t="e">
        <f>PMT($C$7/12,$C$10*12,-E5,0,0)*12</f>
        <v>#NUM!</v>
      </c>
    </row>
    <row r="12" spans="1:17">
      <c r="A12" s="18" t="s">
        <v>625</v>
      </c>
      <c r="B12" s="18"/>
      <c r="C12" s="178" t="e">
        <f>C11/12</f>
        <v>#NUM!</v>
      </c>
      <c r="D12" s="1280" t="e">
        <f>D11/12</f>
        <v>#NUM!</v>
      </c>
      <c r="E12" s="1280" t="e">
        <f>E11/12</f>
        <v>#NUM!</v>
      </c>
    </row>
    <row r="13" spans="1:17" ht="10.9" customHeight="1">
      <c r="A13" s="140"/>
      <c r="B13" s="140"/>
      <c r="C13" s="140"/>
      <c r="D13" s="140"/>
      <c r="E13" s="140"/>
      <c r="F13" s="140"/>
      <c r="G13" s="140"/>
      <c r="H13" s="140"/>
    </row>
    <row r="14" spans="1:17" ht="12.6" customHeight="1">
      <c r="A14" s="1687" t="s">
        <v>626</v>
      </c>
      <c r="B14" s="1687"/>
      <c r="C14" s="1687"/>
      <c r="D14" s="1687"/>
      <c r="E14" s="1687"/>
      <c r="F14" s="1687"/>
      <c r="G14" s="140"/>
      <c r="H14" s="140"/>
    </row>
    <row r="15" spans="1:17" ht="5.45" customHeight="1">
      <c r="A15" s="13"/>
      <c r="E15" s="151"/>
      <c r="F15" s="140"/>
      <c r="G15" s="140"/>
      <c r="H15" s="140"/>
    </row>
    <row r="16" spans="1:17" ht="13.15" customHeight="1">
      <c r="A16" s="152" t="s">
        <v>627</v>
      </c>
      <c r="B16" s="1445" t="s">
        <v>628</v>
      </c>
      <c r="C16" s="1445" t="s">
        <v>629</v>
      </c>
      <c r="D16" s="1683" t="s">
        <v>630</v>
      </c>
      <c r="E16" s="1683"/>
      <c r="F16" s="140"/>
      <c r="G16" s="140"/>
      <c r="H16" s="140"/>
    </row>
    <row r="17" spans="1:8" ht="12.6" customHeight="1">
      <c r="A17" s="47">
        <v>1</v>
      </c>
      <c r="B17" s="1282">
        <f>IF(A17&gt;$C$9,0,SUM(C64:C75)*($C$6/$C$7))</f>
        <v>0</v>
      </c>
      <c r="C17" s="1283">
        <f>IF(A17&gt;C9,0,(E63+K63)*$C$8)</f>
        <v>0</v>
      </c>
      <c r="D17" s="1688">
        <f t="shared" ref="D17:D56" si="0">IF(A17&gt;$C$9,0,$C$11+C17)</f>
        <v>0</v>
      </c>
      <c r="E17" s="1688"/>
      <c r="F17" s="140"/>
      <c r="G17" s="140"/>
      <c r="H17" s="140"/>
    </row>
    <row r="18" spans="1:8" ht="12.6" customHeight="1">
      <c r="A18" s="47">
        <v>2</v>
      </c>
      <c r="B18" s="1282">
        <f>IF(A18&gt;C9,0,SUM(C76:C87)*($C$6/$C$7))</f>
        <v>0</v>
      </c>
      <c r="C18" s="1284">
        <f>IF(A18&gt;C9,0,(E75+K75)*$C$8)</f>
        <v>0</v>
      </c>
      <c r="D18" s="1680">
        <f t="shared" si="0"/>
        <v>0</v>
      </c>
      <c r="E18" s="1680"/>
      <c r="F18" s="140"/>
      <c r="G18" s="140"/>
      <c r="H18" s="140"/>
    </row>
    <row r="19" spans="1:8" ht="12.6" customHeight="1">
      <c r="A19" s="47">
        <v>3</v>
      </c>
      <c r="B19" s="1282">
        <f>IF(A19&gt;C9,0,SUM(C88:C99)*($C$6/$C$7))</f>
        <v>0</v>
      </c>
      <c r="C19" s="1283">
        <f>IF(A19&gt;C9,0,(E87+K87)*$C$8)</f>
        <v>0</v>
      </c>
      <c r="D19" s="1680">
        <f t="shared" si="0"/>
        <v>0</v>
      </c>
      <c r="E19" s="1680"/>
      <c r="F19" s="140"/>
      <c r="G19" s="140"/>
      <c r="H19" s="140"/>
    </row>
    <row r="20" spans="1:8" ht="12.6" customHeight="1">
      <c r="A20" s="47">
        <v>4</v>
      </c>
      <c r="B20" s="1282">
        <f>IF(A20&gt;C9,0,SUM(C100:C111)*($C$6/$C$7))</f>
        <v>0</v>
      </c>
      <c r="C20" s="1283">
        <f>IF(A20&gt;C9,0,(E99+K99)*$C$8)</f>
        <v>0</v>
      </c>
      <c r="D20" s="1680">
        <f t="shared" si="0"/>
        <v>0</v>
      </c>
      <c r="E20" s="1680"/>
      <c r="F20" s="140"/>
      <c r="G20" s="140"/>
      <c r="H20" s="140"/>
    </row>
    <row r="21" spans="1:8" ht="12.6" customHeight="1">
      <c r="A21" s="47">
        <v>5</v>
      </c>
      <c r="B21" s="1282">
        <f>IF(A21&gt;C9,0,SUM(C112:C123)*($C$6/$C$7))</f>
        <v>0</v>
      </c>
      <c r="C21" s="1283">
        <f>IF(A21&gt;C9,0,(E111+K111)*$C$8)</f>
        <v>0</v>
      </c>
      <c r="D21" s="1681">
        <f t="shared" si="0"/>
        <v>0</v>
      </c>
      <c r="E21" s="1681"/>
      <c r="F21" s="140"/>
      <c r="G21" s="140"/>
      <c r="H21" s="140"/>
    </row>
    <row r="22" spans="1:8" ht="12.6" customHeight="1">
      <c r="A22" s="134">
        <v>6</v>
      </c>
      <c r="B22" s="1285">
        <f>IF(A22&gt;C9,0,SUM(C124:C135)*($C$6/$C$7))</f>
        <v>0</v>
      </c>
      <c r="C22" s="1444">
        <f>IF(A22&gt;C9,0,(E123+K123)*$C$8)</f>
        <v>0</v>
      </c>
      <c r="D22" s="1680">
        <f t="shared" si="0"/>
        <v>0</v>
      </c>
      <c r="E22" s="1680"/>
      <c r="F22" s="140"/>
      <c r="G22" s="140"/>
      <c r="H22" s="140"/>
    </row>
    <row r="23" spans="1:8" ht="12.6" customHeight="1">
      <c r="A23" s="135">
        <v>7</v>
      </c>
      <c r="B23" s="1286">
        <f>IF(A23&gt;C9,0,SUM(C136:C147)*($C$6/$C$7))</f>
        <v>0</v>
      </c>
      <c r="C23" s="1442">
        <f>IF(A23&gt;C9,0,(E135+K135)*$C$8)</f>
        <v>0</v>
      </c>
      <c r="D23" s="1680">
        <f t="shared" si="0"/>
        <v>0</v>
      </c>
      <c r="E23" s="1680"/>
      <c r="F23" s="140"/>
      <c r="G23" s="140"/>
      <c r="H23" s="140"/>
    </row>
    <row r="24" spans="1:8" ht="12.6" customHeight="1">
      <c r="A24" s="135">
        <v>8</v>
      </c>
      <c r="B24" s="1286">
        <f>IF(A24&gt;C9,0,SUM(C148:C159)*($C$6/$C$7))</f>
        <v>0</v>
      </c>
      <c r="C24" s="1442">
        <f>IF(A24&gt;C9,0,(E147+K147)*$C$8)</f>
        <v>0</v>
      </c>
      <c r="D24" s="1680">
        <f t="shared" si="0"/>
        <v>0</v>
      </c>
      <c r="E24" s="1680"/>
      <c r="F24" s="140"/>
      <c r="G24" s="140"/>
      <c r="H24" s="140"/>
    </row>
    <row r="25" spans="1:8" ht="12.6" customHeight="1">
      <c r="A25" s="135">
        <v>9</v>
      </c>
      <c r="B25" s="1286">
        <f>IF(A25&gt;C9,0,SUM(C160:C171)*($C$6/$C$7))</f>
        <v>0</v>
      </c>
      <c r="C25" s="1442">
        <f>IF(A25&gt;C9,0,(E159+K159)*$C$8)</f>
        <v>0</v>
      </c>
      <c r="D25" s="1680">
        <f t="shared" si="0"/>
        <v>0</v>
      </c>
      <c r="E25" s="1680"/>
      <c r="F25" s="140"/>
      <c r="G25" s="140"/>
      <c r="H25" s="140"/>
    </row>
    <row r="26" spans="1:8" ht="12.6" customHeight="1">
      <c r="A26" s="136">
        <v>10</v>
      </c>
      <c r="B26" s="1287">
        <f>IF(A26&gt;C9,0,SUM(C172:C183)*($C$6/$C$7))</f>
        <v>0</v>
      </c>
      <c r="C26" s="1443">
        <f>IF(A26&gt;C9,0,(E171+K171)*$C$8)</f>
        <v>0</v>
      </c>
      <c r="D26" s="1681">
        <f t="shared" si="0"/>
        <v>0</v>
      </c>
      <c r="E26" s="1681"/>
      <c r="F26" s="140"/>
      <c r="G26" s="140"/>
      <c r="H26" s="140"/>
    </row>
    <row r="27" spans="1:8" ht="12.6" customHeight="1">
      <c r="A27" s="137">
        <v>11</v>
      </c>
      <c r="B27" s="1282">
        <f>IF(A27&gt;C9,0,SUM(C184:C195)*($C$6/$C$7))</f>
        <v>0</v>
      </c>
      <c r="C27" s="1283">
        <f>IF(A27&gt;C9,0,(E183+K183)*$C$8)</f>
        <v>0</v>
      </c>
      <c r="D27" s="1680">
        <f t="shared" si="0"/>
        <v>0</v>
      </c>
      <c r="E27" s="1680"/>
      <c r="F27" s="140"/>
      <c r="G27" s="140"/>
      <c r="H27" s="140"/>
    </row>
    <row r="28" spans="1:8" ht="12.6" customHeight="1">
      <c r="A28" s="137">
        <v>12</v>
      </c>
      <c r="B28" s="1282">
        <f>IF(A28&gt;C9,0,SUM(C196:C207)*($C$6/$C$7))</f>
        <v>0</v>
      </c>
      <c r="C28" s="1283">
        <f>IF(A28&gt;C9,0,(E195+K195)*$C$8)</f>
        <v>0</v>
      </c>
      <c r="D28" s="1680">
        <f t="shared" si="0"/>
        <v>0</v>
      </c>
      <c r="E28" s="1680"/>
      <c r="F28" s="140"/>
      <c r="G28" s="140"/>
      <c r="H28" s="140"/>
    </row>
    <row r="29" spans="1:8" ht="12.6" customHeight="1">
      <c r="A29" s="137">
        <v>13</v>
      </c>
      <c r="B29" s="1282">
        <f>IF(A29&gt;C9,0,SUM(C208:C219)*($C$6/$C$7))</f>
        <v>0</v>
      </c>
      <c r="C29" s="1283">
        <f>IF(A29&gt;C9,0,(E207+K207)*$C$8)</f>
        <v>0</v>
      </c>
      <c r="D29" s="1680">
        <f t="shared" si="0"/>
        <v>0</v>
      </c>
      <c r="E29" s="1680"/>
      <c r="F29" s="140"/>
      <c r="G29" s="140"/>
      <c r="H29" s="140"/>
    </row>
    <row r="30" spans="1:8" ht="12.6" customHeight="1">
      <c r="A30" s="137">
        <v>14</v>
      </c>
      <c r="B30" s="1282">
        <f>IF(A30&gt;C9,0,SUM(C220:C231)*($C$6/$C$7))</f>
        <v>0</v>
      </c>
      <c r="C30" s="1283">
        <f>IF(A30&gt;C9,0,(E219+K219)*$C$8)</f>
        <v>0</v>
      </c>
      <c r="D30" s="1680">
        <f t="shared" si="0"/>
        <v>0</v>
      </c>
      <c r="E30" s="1680"/>
      <c r="F30" s="140"/>
      <c r="G30" s="140"/>
      <c r="H30" s="140"/>
    </row>
    <row r="31" spans="1:8" ht="12.6" customHeight="1">
      <c r="A31" s="137">
        <v>15</v>
      </c>
      <c r="B31" s="1282">
        <f>IF(A31&gt;C9,0,SUM(C232:C243)*($C$6/$C$7))</f>
        <v>0</v>
      </c>
      <c r="C31" s="1283">
        <f>IF(A31&gt;C9,0,(E231+K231)*$C$8)</f>
        <v>0</v>
      </c>
      <c r="D31" s="1681">
        <f t="shared" si="0"/>
        <v>0</v>
      </c>
      <c r="E31" s="1681"/>
      <c r="F31" s="140"/>
      <c r="G31" s="140"/>
      <c r="H31" s="140"/>
    </row>
    <row r="32" spans="1:8" ht="12.6" customHeight="1">
      <c r="A32" s="139">
        <v>16</v>
      </c>
      <c r="B32" s="1285">
        <f>IF(A32&gt;C9,0,SUM(C244:C255)*($C$6/$C$7))</f>
        <v>0</v>
      </c>
      <c r="C32" s="1444">
        <f>IF(A32&gt;C9,0,(E243+K243)*$C$8)</f>
        <v>0</v>
      </c>
      <c r="D32" s="1680">
        <f t="shared" si="0"/>
        <v>0</v>
      </c>
      <c r="E32" s="1680"/>
      <c r="F32" s="140"/>
      <c r="G32" s="140"/>
      <c r="H32" s="140"/>
    </row>
    <row r="33" spans="1:8" ht="12.6" customHeight="1">
      <c r="A33" s="135">
        <v>17</v>
      </c>
      <c r="B33" s="1286">
        <f>IF(A33&gt;C9,0,SUM(C256:C267)*($C$6/$C$7))</f>
        <v>0</v>
      </c>
      <c r="C33" s="1442">
        <f>IF(A33&gt;C9,0,(E255+K255)*$C$8)</f>
        <v>0</v>
      </c>
      <c r="D33" s="1680">
        <f t="shared" si="0"/>
        <v>0</v>
      </c>
      <c r="E33" s="1680"/>
      <c r="F33" s="140"/>
      <c r="G33" s="140"/>
      <c r="H33" s="140"/>
    </row>
    <row r="34" spans="1:8" ht="12.6" customHeight="1">
      <c r="A34" s="135">
        <v>18</v>
      </c>
      <c r="B34" s="1286">
        <f>IF(A34&gt;C9,0,SUM(C268:C279)*($C$6/$C$7))</f>
        <v>0</v>
      </c>
      <c r="C34" s="1442">
        <f>IF(A34&gt;C9,0,(E267+K267)*$C$8)</f>
        <v>0</v>
      </c>
      <c r="D34" s="1680">
        <f t="shared" si="0"/>
        <v>0</v>
      </c>
      <c r="E34" s="1680"/>
      <c r="F34" s="140"/>
      <c r="G34" s="140"/>
      <c r="H34" s="140"/>
    </row>
    <row r="35" spans="1:8" ht="12.6" customHeight="1">
      <c r="A35" s="135">
        <v>19</v>
      </c>
      <c r="B35" s="1286">
        <f>IF(A35&gt;C9,0,SUM(C280:C291)*($C$6/$C$7))</f>
        <v>0</v>
      </c>
      <c r="C35" s="1442">
        <f>IF(A35&gt;C9,0,(E279+K279)*$C$8)</f>
        <v>0</v>
      </c>
      <c r="D35" s="1680">
        <f t="shared" si="0"/>
        <v>0</v>
      </c>
      <c r="E35" s="1680"/>
      <c r="F35" s="140"/>
      <c r="G35" s="140"/>
      <c r="H35" s="140"/>
    </row>
    <row r="36" spans="1:8" ht="12.6" customHeight="1">
      <c r="A36" s="136">
        <v>20</v>
      </c>
      <c r="B36" s="1287">
        <f>IF(A36&gt;C9,0,SUM(C292:C303)*($C$6/$C$7))</f>
        <v>0</v>
      </c>
      <c r="C36" s="1443">
        <f>IF(A36&gt;C9,0,(E291+K291)*$C$8)</f>
        <v>0</v>
      </c>
      <c r="D36" s="1681">
        <f t="shared" si="0"/>
        <v>0</v>
      </c>
      <c r="E36" s="1681"/>
      <c r="F36" s="140"/>
      <c r="G36" s="140"/>
      <c r="H36" s="140"/>
    </row>
    <row r="37" spans="1:8" ht="12.6" customHeight="1">
      <c r="A37" s="47">
        <v>21</v>
      </c>
      <c r="B37" s="1285">
        <f>IF(A37&gt;C9,0,SUM(C293:C304)*($C$6/$C$7))</f>
        <v>0</v>
      </c>
      <c r="C37" s="1444">
        <f>IF(A37&gt;C9,0,(E303+K303)*$C$8)</f>
        <v>0</v>
      </c>
      <c r="D37" s="1682">
        <f t="shared" si="0"/>
        <v>0</v>
      </c>
      <c r="E37" s="1682"/>
      <c r="F37" s="140"/>
      <c r="G37" s="140"/>
      <c r="H37" s="140"/>
    </row>
    <row r="38" spans="1:8" ht="12.6" customHeight="1">
      <c r="A38" s="47">
        <v>22</v>
      </c>
      <c r="B38" s="1286">
        <f>IF(A38&gt;C9,0,SUM(C294:C305)*($C$6/$C$7))</f>
        <v>0</v>
      </c>
      <c r="C38" s="1442">
        <f>IF(A38&gt;C9,0,(E315+K315)*$C$8)</f>
        <v>0</v>
      </c>
      <c r="D38" s="1680">
        <f t="shared" si="0"/>
        <v>0</v>
      </c>
      <c r="E38" s="1680"/>
      <c r="F38" s="140"/>
      <c r="G38" s="140"/>
      <c r="H38" s="140"/>
    </row>
    <row r="39" spans="1:8" ht="12.6" customHeight="1">
      <c r="A39" s="47">
        <v>23</v>
      </c>
      <c r="B39" s="1286">
        <f>IF(A39&gt;C9,0,SUM(C295:C306)*($C$6/$C$7))</f>
        <v>0</v>
      </c>
      <c r="C39" s="1442">
        <f>IF(A39&gt;C9,0,(E327+K327)*$C$8)</f>
        <v>0</v>
      </c>
      <c r="D39" s="1680">
        <f t="shared" si="0"/>
        <v>0</v>
      </c>
      <c r="E39" s="1680"/>
      <c r="F39" s="140"/>
      <c r="G39" s="140"/>
      <c r="H39" s="140"/>
    </row>
    <row r="40" spans="1:8" ht="12.6" customHeight="1">
      <c r="A40" s="47">
        <v>24</v>
      </c>
      <c r="B40" s="1286">
        <f>IF(A40&gt;C9,0,SUM(C296:C307)*($C$6/$C$7))</f>
        <v>0</v>
      </c>
      <c r="C40" s="1442">
        <f>IF(A40&gt;C9,0,(E339+K339)*$C$8)</f>
        <v>0</v>
      </c>
      <c r="D40" s="1680">
        <f t="shared" si="0"/>
        <v>0</v>
      </c>
      <c r="E40" s="1680"/>
      <c r="F40" s="140"/>
      <c r="G40" s="140"/>
      <c r="H40" s="140"/>
    </row>
    <row r="41" spans="1:8" ht="12.6" customHeight="1">
      <c r="A41" s="47">
        <v>25</v>
      </c>
      <c r="B41" s="1287">
        <f>IF(A41&gt;C9,0,SUM(C297:C308)*($C$6/$C$7))</f>
        <v>0</v>
      </c>
      <c r="C41" s="1443">
        <f>IF(A41&gt;C9,0,(E351+K351)*$C$8)</f>
        <v>0</v>
      </c>
      <c r="D41" s="1681">
        <f t="shared" si="0"/>
        <v>0</v>
      </c>
      <c r="E41" s="1681"/>
      <c r="F41" s="140"/>
      <c r="G41" s="140"/>
      <c r="H41" s="140"/>
    </row>
    <row r="42" spans="1:8" ht="12.6" customHeight="1">
      <c r="A42" s="134">
        <v>26</v>
      </c>
      <c r="B42" s="1285">
        <f>IF(A42&gt;C9,0,SUM(C298:C309)*($C$6/$C$7))</f>
        <v>0</v>
      </c>
      <c r="C42" s="1444">
        <f>IF(A42&gt;C9,0,(E363+K363)*$C$8)</f>
        <v>0</v>
      </c>
      <c r="D42" s="1682">
        <f t="shared" si="0"/>
        <v>0</v>
      </c>
      <c r="E42" s="1682"/>
      <c r="F42" s="140"/>
      <c r="G42" s="140"/>
      <c r="H42" s="140"/>
    </row>
    <row r="43" spans="1:8" ht="12.6" customHeight="1">
      <c r="A43" s="135">
        <v>27</v>
      </c>
      <c r="B43" s="1286">
        <f>IF(A43&gt;C9,0,SUM(C299:C310)*($C$6/$C$7))</f>
        <v>0</v>
      </c>
      <c r="C43" s="1442">
        <f>IF(A43&gt;C9,0,(E375+K375)*$C$8)</f>
        <v>0</v>
      </c>
      <c r="D43" s="1680">
        <f t="shared" si="0"/>
        <v>0</v>
      </c>
      <c r="E43" s="1680"/>
      <c r="F43" s="140"/>
      <c r="G43" s="140"/>
      <c r="H43" s="140"/>
    </row>
    <row r="44" spans="1:8" ht="12.6" customHeight="1">
      <c r="A44" s="135">
        <v>28</v>
      </c>
      <c r="B44" s="1286">
        <f>IF(A44&gt;C9,0,SUM(C300:C311)*($C$6/$C$7))</f>
        <v>0</v>
      </c>
      <c r="C44" s="1442">
        <f>IF(A44&gt;C9,0,(E387+K387)*$C$8)</f>
        <v>0</v>
      </c>
      <c r="D44" s="1680">
        <f t="shared" si="0"/>
        <v>0</v>
      </c>
      <c r="E44" s="1680"/>
      <c r="F44" s="140"/>
      <c r="G44" s="140"/>
      <c r="H44" s="140"/>
    </row>
    <row r="45" spans="1:8" ht="12.6" customHeight="1">
      <c r="A45" s="135">
        <v>29</v>
      </c>
      <c r="B45" s="1286">
        <f>IF(A45&gt;C9,0,SUM(C301:C312)*($C$6/$C$7))</f>
        <v>0</v>
      </c>
      <c r="C45" s="1442">
        <f>IF(A45&gt;C9,0,(E411+K411)*$C$8)</f>
        <v>0</v>
      </c>
      <c r="D45" s="1680">
        <f t="shared" si="0"/>
        <v>0</v>
      </c>
      <c r="E45" s="1680"/>
      <c r="F45" s="140"/>
      <c r="G45" s="140"/>
      <c r="H45" s="140"/>
    </row>
    <row r="46" spans="1:8" ht="12.6" customHeight="1">
      <c r="A46" s="136">
        <v>30</v>
      </c>
      <c r="B46" s="1287">
        <f>IF(A46&gt;C9,0,SUM(C302:C313)*($C$6/$C$7))</f>
        <v>0</v>
      </c>
      <c r="C46" s="1443">
        <f>IF(A46&gt;C9,0,(E423+K423)*$C$8)</f>
        <v>0</v>
      </c>
      <c r="D46" s="1681">
        <f t="shared" si="0"/>
        <v>0</v>
      </c>
      <c r="E46" s="1681"/>
      <c r="F46" s="140"/>
      <c r="G46" s="140"/>
      <c r="H46" s="140"/>
    </row>
    <row r="47" spans="1:8" ht="12.6" customHeight="1">
      <c r="A47" s="139">
        <v>31</v>
      </c>
      <c r="B47" s="1285">
        <f>IF(A47&gt;C9,0,SUM(C303:C314)*($C$6/$C$7))</f>
        <v>0</v>
      </c>
      <c r="C47" s="1444">
        <f>IF(A47&gt;C9,0,(E435+K435)*$C$8)</f>
        <v>0</v>
      </c>
      <c r="D47" s="1682">
        <f t="shared" si="0"/>
        <v>0</v>
      </c>
      <c r="E47" s="1682"/>
      <c r="F47" s="140"/>
      <c r="G47" s="140"/>
      <c r="H47" s="140"/>
    </row>
    <row r="48" spans="1:8" ht="12.6" customHeight="1">
      <c r="A48" s="135">
        <v>32</v>
      </c>
      <c r="B48" s="1286">
        <f>IF(A48&gt;C9,0,SUM(C304:C315)*($C$6/$C$7))</f>
        <v>0</v>
      </c>
      <c r="C48" s="1442">
        <f>IF(A48&gt;C9,0,(E447+K447)*$C$8)</f>
        <v>0</v>
      </c>
      <c r="D48" s="1680">
        <f t="shared" si="0"/>
        <v>0</v>
      </c>
      <c r="E48" s="1680"/>
      <c r="F48" s="140"/>
      <c r="G48" s="140"/>
      <c r="H48" s="140"/>
    </row>
    <row r="49" spans="1:12" ht="12.6" customHeight="1">
      <c r="A49" s="135">
        <v>33</v>
      </c>
      <c r="B49" s="1286">
        <f>IF(A49&gt;C9,0,SUM(C305:C316)*($C$6/$C$7))</f>
        <v>0</v>
      </c>
      <c r="C49" s="1442">
        <f>IF(A49&gt;C9,0,(E459+K459)*$C$8)</f>
        <v>0</v>
      </c>
      <c r="D49" s="1680">
        <f t="shared" si="0"/>
        <v>0</v>
      </c>
      <c r="E49" s="1680"/>
      <c r="F49" s="140"/>
      <c r="G49" s="140"/>
      <c r="H49" s="140"/>
    </row>
    <row r="50" spans="1:12" ht="12.6" customHeight="1">
      <c r="A50" s="135">
        <v>34</v>
      </c>
      <c r="B50" s="1286">
        <f>IF(A50&gt;C9,0,SUM(C306:C317)*($C$6/$C$7))</f>
        <v>0</v>
      </c>
      <c r="C50" s="1442">
        <f>IF(A50&gt;C9,0,(E471+K471)*$C$8)</f>
        <v>0</v>
      </c>
      <c r="D50" s="1680">
        <f t="shared" si="0"/>
        <v>0</v>
      </c>
      <c r="E50" s="1680"/>
      <c r="F50" s="140"/>
      <c r="G50" s="140"/>
      <c r="H50" s="140"/>
    </row>
    <row r="51" spans="1:12" ht="12.6" customHeight="1">
      <c r="A51" s="136">
        <v>35</v>
      </c>
      <c r="B51" s="1287">
        <f>IF(A51&gt;C9,0,SUM(C307:C318)*($C$6/$C$7))</f>
        <v>0</v>
      </c>
      <c r="C51" s="1443">
        <f>IF(A51&gt;C9,0,(E483+K483)*$C$8)</f>
        <v>0</v>
      </c>
      <c r="D51" s="1681">
        <f t="shared" si="0"/>
        <v>0</v>
      </c>
      <c r="E51" s="1681"/>
      <c r="F51" s="140"/>
      <c r="G51" s="140"/>
      <c r="H51" s="140"/>
    </row>
    <row r="52" spans="1:12" ht="12.6" customHeight="1">
      <c r="A52" s="139">
        <v>36</v>
      </c>
      <c r="B52" s="1285">
        <f>IF(A52&gt;C9,0,SUM(C308:C319)*($C$6/$C$7))</f>
        <v>0</v>
      </c>
      <c r="C52" s="1444">
        <f>IF(A52&gt;C9,0,(E495+K495)*$C$8)</f>
        <v>0</v>
      </c>
      <c r="D52" s="1682">
        <f t="shared" si="0"/>
        <v>0</v>
      </c>
      <c r="E52" s="1682"/>
      <c r="F52" s="140"/>
      <c r="G52" s="140"/>
      <c r="H52" s="140"/>
    </row>
    <row r="53" spans="1:12" ht="12.6" customHeight="1">
      <c r="A53" s="135">
        <v>37</v>
      </c>
      <c r="B53" s="1286">
        <f>IF(A53&gt;C9,0,SUM(C309:C320)*($C$6/$C$7))</f>
        <v>0</v>
      </c>
      <c r="C53" s="1442">
        <f>IF(A53&gt;C9,0,(E507+K507)*$C$8)</f>
        <v>0</v>
      </c>
      <c r="D53" s="1680">
        <f t="shared" si="0"/>
        <v>0</v>
      </c>
      <c r="E53" s="1680"/>
      <c r="F53" s="140"/>
      <c r="G53" s="140"/>
      <c r="H53" s="140"/>
    </row>
    <row r="54" spans="1:12" ht="12.6" customHeight="1">
      <c r="A54" s="135">
        <v>38</v>
      </c>
      <c r="B54" s="1286">
        <f>IF(A54&gt;C9,0,SUM(C310:C321)*($C$6/$C$7))</f>
        <v>0</v>
      </c>
      <c r="C54" s="1442">
        <f>IF(A54&gt;C9,0,(E519+K519)*$C$8)</f>
        <v>0</v>
      </c>
      <c r="D54" s="1680">
        <f t="shared" si="0"/>
        <v>0</v>
      </c>
      <c r="E54" s="1680"/>
      <c r="F54" s="140"/>
      <c r="G54" s="140"/>
      <c r="H54" s="140"/>
    </row>
    <row r="55" spans="1:12" ht="12.6" customHeight="1">
      <c r="A55" s="135">
        <v>39</v>
      </c>
      <c r="B55" s="1286">
        <f>IF(A55&gt;C9,0,SUM(C311:C322)*($C$6/$C$7))</f>
        <v>0</v>
      </c>
      <c r="C55" s="1442">
        <f>IF(A55&gt;C9,0,(E531+K531)*$C$8)</f>
        <v>0</v>
      </c>
      <c r="D55" s="1680">
        <f t="shared" si="0"/>
        <v>0</v>
      </c>
      <c r="E55" s="1680"/>
      <c r="F55" s="140"/>
      <c r="G55" s="140"/>
      <c r="H55" s="140"/>
    </row>
    <row r="56" spans="1:12" ht="12.6" customHeight="1">
      <c r="A56" s="136">
        <v>40</v>
      </c>
      <c r="B56" s="1287">
        <f>IF(A56&gt;C9,0,SUM(C312:C323)*($C$6/$C$7))</f>
        <v>0</v>
      </c>
      <c r="C56" s="1443">
        <f>IF(A56&gt;C9,0,(E543+K543)*$C$8)</f>
        <v>0</v>
      </c>
      <c r="D56" s="1681">
        <f t="shared" si="0"/>
        <v>0</v>
      </c>
      <c r="E56" s="1681"/>
      <c r="F56" s="140"/>
      <c r="G56" s="140"/>
      <c r="H56" s="140"/>
    </row>
    <row r="57" spans="1:12" ht="3" customHeight="1">
      <c r="A57" s="140"/>
      <c r="B57" s="140"/>
      <c r="C57" s="140"/>
      <c r="D57" s="140"/>
      <c r="E57" s="140"/>
      <c r="F57" s="140"/>
      <c r="G57" s="140"/>
      <c r="H57" s="140"/>
    </row>
    <row r="58" spans="1:12" ht="13.15" customHeight="1">
      <c r="A58" s="1684" t="e">
        <f>CONCATENATE(#REF!," ",#REF!,", ",#REF!,", ",#REF!," County")</f>
        <v>#REF!</v>
      </c>
      <c r="B58" s="1684"/>
      <c r="C58" s="1684"/>
      <c r="D58" s="1684"/>
      <c r="E58" s="1684"/>
      <c r="F58" s="1684"/>
      <c r="G58" s="1684" t="e">
        <f>CONCATENATE(#REF!," ",#REF!,", ",#REF!,", ",#REF!," County")</f>
        <v>#REF!</v>
      </c>
      <c r="H58" s="1684"/>
      <c r="I58" s="1684"/>
      <c r="J58" s="1684"/>
      <c r="K58" s="1684"/>
      <c r="L58" s="1684"/>
    </row>
    <row r="59" spans="1:12" ht="15">
      <c r="A59" s="1685" t="s">
        <v>631</v>
      </c>
      <c r="B59" s="1685"/>
      <c r="C59" s="1685"/>
      <c r="D59" s="1685"/>
      <c r="E59" s="1685"/>
      <c r="F59" s="1685"/>
      <c r="G59" s="1685" t="s">
        <v>631</v>
      </c>
      <c r="H59" s="1685"/>
      <c r="I59" s="1685"/>
      <c r="J59" s="1685"/>
      <c r="K59" s="1685"/>
      <c r="L59" s="1685"/>
    </row>
    <row r="60" spans="1:12" ht="6" customHeight="1">
      <c r="C60" s="138"/>
      <c r="D60" s="138"/>
      <c r="I60" s="138"/>
      <c r="J60" s="138"/>
    </row>
    <row r="61" spans="1:12">
      <c r="A61" s="141" t="s">
        <v>632</v>
      </c>
      <c r="B61" s="142" t="s">
        <v>633</v>
      </c>
      <c r="C61" s="142" t="s">
        <v>203</v>
      </c>
      <c r="D61" s="142" t="s">
        <v>55</v>
      </c>
      <c r="E61" s="141" t="s">
        <v>634</v>
      </c>
      <c r="F61" s="158" t="s">
        <v>627</v>
      </c>
      <c r="G61" s="141" t="s">
        <v>632</v>
      </c>
      <c r="H61" s="142" t="s">
        <v>633</v>
      </c>
      <c r="I61" s="142" t="s">
        <v>203</v>
      </c>
      <c r="J61" s="142" t="s">
        <v>55</v>
      </c>
      <c r="K61" s="141" t="s">
        <v>634</v>
      </c>
      <c r="L61" s="158" t="s">
        <v>627</v>
      </c>
    </row>
    <row r="62" spans="1:12" ht="3.6" customHeight="1">
      <c r="A62" s="144"/>
      <c r="B62" s="76"/>
      <c r="C62" s="76"/>
      <c r="D62" s="76"/>
      <c r="E62" s="76"/>
      <c r="F62" s="47"/>
      <c r="G62" s="144"/>
      <c r="H62" s="76"/>
      <c r="I62" s="76"/>
      <c r="J62" s="76"/>
      <c r="K62" s="76"/>
      <c r="L62" s="47"/>
    </row>
    <row r="63" spans="1:12">
      <c r="A63" s="145" t="s">
        <v>635</v>
      </c>
      <c r="B63" s="146"/>
      <c r="C63" s="146"/>
      <c r="D63" s="146"/>
      <c r="E63" s="147">
        <f>IF($C$5&gt;1500000,$D$5,$C$5)</f>
        <v>0</v>
      </c>
      <c r="F63" s="47"/>
      <c r="G63" s="145" t="s">
        <v>635</v>
      </c>
      <c r="H63" s="146"/>
      <c r="I63" s="146"/>
      <c r="J63" s="146"/>
      <c r="K63" s="147">
        <f>IF($C$5&gt;1500000,$E$5,0)</f>
        <v>0</v>
      </c>
      <c r="L63" s="47"/>
    </row>
    <row r="64" spans="1:12">
      <c r="A64" s="148">
        <v>1</v>
      </c>
      <c r="B64" s="149">
        <f t="shared" ref="B64:B127" si="1">IF(A64&gt;12*$C$9,0,IF($C$5&gt;1500000,$D$12,$C$12))</f>
        <v>0</v>
      </c>
      <c r="C64" s="149">
        <f t="shared" ref="C64:C127" si="2">IF(A64&gt;12*$C$9,0,E63*$C$7/12)</f>
        <v>0</v>
      </c>
      <c r="D64" s="149">
        <f t="shared" ref="D64:D127" si="3">IF(A64&gt;12*$C$9,0,B64-C64)</f>
        <v>0</v>
      </c>
      <c r="E64" s="149">
        <f t="shared" ref="E64:E127" si="4">IF(A64&gt;12*$C$9,0,E63-D64)</f>
        <v>0</v>
      </c>
      <c r="F64" s="148"/>
      <c r="G64" s="148">
        <v>1</v>
      </c>
      <c r="H64" s="149">
        <f t="shared" ref="H64:H127" si="5">IF(G64&gt;12*$C$9,0,IF($C$5&gt;1500000,$E$12,0))</f>
        <v>0</v>
      </c>
      <c r="I64" s="149">
        <f t="shared" ref="I64:I127" si="6">IF(G64&gt;12*$C$9,0,K63*$C$7/12)</f>
        <v>0</v>
      </c>
      <c r="J64" s="149">
        <f t="shared" ref="J64:J127" si="7">IF(G64&gt;12*$C$9,0,H64-I64)</f>
        <v>0</v>
      </c>
      <c r="K64" s="149">
        <f t="shared" ref="K64:K127" si="8">IF(G64&gt;12*$C$9,0,K63-J64)</f>
        <v>0</v>
      </c>
      <c r="L64" s="148"/>
    </row>
    <row r="65" spans="1:12">
      <c r="A65" s="148">
        <v>2</v>
      </c>
      <c r="B65" s="149">
        <f t="shared" si="1"/>
        <v>0</v>
      </c>
      <c r="C65" s="149">
        <f t="shared" si="2"/>
        <v>0</v>
      </c>
      <c r="D65" s="149">
        <f t="shared" si="3"/>
        <v>0</v>
      </c>
      <c r="E65" s="149">
        <f t="shared" si="4"/>
        <v>0</v>
      </c>
      <c r="F65" s="148"/>
      <c r="G65" s="148">
        <v>2</v>
      </c>
      <c r="H65" s="149">
        <f t="shared" si="5"/>
        <v>0</v>
      </c>
      <c r="I65" s="149">
        <f t="shared" si="6"/>
        <v>0</v>
      </c>
      <c r="J65" s="149">
        <f t="shared" si="7"/>
        <v>0</v>
      </c>
      <c r="K65" s="149">
        <f t="shared" si="8"/>
        <v>0</v>
      </c>
      <c r="L65" s="148"/>
    </row>
    <row r="66" spans="1:12">
      <c r="A66" s="148">
        <v>3</v>
      </c>
      <c r="B66" s="149">
        <f t="shared" si="1"/>
        <v>0</v>
      </c>
      <c r="C66" s="149">
        <f t="shared" si="2"/>
        <v>0</v>
      </c>
      <c r="D66" s="149">
        <f t="shared" si="3"/>
        <v>0</v>
      </c>
      <c r="E66" s="149">
        <f t="shared" si="4"/>
        <v>0</v>
      </c>
      <c r="F66" s="148"/>
      <c r="G66" s="148">
        <v>3</v>
      </c>
      <c r="H66" s="149">
        <f t="shared" si="5"/>
        <v>0</v>
      </c>
      <c r="I66" s="149">
        <f t="shared" si="6"/>
        <v>0</v>
      </c>
      <c r="J66" s="149">
        <f t="shared" si="7"/>
        <v>0</v>
      </c>
      <c r="K66" s="149">
        <f t="shared" si="8"/>
        <v>0</v>
      </c>
      <c r="L66" s="148"/>
    </row>
    <row r="67" spans="1:12">
      <c r="A67" s="148">
        <v>4</v>
      </c>
      <c r="B67" s="149">
        <f t="shared" si="1"/>
        <v>0</v>
      </c>
      <c r="C67" s="149">
        <f t="shared" si="2"/>
        <v>0</v>
      </c>
      <c r="D67" s="149">
        <f t="shared" si="3"/>
        <v>0</v>
      </c>
      <c r="E67" s="149">
        <f t="shared" si="4"/>
        <v>0</v>
      </c>
      <c r="F67" s="148"/>
      <c r="G67" s="148">
        <v>4</v>
      </c>
      <c r="H67" s="149">
        <f t="shared" si="5"/>
        <v>0</v>
      </c>
      <c r="I67" s="149">
        <f t="shared" si="6"/>
        <v>0</v>
      </c>
      <c r="J67" s="149">
        <f t="shared" si="7"/>
        <v>0</v>
      </c>
      <c r="K67" s="149">
        <f t="shared" si="8"/>
        <v>0</v>
      </c>
      <c r="L67" s="148"/>
    </row>
    <row r="68" spans="1:12">
      <c r="A68" s="148">
        <v>5</v>
      </c>
      <c r="B68" s="149">
        <f t="shared" si="1"/>
        <v>0</v>
      </c>
      <c r="C68" s="149">
        <f t="shared" si="2"/>
        <v>0</v>
      </c>
      <c r="D68" s="149">
        <f t="shared" si="3"/>
        <v>0</v>
      </c>
      <c r="E68" s="149">
        <f t="shared" si="4"/>
        <v>0</v>
      </c>
      <c r="F68" s="148"/>
      <c r="G68" s="148">
        <v>5</v>
      </c>
      <c r="H68" s="149">
        <f t="shared" si="5"/>
        <v>0</v>
      </c>
      <c r="I68" s="149">
        <f t="shared" si="6"/>
        <v>0</v>
      </c>
      <c r="J68" s="149">
        <f t="shared" si="7"/>
        <v>0</v>
      </c>
      <c r="K68" s="149">
        <f t="shared" si="8"/>
        <v>0</v>
      </c>
      <c r="L68" s="148"/>
    </row>
    <row r="69" spans="1:12">
      <c r="A69" s="148">
        <v>6</v>
      </c>
      <c r="B69" s="149">
        <f t="shared" si="1"/>
        <v>0</v>
      </c>
      <c r="C69" s="149">
        <f t="shared" si="2"/>
        <v>0</v>
      </c>
      <c r="D69" s="149">
        <f t="shared" si="3"/>
        <v>0</v>
      </c>
      <c r="E69" s="149">
        <f t="shared" si="4"/>
        <v>0</v>
      </c>
      <c r="F69" s="148"/>
      <c r="G69" s="148">
        <v>6</v>
      </c>
      <c r="H69" s="149">
        <f t="shared" si="5"/>
        <v>0</v>
      </c>
      <c r="I69" s="149">
        <f t="shared" si="6"/>
        <v>0</v>
      </c>
      <c r="J69" s="149">
        <f t="shared" si="7"/>
        <v>0</v>
      </c>
      <c r="K69" s="149">
        <f t="shared" si="8"/>
        <v>0</v>
      </c>
      <c r="L69" s="148"/>
    </row>
    <row r="70" spans="1:12">
      <c r="A70" s="148">
        <v>7</v>
      </c>
      <c r="B70" s="149">
        <f t="shared" si="1"/>
        <v>0</v>
      </c>
      <c r="C70" s="149">
        <f t="shared" si="2"/>
        <v>0</v>
      </c>
      <c r="D70" s="149">
        <f t="shared" si="3"/>
        <v>0</v>
      </c>
      <c r="E70" s="149">
        <f t="shared" si="4"/>
        <v>0</v>
      </c>
      <c r="F70" s="148"/>
      <c r="G70" s="148">
        <v>7</v>
      </c>
      <c r="H70" s="149">
        <f t="shared" si="5"/>
        <v>0</v>
      </c>
      <c r="I70" s="149">
        <f t="shared" si="6"/>
        <v>0</v>
      </c>
      <c r="J70" s="149">
        <f t="shared" si="7"/>
        <v>0</v>
      </c>
      <c r="K70" s="149">
        <f t="shared" si="8"/>
        <v>0</v>
      </c>
      <c r="L70" s="148"/>
    </row>
    <row r="71" spans="1:12">
      <c r="A71" s="148">
        <v>8</v>
      </c>
      <c r="B71" s="149">
        <f t="shared" si="1"/>
        <v>0</v>
      </c>
      <c r="C71" s="149">
        <f t="shared" si="2"/>
        <v>0</v>
      </c>
      <c r="D71" s="149">
        <f t="shared" si="3"/>
        <v>0</v>
      </c>
      <c r="E71" s="149">
        <f t="shared" si="4"/>
        <v>0</v>
      </c>
      <c r="F71" s="148"/>
      <c r="G71" s="148">
        <v>8</v>
      </c>
      <c r="H71" s="149">
        <f t="shared" si="5"/>
        <v>0</v>
      </c>
      <c r="I71" s="149">
        <f t="shared" si="6"/>
        <v>0</v>
      </c>
      <c r="J71" s="149">
        <f t="shared" si="7"/>
        <v>0</v>
      </c>
      <c r="K71" s="149">
        <f t="shared" si="8"/>
        <v>0</v>
      </c>
      <c r="L71" s="148"/>
    </row>
    <row r="72" spans="1:12">
      <c r="A72" s="148">
        <v>9</v>
      </c>
      <c r="B72" s="149">
        <f t="shared" si="1"/>
        <v>0</v>
      </c>
      <c r="C72" s="149">
        <f t="shared" si="2"/>
        <v>0</v>
      </c>
      <c r="D72" s="149">
        <f t="shared" si="3"/>
        <v>0</v>
      </c>
      <c r="E72" s="149">
        <f t="shared" si="4"/>
        <v>0</v>
      </c>
      <c r="F72" s="148"/>
      <c r="G72" s="148">
        <v>9</v>
      </c>
      <c r="H72" s="149">
        <f t="shared" si="5"/>
        <v>0</v>
      </c>
      <c r="I72" s="149">
        <f t="shared" si="6"/>
        <v>0</v>
      </c>
      <c r="J72" s="149">
        <f t="shared" si="7"/>
        <v>0</v>
      </c>
      <c r="K72" s="149">
        <f t="shared" si="8"/>
        <v>0</v>
      </c>
      <c r="L72" s="148"/>
    </row>
    <row r="73" spans="1:12">
      <c r="A73" s="148">
        <v>10</v>
      </c>
      <c r="B73" s="149">
        <f t="shared" si="1"/>
        <v>0</v>
      </c>
      <c r="C73" s="149">
        <f t="shared" si="2"/>
        <v>0</v>
      </c>
      <c r="D73" s="149">
        <f t="shared" si="3"/>
        <v>0</v>
      </c>
      <c r="E73" s="149">
        <f t="shared" si="4"/>
        <v>0</v>
      </c>
      <c r="F73" s="148"/>
      <c r="G73" s="148">
        <v>10</v>
      </c>
      <c r="H73" s="149">
        <f t="shared" si="5"/>
        <v>0</v>
      </c>
      <c r="I73" s="149">
        <f t="shared" si="6"/>
        <v>0</v>
      </c>
      <c r="J73" s="149">
        <f t="shared" si="7"/>
        <v>0</v>
      </c>
      <c r="K73" s="149">
        <f t="shared" si="8"/>
        <v>0</v>
      </c>
      <c r="L73" s="148"/>
    </row>
    <row r="74" spans="1:12">
      <c r="A74" s="148">
        <v>11</v>
      </c>
      <c r="B74" s="149">
        <f t="shared" si="1"/>
        <v>0</v>
      </c>
      <c r="C74" s="149">
        <f t="shared" si="2"/>
        <v>0</v>
      </c>
      <c r="D74" s="149">
        <f t="shared" si="3"/>
        <v>0</v>
      </c>
      <c r="E74" s="149">
        <f t="shared" si="4"/>
        <v>0</v>
      </c>
      <c r="F74" s="148"/>
      <c r="G74" s="148">
        <v>11</v>
      </c>
      <c r="H74" s="149">
        <f t="shared" si="5"/>
        <v>0</v>
      </c>
      <c r="I74" s="149">
        <f t="shared" si="6"/>
        <v>0</v>
      </c>
      <c r="J74" s="149">
        <f t="shared" si="7"/>
        <v>0</v>
      </c>
      <c r="K74" s="149">
        <f t="shared" si="8"/>
        <v>0</v>
      </c>
      <c r="L74" s="148"/>
    </row>
    <row r="75" spans="1:12">
      <c r="A75" s="148">
        <v>12</v>
      </c>
      <c r="B75" s="149">
        <f t="shared" si="1"/>
        <v>0</v>
      </c>
      <c r="C75" s="149">
        <f t="shared" si="2"/>
        <v>0</v>
      </c>
      <c r="D75" s="149">
        <f t="shared" si="3"/>
        <v>0</v>
      </c>
      <c r="E75" s="149">
        <f t="shared" si="4"/>
        <v>0</v>
      </c>
      <c r="F75" s="148">
        <v>1</v>
      </c>
      <c r="G75" s="148">
        <v>12</v>
      </c>
      <c r="H75" s="149">
        <f t="shared" si="5"/>
        <v>0</v>
      </c>
      <c r="I75" s="149">
        <f t="shared" si="6"/>
        <v>0</v>
      </c>
      <c r="J75" s="149">
        <f t="shared" si="7"/>
        <v>0</v>
      </c>
      <c r="K75" s="149">
        <f t="shared" si="8"/>
        <v>0</v>
      </c>
      <c r="L75" s="148">
        <v>1</v>
      </c>
    </row>
    <row r="76" spans="1:12">
      <c r="A76" s="148">
        <v>13</v>
      </c>
      <c r="B76" s="149">
        <f t="shared" si="1"/>
        <v>0</v>
      </c>
      <c r="C76" s="149">
        <f t="shared" si="2"/>
        <v>0</v>
      </c>
      <c r="D76" s="149">
        <f t="shared" si="3"/>
        <v>0</v>
      </c>
      <c r="E76" s="149">
        <f t="shared" si="4"/>
        <v>0</v>
      </c>
      <c r="F76" s="148"/>
      <c r="G76" s="148">
        <v>13</v>
      </c>
      <c r="H76" s="149">
        <f t="shared" si="5"/>
        <v>0</v>
      </c>
      <c r="I76" s="149">
        <f t="shared" si="6"/>
        <v>0</v>
      </c>
      <c r="J76" s="149">
        <f t="shared" si="7"/>
        <v>0</v>
      </c>
      <c r="K76" s="149">
        <f t="shared" si="8"/>
        <v>0</v>
      </c>
      <c r="L76" s="148"/>
    </row>
    <row r="77" spans="1:12">
      <c r="A77" s="148">
        <v>14</v>
      </c>
      <c r="B77" s="149">
        <f t="shared" si="1"/>
        <v>0</v>
      </c>
      <c r="C77" s="149">
        <f t="shared" si="2"/>
        <v>0</v>
      </c>
      <c r="D77" s="149">
        <f t="shared" si="3"/>
        <v>0</v>
      </c>
      <c r="E77" s="149">
        <f t="shared" si="4"/>
        <v>0</v>
      </c>
      <c r="F77" s="148"/>
      <c r="G77" s="148">
        <v>14</v>
      </c>
      <c r="H77" s="149">
        <f t="shared" si="5"/>
        <v>0</v>
      </c>
      <c r="I77" s="149">
        <f t="shared" si="6"/>
        <v>0</v>
      </c>
      <c r="J77" s="149">
        <f t="shared" si="7"/>
        <v>0</v>
      </c>
      <c r="K77" s="149">
        <f t="shared" si="8"/>
        <v>0</v>
      </c>
      <c r="L77" s="148"/>
    </row>
    <row r="78" spans="1:12">
      <c r="A78" s="148">
        <v>15</v>
      </c>
      <c r="B78" s="149">
        <f t="shared" si="1"/>
        <v>0</v>
      </c>
      <c r="C78" s="149">
        <f t="shared" si="2"/>
        <v>0</v>
      </c>
      <c r="D78" s="149">
        <f t="shared" si="3"/>
        <v>0</v>
      </c>
      <c r="E78" s="149">
        <f t="shared" si="4"/>
        <v>0</v>
      </c>
      <c r="F78" s="148"/>
      <c r="G78" s="148">
        <v>15</v>
      </c>
      <c r="H78" s="149">
        <f t="shared" si="5"/>
        <v>0</v>
      </c>
      <c r="I78" s="149">
        <f t="shared" si="6"/>
        <v>0</v>
      </c>
      <c r="J78" s="149">
        <f t="shared" si="7"/>
        <v>0</v>
      </c>
      <c r="K78" s="149">
        <f t="shared" si="8"/>
        <v>0</v>
      </c>
      <c r="L78" s="148"/>
    </row>
    <row r="79" spans="1:12">
      <c r="A79" s="148">
        <v>16</v>
      </c>
      <c r="B79" s="149">
        <f t="shared" si="1"/>
        <v>0</v>
      </c>
      <c r="C79" s="149">
        <f t="shared" si="2"/>
        <v>0</v>
      </c>
      <c r="D79" s="149">
        <f t="shared" si="3"/>
        <v>0</v>
      </c>
      <c r="E79" s="149">
        <f t="shared" si="4"/>
        <v>0</v>
      </c>
      <c r="F79" s="148"/>
      <c r="G79" s="148">
        <v>16</v>
      </c>
      <c r="H79" s="149">
        <f t="shared" si="5"/>
        <v>0</v>
      </c>
      <c r="I79" s="149">
        <f t="shared" si="6"/>
        <v>0</v>
      </c>
      <c r="J79" s="149">
        <f t="shared" si="7"/>
        <v>0</v>
      </c>
      <c r="K79" s="149">
        <f t="shared" si="8"/>
        <v>0</v>
      </c>
      <c r="L79" s="148"/>
    </row>
    <row r="80" spans="1:12">
      <c r="A80" s="148">
        <v>17</v>
      </c>
      <c r="B80" s="149">
        <f t="shared" si="1"/>
        <v>0</v>
      </c>
      <c r="C80" s="149">
        <f t="shared" si="2"/>
        <v>0</v>
      </c>
      <c r="D80" s="149">
        <f t="shared" si="3"/>
        <v>0</v>
      </c>
      <c r="E80" s="149">
        <f t="shared" si="4"/>
        <v>0</v>
      </c>
      <c r="F80" s="148"/>
      <c r="G80" s="148">
        <v>17</v>
      </c>
      <c r="H80" s="149">
        <f t="shared" si="5"/>
        <v>0</v>
      </c>
      <c r="I80" s="149">
        <f t="shared" si="6"/>
        <v>0</v>
      </c>
      <c r="J80" s="149">
        <f t="shared" si="7"/>
        <v>0</v>
      </c>
      <c r="K80" s="149">
        <f t="shared" si="8"/>
        <v>0</v>
      </c>
      <c r="L80" s="148"/>
    </row>
    <row r="81" spans="1:12">
      <c r="A81" s="148">
        <v>18</v>
      </c>
      <c r="B81" s="149">
        <f t="shared" si="1"/>
        <v>0</v>
      </c>
      <c r="C81" s="149">
        <f t="shared" si="2"/>
        <v>0</v>
      </c>
      <c r="D81" s="149">
        <f t="shared" si="3"/>
        <v>0</v>
      </c>
      <c r="E81" s="149">
        <f t="shared" si="4"/>
        <v>0</v>
      </c>
      <c r="F81" s="148"/>
      <c r="G81" s="148">
        <v>18</v>
      </c>
      <c r="H81" s="149">
        <f t="shared" si="5"/>
        <v>0</v>
      </c>
      <c r="I81" s="149">
        <f t="shared" si="6"/>
        <v>0</v>
      </c>
      <c r="J81" s="149">
        <f t="shared" si="7"/>
        <v>0</v>
      </c>
      <c r="K81" s="149">
        <f t="shared" si="8"/>
        <v>0</v>
      </c>
      <c r="L81" s="148"/>
    </row>
    <row r="82" spans="1:12">
      <c r="A82" s="148">
        <v>19</v>
      </c>
      <c r="B82" s="149">
        <f t="shared" si="1"/>
        <v>0</v>
      </c>
      <c r="C82" s="149">
        <f t="shared" si="2"/>
        <v>0</v>
      </c>
      <c r="D82" s="149">
        <f t="shared" si="3"/>
        <v>0</v>
      </c>
      <c r="E82" s="149">
        <f t="shared" si="4"/>
        <v>0</v>
      </c>
      <c r="F82" s="148"/>
      <c r="G82" s="148">
        <v>19</v>
      </c>
      <c r="H82" s="149">
        <f t="shared" si="5"/>
        <v>0</v>
      </c>
      <c r="I82" s="149">
        <f t="shared" si="6"/>
        <v>0</v>
      </c>
      <c r="J82" s="149">
        <f t="shared" si="7"/>
        <v>0</v>
      </c>
      <c r="K82" s="149">
        <f t="shared" si="8"/>
        <v>0</v>
      </c>
      <c r="L82" s="148"/>
    </row>
    <row r="83" spans="1:12">
      <c r="A83" s="148">
        <v>20</v>
      </c>
      <c r="B83" s="149">
        <f t="shared" si="1"/>
        <v>0</v>
      </c>
      <c r="C83" s="149">
        <f t="shared" si="2"/>
        <v>0</v>
      </c>
      <c r="D83" s="149">
        <f t="shared" si="3"/>
        <v>0</v>
      </c>
      <c r="E83" s="149">
        <f t="shared" si="4"/>
        <v>0</v>
      </c>
      <c r="F83" s="148"/>
      <c r="G83" s="148">
        <v>20</v>
      </c>
      <c r="H83" s="149">
        <f t="shared" si="5"/>
        <v>0</v>
      </c>
      <c r="I83" s="149">
        <f t="shared" si="6"/>
        <v>0</v>
      </c>
      <c r="J83" s="149">
        <f t="shared" si="7"/>
        <v>0</v>
      </c>
      <c r="K83" s="149">
        <f t="shared" si="8"/>
        <v>0</v>
      </c>
      <c r="L83" s="148"/>
    </row>
    <row r="84" spans="1:12">
      <c r="A84" s="148">
        <v>21</v>
      </c>
      <c r="B84" s="149">
        <f t="shared" si="1"/>
        <v>0</v>
      </c>
      <c r="C84" s="149">
        <f t="shared" si="2"/>
        <v>0</v>
      </c>
      <c r="D84" s="149">
        <f t="shared" si="3"/>
        <v>0</v>
      </c>
      <c r="E84" s="149">
        <f t="shared" si="4"/>
        <v>0</v>
      </c>
      <c r="F84" s="148"/>
      <c r="G84" s="148">
        <v>21</v>
      </c>
      <c r="H84" s="149">
        <f t="shared" si="5"/>
        <v>0</v>
      </c>
      <c r="I84" s="149">
        <f t="shared" si="6"/>
        <v>0</v>
      </c>
      <c r="J84" s="149">
        <f t="shared" si="7"/>
        <v>0</v>
      </c>
      <c r="K84" s="149">
        <f t="shared" si="8"/>
        <v>0</v>
      </c>
      <c r="L84" s="148"/>
    </row>
    <row r="85" spans="1:12">
      <c r="A85" s="148">
        <v>22</v>
      </c>
      <c r="B85" s="149">
        <f t="shared" si="1"/>
        <v>0</v>
      </c>
      <c r="C85" s="149">
        <f t="shared" si="2"/>
        <v>0</v>
      </c>
      <c r="D85" s="149">
        <f t="shared" si="3"/>
        <v>0</v>
      </c>
      <c r="E85" s="149">
        <f t="shared" si="4"/>
        <v>0</v>
      </c>
      <c r="F85" s="148"/>
      <c r="G85" s="148">
        <v>22</v>
      </c>
      <c r="H85" s="149">
        <f t="shared" si="5"/>
        <v>0</v>
      </c>
      <c r="I85" s="149">
        <f t="shared" si="6"/>
        <v>0</v>
      </c>
      <c r="J85" s="149">
        <f t="shared" si="7"/>
        <v>0</v>
      </c>
      <c r="K85" s="149">
        <f t="shared" si="8"/>
        <v>0</v>
      </c>
      <c r="L85" s="148"/>
    </row>
    <row r="86" spans="1:12">
      <c r="A86" s="148">
        <v>23</v>
      </c>
      <c r="B86" s="149">
        <f t="shared" si="1"/>
        <v>0</v>
      </c>
      <c r="C86" s="149">
        <f t="shared" si="2"/>
        <v>0</v>
      </c>
      <c r="D86" s="149">
        <f t="shared" si="3"/>
        <v>0</v>
      </c>
      <c r="E86" s="149">
        <f t="shared" si="4"/>
        <v>0</v>
      </c>
      <c r="F86" s="148"/>
      <c r="G86" s="148">
        <v>23</v>
      </c>
      <c r="H86" s="149">
        <f t="shared" si="5"/>
        <v>0</v>
      </c>
      <c r="I86" s="149">
        <f t="shared" si="6"/>
        <v>0</v>
      </c>
      <c r="J86" s="149">
        <f t="shared" si="7"/>
        <v>0</v>
      </c>
      <c r="K86" s="149">
        <f t="shared" si="8"/>
        <v>0</v>
      </c>
      <c r="L86" s="148"/>
    </row>
    <row r="87" spans="1:12">
      <c r="A87" s="148">
        <v>24</v>
      </c>
      <c r="B87" s="149">
        <f t="shared" si="1"/>
        <v>0</v>
      </c>
      <c r="C87" s="149">
        <f t="shared" si="2"/>
        <v>0</v>
      </c>
      <c r="D87" s="149">
        <f t="shared" si="3"/>
        <v>0</v>
      </c>
      <c r="E87" s="149">
        <f t="shared" si="4"/>
        <v>0</v>
      </c>
      <c r="F87" s="148">
        <v>2</v>
      </c>
      <c r="G87" s="148">
        <v>24</v>
      </c>
      <c r="H87" s="149">
        <f t="shared" si="5"/>
        <v>0</v>
      </c>
      <c r="I87" s="149">
        <f t="shared" si="6"/>
        <v>0</v>
      </c>
      <c r="J87" s="149">
        <f t="shared" si="7"/>
        <v>0</v>
      </c>
      <c r="K87" s="149">
        <f t="shared" si="8"/>
        <v>0</v>
      </c>
      <c r="L87" s="148">
        <v>2</v>
      </c>
    </row>
    <row r="88" spans="1:12">
      <c r="A88" s="148">
        <v>25</v>
      </c>
      <c r="B88" s="149">
        <f t="shared" si="1"/>
        <v>0</v>
      </c>
      <c r="C88" s="149">
        <f t="shared" si="2"/>
        <v>0</v>
      </c>
      <c r="D88" s="149">
        <f t="shared" si="3"/>
        <v>0</v>
      </c>
      <c r="E88" s="149">
        <f t="shared" si="4"/>
        <v>0</v>
      </c>
      <c r="F88" s="148"/>
      <c r="G88" s="148">
        <v>25</v>
      </c>
      <c r="H88" s="149">
        <f t="shared" si="5"/>
        <v>0</v>
      </c>
      <c r="I88" s="149">
        <f t="shared" si="6"/>
        <v>0</v>
      </c>
      <c r="J88" s="149">
        <f t="shared" si="7"/>
        <v>0</v>
      </c>
      <c r="K88" s="149">
        <f t="shared" si="8"/>
        <v>0</v>
      </c>
      <c r="L88" s="148"/>
    </row>
    <row r="89" spans="1:12">
      <c r="A89" s="148">
        <v>26</v>
      </c>
      <c r="B89" s="149">
        <f t="shared" si="1"/>
        <v>0</v>
      </c>
      <c r="C89" s="149">
        <f t="shared" si="2"/>
        <v>0</v>
      </c>
      <c r="D89" s="149">
        <f t="shared" si="3"/>
        <v>0</v>
      </c>
      <c r="E89" s="149">
        <f t="shared" si="4"/>
        <v>0</v>
      </c>
      <c r="F89" s="148"/>
      <c r="G89" s="148">
        <v>26</v>
      </c>
      <c r="H89" s="149">
        <f t="shared" si="5"/>
        <v>0</v>
      </c>
      <c r="I89" s="149">
        <f t="shared" si="6"/>
        <v>0</v>
      </c>
      <c r="J89" s="149">
        <f t="shared" si="7"/>
        <v>0</v>
      </c>
      <c r="K89" s="149">
        <f t="shared" si="8"/>
        <v>0</v>
      </c>
      <c r="L89" s="148"/>
    </row>
    <row r="90" spans="1:12">
      <c r="A90" s="148">
        <v>27</v>
      </c>
      <c r="B90" s="149">
        <f t="shared" si="1"/>
        <v>0</v>
      </c>
      <c r="C90" s="149">
        <f t="shared" si="2"/>
        <v>0</v>
      </c>
      <c r="D90" s="149">
        <f t="shared" si="3"/>
        <v>0</v>
      </c>
      <c r="E90" s="149">
        <f t="shared" si="4"/>
        <v>0</v>
      </c>
      <c r="F90" s="148"/>
      <c r="G90" s="148">
        <v>27</v>
      </c>
      <c r="H90" s="149">
        <f t="shared" si="5"/>
        <v>0</v>
      </c>
      <c r="I90" s="149">
        <f t="shared" si="6"/>
        <v>0</v>
      </c>
      <c r="J90" s="149">
        <f t="shared" si="7"/>
        <v>0</v>
      </c>
      <c r="K90" s="149">
        <f t="shared" si="8"/>
        <v>0</v>
      </c>
      <c r="L90" s="148"/>
    </row>
    <row r="91" spans="1:12">
      <c r="A91" s="148">
        <v>28</v>
      </c>
      <c r="B91" s="149">
        <f t="shared" si="1"/>
        <v>0</v>
      </c>
      <c r="C91" s="149">
        <f t="shared" si="2"/>
        <v>0</v>
      </c>
      <c r="D91" s="149">
        <f t="shared" si="3"/>
        <v>0</v>
      </c>
      <c r="E91" s="149">
        <f t="shared" si="4"/>
        <v>0</v>
      </c>
      <c r="F91" s="148"/>
      <c r="G91" s="148">
        <v>28</v>
      </c>
      <c r="H91" s="149">
        <f t="shared" si="5"/>
        <v>0</v>
      </c>
      <c r="I91" s="149">
        <f t="shared" si="6"/>
        <v>0</v>
      </c>
      <c r="J91" s="149">
        <f t="shared" si="7"/>
        <v>0</v>
      </c>
      <c r="K91" s="149">
        <f t="shared" si="8"/>
        <v>0</v>
      </c>
      <c r="L91" s="148"/>
    </row>
    <row r="92" spans="1:12">
      <c r="A92" s="148">
        <v>29</v>
      </c>
      <c r="B92" s="149">
        <f t="shared" si="1"/>
        <v>0</v>
      </c>
      <c r="C92" s="149">
        <f t="shared" si="2"/>
        <v>0</v>
      </c>
      <c r="D92" s="149">
        <f t="shared" si="3"/>
        <v>0</v>
      </c>
      <c r="E92" s="149">
        <f t="shared" si="4"/>
        <v>0</v>
      </c>
      <c r="F92" s="148"/>
      <c r="G92" s="148">
        <v>29</v>
      </c>
      <c r="H92" s="149">
        <f t="shared" si="5"/>
        <v>0</v>
      </c>
      <c r="I92" s="149">
        <f t="shared" si="6"/>
        <v>0</v>
      </c>
      <c r="J92" s="149">
        <f t="shared" si="7"/>
        <v>0</v>
      </c>
      <c r="K92" s="149">
        <f t="shared" si="8"/>
        <v>0</v>
      </c>
      <c r="L92" s="148"/>
    </row>
    <row r="93" spans="1:12">
      <c r="A93" s="148">
        <v>30</v>
      </c>
      <c r="B93" s="149">
        <f t="shared" si="1"/>
        <v>0</v>
      </c>
      <c r="C93" s="149">
        <f t="shared" si="2"/>
        <v>0</v>
      </c>
      <c r="D93" s="149">
        <f t="shared" si="3"/>
        <v>0</v>
      </c>
      <c r="E93" s="149">
        <f t="shared" si="4"/>
        <v>0</v>
      </c>
      <c r="F93" s="148"/>
      <c r="G93" s="148">
        <v>30</v>
      </c>
      <c r="H93" s="149">
        <f t="shared" si="5"/>
        <v>0</v>
      </c>
      <c r="I93" s="149">
        <f t="shared" si="6"/>
        <v>0</v>
      </c>
      <c r="J93" s="149">
        <f t="shared" si="7"/>
        <v>0</v>
      </c>
      <c r="K93" s="149">
        <f t="shared" si="8"/>
        <v>0</v>
      </c>
      <c r="L93" s="148"/>
    </row>
    <row r="94" spans="1:12">
      <c r="A94" s="148">
        <v>31</v>
      </c>
      <c r="B94" s="149">
        <f t="shared" si="1"/>
        <v>0</v>
      </c>
      <c r="C94" s="149">
        <f t="shared" si="2"/>
        <v>0</v>
      </c>
      <c r="D94" s="149">
        <f t="shared" si="3"/>
        <v>0</v>
      </c>
      <c r="E94" s="149">
        <f t="shared" si="4"/>
        <v>0</v>
      </c>
      <c r="F94" s="148"/>
      <c r="G94" s="148">
        <v>31</v>
      </c>
      <c r="H94" s="149">
        <f t="shared" si="5"/>
        <v>0</v>
      </c>
      <c r="I94" s="149">
        <f t="shared" si="6"/>
        <v>0</v>
      </c>
      <c r="J94" s="149">
        <f t="shared" si="7"/>
        <v>0</v>
      </c>
      <c r="K94" s="149">
        <f t="shared" si="8"/>
        <v>0</v>
      </c>
      <c r="L94" s="148"/>
    </row>
    <row r="95" spans="1:12">
      <c r="A95" s="148">
        <v>32</v>
      </c>
      <c r="B95" s="149">
        <f t="shared" si="1"/>
        <v>0</v>
      </c>
      <c r="C95" s="149">
        <f t="shared" si="2"/>
        <v>0</v>
      </c>
      <c r="D95" s="149">
        <f t="shared" si="3"/>
        <v>0</v>
      </c>
      <c r="E95" s="149">
        <f t="shared" si="4"/>
        <v>0</v>
      </c>
      <c r="F95" s="148"/>
      <c r="G95" s="148">
        <v>32</v>
      </c>
      <c r="H95" s="149">
        <f t="shared" si="5"/>
        <v>0</v>
      </c>
      <c r="I95" s="149">
        <f t="shared" si="6"/>
        <v>0</v>
      </c>
      <c r="J95" s="149">
        <f t="shared" si="7"/>
        <v>0</v>
      </c>
      <c r="K95" s="149">
        <f t="shared" si="8"/>
        <v>0</v>
      </c>
      <c r="L95" s="148"/>
    </row>
    <row r="96" spans="1:12">
      <c r="A96" s="148">
        <v>33</v>
      </c>
      <c r="B96" s="149">
        <f t="shared" si="1"/>
        <v>0</v>
      </c>
      <c r="C96" s="149">
        <f t="shared" si="2"/>
        <v>0</v>
      </c>
      <c r="D96" s="149">
        <f t="shared" si="3"/>
        <v>0</v>
      </c>
      <c r="E96" s="149">
        <f t="shared" si="4"/>
        <v>0</v>
      </c>
      <c r="F96" s="148"/>
      <c r="G96" s="148">
        <v>33</v>
      </c>
      <c r="H96" s="149">
        <f t="shared" si="5"/>
        <v>0</v>
      </c>
      <c r="I96" s="149">
        <f t="shared" si="6"/>
        <v>0</v>
      </c>
      <c r="J96" s="149">
        <f t="shared" si="7"/>
        <v>0</v>
      </c>
      <c r="K96" s="149">
        <f t="shared" si="8"/>
        <v>0</v>
      </c>
      <c r="L96" s="148"/>
    </row>
    <row r="97" spans="1:12">
      <c r="A97" s="148">
        <v>34</v>
      </c>
      <c r="B97" s="149">
        <f t="shared" si="1"/>
        <v>0</v>
      </c>
      <c r="C97" s="149">
        <f t="shared" si="2"/>
        <v>0</v>
      </c>
      <c r="D97" s="149">
        <f t="shared" si="3"/>
        <v>0</v>
      </c>
      <c r="E97" s="149">
        <f t="shared" si="4"/>
        <v>0</v>
      </c>
      <c r="F97" s="148"/>
      <c r="G97" s="148">
        <v>34</v>
      </c>
      <c r="H97" s="149">
        <f t="shared" si="5"/>
        <v>0</v>
      </c>
      <c r="I97" s="149">
        <f t="shared" si="6"/>
        <v>0</v>
      </c>
      <c r="J97" s="149">
        <f t="shared" si="7"/>
        <v>0</v>
      </c>
      <c r="K97" s="149">
        <f t="shared" si="8"/>
        <v>0</v>
      </c>
      <c r="L97" s="148"/>
    </row>
    <row r="98" spans="1:12">
      <c r="A98" s="148">
        <v>35</v>
      </c>
      <c r="B98" s="149">
        <f t="shared" si="1"/>
        <v>0</v>
      </c>
      <c r="C98" s="149">
        <f t="shared" si="2"/>
        <v>0</v>
      </c>
      <c r="D98" s="149">
        <f t="shared" si="3"/>
        <v>0</v>
      </c>
      <c r="E98" s="149">
        <f t="shared" si="4"/>
        <v>0</v>
      </c>
      <c r="F98" s="148"/>
      <c r="G98" s="148">
        <v>35</v>
      </c>
      <c r="H98" s="149">
        <f t="shared" si="5"/>
        <v>0</v>
      </c>
      <c r="I98" s="149">
        <f t="shared" si="6"/>
        <v>0</v>
      </c>
      <c r="J98" s="149">
        <f t="shared" si="7"/>
        <v>0</v>
      </c>
      <c r="K98" s="149">
        <f t="shared" si="8"/>
        <v>0</v>
      </c>
      <c r="L98" s="148"/>
    </row>
    <row r="99" spans="1:12">
      <c r="A99" s="148">
        <v>36</v>
      </c>
      <c r="B99" s="149">
        <f t="shared" si="1"/>
        <v>0</v>
      </c>
      <c r="C99" s="149">
        <f t="shared" si="2"/>
        <v>0</v>
      </c>
      <c r="D99" s="149">
        <f t="shared" si="3"/>
        <v>0</v>
      </c>
      <c r="E99" s="149">
        <f t="shared" si="4"/>
        <v>0</v>
      </c>
      <c r="F99" s="148">
        <v>3</v>
      </c>
      <c r="G99" s="148">
        <v>36</v>
      </c>
      <c r="H99" s="149">
        <f t="shared" si="5"/>
        <v>0</v>
      </c>
      <c r="I99" s="149">
        <f t="shared" si="6"/>
        <v>0</v>
      </c>
      <c r="J99" s="149">
        <f t="shared" si="7"/>
        <v>0</v>
      </c>
      <c r="K99" s="149">
        <f t="shared" si="8"/>
        <v>0</v>
      </c>
      <c r="L99" s="148">
        <v>3</v>
      </c>
    </row>
    <row r="100" spans="1:12">
      <c r="A100" s="148">
        <v>37</v>
      </c>
      <c r="B100" s="149">
        <f t="shared" si="1"/>
        <v>0</v>
      </c>
      <c r="C100" s="149">
        <f t="shared" si="2"/>
        <v>0</v>
      </c>
      <c r="D100" s="149">
        <f t="shared" si="3"/>
        <v>0</v>
      </c>
      <c r="E100" s="149">
        <f t="shared" si="4"/>
        <v>0</v>
      </c>
      <c r="F100" s="148"/>
      <c r="G100" s="148">
        <v>37</v>
      </c>
      <c r="H100" s="149">
        <f t="shared" si="5"/>
        <v>0</v>
      </c>
      <c r="I100" s="149">
        <f t="shared" si="6"/>
        <v>0</v>
      </c>
      <c r="J100" s="149">
        <f t="shared" si="7"/>
        <v>0</v>
      </c>
      <c r="K100" s="149">
        <f t="shared" si="8"/>
        <v>0</v>
      </c>
      <c r="L100" s="148"/>
    </row>
    <row r="101" spans="1:12">
      <c r="A101" s="148">
        <v>38</v>
      </c>
      <c r="B101" s="149">
        <f t="shared" si="1"/>
        <v>0</v>
      </c>
      <c r="C101" s="149">
        <f t="shared" si="2"/>
        <v>0</v>
      </c>
      <c r="D101" s="149">
        <f t="shared" si="3"/>
        <v>0</v>
      </c>
      <c r="E101" s="149">
        <f t="shared" si="4"/>
        <v>0</v>
      </c>
      <c r="F101" s="148"/>
      <c r="G101" s="148">
        <v>38</v>
      </c>
      <c r="H101" s="149">
        <f t="shared" si="5"/>
        <v>0</v>
      </c>
      <c r="I101" s="149">
        <f t="shared" si="6"/>
        <v>0</v>
      </c>
      <c r="J101" s="149">
        <f t="shared" si="7"/>
        <v>0</v>
      </c>
      <c r="K101" s="149">
        <f t="shared" si="8"/>
        <v>0</v>
      </c>
      <c r="L101" s="148"/>
    </row>
    <row r="102" spans="1:12">
      <c r="A102" s="148">
        <v>39</v>
      </c>
      <c r="B102" s="149">
        <f t="shared" si="1"/>
        <v>0</v>
      </c>
      <c r="C102" s="149">
        <f t="shared" si="2"/>
        <v>0</v>
      </c>
      <c r="D102" s="149">
        <f t="shared" si="3"/>
        <v>0</v>
      </c>
      <c r="E102" s="149">
        <f t="shared" si="4"/>
        <v>0</v>
      </c>
      <c r="F102" s="148"/>
      <c r="G102" s="148">
        <v>39</v>
      </c>
      <c r="H102" s="149">
        <f t="shared" si="5"/>
        <v>0</v>
      </c>
      <c r="I102" s="149">
        <f t="shared" si="6"/>
        <v>0</v>
      </c>
      <c r="J102" s="149">
        <f t="shared" si="7"/>
        <v>0</v>
      </c>
      <c r="K102" s="149">
        <f t="shared" si="8"/>
        <v>0</v>
      </c>
      <c r="L102" s="148"/>
    </row>
    <row r="103" spans="1:12">
      <c r="A103" s="148">
        <v>40</v>
      </c>
      <c r="B103" s="149">
        <f t="shared" si="1"/>
        <v>0</v>
      </c>
      <c r="C103" s="149">
        <f t="shared" si="2"/>
        <v>0</v>
      </c>
      <c r="D103" s="149">
        <f t="shared" si="3"/>
        <v>0</v>
      </c>
      <c r="E103" s="149">
        <f t="shared" si="4"/>
        <v>0</v>
      </c>
      <c r="F103" s="148"/>
      <c r="G103" s="148">
        <v>40</v>
      </c>
      <c r="H103" s="149">
        <f t="shared" si="5"/>
        <v>0</v>
      </c>
      <c r="I103" s="149">
        <f t="shared" si="6"/>
        <v>0</v>
      </c>
      <c r="J103" s="149">
        <f t="shared" si="7"/>
        <v>0</v>
      </c>
      <c r="K103" s="149">
        <f t="shared" si="8"/>
        <v>0</v>
      </c>
      <c r="L103" s="148"/>
    </row>
    <row r="104" spans="1:12">
      <c r="A104" s="148">
        <v>41</v>
      </c>
      <c r="B104" s="149">
        <f t="shared" si="1"/>
        <v>0</v>
      </c>
      <c r="C104" s="149">
        <f t="shared" si="2"/>
        <v>0</v>
      </c>
      <c r="D104" s="149">
        <f t="shared" si="3"/>
        <v>0</v>
      </c>
      <c r="E104" s="149">
        <f t="shared" si="4"/>
        <v>0</v>
      </c>
      <c r="F104" s="148"/>
      <c r="G104" s="148">
        <v>41</v>
      </c>
      <c r="H104" s="149">
        <f t="shared" si="5"/>
        <v>0</v>
      </c>
      <c r="I104" s="149">
        <f t="shared" si="6"/>
        <v>0</v>
      </c>
      <c r="J104" s="149">
        <f t="shared" si="7"/>
        <v>0</v>
      </c>
      <c r="K104" s="149">
        <f t="shared" si="8"/>
        <v>0</v>
      </c>
      <c r="L104" s="148"/>
    </row>
    <row r="105" spans="1:12">
      <c r="A105" s="148">
        <v>42</v>
      </c>
      <c r="B105" s="149">
        <f t="shared" si="1"/>
        <v>0</v>
      </c>
      <c r="C105" s="149">
        <f t="shared" si="2"/>
        <v>0</v>
      </c>
      <c r="D105" s="149">
        <f t="shared" si="3"/>
        <v>0</v>
      </c>
      <c r="E105" s="149">
        <f t="shared" si="4"/>
        <v>0</v>
      </c>
      <c r="F105" s="148"/>
      <c r="G105" s="148">
        <v>42</v>
      </c>
      <c r="H105" s="149">
        <f t="shared" si="5"/>
        <v>0</v>
      </c>
      <c r="I105" s="149">
        <f t="shared" si="6"/>
        <v>0</v>
      </c>
      <c r="J105" s="149">
        <f t="shared" si="7"/>
        <v>0</v>
      </c>
      <c r="K105" s="149">
        <f t="shared" si="8"/>
        <v>0</v>
      </c>
      <c r="L105" s="148"/>
    </row>
    <row r="106" spans="1:12">
      <c r="A106" s="148">
        <v>43</v>
      </c>
      <c r="B106" s="149">
        <f t="shared" si="1"/>
        <v>0</v>
      </c>
      <c r="C106" s="149">
        <f t="shared" si="2"/>
        <v>0</v>
      </c>
      <c r="D106" s="149">
        <f t="shared" si="3"/>
        <v>0</v>
      </c>
      <c r="E106" s="149">
        <f t="shared" si="4"/>
        <v>0</v>
      </c>
      <c r="F106" s="148"/>
      <c r="G106" s="148">
        <v>43</v>
      </c>
      <c r="H106" s="149">
        <f t="shared" si="5"/>
        <v>0</v>
      </c>
      <c r="I106" s="149">
        <f t="shared" si="6"/>
        <v>0</v>
      </c>
      <c r="J106" s="149">
        <f t="shared" si="7"/>
        <v>0</v>
      </c>
      <c r="K106" s="149">
        <f t="shared" si="8"/>
        <v>0</v>
      </c>
      <c r="L106" s="148"/>
    </row>
    <row r="107" spans="1:12">
      <c r="A107" s="148">
        <v>44</v>
      </c>
      <c r="B107" s="149">
        <f t="shared" si="1"/>
        <v>0</v>
      </c>
      <c r="C107" s="149">
        <f t="shared" si="2"/>
        <v>0</v>
      </c>
      <c r="D107" s="149">
        <f t="shared" si="3"/>
        <v>0</v>
      </c>
      <c r="E107" s="149">
        <f t="shared" si="4"/>
        <v>0</v>
      </c>
      <c r="F107" s="148"/>
      <c r="G107" s="148">
        <v>44</v>
      </c>
      <c r="H107" s="149">
        <f t="shared" si="5"/>
        <v>0</v>
      </c>
      <c r="I107" s="149">
        <f t="shared" si="6"/>
        <v>0</v>
      </c>
      <c r="J107" s="149">
        <f t="shared" si="7"/>
        <v>0</v>
      </c>
      <c r="K107" s="149">
        <f t="shared" si="8"/>
        <v>0</v>
      </c>
      <c r="L107" s="148"/>
    </row>
    <row r="108" spans="1:12">
      <c r="A108" s="148">
        <v>45</v>
      </c>
      <c r="B108" s="149">
        <f t="shared" si="1"/>
        <v>0</v>
      </c>
      <c r="C108" s="149">
        <f t="shared" si="2"/>
        <v>0</v>
      </c>
      <c r="D108" s="149">
        <f t="shared" si="3"/>
        <v>0</v>
      </c>
      <c r="E108" s="149">
        <f t="shared" si="4"/>
        <v>0</v>
      </c>
      <c r="F108" s="148"/>
      <c r="G108" s="148">
        <v>45</v>
      </c>
      <c r="H108" s="149">
        <f t="shared" si="5"/>
        <v>0</v>
      </c>
      <c r="I108" s="149">
        <f t="shared" si="6"/>
        <v>0</v>
      </c>
      <c r="J108" s="149">
        <f t="shared" si="7"/>
        <v>0</v>
      </c>
      <c r="K108" s="149">
        <f t="shared" si="8"/>
        <v>0</v>
      </c>
      <c r="L108" s="148"/>
    </row>
    <row r="109" spans="1:12">
      <c r="A109" s="148">
        <v>46</v>
      </c>
      <c r="B109" s="149">
        <f t="shared" si="1"/>
        <v>0</v>
      </c>
      <c r="C109" s="149">
        <f t="shared" si="2"/>
        <v>0</v>
      </c>
      <c r="D109" s="149">
        <f t="shared" si="3"/>
        <v>0</v>
      </c>
      <c r="E109" s="149">
        <f t="shared" si="4"/>
        <v>0</v>
      </c>
      <c r="F109" s="148"/>
      <c r="G109" s="148">
        <v>46</v>
      </c>
      <c r="H109" s="149">
        <f t="shared" si="5"/>
        <v>0</v>
      </c>
      <c r="I109" s="149">
        <f t="shared" si="6"/>
        <v>0</v>
      </c>
      <c r="J109" s="149">
        <f t="shared" si="7"/>
        <v>0</v>
      </c>
      <c r="K109" s="149">
        <f t="shared" si="8"/>
        <v>0</v>
      </c>
      <c r="L109" s="148"/>
    </row>
    <row r="110" spans="1:12">
      <c r="A110" s="148">
        <v>47</v>
      </c>
      <c r="B110" s="149">
        <f t="shared" si="1"/>
        <v>0</v>
      </c>
      <c r="C110" s="149">
        <f t="shared" si="2"/>
        <v>0</v>
      </c>
      <c r="D110" s="149">
        <f t="shared" si="3"/>
        <v>0</v>
      </c>
      <c r="E110" s="149">
        <f t="shared" si="4"/>
        <v>0</v>
      </c>
      <c r="F110" s="148"/>
      <c r="G110" s="148">
        <v>47</v>
      </c>
      <c r="H110" s="149">
        <f t="shared" si="5"/>
        <v>0</v>
      </c>
      <c r="I110" s="149">
        <f t="shared" si="6"/>
        <v>0</v>
      </c>
      <c r="J110" s="149">
        <f t="shared" si="7"/>
        <v>0</v>
      </c>
      <c r="K110" s="149">
        <f t="shared" si="8"/>
        <v>0</v>
      </c>
      <c r="L110" s="148"/>
    </row>
    <row r="111" spans="1:12">
      <c r="A111" s="148">
        <v>48</v>
      </c>
      <c r="B111" s="149">
        <f t="shared" si="1"/>
        <v>0</v>
      </c>
      <c r="C111" s="149">
        <f t="shared" si="2"/>
        <v>0</v>
      </c>
      <c r="D111" s="149">
        <f t="shared" si="3"/>
        <v>0</v>
      </c>
      <c r="E111" s="149">
        <f t="shared" si="4"/>
        <v>0</v>
      </c>
      <c r="F111" s="148">
        <v>4</v>
      </c>
      <c r="G111" s="148">
        <v>48</v>
      </c>
      <c r="H111" s="149">
        <f t="shared" si="5"/>
        <v>0</v>
      </c>
      <c r="I111" s="149">
        <f t="shared" si="6"/>
        <v>0</v>
      </c>
      <c r="J111" s="149">
        <f t="shared" si="7"/>
        <v>0</v>
      </c>
      <c r="K111" s="149">
        <f t="shared" si="8"/>
        <v>0</v>
      </c>
      <c r="L111" s="148">
        <v>4</v>
      </c>
    </row>
    <row r="112" spans="1:12">
      <c r="A112" s="148">
        <v>49</v>
      </c>
      <c r="B112" s="149">
        <f t="shared" si="1"/>
        <v>0</v>
      </c>
      <c r="C112" s="149">
        <f t="shared" si="2"/>
        <v>0</v>
      </c>
      <c r="D112" s="149">
        <f t="shared" si="3"/>
        <v>0</v>
      </c>
      <c r="E112" s="149">
        <f t="shared" si="4"/>
        <v>0</v>
      </c>
      <c r="F112" s="148"/>
      <c r="G112" s="148">
        <v>49</v>
      </c>
      <c r="H112" s="149">
        <f t="shared" si="5"/>
        <v>0</v>
      </c>
      <c r="I112" s="149">
        <f t="shared" si="6"/>
        <v>0</v>
      </c>
      <c r="J112" s="149">
        <f t="shared" si="7"/>
        <v>0</v>
      </c>
      <c r="K112" s="149">
        <f t="shared" si="8"/>
        <v>0</v>
      </c>
      <c r="L112" s="148"/>
    </row>
    <row r="113" spans="1:12">
      <c r="A113" s="148">
        <v>50</v>
      </c>
      <c r="B113" s="149">
        <f t="shared" si="1"/>
        <v>0</v>
      </c>
      <c r="C113" s="149">
        <f t="shared" si="2"/>
        <v>0</v>
      </c>
      <c r="D113" s="149">
        <f t="shared" si="3"/>
        <v>0</v>
      </c>
      <c r="E113" s="149">
        <f t="shared" si="4"/>
        <v>0</v>
      </c>
      <c r="F113" s="148"/>
      <c r="G113" s="148">
        <v>50</v>
      </c>
      <c r="H113" s="149">
        <f t="shared" si="5"/>
        <v>0</v>
      </c>
      <c r="I113" s="149">
        <f t="shared" si="6"/>
        <v>0</v>
      </c>
      <c r="J113" s="149">
        <f t="shared" si="7"/>
        <v>0</v>
      </c>
      <c r="K113" s="149">
        <f t="shared" si="8"/>
        <v>0</v>
      </c>
      <c r="L113" s="148"/>
    </row>
    <row r="114" spans="1:12">
      <c r="A114" s="148">
        <v>51</v>
      </c>
      <c r="B114" s="149">
        <f t="shared" si="1"/>
        <v>0</v>
      </c>
      <c r="C114" s="149">
        <f t="shared" si="2"/>
        <v>0</v>
      </c>
      <c r="D114" s="149">
        <f t="shared" si="3"/>
        <v>0</v>
      </c>
      <c r="E114" s="149">
        <f t="shared" si="4"/>
        <v>0</v>
      </c>
      <c r="F114" s="148"/>
      <c r="G114" s="148">
        <v>51</v>
      </c>
      <c r="H114" s="149">
        <f t="shared" si="5"/>
        <v>0</v>
      </c>
      <c r="I114" s="149">
        <f t="shared" si="6"/>
        <v>0</v>
      </c>
      <c r="J114" s="149">
        <f t="shared" si="7"/>
        <v>0</v>
      </c>
      <c r="K114" s="149">
        <f t="shared" si="8"/>
        <v>0</v>
      </c>
      <c r="L114" s="148"/>
    </row>
    <row r="115" spans="1:12">
      <c r="A115" s="148">
        <v>52</v>
      </c>
      <c r="B115" s="149">
        <f t="shared" si="1"/>
        <v>0</v>
      </c>
      <c r="C115" s="149">
        <f t="shared" si="2"/>
        <v>0</v>
      </c>
      <c r="D115" s="149">
        <f t="shared" si="3"/>
        <v>0</v>
      </c>
      <c r="E115" s="149">
        <f t="shared" si="4"/>
        <v>0</v>
      </c>
      <c r="F115" s="148"/>
      <c r="G115" s="148">
        <v>52</v>
      </c>
      <c r="H115" s="149">
        <f t="shared" si="5"/>
        <v>0</v>
      </c>
      <c r="I115" s="149">
        <f t="shared" si="6"/>
        <v>0</v>
      </c>
      <c r="J115" s="149">
        <f t="shared" si="7"/>
        <v>0</v>
      </c>
      <c r="K115" s="149">
        <f t="shared" si="8"/>
        <v>0</v>
      </c>
      <c r="L115" s="148"/>
    </row>
    <row r="116" spans="1:12">
      <c r="A116" s="148">
        <v>53</v>
      </c>
      <c r="B116" s="149">
        <f t="shared" si="1"/>
        <v>0</v>
      </c>
      <c r="C116" s="149">
        <f t="shared" si="2"/>
        <v>0</v>
      </c>
      <c r="D116" s="149">
        <f t="shared" si="3"/>
        <v>0</v>
      </c>
      <c r="E116" s="149">
        <f t="shared" si="4"/>
        <v>0</v>
      </c>
      <c r="F116" s="148"/>
      <c r="G116" s="148">
        <v>53</v>
      </c>
      <c r="H116" s="149">
        <f t="shared" si="5"/>
        <v>0</v>
      </c>
      <c r="I116" s="149">
        <f t="shared" si="6"/>
        <v>0</v>
      </c>
      <c r="J116" s="149">
        <f t="shared" si="7"/>
        <v>0</v>
      </c>
      <c r="K116" s="149">
        <f t="shared" si="8"/>
        <v>0</v>
      </c>
      <c r="L116" s="148"/>
    </row>
    <row r="117" spans="1:12">
      <c r="A117" s="148">
        <v>54</v>
      </c>
      <c r="B117" s="149">
        <f t="shared" si="1"/>
        <v>0</v>
      </c>
      <c r="C117" s="149">
        <f t="shared" si="2"/>
        <v>0</v>
      </c>
      <c r="D117" s="149">
        <f t="shared" si="3"/>
        <v>0</v>
      </c>
      <c r="E117" s="149">
        <f t="shared" si="4"/>
        <v>0</v>
      </c>
      <c r="F117" s="148"/>
      <c r="G117" s="148">
        <v>54</v>
      </c>
      <c r="H117" s="149">
        <f t="shared" si="5"/>
        <v>0</v>
      </c>
      <c r="I117" s="149">
        <f t="shared" si="6"/>
        <v>0</v>
      </c>
      <c r="J117" s="149">
        <f t="shared" si="7"/>
        <v>0</v>
      </c>
      <c r="K117" s="149">
        <f t="shared" si="8"/>
        <v>0</v>
      </c>
      <c r="L117" s="148"/>
    </row>
    <row r="118" spans="1:12">
      <c r="A118" s="148">
        <v>55</v>
      </c>
      <c r="B118" s="149">
        <f t="shared" si="1"/>
        <v>0</v>
      </c>
      <c r="C118" s="149">
        <f t="shared" si="2"/>
        <v>0</v>
      </c>
      <c r="D118" s="149">
        <f t="shared" si="3"/>
        <v>0</v>
      </c>
      <c r="E118" s="149">
        <f t="shared" si="4"/>
        <v>0</v>
      </c>
      <c r="F118" s="148"/>
      <c r="G118" s="148">
        <v>55</v>
      </c>
      <c r="H118" s="149">
        <f t="shared" si="5"/>
        <v>0</v>
      </c>
      <c r="I118" s="149">
        <f t="shared" si="6"/>
        <v>0</v>
      </c>
      <c r="J118" s="149">
        <f t="shared" si="7"/>
        <v>0</v>
      </c>
      <c r="K118" s="149">
        <f t="shared" si="8"/>
        <v>0</v>
      </c>
      <c r="L118" s="148"/>
    </row>
    <row r="119" spans="1:12">
      <c r="A119" s="148">
        <v>56</v>
      </c>
      <c r="B119" s="149">
        <f t="shared" si="1"/>
        <v>0</v>
      </c>
      <c r="C119" s="149">
        <f t="shared" si="2"/>
        <v>0</v>
      </c>
      <c r="D119" s="149">
        <f t="shared" si="3"/>
        <v>0</v>
      </c>
      <c r="E119" s="149">
        <f t="shared" si="4"/>
        <v>0</v>
      </c>
      <c r="F119" s="148"/>
      <c r="G119" s="148">
        <v>56</v>
      </c>
      <c r="H119" s="149">
        <f t="shared" si="5"/>
        <v>0</v>
      </c>
      <c r="I119" s="149">
        <f t="shared" si="6"/>
        <v>0</v>
      </c>
      <c r="J119" s="149">
        <f t="shared" si="7"/>
        <v>0</v>
      </c>
      <c r="K119" s="149">
        <f t="shared" si="8"/>
        <v>0</v>
      </c>
      <c r="L119" s="148"/>
    </row>
    <row r="120" spans="1:12">
      <c r="A120" s="148">
        <v>57</v>
      </c>
      <c r="B120" s="149">
        <f t="shared" si="1"/>
        <v>0</v>
      </c>
      <c r="C120" s="149">
        <f t="shared" si="2"/>
        <v>0</v>
      </c>
      <c r="D120" s="149">
        <f t="shared" si="3"/>
        <v>0</v>
      </c>
      <c r="E120" s="149">
        <f t="shared" si="4"/>
        <v>0</v>
      </c>
      <c r="F120" s="148"/>
      <c r="G120" s="148">
        <v>57</v>
      </c>
      <c r="H120" s="149">
        <f t="shared" si="5"/>
        <v>0</v>
      </c>
      <c r="I120" s="149">
        <f t="shared" si="6"/>
        <v>0</v>
      </c>
      <c r="J120" s="149">
        <f t="shared" si="7"/>
        <v>0</v>
      </c>
      <c r="K120" s="149">
        <f t="shared" si="8"/>
        <v>0</v>
      </c>
      <c r="L120" s="148"/>
    </row>
    <row r="121" spans="1:12">
      <c r="A121" s="148">
        <v>58</v>
      </c>
      <c r="B121" s="149">
        <f t="shared" si="1"/>
        <v>0</v>
      </c>
      <c r="C121" s="149">
        <f t="shared" si="2"/>
        <v>0</v>
      </c>
      <c r="D121" s="149">
        <f t="shared" si="3"/>
        <v>0</v>
      </c>
      <c r="E121" s="149">
        <f t="shared" si="4"/>
        <v>0</v>
      </c>
      <c r="F121" s="148"/>
      <c r="G121" s="148">
        <v>58</v>
      </c>
      <c r="H121" s="149">
        <f t="shared" si="5"/>
        <v>0</v>
      </c>
      <c r="I121" s="149">
        <f t="shared" si="6"/>
        <v>0</v>
      </c>
      <c r="J121" s="149">
        <f t="shared" si="7"/>
        <v>0</v>
      </c>
      <c r="K121" s="149">
        <f t="shared" si="8"/>
        <v>0</v>
      </c>
      <c r="L121" s="148"/>
    </row>
    <row r="122" spans="1:12">
      <c r="A122" s="148">
        <v>59</v>
      </c>
      <c r="B122" s="149">
        <f t="shared" si="1"/>
        <v>0</v>
      </c>
      <c r="C122" s="149">
        <f t="shared" si="2"/>
        <v>0</v>
      </c>
      <c r="D122" s="149">
        <f t="shared" si="3"/>
        <v>0</v>
      </c>
      <c r="E122" s="149">
        <f t="shared" si="4"/>
        <v>0</v>
      </c>
      <c r="F122" s="148"/>
      <c r="G122" s="148">
        <v>59</v>
      </c>
      <c r="H122" s="149">
        <f t="shared" si="5"/>
        <v>0</v>
      </c>
      <c r="I122" s="149">
        <f t="shared" si="6"/>
        <v>0</v>
      </c>
      <c r="J122" s="149">
        <f t="shared" si="7"/>
        <v>0</v>
      </c>
      <c r="K122" s="149">
        <f t="shared" si="8"/>
        <v>0</v>
      </c>
      <c r="L122" s="148"/>
    </row>
    <row r="123" spans="1:12">
      <c r="A123" s="148">
        <v>60</v>
      </c>
      <c r="B123" s="149">
        <f t="shared" si="1"/>
        <v>0</v>
      </c>
      <c r="C123" s="149">
        <f t="shared" si="2"/>
        <v>0</v>
      </c>
      <c r="D123" s="149">
        <f t="shared" si="3"/>
        <v>0</v>
      </c>
      <c r="E123" s="149">
        <f t="shared" si="4"/>
        <v>0</v>
      </c>
      <c r="F123" s="148"/>
      <c r="G123" s="148">
        <v>60</v>
      </c>
      <c r="H123" s="149">
        <f t="shared" si="5"/>
        <v>0</v>
      </c>
      <c r="I123" s="149">
        <f t="shared" si="6"/>
        <v>0</v>
      </c>
      <c r="J123" s="149">
        <f t="shared" si="7"/>
        <v>0</v>
      </c>
      <c r="K123" s="149">
        <f t="shared" si="8"/>
        <v>0</v>
      </c>
      <c r="L123" s="148"/>
    </row>
    <row r="124" spans="1:12">
      <c r="A124" s="148">
        <v>61</v>
      </c>
      <c r="B124" s="149">
        <f t="shared" si="1"/>
        <v>0</v>
      </c>
      <c r="C124" s="149">
        <f t="shared" si="2"/>
        <v>0</v>
      </c>
      <c r="D124" s="149">
        <f t="shared" si="3"/>
        <v>0</v>
      </c>
      <c r="E124" s="149">
        <f t="shared" si="4"/>
        <v>0</v>
      </c>
      <c r="F124" s="148"/>
      <c r="G124" s="148">
        <v>61</v>
      </c>
      <c r="H124" s="149">
        <f t="shared" si="5"/>
        <v>0</v>
      </c>
      <c r="I124" s="149">
        <f t="shared" si="6"/>
        <v>0</v>
      </c>
      <c r="J124" s="149">
        <f t="shared" si="7"/>
        <v>0</v>
      </c>
      <c r="K124" s="149">
        <f t="shared" si="8"/>
        <v>0</v>
      </c>
      <c r="L124" s="148"/>
    </row>
    <row r="125" spans="1:12">
      <c r="A125" s="148">
        <v>62</v>
      </c>
      <c r="B125" s="149">
        <f t="shared" si="1"/>
        <v>0</v>
      </c>
      <c r="C125" s="149">
        <f t="shared" si="2"/>
        <v>0</v>
      </c>
      <c r="D125" s="149">
        <f t="shared" si="3"/>
        <v>0</v>
      </c>
      <c r="E125" s="149">
        <f t="shared" si="4"/>
        <v>0</v>
      </c>
      <c r="F125" s="148">
        <v>5</v>
      </c>
      <c r="G125" s="148">
        <v>62</v>
      </c>
      <c r="H125" s="149">
        <f t="shared" si="5"/>
        <v>0</v>
      </c>
      <c r="I125" s="149">
        <f t="shared" si="6"/>
        <v>0</v>
      </c>
      <c r="J125" s="149">
        <f t="shared" si="7"/>
        <v>0</v>
      </c>
      <c r="K125" s="149">
        <f t="shared" si="8"/>
        <v>0</v>
      </c>
      <c r="L125" s="148">
        <v>5</v>
      </c>
    </row>
    <row r="126" spans="1:12">
      <c r="A126" s="148">
        <v>63</v>
      </c>
      <c r="B126" s="149">
        <f t="shared" si="1"/>
        <v>0</v>
      </c>
      <c r="C126" s="149">
        <f t="shared" si="2"/>
        <v>0</v>
      </c>
      <c r="D126" s="149">
        <f t="shared" si="3"/>
        <v>0</v>
      </c>
      <c r="E126" s="149">
        <f t="shared" si="4"/>
        <v>0</v>
      </c>
      <c r="F126" s="148"/>
      <c r="G126" s="148">
        <v>63</v>
      </c>
      <c r="H126" s="149">
        <f t="shared" si="5"/>
        <v>0</v>
      </c>
      <c r="I126" s="149">
        <f t="shared" si="6"/>
        <v>0</v>
      </c>
      <c r="J126" s="149">
        <f t="shared" si="7"/>
        <v>0</v>
      </c>
      <c r="K126" s="149">
        <f t="shared" si="8"/>
        <v>0</v>
      </c>
      <c r="L126" s="148"/>
    </row>
    <row r="127" spans="1:12">
      <c r="A127" s="148">
        <v>64</v>
      </c>
      <c r="B127" s="149">
        <f t="shared" si="1"/>
        <v>0</v>
      </c>
      <c r="C127" s="149">
        <f t="shared" si="2"/>
        <v>0</v>
      </c>
      <c r="D127" s="149">
        <f t="shared" si="3"/>
        <v>0</v>
      </c>
      <c r="E127" s="149">
        <f t="shared" si="4"/>
        <v>0</v>
      </c>
      <c r="F127" s="148"/>
      <c r="G127" s="148">
        <v>64</v>
      </c>
      <c r="H127" s="149">
        <f t="shared" si="5"/>
        <v>0</v>
      </c>
      <c r="I127" s="149">
        <f t="shared" si="6"/>
        <v>0</v>
      </c>
      <c r="J127" s="149">
        <f t="shared" si="7"/>
        <v>0</v>
      </c>
      <c r="K127" s="149">
        <f t="shared" si="8"/>
        <v>0</v>
      </c>
      <c r="L127" s="148"/>
    </row>
    <row r="128" spans="1:12">
      <c r="A128" s="148">
        <v>65</v>
      </c>
      <c r="B128" s="149">
        <f t="shared" ref="B128:B191" si="9">IF(A128&gt;12*$C$9,0,IF($C$5&gt;1500000,$D$12,$C$12))</f>
        <v>0</v>
      </c>
      <c r="C128" s="149">
        <f t="shared" ref="C128:C191" si="10">IF(A128&gt;12*$C$9,0,E127*$C$7/12)</f>
        <v>0</v>
      </c>
      <c r="D128" s="149">
        <f t="shared" ref="D128:D191" si="11">IF(A128&gt;12*$C$9,0,B128-C128)</f>
        <v>0</v>
      </c>
      <c r="E128" s="149">
        <f t="shared" ref="E128:E191" si="12">IF(A128&gt;12*$C$9,0,E127-D128)</f>
        <v>0</v>
      </c>
      <c r="F128" s="148"/>
      <c r="G128" s="148">
        <v>65</v>
      </c>
      <c r="H128" s="149">
        <f t="shared" ref="H128:H191" si="13">IF(G128&gt;12*$C$9,0,IF($C$5&gt;1500000,$E$12,0))</f>
        <v>0</v>
      </c>
      <c r="I128" s="149">
        <f t="shared" ref="I128:I191" si="14">IF(G128&gt;12*$C$9,0,K127*$C$7/12)</f>
        <v>0</v>
      </c>
      <c r="J128" s="149">
        <f t="shared" ref="J128:J191" si="15">IF(G128&gt;12*$C$9,0,H128-I128)</f>
        <v>0</v>
      </c>
      <c r="K128" s="149">
        <f t="shared" ref="K128:K191" si="16">IF(G128&gt;12*$C$9,0,K127-J128)</f>
        <v>0</v>
      </c>
      <c r="L128" s="148"/>
    </row>
    <row r="129" spans="1:12">
      <c r="A129" s="148">
        <v>66</v>
      </c>
      <c r="B129" s="149">
        <f t="shared" si="9"/>
        <v>0</v>
      </c>
      <c r="C129" s="149">
        <f t="shared" si="10"/>
        <v>0</v>
      </c>
      <c r="D129" s="149">
        <f t="shared" si="11"/>
        <v>0</v>
      </c>
      <c r="E129" s="149">
        <f t="shared" si="12"/>
        <v>0</v>
      </c>
      <c r="F129" s="148"/>
      <c r="G129" s="148">
        <v>66</v>
      </c>
      <c r="H129" s="149">
        <f t="shared" si="13"/>
        <v>0</v>
      </c>
      <c r="I129" s="149">
        <f t="shared" si="14"/>
        <v>0</v>
      </c>
      <c r="J129" s="149">
        <f t="shared" si="15"/>
        <v>0</v>
      </c>
      <c r="K129" s="149">
        <f t="shared" si="16"/>
        <v>0</v>
      </c>
      <c r="L129" s="148"/>
    </row>
    <row r="130" spans="1:12">
      <c r="A130" s="148">
        <v>67</v>
      </c>
      <c r="B130" s="149">
        <f t="shared" si="9"/>
        <v>0</v>
      </c>
      <c r="C130" s="149">
        <f t="shared" si="10"/>
        <v>0</v>
      </c>
      <c r="D130" s="149">
        <f t="shared" si="11"/>
        <v>0</v>
      </c>
      <c r="E130" s="149">
        <f t="shared" si="12"/>
        <v>0</v>
      </c>
      <c r="F130" s="148"/>
      <c r="G130" s="148">
        <v>67</v>
      </c>
      <c r="H130" s="149">
        <f t="shared" si="13"/>
        <v>0</v>
      </c>
      <c r="I130" s="149">
        <f t="shared" si="14"/>
        <v>0</v>
      </c>
      <c r="J130" s="149">
        <f t="shared" si="15"/>
        <v>0</v>
      </c>
      <c r="K130" s="149">
        <f t="shared" si="16"/>
        <v>0</v>
      </c>
      <c r="L130" s="148"/>
    </row>
    <row r="131" spans="1:12">
      <c r="A131" s="148">
        <v>68</v>
      </c>
      <c r="B131" s="149">
        <f t="shared" si="9"/>
        <v>0</v>
      </c>
      <c r="C131" s="149">
        <f t="shared" si="10"/>
        <v>0</v>
      </c>
      <c r="D131" s="149">
        <f t="shared" si="11"/>
        <v>0</v>
      </c>
      <c r="E131" s="149">
        <f t="shared" si="12"/>
        <v>0</v>
      </c>
      <c r="F131" s="148"/>
      <c r="G131" s="148">
        <v>68</v>
      </c>
      <c r="H131" s="149">
        <f t="shared" si="13"/>
        <v>0</v>
      </c>
      <c r="I131" s="149">
        <f t="shared" si="14"/>
        <v>0</v>
      </c>
      <c r="J131" s="149">
        <f t="shared" si="15"/>
        <v>0</v>
      </c>
      <c r="K131" s="149">
        <f t="shared" si="16"/>
        <v>0</v>
      </c>
      <c r="L131" s="148"/>
    </row>
    <row r="132" spans="1:12">
      <c r="A132" s="148">
        <v>69</v>
      </c>
      <c r="B132" s="149">
        <f t="shared" si="9"/>
        <v>0</v>
      </c>
      <c r="C132" s="149">
        <f t="shared" si="10"/>
        <v>0</v>
      </c>
      <c r="D132" s="149">
        <f t="shared" si="11"/>
        <v>0</v>
      </c>
      <c r="E132" s="149">
        <f t="shared" si="12"/>
        <v>0</v>
      </c>
      <c r="F132" s="148"/>
      <c r="G132" s="148">
        <v>69</v>
      </c>
      <c r="H132" s="149">
        <f t="shared" si="13"/>
        <v>0</v>
      </c>
      <c r="I132" s="149">
        <f t="shared" si="14"/>
        <v>0</v>
      </c>
      <c r="J132" s="149">
        <f t="shared" si="15"/>
        <v>0</v>
      </c>
      <c r="K132" s="149">
        <f t="shared" si="16"/>
        <v>0</v>
      </c>
      <c r="L132" s="148"/>
    </row>
    <row r="133" spans="1:12">
      <c r="A133" s="148">
        <v>70</v>
      </c>
      <c r="B133" s="149">
        <f t="shared" si="9"/>
        <v>0</v>
      </c>
      <c r="C133" s="149">
        <f t="shared" si="10"/>
        <v>0</v>
      </c>
      <c r="D133" s="149">
        <f t="shared" si="11"/>
        <v>0</v>
      </c>
      <c r="E133" s="149">
        <f t="shared" si="12"/>
        <v>0</v>
      </c>
      <c r="F133" s="148"/>
      <c r="G133" s="148">
        <v>70</v>
      </c>
      <c r="H133" s="149">
        <f t="shared" si="13"/>
        <v>0</v>
      </c>
      <c r="I133" s="149">
        <f t="shared" si="14"/>
        <v>0</v>
      </c>
      <c r="J133" s="149">
        <f t="shared" si="15"/>
        <v>0</v>
      </c>
      <c r="K133" s="149">
        <f t="shared" si="16"/>
        <v>0</v>
      </c>
      <c r="L133" s="148"/>
    </row>
    <row r="134" spans="1:12">
      <c r="A134" s="148">
        <v>71</v>
      </c>
      <c r="B134" s="149">
        <f t="shared" si="9"/>
        <v>0</v>
      </c>
      <c r="C134" s="149">
        <f t="shared" si="10"/>
        <v>0</v>
      </c>
      <c r="D134" s="149">
        <f t="shared" si="11"/>
        <v>0</v>
      </c>
      <c r="E134" s="149">
        <f t="shared" si="12"/>
        <v>0</v>
      </c>
      <c r="F134" s="148"/>
      <c r="G134" s="148">
        <v>71</v>
      </c>
      <c r="H134" s="149">
        <f t="shared" si="13"/>
        <v>0</v>
      </c>
      <c r="I134" s="149">
        <f t="shared" si="14"/>
        <v>0</v>
      </c>
      <c r="J134" s="149">
        <f t="shared" si="15"/>
        <v>0</v>
      </c>
      <c r="K134" s="149">
        <f t="shared" si="16"/>
        <v>0</v>
      </c>
      <c r="L134" s="148"/>
    </row>
    <row r="135" spans="1:12">
      <c r="A135" s="148">
        <v>72</v>
      </c>
      <c r="B135" s="149">
        <f t="shared" si="9"/>
        <v>0</v>
      </c>
      <c r="C135" s="149">
        <f t="shared" si="10"/>
        <v>0</v>
      </c>
      <c r="D135" s="149">
        <f t="shared" si="11"/>
        <v>0</v>
      </c>
      <c r="E135" s="149">
        <f t="shared" si="12"/>
        <v>0</v>
      </c>
      <c r="F135" s="148"/>
      <c r="G135" s="148">
        <v>72</v>
      </c>
      <c r="H135" s="149">
        <f t="shared" si="13"/>
        <v>0</v>
      </c>
      <c r="I135" s="149">
        <f t="shared" si="14"/>
        <v>0</v>
      </c>
      <c r="J135" s="149">
        <f t="shared" si="15"/>
        <v>0</v>
      </c>
      <c r="K135" s="149">
        <f t="shared" si="16"/>
        <v>0</v>
      </c>
      <c r="L135" s="148"/>
    </row>
    <row r="136" spans="1:12">
      <c r="A136" s="148">
        <v>73</v>
      </c>
      <c r="B136" s="149">
        <f t="shared" si="9"/>
        <v>0</v>
      </c>
      <c r="C136" s="149">
        <f t="shared" si="10"/>
        <v>0</v>
      </c>
      <c r="D136" s="149">
        <f t="shared" si="11"/>
        <v>0</v>
      </c>
      <c r="E136" s="149">
        <f t="shared" si="12"/>
        <v>0</v>
      </c>
      <c r="F136" s="148"/>
      <c r="G136" s="148">
        <v>73</v>
      </c>
      <c r="H136" s="149">
        <f t="shared" si="13"/>
        <v>0</v>
      </c>
      <c r="I136" s="149">
        <f t="shared" si="14"/>
        <v>0</v>
      </c>
      <c r="J136" s="149">
        <f t="shared" si="15"/>
        <v>0</v>
      </c>
      <c r="K136" s="149">
        <f t="shared" si="16"/>
        <v>0</v>
      </c>
      <c r="L136" s="148"/>
    </row>
    <row r="137" spans="1:12">
      <c r="A137" s="148">
        <v>74</v>
      </c>
      <c r="B137" s="149">
        <f t="shared" si="9"/>
        <v>0</v>
      </c>
      <c r="C137" s="149">
        <f t="shared" si="10"/>
        <v>0</v>
      </c>
      <c r="D137" s="149">
        <f t="shared" si="11"/>
        <v>0</v>
      </c>
      <c r="E137" s="149">
        <f t="shared" si="12"/>
        <v>0</v>
      </c>
      <c r="F137" s="148">
        <v>6</v>
      </c>
      <c r="G137" s="148">
        <v>74</v>
      </c>
      <c r="H137" s="149">
        <f t="shared" si="13"/>
        <v>0</v>
      </c>
      <c r="I137" s="149">
        <f t="shared" si="14"/>
        <v>0</v>
      </c>
      <c r="J137" s="149">
        <f t="shared" si="15"/>
        <v>0</v>
      </c>
      <c r="K137" s="149">
        <f t="shared" si="16"/>
        <v>0</v>
      </c>
      <c r="L137" s="148">
        <v>6</v>
      </c>
    </row>
    <row r="138" spans="1:12">
      <c r="A138" s="148">
        <v>75</v>
      </c>
      <c r="B138" s="149">
        <f t="shared" si="9"/>
        <v>0</v>
      </c>
      <c r="C138" s="149">
        <f t="shared" si="10"/>
        <v>0</v>
      </c>
      <c r="D138" s="149">
        <f t="shared" si="11"/>
        <v>0</v>
      </c>
      <c r="E138" s="149">
        <f t="shared" si="12"/>
        <v>0</v>
      </c>
      <c r="F138" s="148"/>
      <c r="G138" s="148">
        <v>75</v>
      </c>
      <c r="H138" s="149">
        <f t="shared" si="13"/>
        <v>0</v>
      </c>
      <c r="I138" s="149">
        <f t="shared" si="14"/>
        <v>0</v>
      </c>
      <c r="J138" s="149">
        <f t="shared" si="15"/>
        <v>0</v>
      </c>
      <c r="K138" s="149">
        <f t="shared" si="16"/>
        <v>0</v>
      </c>
      <c r="L138" s="148"/>
    </row>
    <row r="139" spans="1:12">
      <c r="A139" s="148">
        <v>76</v>
      </c>
      <c r="B139" s="149">
        <f t="shared" si="9"/>
        <v>0</v>
      </c>
      <c r="C139" s="149">
        <f t="shared" si="10"/>
        <v>0</v>
      </c>
      <c r="D139" s="149">
        <f t="shared" si="11"/>
        <v>0</v>
      </c>
      <c r="E139" s="149">
        <f t="shared" si="12"/>
        <v>0</v>
      </c>
      <c r="F139" s="148"/>
      <c r="G139" s="148">
        <v>76</v>
      </c>
      <c r="H139" s="149">
        <f t="shared" si="13"/>
        <v>0</v>
      </c>
      <c r="I139" s="149">
        <f t="shared" si="14"/>
        <v>0</v>
      </c>
      <c r="J139" s="149">
        <f t="shared" si="15"/>
        <v>0</v>
      </c>
      <c r="K139" s="149">
        <f t="shared" si="16"/>
        <v>0</v>
      </c>
      <c r="L139" s="148"/>
    </row>
    <row r="140" spans="1:12">
      <c r="A140" s="148">
        <v>77</v>
      </c>
      <c r="B140" s="149">
        <f t="shared" si="9"/>
        <v>0</v>
      </c>
      <c r="C140" s="149">
        <f t="shared" si="10"/>
        <v>0</v>
      </c>
      <c r="D140" s="149">
        <f t="shared" si="11"/>
        <v>0</v>
      </c>
      <c r="E140" s="149">
        <f t="shared" si="12"/>
        <v>0</v>
      </c>
      <c r="F140" s="148"/>
      <c r="G140" s="148">
        <v>77</v>
      </c>
      <c r="H140" s="149">
        <f t="shared" si="13"/>
        <v>0</v>
      </c>
      <c r="I140" s="149">
        <f t="shared" si="14"/>
        <v>0</v>
      </c>
      <c r="J140" s="149">
        <f t="shared" si="15"/>
        <v>0</v>
      </c>
      <c r="K140" s="149">
        <f t="shared" si="16"/>
        <v>0</v>
      </c>
      <c r="L140" s="148"/>
    </row>
    <row r="141" spans="1:12">
      <c r="A141" s="148">
        <v>78</v>
      </c>
      <c r="B141" s="149">
        <f t="shared" si="9"/>
        <v>0</v>
      </c>
      <c r="C141" s="149">
        <f t="shared" si="10"/>
        <v>0</v>
      </c>
      <c r="D141" s="149">
        <f t="shared" si="11"/>
        <v>0</v>
      </c>
      <c r="E141" s="149">
        <f t="shared" si="12"/>
        <v>0</v>
      </c>
      <c r="F141" s="148"/>
      <c r="G141" s="148">
        <v>78</v>
      </c>
      <c r="H141" s="149">
        <f t="shared" si="13"/>
        <v>0</v>
      </c>
      <c r="I141" s="149">
        <f t="shared" si="14"/>
        <v>0</v>
      </c>
      <c r="J141" s="149">
        <f t="shared" si="15"/>
        <v>0</v>
      </c>
      <c r="K141" s="149">
        <f t="shared" si="16"/>
        <v>0</v>
      </c>
      <c r="L141" s="148"/>
    </row>
    <row r="142" spans="1:12">
      <c r="A142" s="148">
        <v>79</v>
      </c>
      <c r="B142" s="149">
        <f t="shared" si="9"/>
        <v>0</v>
      </c>
      <c r="C142" s="149">
        <f t="shared" si="10"/>
        <v>0</v>
      </c>
      <c r="D142" s="149">
        <f t="shared" si="11"/>
        <v>0</v>
      </c>
      <c r="E142" s="149">
        <f t="shared" si="12"/>
        <v>0</v>
      </c>
      <c r="F142" s="148"/>
      <c r="G142" s="148">
        <v>79</v>
      </c>
      <c r="H142" s="149">
        <f t="shared" si="13"/>
        <v>0</v>
      </c>
      <c r="I142" s="149">
        <f t="shared" si="14"/>
        <v>0</v>
      </c>
      <c r="J142" s="149">
        <f t="shared" si="15"/>
        <v>0</v>
      </c>
      <c r="K142" s="149">
        <f t="shared" si="16"/>
        <v>0</v>
      </c>
      <c r="L142" s="148"/>
    </row>
    <row r="143" spans="1:12">
      <c r="A143" s="148">
        <v>80</v>
      </c>
      <c r="B143" s="149">
        <f t="shared" si="9"/>
        <v>0</v>
      </c>
      <c r="C143" s="149">
        <f t="shared" si="10"/>
        <v>0</v>
      </c>
      <c r="D143" s="149">
        <f t="shared" si="11"/>
        <v>0</v>
      </c>
      <c r="E143" s="149">
        <f t="shared" si="12"/>
        <v>0</v>
      </c>
      <c r="F143" s="148"/>
      <c r="G143" s="148">
        <v>80</v>
      </c>
      <c r="H143" s="149">
        <f t="shared" si="13"/>
        <v>0</v>
      </c>
      <c r="I143" s="149">
        <f t="shared" si="14"/>
        <v>0</v>
      </c>
      <c r="J143" s="149">
        <f t="shared" si="15"/>
        <v>0</v>
      </c>
      <c r="K143" s="149">
        <f t="shared" si="16"/>
        <v>0</v>
      </c>
      <c r="L143" s="148"/>
    </row>
    <row r="144" spans="1:12">
      <c r="A144" s="148">
        <v>81</v>
      </c>
      <c r="B144" s="149">
        <f t="shared" si="9"/>
        <v>0</v>
      </c>
      <c r="C144" s="149">
        <f t="shared" si="10"/>
        <v>0</v>
      </c>
      <c r="D144" s="149">
        <f t="shared" si="11"/>
        <v>0</v>
      </c>
      <c r="E144" s="149">
        <f t="shared" si="12"/>
        <v>0</v>
      </c>
      <c r="F144" s="148"/>
      <c r="G144" s="148">
        <v>81</v>
      </c>
      <c r="H144" s="149">
        <f t="shared" si="13"/>
        <v>0</v>
      </c>
      <c r="I144" s="149">
        <f t="shared" si="14"/>
        <v>0</v>
      </c>
      <c r="J144" s="149">
        <f t="shared" si="15"/>
        <v>0</v>
      </c>
      <c r="K144" s="149">
        <f t="shared" si="16"/>
        <v>0</v>
      </c>
      <c r="L144" s="148"/>
    </row>
    <row r="145" spans="1:12">
      <c r="A145" s="148">
        <v>82</v>
      </c>
      <c r="B145" s="149">
        <f t="shared" si="9"/>
        <v>0</v>
      </c>
      <c r="C145" s="149">
        <f t="shared" si="10"/>
        <v>0</v>
      </c>
      <c r="D145" s="149">
        <f t="shared" si="11"/>
        <v>0</v>
      </c>
      <c r="E145" s="149">
        <f t="shared" si="12"/>
        <v>0</v>
      </c>
      <c r="F145" s="148"/>
      <c r="G145" s="148">
        <v>82</v>
      </c>
      <c r="H145" s="149">
        <f t="shared" si="13"/>
        <v>0</v>
      </c>
      <c r="I145" s="149">
        <f t="shared" si="14"/>
        <v>0</v>
      </c>
      <c r="J145" s="149">
        <f t="shared" si="15"/>
        <v>0</v>
      </c>
      <c r="K145" s="149">
        <f t="shared" si="16"/>
        <v>0</v>
      </c>
      <c r="L145" s="148"/>
    </row>
    <row r="146" spans="1:12">
      <c r="A146" s="148">
        <v>83</v>
      </c>
      <c r="B146" s="149">
        <f t="shared" si="9"/>
        <v>0</v>
      </c>
      <c r="C146" s="149">
        <f t="shared" si="10"/>
        <v>0</v>
      </c>
      <c r="D146" s="149">
        <f t="shared" si="11"/>
        <v>0</v>
      </c>
      <c r="E146" s="149">
        <f t="shared" si="12"/>
        <v>0</v>
      </c>
      <c r="F146" s="148"/>
      <c r="G146" s="148">
        <v>83</v>
      </c>
      <c r="H146" s="149">
        <f t="shared" si="13"/>
        <v>0</v>
      </c>
      <c r="I146" s="149">
        <f t="shared" si="14"/>
        <v>0</v>
      </c>
      <c r="J146" s="149">
        <f t="shared" si="15"/>
        <v>0</v>
      </c>
      <c r="K146" s="149">
        <f t="shared" si="16"/>
        <v>0</v>
      </c>
      <c r="L146" s="148"/>
    </row>
    <row r="147" spans="1:12">
      <c r="A147" s="148">
        <v>84</v>
      </c>
      <c r="B147" s="149">
        <f t="shared" si="9"/>
        <v>0</v>
      </c>
      <c r="C147" s="149">
        <f t="shared" si="10"/>
        <v>0</v>
      </c>
      <c r="D147" s="149">
        <f t="shared" si="11"/>
        <v>0</v>
      </c>
      <c r="E147" s="149">
        <f t="shared" si="12"/>
        <v>0</v>
      </c>
      <c r="F147" s="148">
        <v>7</v>
      </c>
      <c r="G147" s="148">
        <v>84</v>
      </c>
      <c r="H147" s="149">
        <f t="shared" si="13"/>
        <v>0</v>
      </c>
      <c r="I147" s="149">
        <f t="shared" si="14"/>
        <v>0</v>
      </c>
      <c r="J147" s="149">
        <f t="shared" si="15"/>
        <v>0</v>
      </c>
      <c r="K147" s="149">
        <f t="shared" si="16"/>
        <v>0</v>
      </c>
      <c r="L147" s="148">
        <v>7</v>
      </c>
    </row>
    <row r="148" spans="1:12">
      <c r="A148" s="148">
        <v>85</v>
      </c>
      <c r="B148" s="149">
        <f t="shared" si="9"/>
        <v>0</v>
      </c>
      <c r="C148" s="149">
        <f t="shared" si="10"/>
        <v>0</v>
      </c>
      <c r="D148" s="149">
        <f t="shared" si="11"/>
        <v>0</v>
      </c>
      <c r="E148" s="149">
        <f t="shared" si="12"/>
        <v>0</v>
      </c>
      <c r="F148" s="148"/>
      <c r="G148" s="148">
        <v>85</v>
      </c>
      <c r="H148" s="149">
        <f t="shared" si="13"/>
        <v>0</v>
      </c>
      <c r="I148" s="149">
        <f t="shared" si="14"/>
        <v>0</v>
      </c>
      <c r="J148" s="149">
        <f t="shared" si="15"/>
        <v>0</v>
      </c>
      <c r="K148" s="149">
        <f t="shared" si="16"/>
        <v>0</v>
      </c>
      <c r="L148" s="148"/>
    </row>
    <row r="149" spans="1:12">
      <c r="A149" s="148">
        <v>86</v>
      </c>
      <c r="B149" s="149">
        <f t="shared" si="9"/>
        <v>0</v>
      </c>
      <c r="C149" s="149">
        <f t="shared" si="10"/>
        <v>0</v>
      </c>
      <c r="D149" s="149">
        <f t="shared" si="11"/>
        <v>0</v>
      </c>
      <c r="E149" s="149">
        <f t="shared" si="12"/>
        <v>0</v>
      </c>
      <c r="F149" s="148"/>
      <c r="G149" s="148">
        <v>86</v>
      </c>
      <c r="H149" s="149">
        <f t="shared" si="13"/>
        <v>0</v>
      </c>
      <c r="I149" s="149">
        <f t="shared" si="14"/>
        <v>0</v>
      </c>
      <c r="J149" s="149">
        <f t="shared" si="15"/>
        <v>0</v>
      </c>
      <c r="K149" s="149">
        <f t="shared" si="16"/>
        <v>0</v>
      </c>
      <c r="L149" s="148"/>
    </row>
    <row r="150" spans="1:12">
      <c r="A150" s="148">
        <v>87</v>
      </c>
      <c r="B150" s="149">
        <f t="shared" si="9"/>
        <v>0</v>
      </c>
      <c r="C150" s="149">
        <f t="shared" si="10"/>
        <v>0</v>
      </c>
      <c r="D150" s="149">
        <f t="shared" si="11"/>
        <v>0</v>
      </c>
      <c r="E150" s="149">
        <f t="shared" si="12"/>
        <v>0</v>
      </c>
      <c r="F150" s="148"/>
      <c r="G150" s="148">
        <v>87</v>
      </c>
      <c r="H150" s="149">
        <f t="shared" si="13"/>
        <v>0</v>
      </c>
      <c r="I150" s="149">
        <f t="shared" si="14"/>
        <v>0</v>
      </c>
      <c r="J150" s="149">
        <f t="shared" si="15"/>
        <v>0</v>
      </c>
      <c r="K150" s="149">
        <f t="shared" si="16"/>
        <v>0</v>
      </c>
      <c r="L150" s="148"/>
    </row>
    <row r="151" spans="1:12">
      <c r="A151" s="148">
        <v>88</v>
      </c>
      <c r="B151" s="149">
        <f t="shared" si="9"/>
        <v>0</v>
      </c>
      <c r="C151" s="149">
        <f t="shared" si="10"/>
        <v>0</v>
      </c>
      <c r="D151" s="149">
        <f t="shared" si="11"/>
        <v>0</v>
      </c>
      <c r="E151" s="149">
        <f t="shared" si="12"/>
        <v>0</v>
      </c>
      <c r="F151" s="148"/>
      <c r="G151" s="148">
        <v>88</v>
      </c>
      <c r="H151" s="149">
        <f t="shared" si="13"/>
        <v>0</v>
      </c>
      <c r="I151" s="149">
        <f t="shared" si="14"/>
        <v>0</v>
      </c>
      <c r="J151" s="149">
        <f t="shared" si="15"/>
        <v>0</v>
      </c>
      <c r="K151" s="149">
        <f t="shared" si="16"/>
        <v>0</v>
      </c>
      <c r="L151" s="148"/>
    </row>
    <row r="152" spans="1:12">
      <c r="A152" s="148">
        <v>89</v>
      </c>
      <c r="B152" s="149">
        <f t="shared" si="9"/>
        <v>0</v>
      </c>
      <c r="C152" s="149">
        <f t="shared" si="10"/>
        <v>0</v>
      </c>
      <c r="D152" s="149">
        <f t="shared" si="11"/>
        <v>0</v>
      </c>
      <c r="E152" s="149">
        <f t="shared" si="12"/>
        <v>0</v>
      </c>
      <c r="F152" s="148"/>
      <c r="G152" s="148">
        <v>89</v>
      </c>
      <c r="H152" s="149">
        <f t="shared" si="13"/>
        <v>0</v>
      </c>
      <c r="I152" s="149">
        <f t="shared" si="14"/>
        <v>0</v>
      </c>
      <c r="J152" s="149">
        <f t="shared" si="15"/>
        <v>0</v>
      </c>
      <c r="K152" s="149">
        <f t="shared" si="16"/>
        <v>0</v>
      </c>
      <c r="L152" s="148"/>
    </row>
    <row r="153" spans="1:12">
      <c r="A153" s="148">
        <v>90</v>
      </c>
      <c r="B153" s="149">
        <f t="shared" si="9"/>
        <v>0</v>
      </c>
      <c r="C153" s="149">
        <f t="shared" si="10"/>
        <v>0</v>
      </c>
      <c r="D153" s="149">
        <f t="shared" si="11"/>
        <v>0</v>
      </c>
      <c r="E153" s="149">
        <f t="shared" si="12"/>
        <v>0</v>
      </c>
      <c r="F153" s="148"/>
      <c r="G153" s="148">
        <v>90</v>
      </c>
      <c r="H153" s="149">
        <f t="shared" si="13"/>
        <v>0</v>
      </c>
      <c r="I153" s="149">
        <f t="shared" si="14"/>
        <v>0</v>
      </c>
      <c r="J153" s="149">
        <f t="shared" si="15"/>
        <v>0</v>
      </c>
      <c r="K153" s="149">
        <f t="shared" si="16"/>
        <v>0</v>
      </c>
      <c r="L153" s="148"/>
    </row>
    <row r="154" spans="1:12">
      <c r="A154" s="148">
        <v>91</v>
      </c>
      <c r="B154" s="149">
        <f t="shared" si="9"/>
        <v>0</v>
      </c>
      <c r="C154" s="149">
        <f t="shared" si="10"/>
        <v>0</v>
      </c>
      <c r="D154" s="149">
        <f t="shared" si="11"/>
        <v>0</v>
      </c>
      <c r="E154" s="149">
        <f t="shared" si="12"/>
        <v>0</v>
      </c>
      <c r="F154" s="148"/>
      <c r="G154" s="148">
        <v>91</v>
      </c>
      <c r="H154" s="149">
        <f t="shared" si="13"/>
        <v>0</v>
      </c>
      <c r="I154" s="149">
        <f t="shared" si="14"/>
        <v>0</v>
      </c>
      <c r="J154" s="149">
        <f t="shared" si="15"/>
        <v>0</v>
      </c>
      <c r="K154" s="149">
        <f t="shared" si="16"/>
        <v>0</v>
      </c>
      <c r="L154" s="148"/>
    </row>
    <row r="155" spans="1:12">
      <c r="A155" s="148">
        <v>92</v>
      </c>
      <c r="B155" s="149">
        <f t="shared" si="9"/>
        <v>0</v>
      </c>
      <c r="C155" s="149">
        <f t="shared" si="10"/>
        <v>0</v>
      </c>
      <c r="D155" s="149">
        <f t="shared" si="11"/>
        <v>0</v>
      </c>
      <c r="E155" s="149">
        <f t="shared" si="12"/>
        <v>0</v>
      </c>
      <c r="F155" s="148"/>
      <c r="G155" s="148">
        <v>92</v>
      </c>
      <c r="H155" s="149">
        <f t="shared" si="13"/>
        <v>0</v>
      </c>
      <c r="I155" s="149">
        <f t="shared" si="14"/>
        <v>0</v>
      </c>
      <c r="J155" s="149">
        <f t="shared" si="15"/>
        <v>0</v>
      </c>
      <c r="K155" s="149">
        <f t="shared" si="16"/>
        <v>0</v>
      </c>
      <c r="L155" s="148"/>
    </row>
    <row r="156" spans="1:12">
      <c r="A156" s="148">
        <v>93</v>
      </c>
      <c r="B156" s="149">
        <f t="shared" si="9"/>
        <v>0</v>
      </c>
      <c r="C156" s="149">
        <f t="shared" si="10"/>
        <v>0</v>
      </c>
      <c r="D156" s="149">
        <f t="shared" si="11"/>
        <v>0</v>
      </c>
      <c r="E156" s="149">
        <f t="shared" si="12"/>
        <v>0</v>
      </c>
      <c r="F156" s="148"/>
      <c r="G156" s="148">
        <v>93</v>
      </c>
      <c r="H156" s="149">
        <f t="shared" si="13"/>
        <v>0</v>
      </c>
      <c r="I156" s="149">
        <f t="shared" si="14"/>
        <v>0</v>
      </c>
      <c r="J156" s="149">
        <f t="shared" si="15"/>
        <v>0</v>
      </c>
      <c r="K156" s="149">
        <f t="shared" si="16"/>
        <v>0</v>
      </c>
      <c r="L156" s="148"/>
    </row>
    <row r="157" spans="1:12">
      <c r="A157" s="148">
        <v>94</v>
      </c>
      <c r="B157" s="149">
        <f t="shared" si="9"/>
        <v>0</v>
      </c>
      <c r="C157" s="149">
        <f t="shared" si="10"/>
        <v>0</v>
      </c>
      <c r="D157" s="149">
        <f t="shared" si="11"/>
        <v>0</v>
      </c>
      <c r="E157" s="149">
        <f t="shared" si="12"/>
        <v>0</v>
      </c>
      <c r="F157" s="148"/>
      <c r="G157" s="148">
        <v>94</v>
      </c>
      <c r="H157" s="149">
        <f t="shared" si="13"/>
        <v>0</v>
      </c>
      <c r="I157" s="149">
        <f t="shared" si="14"/>
        <v>0</v>
      </c>
      <c r="J157" s="149">
        <f t="shared" si="15"/>
        <v>0</v>
      </c>
      <c r="K157" s="149">
        <f t="shared" si="16"/>
        <v>0</v>
      </c>
      <c r="L157" s="148"/>
    </row>
    <row r="158" spans="1:12">
      <c r="A158" s="148">
        <v>95</v>
      </c>
      <c r="B158" s="149">
        <f t="shared" si="9"/>
        <v>0</v>
      </c>
      <c r="C158" s="149">
        <f t="shared" si="10"/>
        <v>0</v>
      </c>
      <c r="D158" s="149">
        <f t="shared" si="11"/>
        <v>0</v>
      </c>
      <c r="E158" s="149">
        <f t="shared" si="12"/>
        <v>0</v>
      </c>
      <c r="F158" s="148"/>
      <c r="G158" s="148">
        <v>95</v>
      </c>
      <c r="H158" s="149">
        <f t="shared" si="13"/>
        <v>0</v>
      </c>
      <c r="I158" s="149">
        <f t="shared" si="14"/>
        <v>0</v>
      </c>
      <c r="J158" s="149">
        <f t="shared" si="15"/>
        <v>0</v>
      </c>
      <c r="K158" s="149">
        <f t="shared" si="16"/>
        <v>0</v>
      </c>
      <c r="L158" s="148"/>
    </row>
    <row r="159" spans="1:12">
      <c r="A159" s="148">
        <v>96</v>
      </c>
      <c r="B159" s="149">
        <f t="shared" si="9"/>
        <v>0</v>
      </c>
      <c r="C159" s="149">
        <f t="shared" si="10"/>
        <v>0</v>
      </c>
      <c r="D159" s="149">
        <f t="shared" si="11"/>
        <v>0</v>
      </c>
      <c r="E159" s="149">
        <f t="shared" si="12"/>
        <v>0</v>
      </c>
      <c r="F159" s="148">
        <v>8</v>
      </c>
      <c r="G159" s="148">
        <v>96</v>
      </c>
      <c r="H159" s="149">
        <f t="shared" si="13"/>
        <v>0</v>
      </c>
      <c r="I159" s="149">
        <f t="shared" si="14"/>
        <v>0</v>
      </c>
      <c r="J159" s="149">
        <f t="shared" si="15"/>
        <v>0</v>
      </c>
      <c r="K159" s="149">
        <f t="shared" si="16"/>
        <v>0</v>
      </c>
      <c r="L159" s="148">
        <v>8</v>
      </c>
    </row>
    <row r="160" spans="1:12">
      <c r="A160" s="148">
        <v>97</v>
      </c>
      <c r="B160" s="149">
        <f t="shared" si="9"/>
        <v>0</v>
      </c>
      <c r="C160" s="149">
        <f t="shared" si="10"/>
        <v>0</v>
      </c>
      <c r="D160" s="149">
        <f t="shared" si="11"/>
        <v>0</v>
      </c>
      <c r="E160" s="149">
        <f t="shared" si="12"/>
        <v>0</v>
      </c>
      <c r="F160" s="148"/>
      <c r="G160" s="148">
        <v>97</v>
      </c>
      <c r="H160" s="149">
        <f t="shared" si="13"/>
        <v>0</v>
      </c>
      <c r="I160" s="149">
        <f t="shared" si="14"/>
        <v>0</v>
      </c>
      <c r="J160" s="149">
        <f t="shared" si="15"/>
        <v>0</v>
      </c>
      <c r="K160" s="149">
        <f t="shared" si="16"/>
        <v>0</v>
      </c>
      <c r="L160" s="148"/>
    </row>
    <row r="161" spans="1:12">
      <c r="A161" s="148">
        <v>98</v>
      </c>
      <c r="B161" s="149">
        <f t="shared" si="9"/>
        <v>0</v>
      </c>
      <c r="C161" s="149">
        <f t="shared" si="10"/>
        <v>0</v>
      </c>
      <c r="D161" s="149">
        <f t="shared" si="11"/>
        <v>0</v>
      </c>
      <c r="E161" s="149">
        <f t="shared" si="12"/>
        <v>0</v>
      </c>
      <c r="F161" s="148"/>
      <c r="G161" s="148">
        <v>98</v>
      </c>
      <c r="H161" s="149">
        <f t="shared" si="13"/>
        <v>0</v>
      </c>
      <c r="I161" s="149">
        <f t="shared" si="14"/>
        <v>0</v>
      </c>
      <c r="J161" s="149">
        <f t="shared" si="15"/>
        <v>0</v>
      </c>
      <c r="K161" s="149">
        <f t="shared" si="16"/>
        <v>0</v>
      </c>
      <c r="L161" s="148"/>
    </row>
    <row r="162" spans="1:12">
      <c r="A162" s="148">
        <v>99</v>
      </c>
      <c r="B162" s="149">
        <f t="shared" si="9"/>
        <v>0</v>
      </c>
      <c r="C162" s="149">
        <f t="shared" si="10"/>
        <v>0</v>
      </c>
      <c r="D162" s="149">
        <f t="shared" si="11"/>
        <v>0</v>
      </c>
      <c r="E162" s="149">
        <f t="shared" si="12"/>
        <v>0</v>
      </c>
      <c r="F162" s="148"/>
      <c r="G162" s="148">
        <v>99</v>
      </c>
      <c r="H162" s="149">
        <f t="shared" si="13"/>
        <v>0</v>
      </c>
      <c r="I162" s="149">
        <f t="shared" si="14"/>
        <v>0</v>
      </c>
      <c r="J162" s="149">
        <f t="shared" si="15"/>
        <v>0</v>
      </c>
      <c r="K162" s="149">
        <f t="shared" si="16"/>
        <v>0</v>
      </c>
      <c r="L162" s="148"/>
    </row>
    <row r="163" spans="1:12">
      <c r="A163" s="148">
        <v>100</v>
      </c>
      <c r="B163" s="149">
        <f t="shared" si="9"/>
        <v>0</v>
      </c>
      <c r="C163" s="149">
        <f t="shared" si="10"/>
        <v>0</v>
      </c>
      <c r="D163" s="149">
        <f t="shared" si="11"/>
        <v>0</v>
      </c>
      <c r="E163" s="149">
        <f t="shared" si="12"/>
        <v>0</v>
      </c>
      <c r="F163" s="148"/>
      <c r="G163" s="148">
        <v>100</v>
      </c>
      <c r="H163" s="149">
        <f t="shared" si="13"/>
        <v>0</v>
      </c>
      <c r="I163" s="149">
        <f t="shared" si="14"/>
        <v>0</v>
      </c>
      <c r="J163" s="149">
        <f t="shared" si="15"/>
        <v>0</v>
      </c>
      <c r="K163" s="149">
        <f t="shared" si="16"/>
        <v>0</v>
      </c>
      <c r="L163" s="148"/>
    </row>
    <row r="164" spans="1:12">
      <c r="A164" s="148">
        <v>101</v>
      </c>
      <c r="B164" s="149">
        <f t="shared" si="9"/>
        <v>0</v>
      </c>
      <c r="C164" s="149">
        <f t="shared" si="10"/>
        <v>0</v>
      </c>
      <c r="D164" s="149">
        <f t="shared" si="11"/>
        <v>0</v>
      </c>
      <c r="E164" s="149">
        <f t="shared" si="12"/>
        <v>0</v>
      </c>
      <c r="F164" s="148"/>
      <c r="G164" s="148">
        <v>101</v>
      </c>
      <c r="H164" s="149">
        <f t="shared" si="13"/>
        <v>0</v>
      </c>
      <c r="I164" s="149">
        <f t="shared" si="14"/>
        <v>0</v>
      </c>
      <c r="J164" s="149">
        <f t="shared" si="15"/>
        <v>0</v>
      </c>
      <c r="K164" s="149">
        <f t="shared" si="16"/>
        <v>0</v>
      </c>
      <c r="L164" s="148"/>
    </row>
    <row r="165" spans="1:12">
      <c r="A165" s="148">
        <v>102</v>
      </c>
      <c r="B165" s="149">
        <f t="shared" si="9"/>
        <v>0</v>
      </c>
      <c r="C165" s="149">
        <f t="shared" si="10"/>
        <v>0</v>
      </c>
      <c r="D165" s="149">
        <f t="shared" si="11"/>
        <v>0</v>
      </c>
      <c r="E165" s="149">
        <f t="shared" si="12"/>
        <v>0</v>
      </c>
      <c r="F165" s="148"/>
      <c r="G165" s="148">
        <v>102</v>
      </c>
      <c r="H165" s="149">
        <f t="shared" si="13"/>
        <v>0</v>
      </c>
      <c r="I165" s="149">
        <f t="shared" si="14"/>
        <v>0</v>
      </c>
      <c r="J165" s="149">
        <f t="shared" si="15"/>
        <v>0</v>
      </c>
      <c r="K165" s="149">
        <f t="shared" si="16"/>
        <v>0</v>
      </c>
      <c r="L165" s="148"/>
    </row>
    <row r="166" spans="1:12">
      <c r="A166" s="148">
        <v>103</v>
      </c>
      <c r="B166" s="149">
        <f t="shared" si="9"/>
        <v>0</v>
      </c>
      <c r="C166" s="149">
        <f t="shared" si="10"/>
        <v>0</v>
      </c>
      <c r="D166" s="149">
        <f t="shared" si="11"/>
        <v>0</v>
      </c>
      <c r="E166" s="149">
        <f t="shared" si="12"/>
        <v>0</v>
      </c>
      <c r="F166" s="148"/>
      <c r="G166" s="148">
        <v>103</v>
      </c>
      <c r="H166" s="149">
        <f t="shared" si="13"/>
        <v>0</v>
      </c>
      <c r="I166" s="149">
        <f t="shared" si="14"/>
        <v>0</v>
      </c>
      <c r="J166" s="149">
        <f t="shared" si="15"/>
        <v>0</v>
      </c>
      <c r="K166" s="149">
        <f t="shared" si="16"/>
        <v>0</v>
      </c>
      <c r="L166" s="148"/>
    </row>
    <row r="167" spans="1:12">
      <c r="A167" s="148">
        <v>104</v>
      </c>
      <c r="B167" s="149">
        <f t="shared" si="9"/>
        <v>0</v>
      </c>
      <c r="C167" s="149">
        <f t="shared" si="10"/>
        <v>0</v>
      </c>
      <c r="D167" s="149">
        <f t="shared" si="11"/>
        <v>0</v>
      </c>
      <c r="E167" s="149">
        <f t="shared" si="12"/>
        <v>0</v>
      </c>
      <c r="F167" s="148"/>
      <c r="G167" s="148">
        <v>104</v>
      </c>
      <c r="H167" s="149">
        <f t="shared" si="13"/>
        <v>0</v>
      </c>
      <c r="I167" s="149">
        <f t="shared" si="14"/>
        <v>0</v>
      </c>
      <c r="J167" s="149">
        <f t="shared" si="15"/>
        <v>0</v>
      </c>
      <c r="K167" s="149">
        <f t="shared" si="16"/>
        <v>0</v>
      </c>
      <c r="L167" s="148"/>
    </row>
    <row r="168" spans="1:12">
      <c r="A168" s="148">
        <v>105</v>
      </c>
      <c r="B168" s="149">
        <f t="shared" si="9"/>
        <v>0</v>
      </c>
      <c r="C168" s="149">
        <f t="shared" si="10"/>
        <v>0</v>
      </c>
      <c r="D168" s="149">
        <f t="shared" si="11"/>
        <v>0</v>
      </c>
      <c r="E168" s="149">
        <f t="shared" si="12"/>
        <v>0</v>
      </c>
      <c r="F168" s="148"/>
      <c r="G168" s="148">
        <v>105</v>
      </c>
      <c r="H168" s="149">
        <f t="shared" si="13"/>
        <v>0</v>
      </c>
      <c r="I168" s="149">
        <f t="shared" si="14"/>
        <v>0</v>
      </c>
      <c r="J168" s="149">
        <f t="shared" si="15"/>
        <v>0</v>
      </c>
      <c r="K168" s="149">
        <f t="shared" si="16"/>
        <v>0</v>
      </c>
      <c r="L168" s="148"/>
    </row>
    <row r="169" spans="1:12">
      <c r="A169" s="148">
        <v>106</v>
      </c>
      <c r="B169" s="149">
        <f t="shared" si="9"/>
        <v>0</v>
      </c>
      <c r="C169" s="149">
        <f t="shared" si="10"/>
        <v>0</v>
      </c>
      <c r="D169" s="149">
        <f t="shared" si="11"/>
        <v>0</v>
      </c>
      <c r="E169" s="149">
        <f t="shared" si="12"/>
        <v>0</v>
      </c>
      <c r="F169" s="148"/>
      <c r="G169" s="148">
        <v>106</v>
      </c>
      <c r="H169" s="149">
        <f t="shared" si="13"/>
        <v>0</v>
      </c>
      <c r="I169" s="149">
        <f t="shared" si="14"/>
        <v>0</v>
      </c>
      <c r="J169" s="149">
        <f t="shared" si="15"/>
        <v>0</v>
      </c>
      <c r="K169" s="149">
        <f t="shared" si="16"/>
        <v>0</v>
      </c>
      <c r="L169" s="148"/>
    </row>
    <row r="170" spans="1:12">
      <c r="A170" s="148">
        <v>107</v>
      </c>
      <c r="B170" s="149">
        <f t="shared" si="9"/>
        <v>0</v>
      </c>
      <c r="C170" s="149">
        <f t="shared" si="10"/>
        <v>0</v>
      </c>
      <c r="D170" s="149">
        <f t="shared" si="11"/>
        <v>0</v>
      </c>
      <c r="E170" s="149">
        <f t="shared" si="12"/>
        <v>0</v>
      </c>
      <c r="F170" s="148"/>
      <c r="G170" s="148">
        <v>107</v>
      </c>
      <c r="H170" s="149">
        <f t="shared" si="13"/>
        <v>0</v>
      </c>
      <c r="I170" s="149">
        <f t="shared" si="14"/>
        <v>0</v>
      </c>
      <c r="J170" s="149">
        <f t="shared" si="15"/>
        <v>0</v>
      </c>
      <c r="K170" s="149">
        <f t="shared" si="16"/>
        <v>0</v>
      </c>
      <c r="L170" s="148"/>
    </row>
    <row r="171" spans="1:12">
      <c r="A171" s="148">
        <v>108</v>
      </c>
      <c r="B171" s="149">
        <f t="shared" si="9"/>
        <v>0</v>
      </c>
      <c r="C171" s="149">
        <f t="shared" si="10"/>
        <v>0</v>
      </c>
      <c r="D171" s="149">
        <f t="shared" si="11"/>
        <v>0</v>
      </c>
      <c r="E171" s="149">
        <f t="shared" si="12"/>
        <v>0</v>
      </c>
      <c r="F171" s="148">
        <v>9</v>
      </c>
      <c r="G171" s="148">
        <v>108</v>
      </c>
      <c r="H171" s="149">
        <f t="shared" si="13"/>
        <v>0</v>
      </c>
      <c r="I171" s="149">
        <f t="shared" si="14"/>
        <v>0</v>
      </c>
      <c r="J171" s="149">
        <f t="shared" si="15"/>
        <v>0</v>
      </c>
      <c r="K171" s="149">
        <f t="shared" si="16"/>
        <v>0</v>
      </c>
      <c r="L171" s="148">
        <v>9</v>
      </c>
    </row>
    <row r="172" spans="1:12">
      <c r="A172" s="148">
        <v>109</v>
      </c>
      <c r="B172" s="149">
        <f t="shared" si="9"/>
        <v>0</v>
      </c>
      <c r="C172" s="149">
        <f t="shared" si="10"/>
        <v>0</v>
      </c>
      <c r="D172" s="149">
        <f t="shared" si="11"/>
        <v>0</v>
      </c>
      <c r="E172" s="149">
        <f t="shared" si="12"/>
        <v>0</v>
      </c>
      <c r="F172" s="148"/>
      <c r="G172" s="148">
        <v>109</v>
      </c>
      <c r="H172" s="149">
        <f t="shared" si="13"/>
        <v>0</v>
      </c>
      <c r="I172" s="149">
        <f t="shared" si="14"/>
        <v>0</v>
      </c>
      <c r="J172" s="149">
        <f t="shared" si="15"/>
        <v>0</v>
      </c>
      <c r="K172" s="149">
        <f t="shared" si="16"/>
        <v>0</v>
      </c>
      <c r="L172" s="148"/>
    </row>
    <row r="173" spans="1:12">
      <c r="A173" s="148">
        <v>110</v>
      </c>
      <c r="B173" s="149">
        <f t="shared" si="9"/>
        <v>0</v>
      </c>
      <c r="C173" s="149">
        <f t="shared" si="10"/>
        <v>0</v>
      </c>
      <c r="D173" s="149">
        <f t="shared" si="11"/>
        <v>0</v>
      </c>
      <c r="E173" s="149">
        <f t="shared" si="12"/>
        <v>0</v>
      </c>
      <c r="F173" s="148"/>
      <c r="G173" s="148">
        <v>110</v>
      </c>
      <c r="H173" s="149">
        <f t="shared" si="13"/>
        <v>0</v>
      </c>
      <c r="I173" s="149">
        <f t="shared" si="14"/>
        <v>0</v>
      </c>
      <c r="J173" s="149">
        <f t="shared" si="15"/>
        <v>0</v>
      </c>
      <c r="K173" s="149">
        <f t="shared" si="16"/>
        <v>0</v>
      </c>
      <c r="L173" s="148"/>
    </row>
    <row r="174" spans="1:12">
      <c r="A174" s="148">
        <v>111</v>
      </c>
      <c r="B174" s="149">
        <f t="shared" si="9"/>
        <v>0</v>
      </c>
      <c r="C174" s="149">
        <f t="shared" si="10"/>
        <v>0</v>
      </c>
      <c r="D174" s="149">
        <f t="shared" si="11"/>
        <v>0</v>
      </c>
      <c r="E174" s="149">
        <f t="shared" si="12"/>
        <v>0</v>
      </c>
      <c r="F174" s="148"/>
      <c r="G174" s="148">
        <v>111</v>
      </c>
      <c r="H174" s="149">
        <f t="shared" si="13"/>
        <v>0</v>
      </c>
      <c r="I174" s="149">
        <f t="shared" si="14"/>
        <v>0</v>
      </c>
      <c r="J174" s="149">
        <f t="shared" si="15"/>
        <v>0</v>
      </c>
      <c r="K174" s="149">
        <f t="shared" si="16"/>
        <v>0</v>
      </c>
      <c r="L174" s="148"/>
    </row>
    <row r="175" spans="1:12">
      <c r="A175" s="148">
        <v>112</v>
      </c>
      <c r="B175" s="149">
        <f t="shared" si="9"/>
        <v>0</v>
      </c>
      <c r="C175" s="149">
        <f t="shared" si="10"/>
        <v>0</v>
      </c>
      <c r="D175" s="149">
        <f t="shared" si="11"/>
        <v>0</v>
      </c>
      <c r="E175" s="149">
        <f t="shared" si="12"/>
        <v>0</v>
      </c>
      <c r="F175" s="148"/>
      <c r="G175" s="148">
        <v>112</v>
      </c>
      <c r="H175" s="149">
        <f t="shared" si="13"/>
        <v>0</v>
      </c>
      <c r="I175" s="149">
        <f t="shared" si="14"/>
        <v>0</v>
      </c>
      <c r="J175" s="149">
        <f t="shared" si="15"/>
        <v>0</v>
      </c>
      <c r="K175" s="149">
        <f t="shared" si="16"/>
        <v>0</v>
      </c>
      <c r="L175" s="148"/>
    </row>
    <row r="176" spans="1:12">
      <c r="A176" s="148">
        <v>113</v>
      </c>
      <c r="B176" s="149">
        <f t="shared" si="9"/>
        <v>0</v>
      </c>
      <c r="C176" s="149">
        <f t="shared" si="10"/>
        <v>0</v>
      </c>
      <c r="D176" s="149">
        <f t="shared" si="11"/>
        <v>0</v>
      </c>
      <c r="E176" s="149">
        <f t="shared" si="12"/>
        <v>0</v>
      </c>
      <c r="F176" s="148"/>
      <c r="G176" s="148">
        <v>113</v>
      </c>
      <c r="H176" s="149">
        <f t="shared" si="13"/>
        <v>0</v>
      </c>
      <c r="I176" s="149">
        <f t="shared" si="14"/>
        <v>0</v>
      </c>
      <c r="J176" s="149">
        <f t="shared" si="15"/>
        <v>0</v>
      </c>
      <c r="K176" s="149">
        <f t="shared" si="16"/>
        <v>0</v>
      </c>
      <c r="L176" s="148"/>
    </row>
    <row r="177" spans="1:12">
      <c r="A177" s="148">
        <v>114</v>
      </c>
      <c r="B177" s="149">
        <f t="shared" si="9"/>
        <v>0</v>
      </c>
      <c r="C177" s="149">
        <f t="shared" si="10"/>
        <v>0</v>
      </c>
      <c r="D177" s="149">
        <f t="shared" si="11"/>
        <v>0</v>
      </c>
      <c r="E177" s="149">
        <f t="shared" si="12"/>
        <v>0</v>
      </c>
      <c r="F177" s="148"/>
      <c r="G177" s="148">
        <v>114</v>
      </c>
      <c r="H177" s="149">
        <f t="shared" si="13"/>
        <v>0</v>
      </c>
      <c r="I177" s="149">
        <f t="shared" si="14"/>
        <v>0</v>
      </c>
      <c r="J177" s="149">
        <f t="shared" si="15"/>
        <v>0</v>
      </c>
      <c r="K177" s="149">
        <f t="shared" si="16"/>
        <v>0</v>
      </c>
      <c r="L177" s="148"/>
    </row>
    <row r="178" spans="1:12">
      <c r="A178" s="148">
        <v>115</v>
      </c>
      <c r="B178" s="149">
        <f t="shared" si="9"/>
        <v>0</v>
      </c>
      <c r="C178" s="149">
        <f t="shared" si="10"/>
        <v>0</v>
      </c>
      <c r="D178" s="149">
        <f t="shared" si="11"/>
        <v>0</v>
      </c>
      <c r="E178" s="149">
        <f t="shared" si="12"/>
        <v>0</v>
      </c>
      <c r="F178" s="148"/>
      <c r="G178" s="148">
        <v>115</v>
      </c>
      <c r="H178" s="149">
        <f t="shared" si="13"/>
        <v>0</v>
      </c>
      <c r="I178" s="149">
        <f t="shared" si="14"/>
        <v>0</v>
      </c>
      <c r="J178" s="149">
        <f t="shared" si="15"/>
        <v>0</v>
      </c>
      <c r="K178" s="149">
        <f t="shared" si="16"/>
        <v>0</v>
      </c>
      <c r="L178" s="148"/>
    </row>
    <row r="179" spans="1:12">
      <c r="A179" s="148">
        <v>116</v>
      </c>
      <c r="B179" s="149">
        <f t="shared" si="9"/>
        <v>0</v>
      </c>
      <c r="C179" s="149">
        <f t="shared" si="10"/>
        <v>0</v>
      </c>
      <c r="D179" s="149">
        <f t="shared" si="11"/>
        <v>0</v>
      </c>
      <c r="E179" s="149">
        <f t="shared" si="12"/>
        <v>0</v>
      </c>
      <c r="F179" s="148"/>
      <c r="G179" s="148">
        <v>116</v>
      </c>
      <c r="H179" s="149">
        <f t="shared" si="13"/>
        <v>0</v>
      </c>
      <c r="I179" s="149">
        <f t="shared" si="14"/>
        <v>0</v>
      </c>
      <c r="J179" s="149">
        <f t="shared" si="15"/>
        <v>0</v>
      </c>
      <c r="K179" s="149">
        <f t="shared" si="16"/>
        <v>0</v>
      </c>
      <c r="L179" s="148"/>
    </row>
    <row r="180" spans="1:12">
      <c r="A180" s="148">
        <v>117</v>
      </c>
      <c r="B180" s="149">
        <f t="shared" si="9"/>
        <v>0</v>
      </c>
      <c r="C180" s="149">
        <f t="shared" si="10"/>
        <v>0</v>
      </c>
      <c r="D180" s="149">
        <f t="shared" si="11"/>
        <v>0</v>
      </c>
      <c r="E180" s="149">
        <f t="shared" si="12"/>
        <v>0</v>
      </c>
      <c r="F180" s="148"/>
      <c r="G180" s="148">
        <v>117</v>
      </c>
      <c r="H180" s="149">
        <f t="shared" si="13"/>
        <v>0</v>
      </c>
      <c r="I180" s="149">
        <f t="shared" si="14"/>
        <v>0</v>
      </c>
      <c r="J180" s="149">
        <f t="shared" si="15"/>
        <v>0</v>
      </c>
      <c r="K180" s="149">
        <f t="shared" si="16"/>
        <v>0</v>
      </c>
      <c r="L180" s="148"/>
    </row>
    <row r="181" spans="1:12">
      <c r="A181" s="148">
        <v>118</v>
      </c>
      <c r="B181" s="149">
        <f t="shared" si="9"/>
        <v>0</v>
      </c>
      <c r="C181" s="149">
        <f t="shared" si="10"/>
        <v>0</v>
      </c>
      <c r="D181" s="149">
        <f t="shared" si="11"/>
        <v>0</v>
      </c>
      <c r="E181" s="149">
        <f t="shared" si="12"/>
        <v>0</v>
      </c>
      <c r="F181" s="148"/>
      <c r="G181" s="148">
        <v>118</v>
      </c>
      <c r="H181" s="149">
        <f t="shared" si="13"/>
        <v>0</v>
      </c>
      <c r="I181" s="149">
        <f t="shared" si="14"/>
        <v>0</v>
      </c>
      <c r="J181" s="149">
        <f t="shared" si="15"/>
        <v>0</v>
      </c>
      <c r="K181" s="149">
        <f t="shared" si="16"/>
        <v>0</v>
      </c>
      <c r="L181" s="148"/>
    </row>
    <row r="182" spans="1:12">
      <c r="A182" s="148">
        <v>119</v>
      </c>
      <c r="B182" s="149">
        <f t="shared" si="9"/>
        <v>0</v>
      </c>
      <c r="C182" s="149">
        <f t="shared" si="10"/>
        <v>0</v>
      </c>
      <c r="D182" s="149">
        <f t="shared" si="11"/>
        <v>0</v>
      </c>
      <c r="E182" s="149">
        <f t="shared" si="12"/>
        <v>0</v>
      </c>
      <c r="F182" s="148"/>
      <c r="G182" s="148">
        <v>119</v>
      </c>
      <c r="H182" s="149">
        <f t="shared" si="13"/>
        <v>0</v>
      </c>
      <c r="I182" s="149">
        <f t="shared" si="14"/>
        <v>0</v>
      </c>
      <c r="J182" s="149">
        <f t="shared" si="15"/>
        <v>0</v>
      </c>
      <c r="K182" s="149">
        <f t="shared" si="16"/>
        <v>0</v>
      </c>
      <c r="L182" s="148"/>
    </row>
    <row r="183" spans="1:12">
      <c r="A183" s="148">
        <v>120</v>
      </c>
      <c r="B183" s="149">
        <f t="shared" si="9"/>
        <v>0</v>
      </c>
      <c r="C183" s="149">
        <f t="shared" si="10"/>
        <v>0</v>
      </c>
      <c r="D183" s="149">
        <f t="shared" si="11"/>
        <v>0</v>
      </c>
      <c r="E183" s="149">
        <f t="shared" si="12"/>
        <v>0</v>
      </c>
      <c r="F183" s="148">
        <v>10</v>
      </c>
      <c r="G183" s="148">
        <v>120</v>
      </c>
      <c r="H183" s="149">
        <f t="shared" si="13"/>
        <v>0</v>
      </c>
      <c r="I183" s="149">
        <f t="shared" si="14"/>
        <v>0</v>
      </c>
      <c r="J183" s="149">
        <f t="shared" si="15"/>
        <v>0</v>
      </c>
      <c r="K183" s="149">
        <f t="shared" si="16"/>
        <v>0</v>
      </c>
      <c r="L183" s="148">
        <v>10</v>
      </c>
    </row>
    <row r="184" spans="1:12">
      <c r="A184" s="148">
        <v>121</v>
      </c>
      <c r="B184" s="149">
        <f t="shared" si="9"/>
        <v>0</v>
      </c>
      <c r="C184" s="149">
        <f t="shared" si="10"/>
        <v>0</v>
      </c>
      <c r="D184" s="149">
        <f t="shared" si="11"/>
        <v>0</v>
      </c>
      <c r="E184" s="149">
        <f t="shared" si="12"/>
        <v>0</v>
      </c>
      <c r="F184" s="148"/>
      <c r="G184" s="148">
        <v>121</v>
      </c>
      <c r="H184" s="149">
        <f t="shared" si="13"/>
        <v>0</v>
      </c>
      <c r="I184" s="149">
        <f t="shared" si="14"/>
        <v>0</v>
      </c>
      <c r="J184" s="149">
        <f t="shared" si="15"/>
        <v>0</v>
      </c>
      <c r="K184" s="149">
        <f t="shared" si="16"/>
        <v>0</v>
      </c>
      <c r="L184" s="148"/>
    </row>
    <row r="185" spans="1:12">
      <c r="A185" s="148">
        <v>122</v>
      </c>
      <c r="B185" s="149">
        <f t="shared" si="9"/>
        <v>0</v>
      </c>
      <c r="C185" s="149">
        <f t="shared" si="10"/>
        <v>0</v>
      </c>
      <c r="D185" s="149">
        <f t="shared" si="11"/>
        <v>0</v>
      </c>
      <c r="E185" s="149">
        <f t="shared" si="12"/>
        <v>0</v>
      </c>
      <c r="F185" s="148"/>
      <c r="G185" s="148">
        <v>122</v>
      </c>
      <c r="H185" s="149">
        <f t="shared" si="13"/>
        <v>0</v>
      </c>
      <c r="I185" s="149">
        <f t="shared" si="14"/>
        <v>0</v>
      </c>
      <c r="J185" s="149">
        <f t="shared" si="15"/>
        <v>0</v>
      </c>
      <c r="K185" s="149">
        <f t="shared" si="16"/>
        <v>0</v>
      </c>
      <c r="L185" s="148"/>
    </row>
    <row r="186" spans="1:12">
      <c r="A186" s="148">
        <v>123</v>
      </c>
      <c r="B186" s="149">
        <f t="shared" si="9"/>
        <v>0</v>
      </c>
      <c r="C186" s="149">
        <f t="shared" si="10"/>
        <v>0</v>
      </c>
      <c r="D186" s="149">
        <f t="shared" si="11"/>
        <v>0</v>
      </c>
      <c r="E186" s="149">
        <f t="shared" si="12"/>
        <v>0</v>
      </c>
      <c r="F186" s="148"/>
      <c r="G186" s="148">
        <v>123</v>
      </c>
      <c r="H186" s="149">
        <f t="shared" si="13"/>
        <v>0</v>
      </c>
      <c r="I186" s="149">
        <f t="shared" si="14"/>
        <v>0</v>
      </c>
      <c r="J186" s="149">
        <f t="shared" si="15"/>
        <v>0</v>
      </c>
      <c r="K186" s="149">
        <f t="shared" si="16"/>
        <v>0</v>
      </c>
      <c r="L186" s="148"/>
    </row>
    <row r="187" spans="1:12">
      <c r="A187" s="148">
        <v>124</v>
      </c>
      <c r="B187" s="149">
        <f t="shared" si="9"/>
        <v>0</v>
      </c>
      <c r="C187" s="149">
        <f t="shared" si="10"/>
        <v>0</v>
      </c>
      <c r="D187" s="149">
        <f t="shared" si="11"/>
        <v>0</v>
      </c>
      <c r="E187" s="149">
        <f t="shared" si="12"/>
        <v>0</v>
      </c>
      <c r="F187" s="148"/>
      <c r="G187" s="148">
        <v>124</v>
      </c>
      <c r="H187" s="149">
        <f t="shared" si="13"/>
        <v>0</v>
      </c>
      <c r="I187" s="149">
        <f t="shared" si="14"/>
        <v>0</v>
      </c>
      <c r="J187" s="149">
        <f t="shared" si="15"/>
        <v>0</v>
      </c>
      <c r="K187" s="149">
        <f t="shared" si="16"/>
        <v>0</v>
      </c>
      <c r="L187" s="148"/>
    </row>
    <row r="188" spans="1:12">
      <c r="A188" s="148">
        <v>125</v>
      </c>
      <c r="B188" s="149">
        <f t="shared" si="9"/>
        <v>0</v>
      </c>
      <c r="C188" s="149">
        <f t="shared" si="10"/>
        <v>0</v>
      </c>
      <c r="D188" s="149">
        <f t="shared" si="11"/>
        <v>0</v>
      </c>
      <c r="E188" s="149">
        <f t="shared" si="12"/>
        <v>0</v>
      </c>
      <c r="F188" s="148"/>
      <c r="G188" s="148">
        <v>125</v>
      </c>
      <c r="H188" s="149">
        <f t="shared" si="13"/>
        <v>0</v>
      </c>
      <c r="I188" s="149">
        <f t="shared" si="14"/>
        <v>0</v>
      </c>
      <c r="J188" s="149">
        <f t="shared" si="15"/>
        <v>0</v>
      </c>
      <c r="K188" s="149">
        <f t="shared" si="16"/>
        <v>0</v>
      </c>
      <c r="L188" s="148"/>
    </row>
    <row r="189" spans="1:12">
      <c r="A189" s="148">
        <v>126</v>
      </c>
      <c r="B189" s="149">
        <f t="shared" si="9"/>
        <v>0</v>
      </c>
      <c r="C189" s="149">
        <f t="shared" si="10"/>
        <v>0</v>
      </c>
      <c r="D189" s="149">
        <f t="shared" si="11"/>
        <v>0</v>
      </c>
      <c r="E189" s="149">
        <f t="shared" si="12"/>
        <v>0</v>
      </c>
      <c r="F189" s="148"/>
      <c r="G189" s="148">
        <v>126</v>
      </c>
      <c r="H189" s="149">
        <f t="shared" si="13"/>
        <v>0</v>
      </c>
      <c r="I189" s="149">
        <f t="shared" si="14"/>
        <v>0</v>
      </c>
      <c r="J189" s="149">
        <f t="shared" si="15"/>
        <v>0</v>
      </c>
      <c r="K189" s="149">
        <f t="shared" si="16"/>
        <v>0</v>
      </c>
      <c r="L189" s="148"/>
    </row>
    <row r="190" spans="1:12">
      <c r="A190" s="148">
        <v>127</v>
      </c>
      <c r="B190" s="149">
        <f t="shared" si="9"/>
        <v>0</v>
      </c>
      <c r="C190" s="149">
        <f t="shared" si="10"/>
        <v>0</v>
      </c>
      <c r="D190" s="149">
        <f t="shared" si="11"/>
        <v>0</v>
      </c>
      <c r="E190" s="149">
        <f t="shared" si="12"/>
        <v>0</v>
      </c>
      <c r="F190" s="148"/>
      <c r="G190" s="148">
        <v>127</v>
      </c>
      <c r="H190" s="149">
        <f t="shared" si="13"/>
        <v>0</v>
      </c>
      <c r="I190" s="149">
        <f t="shared" si="14"/>
        <v>0</v>
      </c>
      <c r="J190" s="149">
        <f t="shared" si="15"/>
        <v>0</v>
      </c>
      <c r="K190" s="149">
        <f t="shared" si="16"/>
        <v>0</v>
      </c>
      <c r="L190" s="148"/>
    </row>
    <row r="191" spans="1:12">
      <c r="A191" s="148">
        <v>128</v>
      </c>
      <c r="B191" s="149">
        <f t="shared" si="9"/>
        <v>0</v>
      </c>
      <c r="C191" s="149">
        <f t="shared" si="10"/>
        <v>0</v>
      </c>
      <c r="D191" s="149">
        <f t="shared" si="11"/>
        <v>0</v>
      </c>
      <c r="E191" s="149">
        <f t="shared" si="12"/>
        <v>0</v>
      </c>
      <c r="F191" s="148"/>
      <c r="G191" s="148">
        <v>128</v>
      </c>
      <c r="H191" s="149">
        <f t="shared" si="13"/>
        <v>0</v>
      </c>
      <c r="I191" s="149">
        <f t="shared" si="14"/>
        <v>0</v>
      </c>
      <c r="J191" s="149">
        <f t="shared" si="15"/>
        <v>0</v>
      </c>
      <c r="K191" s="149">
        <f t="shared" si="16"/>
        <v>0</v>
      </c>
      <c r="L191" s="148"/>
    </row>
    <row r="192" spans="1:12">
      <c r="A192" s="148">
        <v>129</v>
      </c>
      <c r="B192" s="149">
        <f t="shared" ref="B192:B255" si="17">IF(A192&gt;12*$C$9,0,IF($C$5&gt;1500000,$D$12,$C$12))</f>
        <v>0</v>
      </c>
      <c r="C192" s="149">
        <f t="shared" ref="C192:C255" si="18">IF(A192&gt;12*$C$9,0,E191*$C$7/12)</f>
        <v>0</v>
      </c>
      <c r="D192" s="149">
        <f t="shared" ref="D192:D255" si="19">IF(A192&gt;12*$C$9,0,B192-C192)</f>
        <v>0</v>
      </c>
      <c r="E192" s="149">
        <f t="shared" ref="E192:E255" si="20">IF(A192&gt;12*$C$9,0,E191-D192)</f>
        <v>0</v>
      </c>
      <c r="F192" s="148"/>
      <c r="G192" s="148">
        <v>129</v>
      </c>
      <c r="H192" s="149">
        <f t="shared" ref="H192:H255" si="21">IF(G192&gt;12*$C$9,0,IF($C$5&gt;1500000,$E$12,0))</f>
        <v>0</v>
      </c>
      <c r="I192" s="149">
        <f t="shared" ref="I192:I255" si="22">IF(G192&gt;12*$C$9,0,K191*$C$7/12)</f>
        <v>0</v>
      </c>
      <c r="J192" s="149">
        <f t="shared" ref="J192:J255" si="23">IF(G192&gt;12*$C$9,0,H192-I192)</f>
        <v>0</v>
      </c>
      <c r="K192" s="149">
        <f t="shared" ref="K192:K255" si="24">IF(G192&gt;12*$C$9,0,K191-J192)</f>
        <v>0</v>
      </c>
      <c r="L192" s="148"/>
    </row>
    <row r="193" spans="1:12">
      <c r="A193" s="148">
        <v>130</v>
      </c>
      <c r="B193" s="149">
        <f t="shared" si="17"/>
        <v>0</v>
      </c>
      <c r="C193" s="149">
        <f t="shared" si="18"/>
        <v>0</v>
      </c>
      <c r="D193" s="149">
        <f t="shared" si="19"/>
        <v>0</v>
      </c>
      <c r="E193" s="149">
        <f t="shared" si="20"/>
        <v>0</v>
      </c>
      <c r="F193" s="148"/>
      <c r="G193" s="148">
        <v>130</v>
      </c>
      <c r="H193" s="149">
        <f t="shared" si="21"/>
        <v>0</v>
      </c>
      <c r="I193" s="149">
        <f t="shared" si="22"/>
        <v>0</v>
      </c>
      <c r="J193" s="149">
        <f t="shared" si="23"/>
        <v>0</v>
      </c>
      <c r="K193" s="149">
        <f t="shared" si="24"/>
        <v>0</v>
      </c>
      <c r="L193" s="148"/>
    </row>
    <row r="194" spans="1:12">
      <c r="A194" s="148">
        <v>131</v>
      </c>
      <c r="B194" s="149">
        <f t="shared" si="17"/>
        <v>0</v>
      </c>
      <c r="C194" s="149">
        <f t="shared" si="18"/>
        <v>0</v>
      </c>
      <c r="D194" s="149">
        <f t="shared" si="19"/>
        <v>0</v>
      </c>
      <c r="E194" s="149">
        <f t="shared" si="20"/>
        <v>0</v>
      </c>
      <c r="F194" s="148"/>
      <c r="G194" s="148">
        <v>131</v>
      </c>
      <c r="H194" s="149">
        <f t="shared" si="21"/>
        <v>0</v>
      </c>
      <c r="I194" s="149">
        <f t="shared" si="22"/>
        <v>0</v>
      </c>
      <c r="J194" s="149">
        <f t="shared" si="23"/>
        <v>0</v>
      </c>
      <c r="K194" s="149">
        <f t="shared" si="24"/>
        <v>0</v>
      </c>
      <c r="L194" s="148"/>
    </row>
    <row r="195" spans="1:12">
      <c r="A195" s="148">
        <v>132</v>
      </c>
      <c r="B195" s="149">
        <f t="shared" si="17"/>
        <v>0</v>
      </c>
      <c r="C195" s="149">
        <f t="shared" si="18"/>
        <v>0</v>
      </c>
      <c r="D195" s="149">
        <f t="shared" si="19"/>
        <v>0</v>
      </c>
      <c r="E195" s="149">
        <f t="shared" si="20"/>
        <v>0</v>
      </c>
      <c r="F195" s="148">
        <v>11</v>
      </c>
      <c r="G195" s="148">
        <v>132</v>
      </c>
      <c r="H195" s="149">
        <f t="shared" si="21"/>
        <v>0</v>
      </c>
      <c r="I195" s="149">
        <f t="shared" si="22"/>
        <v>0</v>
      </c>
      <c r="J195" s="149">
        <f t="shared" si="23"/>
        <v>0</v>
      </c>
      <c r="K195" s="149">
        <f t="shared" si="24"/>
        <v>0</v>
      </c>
      <c r="L195" s="148">
        <v>11</v>
      </c>
    </row>
    <row r="196" spans="1:12">
      <c r="A196" s="148">
        <v>133</v>
      </c>
      <c r="B196" s="149">
        <f t="shared" si="17"/>
        <v>0</v>
      </c>
      <c r="C196" s="149">
        <f t="shared" si="18"/>
        <v>0</v>
      </c>
      <c r="D196" s="149">
        <f t="shared" si="19"/>
        <v>0</v>
      </c>
      <c r="E196" s="149">
        <f t="shared" si="20"/>
        <v>0</v>
      </c>
      <c r="F196" s="148"/>
      <c r="G196" s="148">
        <v>133</v>
      </c>
      <c r="H196" s="149">
        <f t="shared" si="21"/>
        <v>0</v>
      </c>
      <c r="I196" s="149">
        <f t="shared" si="22"/>
        <v>0</v>
      </c>
      <c r="J196" s="149">
        <f t="shared" si="23"/>
        <v>0</v>
      </c>
      <c r="K196" s="149">
        <f t="shared" si="24"/>
        <v>0</v>
      </c>
      <c r="L196" s="148"/>
    </row>
    <row r="197" spans="1:12">
      <c r="A197" s="148">
        <v>134</v>
      </c>
      <c r="B197" s="149">
        <f t="shared" si="17"/>
        <v>0</v>
      </c>
      <c r="C197" s="149">
        <f t="shared" si="18"/>
        <v>0</v>
      </c>
      <c r="D197" s="149">
        <f t="shared" si="19"/>
        <v>0</v>
      </c>
      <c r="E197" s="149">
        <f t="shared" si="20"/>
        <v>0</v>
      </c>
      <c r="F197" s="148"/>
      <c r="G197" s="148">
        <v>134</v>
      </c>
      <c r="H197" s="149">
        <f t="shared" si="21"/>
        <v>0</v>
      </c>
      <c r="I197" s="149">
        <f t="shared" si="22"/>
        <v>0</v>
      </c>
      <c r="J197" s="149">
        <f t="shared" si="23"/>
        <v>0</v>
      </c>
      <c r="K197" s="149">
        <f t="shared" si="24"/>
        <v>0</v>
      </c>
      <c r="L197" s="148"/>
    </row>
    <row r="198" spans="1:12">
      <c r="A198" s="148">
        <v>135</v>
      </c>
      <c r="B198" s="149">
        <f t="shared" si="17"/>
        <v>0</v>
      </c>
      <c r="C198" s="149">
        <f t="shared" si="18"/>
        <v>0</v>
      </c>
      <c r="D198" s="149">
        <f t="shared" si="19"/>
        <v>0</v>
      </c>
      <c r="E198" s="149">
        <f t="shared" si="20"/>
        <v>0</v>
      </c>
      <c r="F198" s="148"/>
      <c r="G198" s="148">
        <v>135</v>
      </c>
      <c r="H198" s="149">
        <f t="shared" si="21"/>
        <v>0</v>
      </c>
      <c r="I198" s="149">
        <f t="shared" si="22"/>
        <v>0</v>
      </c>
      <c r="J198" s="149">
        <f t="shared" si="23"/>
        <v>0</v>
      </c>
      <c r="K198" s="149">
        <f t="shared" si="24"/>
        <v>0</v>
      </c>
      <c r="L198" s="148"/>
    </row>
    <row r="199" spans="1:12">
      <c r="A199" s="148">
        <v>136</v>
      </c>
      <c r="B199" s="149">
        <f t="shared" si="17"/>
        <v>0</v>
      </c>
      <c r="C199" s="149">
        <f t="shared" si="18"/>
        <v>0</v>
      </c>
      <c r="D199" s="149">
        <f t="shared" si="19"/>
        <v>0</v>
      </c>
      <c r="E199" s="149">
        <f t="shared" si="20"/>
        <v>0</v>
      </c>
      <c r="F199" s="148"/>
      <c r="G199" s="148">
        <v>136</v>
      </c>
      <c r="H199" s="149">
        <f t="shared" si="21"/>
        <v>0</v>
      </c>
      <c r="I199" s="149">
        <f t="shared" si="22"/>
        <v>0</v>
      </c>
      <c r="J199" s="149">
        <f t="shared" si="23"/>
        <v>0</v>
      </c>
      <c r="K199" s="149">
        <f t="shared" si="24"/>
        <v>0</v>
      </c>
      <c r="L199" s="148"/>
    </row>
    <row r="200" spans="1:12">
      <c r="A200" s="148">
        <v>137</v>
      </c>
      <c r="B200" s="149">
        <f t="shared" si="17"/>
        <v>0</v>
      </c>
      <c r="C200" s="149">
        <f t="shared" si="18"/>
        <v>0</v>
      </c>
      <c r="D200" s="149">
        <f t="shared" si="19"/>
        <v>0</v>
      </c>
      <c r="E200" s="149">
        <f t="shared" si="20"/>
        <v>0</v>
      </c>
      <c r="F200" s="148"/>
      <c r="G200" s="148">
        <v>137</v>
      </c>
      <c r="H200" s="149">
        <f t="shared" si="21"/>
        <v>0</v>
      </c>
      <c r="I200" s="149">
        <f t="shared" si="22"/>
        <v>0</v>
      </c>
      <c r="J200" s="149">
        <f t="shared" si="23"/>
        <v>0</v>
      </c>
      <c r="K200" s="149">
        <f t="shared" si="24"/>
        <v>0</v>
      </c>
      <c r="L200" s="148"/>
    </row>
    <row r="201" spans="1:12">
      <c r="A201" s="148">
        <v>138</v>
      </c>
      <c r="B201" s="149">
        <f t="shared" si="17"/>
        <v>0</v>
      </c>
      <c r="C201" s="149">
        <f t="shared" si="18"/>
        <v>0</v>
      </c>
      <c r="D201" s="149">
        <f t="shared" si="19"/>
        <v>0</v>
      </c>
      <c r="E201" s="149">
        <f t="shared" si="20"/>
        <v>0</v>
      </c>
      <c r="F201" s="148"/>
      <c r="G201" s="148">
        <v>138</v>
      </c>
      <c r="H201" s="149">
        <f t="shared" si="21"/>
        <v>0</v>
      </c>
      <c r="I201" s="149">
        <f t="shared" si="22"/>
        <v>0</v>
      </c>
      <c r="J201" s="149">
        <f t="shared" si="23"/>
        <v>0</v>
      </c>
      <c r="K201" s="149">
        <f t="shared" si="24"/>
        <v>0</v>
      </c>
      <c r="L201" s="148"/>
    </row>
    <row r="202" spans="1:12">
      <c r="A202" s="148">
        <v>139</v>
      </c>
      <c r="B202" s="149">
        <f t="shared" si="17"/>
        <v>0</v>
      </c>
      <c r="C202" s="149">
        <f t="shared" si="18"/>
        <v>0</v>
      </c>
      <c r="D202" s="149">
        <f t="shared" si="19"/>
        <v>0</v>
      </c>
      <c r="E202" s="149">
        <f t="shared" si="20"/>
        <v>0</v>
      </c>
      <c r="F202" s="148"/>
      <c r="G202" s="148">
        <v>139</v>
      </c>
      <c r="H202" s="149">
        <f t="shared" si="21"/>
        <v>0</v>
      </c>
      <c r="I202" s="149">
        <f t="shared" si="22"/>
        <v>0</v>
      </c>
      <c r="J202" s="149">
        <f t="shared" si="23"/>
        <v>0</v>
      </c>
      <c r="K202" s="149">
        <f t="shared" si="24"/>
        <v>0</v>
      </c>
      <c r="L202" s="148"/>
    </row>
    <row r="203" spans="1:12">
      <c r="A203" s="148">
        <v>140</v>
      </c>
      <c r="B203" s="149">
        <f t="shared" si="17"/>
        <v>0</v>
      </c>
      <c r="C203" s="149">
        <f t="shared" si="18"/>
        <v>0</v>
      </c>
      <c r="D203" s="149">
        <f t="shared" si="19"/>
        <v>0</v>
      </c>
      <c r="E203" s="149">
        <f t="shared" si="20"/>
        <v>0</v>
      </c>
      <c r="F203" s="148"/>
      <c r="G203" s="148">
        <v>140</v>
      </c>
      <c r="H203" s="149">
        <f t="shared" si="21"/>
        <v>0</v>
      </c>
      <c r="I203" s="149">
        <f t="shared" si="22"/>
        <v>0</v>
      </c>
      <c r="J203" s="149">
        <f t="shared" si="23"/>
        <v>0</v>
      </c>
      <c r="K203" s="149">
        <f t="shared" si="24"/>
        <v>0</v>
      </c>
      <c r="L203" s="148"/>
    </row>
    <row r="204" spans="1:12">
      <c r="A204" s="148">
        <v>141</v>
      </c>
      <c r="B204" s="149">
        <f t="shared" si="17"/>
        <v>0</v>
      </c>
      <c r="C204" s="149">
        <f t="shared" si="18"/>
        <v>0</v>
      </c>
      <c r="D204" s="149">
        <f t="shared" si="19"/>
        <v>0</v>
      </c>
      <c r="E204" s="149">
        <f t="shared" si="20"/>
        <v>0</v>
      </c>
      <c r="F204" s="148"/>
      <c r="G204" s="148">
        <v>141</v>
      </c>
      <c r="H204" s="149">
        <f t="shared" si="21"/>
        <v>0</v>
      </c>
      <c r="I204" s="149">
        <f t="shared" si="22"/>
        <v>0</v>
      </c>
      <c r="J204" s="149">
        <f t="shared" si="23"/>
        <v>0</v>
      </c>
      <c r="K204" s="149">
        <f t="shared" si="24"/>
        <v>0</v>
      </c>
      <c r="L204" s="148"/>
    </row>
    <row r="205" spans="1:12">
      <c r="A205" s="148">
        <v>142</v>
      </c>
      <c r="B205" s="149">
        <f t="shared" si="17"/>
        <v>0</v>
      </c>
      <c r="C205" s="149">
        <f t="shared" si="18"/>
        <v>0</v>
      </c>
      <c r="D205" s="149">
        <f t="shared" si="19"/>
        <v>0</v>
      </c>
      <c r="E205" s="149">
        <f t="shared" si="20"/>
        <v>0</v>
      </c>
      <c r="F205" s="148"/>
      <c r="G205" s="148">
        <v>142</v>
      </c>
      <c r="H205" s="149">
        <f t="shared" si="21"/>
        <v>0</v>
      </c>
      <c r="I205" s="149">
        <f t="shared" si="22"/>
        <v>0</v>
      </c>
      <c r="J205" s="149">
        <f t="shared" si="23"/>
        <v>0</v>
      </c>
      <c r="K205" s="149">
        <f t="shared" si="24"/>
        <v>0</v>
      </c>
      <c r="L205" s="148"/>
    </row>
    <row r="206" spans="1:12">
      <c r="A206" s="148">
        <v>143</v>
      </c>
      <c r="B206" s="149">
        <f t="shared" si="17"/>
        <v>0</v>
      </c>
      <c r="C206" s="149">
        <f t="shared" si="18"/>
        <v>0</v>
      </c>
      <c r="D206" s="149">
        <f t="shared" si="19"/>
        <v>0</v>
      </c>
      <c r="E206" s="149">
        <f t="shared" si="20"/>
        <v>0</v>
      </c>
      <c r="F206" s="148"/>
      <c r="G206" s="148">
        <v>143</v>
      </c>
      <c r="H206" s="149">
        <f t="shared" si="21"/>
        <v>0</v>
      </c>
      <c r="I206" s="149">
        <f t="shared" si="22"/>
        <v>0</v>
      </c>
      <c r="J206" s="149">
        <f t="shared" si="23"/>
        <v>0</v>
      </c>
      <c r="K206" s="149">
        <f t="shared" si="24"/>
        <v>0</v>
      </c>
      <c r="L206" s="148"/>
    </row>
    <row r="207" spans="1:12">
      <c r="A207" s="150">
        <v>144</v>
      </c>
      <c r="B207" s="149">
        <f t="shared" si="17"/>
        <v>0</v>
      </c>
      <c r="C207" s="149">
        <f t="shared" si="18"/>
        <v>0</v>
      </c>
      <c r="D207" s="149">
        <f t="shared" si="19"/>
        <v>0</v>
      </c>
      <c r="E207" s="149">
        <f t="shared" si="20"/>
        <v>0</v>
      </c>
      <c r="F207" s="150">
        <v>12</v>
      </c>
      <c r="G207" s="150">
        <v>144</v>
      </c>
      <c r="H207" s="149">
        <f t="shared" si="21"/>
        <v>0</v>
      </c>
      <c r="I207" s="149">
        <f t="shared" si="22"/>
        <v>0</v>
      </c>
      <c r="J207" s="149">
        <f t="shared" si="23"/>
        <v>0</v>
      </c>
      <c r="K207" s="149">
        <f t="shared" si="24"/>
        <v>0</v>
      </c>
      <c r="L207" s="150">
        <v>12</v>
      </c>
    </row>
    <row r="208" spans="1:12">
      <c r="A208" s="148">
        <v>145</v>
      </c>
      <c r="B208" s="149">
        <f t="shared" si="17"/>
        <v>0</v>
      </c>
      <c r="C208" s="149">
        <f t="shared" si="18"/>
        <v>0</v>
      </c>
      <c r="D208" s="149">
        <f t="shared" si="19"/>
        <v>0</v>
      </c>
      <c r="E208" s="149">
        <f t="shared" si="20"/>
        <v>0</v>
      </c>
      <c r="F208" s="148"/>
      <c r="G208" s="148">
        <v>145</v>
      </c>
      <c r="H208" s="149">
        <f t="shared" si="21"/>
        <v>0</v>
      </c>
      <c r="I208" s="149">
        <f t="shared" si="22"/>
        <v>0</v>
      </c>
      <c r="J208" s="149">
        <f t="shared" si="23"/>
        <v>0</v>
      </c>
      <c r="K208" s="149">
        <f t="shared" si="24"/>
        <v>0</v>
      </c>
      <c r="L208" s="148"/>
    </row>
    <row r="209" spans="1:12" s="133" customFormat="1">
      <c r="A209" s="148">
        <v>146</v>
      </c>
      <c r="B209" s="149">
        <f t="shared" si="17"/>
        <v>0</v>
      </c>
      <c r="C209" s="149">
        <f t="shared" si="18"/>
        <v>0</v>
      </c>
      <c r="D209" s="149">
        <f t="shared" si="19"/>
        <v>0</v>
      </c>
      <c r="E209" s="149">
        <f t="shared" si="20"/>
        <v>0</v>
      </c>
      <c r="F209" s="148"/>
      <c r="G209" s="148">
        <v>146</v>
      </c>
      <c r="H209" s="149">
        <f t="shared" si="21"/>
        <v>0</v>
      </c>
      <c r="I209" s="149">
        <f t="shared" si="22"/>
        <v>0</v>
      </c>
      <c r="J209" s="149">
        <f t="shared" si="23"/>
        <v>0</v>
      </c>
      <c r="K209" s="149">
        <f t="shared" si="24"/>
        <v>0</v>
      </c>
      <c r="L209" s="148"/>
    </row>
    <row r="210" spans="1:12">
      <c r="A210" s="148">
        <v>147</v>
      </c>
      <c r="B210" s="149">
        <f t="shared" si="17"/>
        <v>0</v>
      </c>
      <c r="C210" s="149">
        <f t="shared" si="18"/>
        <v>0</v>
      </c>
      <c r="D210" s="149">
        <f t="shared" si="19"/>
        <v>0</v>
      </c>
      <c r="E210" s="149">
        <f t="shared" si="20"/>
        <v>0</v>
      </c>
      <c r="F210" s="148"/>
      <c r="G210" s="148">
        <v>147</v>
      </c>
      <c r="H210" s="149">
        <f t="shared" si="21"/>
        <v>0</v>
      </c>
      <c r="I210" s="149">
        <f t="shared" si="22"/>
        <v>0</v>
      </c>
      <c r="J210" s="149">
        <f t="shared" si="23"/>
        <v>0</v>
      </c>
      <c r="K210" s="149">
        <f t="shared" si="24"/>
        <v>0</v>
      </c>
      <c r="L210" s="148"/>
    </row>
    <row r="211" spans="1:12">
      <c r="A211" s="148">
        <v>148</v>
      </c>
      <c r="B211" s="149">
        <f t="shared" si="17"/>
        <v>0</v>
      </c>
      <c r="C211" s="149">
        <f t="shared" si="18"/>
        <v>0</v>
      </c>
      <c r="D211" s="149">
        <f t="shared" si="19"/>
        <v>0</v>
      </c>
      <c r="E211" s="149">
        <f t="shared" si="20"/>
        <v>0</v>
      </c>
      <c r="F211" s="148"/>
      <c r="G211" s="148">
        <v>148</v>
      </c>
      <c r="H211" s="149">
        <f t="shared" si="21"/>
        <v>0</v>
      </c>
      <c r="I211" s="149">
        <f t="shared" si="22"/>
        <v>0</v>
      </c>
      <c r="J211" s="149">
        <f t="shared" si="23"/>
        <v>0</v>
      </c>
      <c r="K211" s="149">
        <f t="shared" si="24"/>
        <v>0</v>
      </c>
      <c r="L211" s="148"/>
    </row>
    <row r="212" spans="1:12">
      <c r="A212" s="148">
        <v>149</v>
      </c>
      <c r="B212" s="149">
        <f t="shared" si="17"/>
        <v>0</v>
      </c>
      <c r="C212" s="149">
        <f t="shared" si="18"/>
        <v>0</v>
      </c>
      <c r="D212" s="149">
        <f t="shared" si="19"/>
        <v>0</v>
      </c>
      <c r="E212" s="149">
        <f t="shared" si="20"/>
        <v>0</v>
      </c>
      <c r="F212" s="148"/>
      <c r="G212" s="148">
        <v>149</v>
      </c>
      <c r="H212" s="149">
        <f t="shared" si="21"/>
        <v>0</v>
      </c>
      <c r="I212" s="149">
        <f t="shared" si="22"/>
        <v>0</v>
      </c>
      <c r="J212" s="149">
        <f t="shared" si="23"/>
        <v>0</v>
      </c>
      <c r="K212" s="149">
        <f t="shared" si="24"/>
        <v>0</v>
      </c>
      <c r="L212" s="148"/>
    </row>
    <row r="213" spans="1:12">
      <c r="A213" s="148">
        <v>150</v>
      </c>
      <c r="B213" s="149">
        <f t="shared" si="17"/>
        <v>0</v>
      </c>
      <c r="C213" s="149">
        <f t="shared" si="18"/>
        <v>0</v>
      </c>
      <c r="D213" s="149">
        <f t="shared" si="19"/>
        <v>0</v>
      </c>
      <c r="E213" s="149">
        <f t="shared" si="20"/>
        <v>0</v>
      </c>
      <c r="F213" s="148"/>
      <c r="G213" s="148">
        <v>150</v>
      </c>
      <c r="H213" s="149">
        <f t="shared" si="21"/>
        <v>0</v>
      </c>
      <c r="I213" s="149">
        <f t="shared" si="22"/>
        <v>0</v>
      </c>
      <c r="J213" s="149">
        <f t="shared" si="23"/>
        <v>0</v>
      </c>
      <c r="K213" s="149">
        <f t="shared" si="24"/>
        <v>0</v>
      </c>
      <c r="L213" s="148"/>
    </row>
    <row r="214" spans="1:12">
      <c r="A214" s="148">
        <v>151</v>
      </c>
      <c r="B214" s="149">
        <f t="shared" si="17"/>
        <v>0</v>
      </c>
      <c r="C214" s="149">
        <f t="shared" si="18"/>
        <v>0</v>
      </c>
      <c r="D214" s="149">
        <f t="shared" si="19"/>
        <v>0</v>
      </c>
      <c r="E214" s="149">
        <f t="shared" si="20"/>
        <v>0</v>
      </c>
      <c r="F214" s="148"/>
      <c r="G214" s="148">
        <v>151</v>
      </c>
      <c r="H214" s="149">
        <f t="shared" si="21"/>
        <v>0</v>
      </c>
      <c r="I214" s="149">
        <f t="shared" si="22"/>
        <v>0</v>
      </c>
      <c r="J214" s="149">
        <f t="shared" si="23"/>
        <v>0</v>
      </c>
      <c r="K214" s="149">
        <f t="shared" si="24"/>
        <v>0</v>
      </c>
      <c r="L214" s="148"/>
    </row>
    <row r="215" spans="1:12">
      <c r="A215" s="148">
        <v>152</v>
      </c>
      <c r="B215" s="149">
        <f t="shared" si="17"/>
        <v>0</v>
      </c>
      <c r="C215" s="149">
        <f t="shared" si="18"/>
        <v>0</v>
      </c>
      <c r="D215" s="149">
        <f t="shared" si="19"/>
        <v>0</v>
      </c>
      <c r="E215" s="149">
        <f t="shared" si="20"/>
        <v>0</v>
      </c>
      <c r="F215" s="148"/>
      <c r="G215" s="148">
        <v>152</v>
      </c>
      <c r="H215" s="149">
        <f t="shared" si="21"/>
        <v>0</v>
      </c>
      <c r="I215" s="149">
        <f t="shared" si="22"/>
        <v>0</v>
      </c>
      <c r="J215" s="149">
        <f t="shared" si="23"/>
        <v>0</v>
      </c>
      <c r="K215" s="149">
        <f t="shared" si="24"/>
        <v>0</v>
      </c>
      <c r="L215" s="148"/>
    </row>
    <row r="216" spans="1:12">
      <c r="A216" s="148">
        <v>153</v>
      </c>
      <c r="B216" s="149">
        <f t="shared" si="17"/>
        <v>0</v>
      </c>
      <c r="C216" s="149">
        <f t="shared" si="18"/>
        <v>0</v>
      </c>
      <c r="D216" s="149">
        <f t="shared" si="19"/>
        <v>0</v>
      </c>
      <c r="E216" s="149">
        <f t="shared" si="20"/>
        <v>0</v>
      </c>
      <c r="F216" s="148"/>
      <c r="G216" s="148">
        <v>153</v>
      </c>
      <c r="H216" s="149">
        <f t="shared" si="21"/>
        <v>0</v>
      </c>
      <c r="I216" s="149">
        <f t="shared" si="22"/>
        <v>0</v>
      </c>
      <c r="J216" s="149">
        <f t="shared" si="23"/>
        <v>0</v>
      </c>
      <c r="K216" s="149">
        <f t="shared" si="24"/>
        <v>0</v>
      </c>
      <c r="L216" s="148"/>
    </row>
    <row r="217" spans="1:12">
      <c r="A217" s="148">
        <v>154</v>
      </c>
      <c r="B217" s="149">
        <f t="shared" si="17"/>
        <v>0</v>
      </c>
      <c r="C217" s="149">
        <f t="shared" si="18"/>
        <v>0</v>
      </c>
      <c r="D217" s="149">
        <f t="shared" si="19"/>
        <v>0</v>
      </c>
      <c r="E217" s="149">
        <f t="shared" si="20"/>
        <v>0</v>
      </c>
      <c r="F217" s="148"/>
      <c r="G217" s="148">
        <v>154</v>
      </c>
      <c r="H217" s="149">
        <f t="shared" si="21"/>
        <v>0</v>
      </c>
      <c r="I217" s="149">
        <f t="shared" si="22"/>
        <v>0</v>
      </c>
      <c r="J217" s="149">
        <f t="shared" si="23"/>
        <v>0</v>
      </c>
      <c r="K217" s="149">
        <f t="shared" si="24"/>
        <v>0</v>
      </c>
      <c r="L217" s="148"/>
    </row>
    <row r="218" spans="1:12">
      <c r="A218" s="148">
        <v>155</v>
      </c>
      <c r="B218" s="149">
        <f t="shared" si="17"/>
        <v>0</v>
      </c>
      <c r="C218" s="149">
        <f t="shared" si="18"/>
        <v>0</v>
      </c>
      <c r="D218" s="149">
        <f t="shared" si="19"/>
        <v>0</v>
      </c>
      <c r="E218" s="149">
        <f t="shared" si="20"/>
        <v>0</v>
      </c>
      <c r="F218" s="148"/>
      <c r="G218" s="148">
        <v>155</v>
      </c>
      <c r="H218" s="149">
        <f t="shared" si="21"/>
        <v>0</v>
      </c>
      <c r="I218" s="149">
        <f t="shared" si="22"/>
        <v>0</v>
      </c>
      <c r="J218" s="149">
        <f t="shared" si="23"/>
        <v>0</v>
      </c>
      <c r="K218" s="149">
        <f t="shared" si="24"/>
        <v>0</v>
      </c>
      <c r="L218" s="148"/>
    </row>
    <row r="219" spans="1:12">
      <c r="A219" s="150">
        <v>156</v>
      </c>
      <c r="B219" s="149">
        <f t="shared" si="17"/>
        <v>0</v>
      </c>
      <c r="C219" s="149">
        <f t="shared" si="18"/>
        <v>0</v>
      </c>
      <c r="D219" s="149">
        <f t="shared" si="19"/>
        <v>0</v>
      </c>
      <c r="E219" s="149">
        <f t="shared" si="20"/>
        <v>0</v>
      </c>
      <c r="F219" s="150">
        <v>13</v>
      </c>
      <c r="G219" s="150">
        <v>156</v>
      </c>
      <c r="H219" s="149">
        <f t="shared" si="21"/>
        <v>0</v>
      </c>
      <c r="I219" s="149">
        <f t="shared" si="22"/>
        <v>0</v>
      </c>
      <c r="J219" s="149">
        <f t="shared" si="23"/>
        <v>0</v>
      </c>
      <c r="K219" s="149">
        <f t="shared" si="24"/>
        <v>0</v>
      </c>
      <c r="L219" s="150">
        <v>13</v>
      </c>
    </row>
    <row r="220" spans="1:12">
      <c r="A220" s="148">
        <v>157</v>
      </c>
      <c r="B220" s="149">
        <f t="shared" si="17"/>
        <v>0</v>
      </c>
      <c r="C220" s="149">
        <f t="shared" si="18"/>
        <v>0</v>
      </c>
      <c r="D220" s="149">
        <f t="shared" si="19"/>
        <v>0</v>
      </c>
      <c r="E220" s="149">
        <f t="shared" si="20"/>
        <v>0</v>
      </c>
      <c r="F220" s="148"/>
      <c r="G220" s="148">
        <v>157</v>
      </c>
      <c r="H220" s="149">
        <f t="shared" si="21"/>
        <v>0</v>
      </c>
      <c r="I220" s="149">
        <f t="shared" si="22"/>
        <v>0</v>
      </c>
      <c r="J220" s="149">
        <f t="shared" si="23"/>
        <v>0</v>
      </c>
      <c r="K220" s="149">
        <f t="shared" si="24"/>
        <v>0</v>
      </c>
      <c r="L220" s="148"/>
    </row>
    <row r="221" spans="1:12" s="133" customFormat="1">
      <c r="A221" s="148">
        <v>158</v>
      </c>
      <c r="B221" s="149">
        <f t="shared" si="17"/>
        <v>0</v>
      </c>
      <c r="C221" s="149">
        <f t="shared" si="18"/>
        <v>0</v>
      </c>
      <c r="D221" s="149">
        <f t="shared" si="19"/>
        <v>0</v>
      </c>
      <c r="E221" s="149">
        <f t="shared" si="20"/>
        <v>0</v>
      </c>
      <c r="F221" s="148"/>
      <c r="G221" s="148">
        <v>158</v>
      </c>
      <c r="H221" s="149">
        <f t="shared" si="21"/>
        <v>0</v>
      </c>
      <c r="I221" s="149">
        <f t="shared" si="22"/>
        <v>0</v>
      </c>
      <c r="J221" s="149">
        <f t="shared" si="23"/>
        <v>0</v>
      </c>
      <c r="K221" s="149">
        <f t="shared" si="24"/>
        <v>0</v>
      </c>
      <c r="L221" s="148"/>
    </row>
    <row r="222" spans="1:12">
      <c r="A222" s="148">
        <v>159</v>
      </c>
      <c r="B222" s="149">
        <f t="shared" si="17"/>
        <v>0</v>
      </c>
      <c r="C222" s="149">
        <f t="shared" si="18"/>
        <v>0</v>
      </c>
      <c r="D222" s="149">
        <f t="shared" si="19"/>
        <v>0</v>
      </c>
      <c r="E222" s="149">
        <f t="shared" si="20"/>
        <v>0</v>
      </c>
      <c r="F222" s="148"/>
      <c r="G222" s="148">
        <v>159</v>
      </c>
      <c r="H222" s="149">
        <f t="shared" si="21"/>
        <v>0</v>
      </c>
      <c r="I222" s="149">
        <f t="shared" si="22"/>
        <v>0</v>
      </c>
      <c r="J222" s="149">
        <f t="shared" si="23"/>
        <v>0</v>
      </c>
      <c r="K222" s="149">
        <f t="shared" si="24"/>
        <v>0</v>
      </c>
      <c r="L222" s="148"/>
    </row>
    <row r="223" spans="1:12">
      <c r="A223" s="148">
        <v>160</v>
      </c>
      <c r="B223" s="149">
        <f t="shared" si="17"/>
        <v>0</v>
      </c>
      <c r="C223" s="149">
        <f t="shared" si="18"/>
        <v>0</v>
      </c>
      <c r="D223" s="149">
        <f t="shared" si="19"/>
        <v>0</v>
      </c>
      <c r="E223" s="149">
        <f t="shared" si="20"/>
        <v>0</v>
      </c>
      <c r="F223" s="148"/>
      <c r="G223" s="148">
        <v>160</v>
      </c>
      <c r="H223" s="149">
        <f t="shared" si="21"/>
        <v>0</v>
      </c>
      <c r="I223" s="149">
        <f t="shared" si="22"/>
        <v>0</v>
      </c>
      <c r="J223" s="149">
        <f t="shared" si="23"/>
        <v>0</v>
      </c>
      <c r="K223" s="149">
        <f t="shared" si="24"/>
        <v>0</v>
      </c>
      <c r="L223" s="148"/>
    </row>
    <row r="224" spans="1:12">
      <c r="A224" s="148">
        <v>161</v>
      </c>
      <c r="B224" s="149">
        <f t="shared" si="17"/>
        <v>0</v>
      </c>
      <c r="C224" s="149">
        <f t="shared" si="18"/>
        <v>0</v>
      </c>
      <c r="D224" s="149">
        <f t="shared" si="19"/>
        <v>0</v>
      </c>
      <c r="E224" s="149">
        <f t="shared" si="20"/>
        <v>0</v>
      </c>
      <c r="F224" s="148"/>
      <c r="G224" s="148">
        <v>161</v>
      </c>
      <c r="H224" s="149">
        <f t="shared" si="21"/>
        <v>0</v>
      </c>
      <c r="I224" s="149">
        <f t="shared" si="22"/>
        <v>0</v>
      </c>
      <c r="J224" s="149">
        <f t="shared" si="23"/>
        <v>0</v>
      </c>
      <c r="K224" s="149">
        <f t="shared" si="24"/>
        <v>0</v>
      </c>
      <c r="L224" s="148"/>
    </row>
    <row r="225" spans="1:12">
      <c r="A225" s="148">
        <v>162</v>
      </c>
      <c r="B225" s="149">
        <f t="shared" si="17"/>
        <v>0</v>
      </c>
      <c r="C225" s="149">
        <f t="shared" si="18"/>
        <v>0</v>
      </c>
      <c r="D225" s="149">
        <f t="shared" si="19"/>
        <v>0</v>
      </c>
      <c r="E225" s="149">
        <f t="shared" si="20"/>
        <v>0</v>
      </c>
      <c r="F225" s="148"/>
      <c r="G225" s="148">
        <v>162</v>
      </c>
      <c r="H225" s="149">
        <f t="shared" si="21"/>
        <v>0</v>
      </c>
      <c r="I225" s="149">
        <f t="shared" si="22"/>
        <v>0</v>
      </c>
      <c r="J225" s="149">
        <f t="shared" si="23"/>
        <v>0</v>
      </c>
      <c r="K225" s="149">
        <f t="shared" si="24"/>
        <v>0</v>
      </c>
      <c r="L225" s="148"/>
    </row>
    <row r="226" spans="1:12">
      <c r="A226" s="148">
        <v>163</v>
      </c>
      <c r="B226" s="149">
        <f t="shared" si="17"/>
        <v>0</v>
      </c>
      <c r="C226" s="149">
        <f t="shared" si="18"/>
        <v>0</v>
      </c>
      <c r="D226" s="149">
        <f t="shared" si="19"/>
        <v>0</v>
      </c>
      <c r="E226" s="149">
        <f t="shared" si="20"/>
        <v>0</v>
      </c>
      <c r="F226" s="148"/>
      <c r="G226" s="148">
        <v>163</v>
      </c>
      <c r="H226" s="149">
        <f t="shared" si="21"/>
        <v>0</v>
      </c>
      <c r="I226" s="149">
        <f t="shared" si="22"/>
        <v>0</v>
      </c>
      <c r="J226" s="149">
        <f t="shared" si="23"/>
        <v>0</v>
      </c>
      <c r="K226" s="149">
        <f t="shared" si="24"/>
        <v>0</v>
      </c>
      <c r="L226" s="148"/>
    </row>
    <row r="227" spans="1:12">
      <c r="A227" s="148">
        <v>164</v>
      </c>
      <c r="B227" s="149">
        <f t="shared" si="17"/>
        <v>0</v>
      </c>
      <c r="C227" s="149">
        <f t="shared" si="18"/>
        <v>0</v>
      </c>
      <c r="D227" s="149">
        <f t="shared" si="19"/>
        <v>0</v>
      </c>
      <c r="E227" s="149">
        <f t="shared" si="20"/>
        <v>0</v>
      </c>
      <c r="F227" s="148"/>
      <c r="G227" s="148">
        <v>164</v>
      </c>
      <c r="H227" s="149">
        <f t="shared" si="21"/>
        <v>0</v>
      </c>
      <c r="I227" s="149">
        <f t="shared" si="22"/>
        <v>0</v>
      </c>
      <c r="J227" s="149">
        <f t="shared" si="23"/>
        <v>0</v>
      </c>
      <c r="K227" s="149">
        <f t="shared" si="24"/>
        <v>0</v>
      </c>
      <c r="L227" s="148"/>
    </row>
    <row r="228" spans="1:12">
      <c r="A228" s="148">
        <v>165</v>
      </c>
      <c r="B228" s="149">
        <f t="shared" si="17"/>
        <v>0</v>
      </c>
      <c r="C228" s="149">
        <f t="shared" si="18"/>
        <v>0</v>
      </c>
      <c r="D228" s="149">
        <f t="shared" si="19"/>
        <v>0</v>
      </c>
      <c r="E228" s="149">
        <f t="shared" si="20"/>
        <v>0</v>
      </c>
      <c r="F228" s="148"/>
      <c r="G228" s="148">
        <v>165</v>
      </c>
      <c r="H228" s="149">
        <f t="shared" si="21"/>
        <v>0</v>
      </c>
      <c r="I228" s="149">
        <f t="shared" si="22"/>
        <v>0</v>
      </c>
      <c r="J228" s="149">
        <f t="shared" si="23"/>
        <v>0</v>
      </c>
      <c r="K228" s="149">
        <f t="shared" si="24"/>
        <v>0</v>
      </c>
      <c r="L228" s="148"/>
    </row>
    <row r="229" spans="1:12">
      <c r="A229" s="148">
        <v>166</v>
      </c>
      <c r="B229" s="149">
        <f t="shared" si="17"/>
        <v>0</v>
      </c>
      <c r="C229" s="149">
        <f t="shared" si="18"/>
        <v>0</v>
      </c>
      <c r="D229" s="149">
        <f t="shared" si="19"/>
        <v>0</v>
      </c>
      <c r="E229" s="149">
        <f t="shared" si="20"/>
        <v>0</v>
      </c>
      <c r="F229" s="148"/>
      <c r="G229" s="148">
        <v>166</v>
      </c>
      <c r="H229" s="149">
        <f t="shared" si="21"/>
        <v>0</v>
      </c>
      <c r="I229" s="149">
        <f t="shared" si="22"/>
        <v>0</v>
      </c>
      <c r="J229" s="149">
        <f t="shared" si="23"/>
        <v>0</v>
      </c>
      <c r="K229" s="149">
        <f t="shared" si="24"/>
        <v>0</v>
      </c>
      <c r="L229" s="148"/>
    </row>
    <row r="230" spans="1:12">
      <c r="A230" s="148">
        <v>167</v>
      </c>
      <c r="B230" s="149">
        <f t="shared" si="17"/>
        <v>0</v>
      </c>
      <c r="C230" s="149">
        <f t="shared" si="18"/>
        <v>0</v>
      </c>
      <c r="D230" s="149">
        <f t="shared" si="19"/>
        <v>0</v>
      </c>
      <c r="E230" s="149">
        <f t="shared" si="20"/>
        <v>0</v>
      </c>
      <c r="F230" s="148"/>
      <c r="G230" s="148">
        <v>167</v>
      </c>
      <c r="H230" s="149">
        <f t="shared" si="21"/>
        <v>0</v>
      </c>
      <c r="I230" s="149">
        <f t="shared" si="22"/>
        <v>0</v>
      </c>
      <c r="J230" s="149">
        <f t="shared" si="23"/>
        <v>0</v>
      </c>
      <c r="K230" s="149">
        <f t="shared" si="24"/>
        <v>0</v>
      </c>
      <c r="L230" s="148"/>
    </row>
    <row r="231" spans="1:12">
      <c r="A231" s="150">
        <v>168</v>
      </c>
      <c r="B231" s="149">
        <f t="shared" si="17"/>
        <v>0</v>
      </c>
      <c r="C231" s="149">
        <f t="shared" si="18"/>
        <v>0</v>
      </c>
      <c r="D231" s="149">
        <f t="shared" si="19"/>
        <v>0</v>
      </c>
      <c r="E231" s="149">
        <f t="shared" si="20"/>
        <v>0</v>
      </c>
      <c r="F231" s="150">
        <v>14</v>
      </c>
      <c r="G231" s="150">
        <v>168</v>
      </c>
      <c r="H231" s="149">
        <f t="shared" si="21"/>
        <v>0</v>
      </c>
      <c r="I231" s="149">
        <f t="shared" si="22"/>
        <v>0</v>
      </c>
      <c r="J231" s="149">
        <f t="shared" si="23"/>
        <v>0</v>
      </c>
      <c r="K231" s="149">
        <f t="shared" si="24"/>
        <v>0</v>
      </c>
      <c r="L231" s="150">
        <v>14</v>
      </c>
    </row>
    <row r="232" spans="1:12">
      <c r="A232" s="148">
        <v>169</v>
      </c>
      <c r="B232" s="149">
        <f t="shared" si="17"/>
        <v>0</v>
      </c>
      <c r="C232" s="149">
        <f t="shared" si="18"/>
        <v>0</v>
      </c>
      <c r="D232" s="149">
        <f t="shared" si="19"/>
        <v>0</v>
      </c>
      <c r="E232" s="149">
        <f t="shared" si="20"/>
        <v>0</v>
      </c>
      <c r="F232" s="148"/>
      <c r="G232" s="148">
        <v>169</v>
      </c>
      <c r="H232" s="149">
        <f t="shared" si="21"/>
        <v>0</v>
      </c>
      <c r="I232" s="149">
        <f t="shared" si="22"/>
        <v>0</v>
      </c>
      <c r="J232" s="149">
        <f t="shared" si="23"/>
        <v>0</v>
      </c>
      <c r="K232" s="149">
        <f t="shared" si="24"/>
        <v>0</v>
      </c>
      <c r="L232" s="148"/>
    </row>
    <row r="233" spans="1:12" s="133" customFormat="1">
      <c r="A233" s="148">
        <v>170</v>
      </c>
      <c r="B233" s="149">
        <f t="shared" si="17"/>
        <v>0</v>
      </c>
      <c r="C233" s="149">
        <f t="shared" si="18"/>
        <v>0</v>
      </c>
      <c r="D233" s="149">
        <f t="shared" si="19"/>
        <v>0</v>
      </c>
      <c r="E233" s="149">
        <f t="shared" si="20"/>
        <v>0</v>
      </c>
      <c r="F233" s="148"/>
      <c r="G233" s="148">
        <v>170</v>
      </c>
      <c r="H233" s="149">
        <f t="shared" si="21"/>
        <v>0</v>
      </c>
      <c r="I233" s="149">
        <f t="shared" si="22"/>
        <v>0</v>
      </c>
      <c r="J233" s="149">
        <f t="shared" si="23"/>
        <v>0</v>
      </c>
      <c r="K233" s="149">
        <f t="shared" si="24"/>
        <v>0</v>
      </c>
      <c r="L233" s="148"/>
    </row>
    <row r="234" spans="1:12">
      <c r="A234" s="148">
        <v>171</v>
      </c>
      <c r="B234" s="149">
        <f t="shared" si="17"/>
        <v>0</v>
      </c>
      <c r="C234" s="149">
        <f t="shared" si="18"/>
        <v>0</v>
      </c>
      <c r="D234" s="149">
        <f t="shared" si="19"/>
        <v>0</v>
      </c>
      <c r="E234" s="149">
        <f t="shared" si="20"/>
        <v>0</v>
      </c>
      <c r="F234" s="148"/>
      <c r="G234" s="148">
        <v>171</v>
      </c>
      <c r="H234" s="149">
        <f t="shared" si="21"/>
        <v>0</v>
      </c>
      <c r="I234" s="149">
        <f t="shared" si="22"/>
        <v>0</v>
      </c>
      <c r="J234" s="149">
        <f t="shared" si="23"/>
        <v>0</v>
      </c>
      <c r="K234" s="149">
        <f t="shared" si="24"/>
        <v>0</v>
      </c>
      <c r="L234" s="148"/>
    </row>
    <row r="235" spans="1:12">
      <c r="A235" s="148">
        <v>172</v>
      </c>
      <c r="B235" s="149">
        <f t="shared" si="17"/>
        <v>0</v>
      </c>
      <c r="C235" s="149">
        <f t="shared" si="18"/>
        <v>0</v>
      </c>
      <c r="D235" s="149">
        <f t="shared" si="19"/>
        <v>0</v>
      </c>
      <c r="E235" s="149">
        <f t="shared" si="20"/>
        <v>0</v>
      </c>
      <c r="F235" s="148"/>
      <c r="G235" s="148">
        <v>172</v>
      </c>
      <c r="H235" s="149">
        <f t="shared" si="21"/>
        <v>0</v>
      </c>
      <c r="I235" s="149">
        <f t="shared" si="22"/>
        <v>0</v>
      </c>
      <c r="J235" s="149">
        <f t="shared" si="23"/>
        <v>0</v>
      </c>
      <c r="K235" s="149">
        <f t="shared" si="24"/>
        <v>0</v>
      </c>
      <c r="L235" s="148"/>
    </row>
    <row r="236" spans="1:12">
      <c r="A236" s="148">
        <v>173</v>
      </c>
      <c r="B236" s="149">
        <f t="shared" si="17"/>
        <v>0</v>
      </c>
      <c r="C236" s="149">
        <f t="shared" si="18"/>
        <v>0</v>
      </c>
      <c r="D236" s="149">
        <f t="shared" si="19"/>
        <v>0</v>
      </c>
      <c r="E236" s="149">
        <f t="shared" si="20"/>
        <v>0</v>
      </c>
      <c r="F236" s="148"/>
      <c r="G236" s="148">
        <v>173</v>
      </c>
      <c r="H236" s="149">
        <f t="shared" si="21"/>
        <v>0</v>
      </c>
      <c r="I236" s="149">
        <f t="shared" si="22"/>
        <v>0</v>
      </c>
      <c r="J236" s="149">
        <f t="shared" si="23"/>
        <v>0</v>
      </c>
      <c r="K236" s="149">
        <f t="shared" si="24"/>
        <v>0</v>
      </c>
      <c r="L236" s="148"/>
    </row>
    <row r="237" spans="1:12">
      <c r="A237" s="148">
        <v>174</v>
      </c>
      <c r="B237" s="149">
        <f t="shared" si="17"/>
        <v>0</v>
      </c>
      <c r="C237" s="149">
        <f t="shared" si="18"/>
        <v>0</v>
      </c>
      <c r="D237" s="149">
        <f t="shared" si="19"/>
        <v>0</v>
      </c>
      <c r="E237" s="149">
        <f t="shared" si="20"/>
        <v>0</v>
      </c>
      <c r="F237" s="148"/>
      <c r="G237" s="148">
        <v>174</v>
      </c>
      <c r="H237" s="149">
        <f t="shared" si="21"/>
        <v>0</v>
      </c>
      <c r="I237" s="149">
        <f t="shared" si="22"/>
        <v>0</v>
      </c>
      <c r="J237" s="149">
        <f t="shared" si="23"/>
        <v>0</v>
      </c>
      <c r="K237" s="149">
        <f t="shared" si="24"/>
        <v>0</v>
      </c>
      <c r="L237" s="148"/>
    </row>
    <row r="238" spans="1:12">
      <c r="A238" s="148">
        <v>175</v>
      </c>
      <c r="B238" s="149">
        <f t="shared" si="17"/>
        <v>0</v>
      </c>
      <c r="C238" s="149">
        <f t="shared" si="18"/>
        <v>0</v>
      </c>
      <c r="D238" s="149">
        <f t="shared" si="19"/>
        <v>0</v>
      </c>
      <c r="E238" s="149">
        <f t="shared" si="20"/>
        <v>0</v>
      </c>
      <c r="F238" s="148"/>
      <c r="G238" s="148">
        <v>175</v>
      </c>
      <c r="H238" s="149">
        <f t="shared" si="21"/>
        <v>0</v>
      </c>
      <c r="I238" s="149">
        <f t="shared" si="22"/>
        <v>0</v>
      </c>
      <c r="J238" s="149">
        <f t="shared" si="23"/>
        <v>0</v>
      </c>
      <c r="K238" s="149">
        <f t="shared" si="24"/>
        <v>0</v>
      </c>
      <c r="L238" s="148"/>
    </row>
    <row r="239" spans="1:12">
      <c r="A239" s="148">
        <v>176</v>
      </c>
      <c r="B239" s="149">
        <f t="shared" si="17"/>
        <v>0</v>
      </c>
      <c r="C239" s="149">
        <f t="shared" si="18"/>
        <v>0</v>
      </c>
      <c r="D239" s="149">
        <f t="shared" si="19"/>
        <v>0</v>
      </c>
      <c r="E239" s="149">
        <f t="shared" si="20"/>
        <v>0</v>
      </c>
      <c r="F239" s="148"/>
      <c r="G239" s="148">
        <v>176</v>
      </c>
      <c r="H239" s="149">
        <f t="shared" si="21"/>
        <v>0</v>
      </c>
      <c r="I239" s="149">
        <f t="shared" si="22"/>
        <v>0</v>
      </c>
      <c r="J239" s="149">
        <f t="shared" si="23"/>
        <v>0</v>
      </c>
      <c r="K239" s="149">
        <f t="shared" si="24"/>
        <v>0</v>
      </c>
      <c r="L239" s="148"/>
    </row>
    <row r="240" spans="1:12">
      <c r="A240" s="148">
        <v>177</v>
      </c>
      <c r="B240" s="149">
        <f t="shared" si="17"/>
        <v>0</v>
      </c>
      <c r="C240" s="149">
        <f t="shared" si="18"/>
        <v>0</v>
      </c>
      <c r="D240" s="149">
        <f t="shared" si="19"/>
        <v>0</v>
      </c>
      <c r="E240" s="149">
        <f t="shared" si="20"/>
        <v>0</v>
      </c>
      <c r="F240" s="148"/>
      <c r="G240" s="148">
        <v>177</v>
      </c>
      <c r="H240" s="149">
        <f t="shared" si="21"/>
        <v>0</v>
      </c>
      <c r="I240" s="149">
        <f t="shared" si="22"/>
        <v>0</v>
      </c>
      <c r="J240" s="149">
        <f t="shared" si="23"/>
        <v>0</v>
      </c>
      <c r="K240" s="149">
        <f t="shared" si="24"/>
        <v>0</v>
      </c>
      <c r="L240" s="148"/>
    </row>
    <row r="241" spans="1:12">
      <c r="A241" s="148">
        <v>178</v>
      </c>
      <c r="B241" s="149">
        <f t="shared" si="17"/>
        <v>0</v>
      </c>
      <c r="C241" s="149">
        <f t="shared" si="18"/>
        <v>0</v>
      </c>
      <c r="D241" s="149">
        <f t="shared" si="19"/>
        <v>0</v>
      </c>
      <c r="E241" s="149">
        <f t="shared" si="20"/>
        <v>0</v>
      </c>
      <c r="F241" s="148"/>
      <c r="G241" s="148">
        <v>178</v>
      </c>
      <c r="H241" s="149">
        <f t="shared" si="21"/>
        <v>0</v>
      </c>
      <c r="I241" s="149">
        <f t="shared" si="22"/>
        <v>0</v>
      </c>
      <c r="J241" s="149">
        <f t="shared" si="23"/>
        <v>0</v>
      </c>
      <c r="K241" s="149">
        <f t="shared" si="24"/>
        <v>0</v>
      </c>
      <c r="L241" s="148"/>
    </row>
    <row r="242" spans="1:12">
      <c r="A242" s="148">
        <v>179</v>
      </c>
      <c r="B242" s="149">
        <f t="shared" si="17"/>
        <v>0</v>
      </c>
      <c r="C242" s="149">
        <f t="shared" si="18"/>
        <v>0</v>
      </c>
      <c r="D242" s="149">
        <f t="shared" si="19"/>
        <v>0</v>
      </c>
      <c r="E242" s="149">
        <f t="shared" si="20"/>
        <v>0</v>
      </c>
      <c r="F242" s="148"/>
      <c r="G242" s="148">
        <v>179</v>
      </c>
      <c r="H242" s="149">
        <f t="shared" si="21"/>
        <v>0</v>
      </c>
      <c r="I242" s="149">
        <f t="shared" si="22"/>
        <v>0</v>
      </c>
      <c r="J242" s="149">
        <f t="shared" si="23"/>
        <v>0</v>
      </c>
      <c r="K242" s="149">
        <f t="shared" si="24"/>
        <v>0</v>
      </c>
      <c r="L242" s="148"/>
    </row>
    <row r="243" spans="1:12">
      <c r="A243" s="150">
        <v>180</v>
      </c>
      <c r="B243" s="149">
        <f t="shared" si="17"/>
        <v>0</v>
      </c>
      <c r="C243" s="149">
        <f t="shared" si="18"/>
        <v>0</v>
      </c>
      <c r="D243" s="149">
        <f t="shared" si="19"/>
        <v>0</v>
      </c>
      <c r="E243" s="149">
        <f t="shared" si="20"/>
        <v>0</v>
      </c>
      <c r="F243" s="150">
        <v>15</v>
      </c>
      <c r="G243" s="150">
        <v>180</v>
      </c>
      <c r="H243" s="149">
        <f t="shared" si="21"/>
        <v>0</v>
      </c>
      <c r="I243" s="149">
        <f t="shared" si="22"/>
        <v>0</v>
      </c>
      <c r="J243" s="149">
        <f t="shared" si="23"/>
        <v>0</v>
      </c>
      <c r="K243" s="149">
        <f t="shared" si="24"/>
        <v>0</v>
      </c>
      <c r="L243" s="150">
        <v>15</v>
      </c>
    </row>
    <row r="244" spans="1:12">
      <c r="A244" s="148">
        <v>181</v>
      </c>
      <c r="B244" s="149">
        <f t="shared" si="17"/>
        <v>0</v>
      </c>
      <c r="C244" s="149">
        <f t="shared" si="18"/>
        <v>0</v>
      </c>
      <c r="D244" s="149">
        <f t="shared" si="19"/>
        <v>0</v>
      </c>
      <c r="E244" s="149">
        <f t="shared" si="20"/>
        <v>0</v>
      </c>
      <c r="F244" s="148"/>
      <c r="G244" s="148">
        <v>181</v>
      </c>
      <c r="H244" s="149">
        <f t="shared" si="21"/>
        <v>0</v>
      </c>
      <c r="I244" s="149">
        <f t="shared" si="22"/>
        <v>0</v>
      </c>
      <c r="J244" s="149">
        <f t="shared" si="23"/>
        <v>0</v>
      </c>
      <c r="K244" s="149">
        <f t="shared" si="24"/>
        <v>0</v>
      </c>
      <c r="L244" s="148"/>
    </row>
    <row r="245" spans="1:12" s="133" customFormat="1">
      <c r="A245" s="150">
        <v>182</v>
      </c>
      <c r="B245" s="149">
        <f t="shared" si="17"/>
        <v>0</v>
      </c>
      <c r="C245" s="149">
        <f t="shared" si="18"/>
        <v>0</v>
      </c>
      <c r="D245" s="149">
        <f t="shared" si="19"/>
        <v>0</v>
      </c>
      <c r="E245" s="149">
        <f t="shared" si="20"/>
        <v>0</v>
      </c>
      <c r="F245" s="148"/>
      <c r="G245" s="150">
        <v>182</v>
      </c>
      <c r="H245" s="149">
        <f t="shared" si="21"/>
        <v>0</v>
      </c>
      <c r="I245" s="149">
        <f t="shared" si="22"/>
        <v>0</v>
      </c>
      <c r="J245" s="149">
        <f t="shared" si="23"/>
        <v>0</v>
      </c>
      <c r="K245" s="149">
        <f t="shared" si="24"/>
        <v>0</v>
      </c>
      <c r="L245" s="148"/>
    </row>
    <row r="246" spans="1:12">
      <c r="A246" s="150">
        <v>183</v>
      </c>
      <c r="B246" s="149">
        <f t="shared" si="17"/>
        <v>0</v>
      </c>
      <c r="C246" s="149">
        <f t="shared" si="18"/>
        <v>0</v>
      </c>
      <c r="D246" s="149">
        <f t="shared" si="19"/>
        <v>0</v>
      </c>
      <c r="E246" s="149">
        <f t="shared" si="20"/>
        <v>0</v>
      </c>
      <c r="F246" s="148"/>
      <c r="G246" s="150">
        <v>183</v>
      </c>
      <c r="H246" s="149">
        <f t="shared" si="21"/>
        <v>0</v>
      </c>
      <c r="I246" s="149">
        <f t="shared" si="22"/>
        <v>0</v>
      </c>
      <c r="J246" s="149">
        <f t="shared" si="23"/>
        <v>0</v>
      </c>
      <c r="K246" s="149">
        <f t="shared" si="24"/>
        <v>0</v>
      </c>
      <c r="L246" s="148"/>
    </row>
    <row r="247" spans="1:12">
      <c r="A247" s="150">
        <v>184</v>
      </c>
      <c r="B247" s="149">
        <f t="shared" si="17"/>
        <v>0</v>
      </c>
      <c r="C247" s="149">
        <f t="shared" si="18"/>
        <v>0</v>
      </c>
      <c r="D247" s="149">
        <f t="shared" si="19"/>
        <v>0</v>
      </c>
      <c r="E247" s="149">
        <f t="shared" si="20"/>
        <v>0</v>
      </c>
      <c r="F247" s="148"/>
      <c r="G247" s="150">
        <v>184</v>
      </c>
      <c r="H247" s="149">
        <f t="shared" si="21"/>
        <v>0</v>
      </c>
      <c r="I247" s="149">
        <f t="shared" si="22"/>
        <v>0</v>
      </c>
      <c r="J247" s="149">
        <f t="shared" si="23"/>
        <v>0</v>
      </c>
      <c r="K247" s="149">
        <f t="shared" si="24"/>
        <v>0</v>
      </c>
      <c r="L247" s="148"/>
    </row>
    <row r="248" spans="1:12">
      <c r="A248" s="150">
        <v>185</v>
      </c>
      <c r="B248" s="149">
        <f t="shared" si="17"/>
        <v>0</v>
      </c>
      <c r="C248" s="149">
        <f t="shared" si="18"/>
        <v>0</v>
      </c>
      <c r="D248" s="149">
        <f t="shared" si="19"/>
        <v>0</v>
      </c>
      <c r="E248" s="149">
        <f t="shared" si="20"/>
        <v>0</v>
      </c>
      <c r="F248" s="148"/>
      <c r="G248" s="150">
        <v>185</v>
      </c>
      <c r="H248" s="149">
        <f t="shared" si="21"/>
        <v>0</v>
      </c>
      <c r="I248" s="149">
        <f t="shared" si="22"/>
        <v>0</v>
      </c>
      <c r="J248" s="149">
        <f t="shared" si="23"/>
        <v>0</v>
      </c>
      <c r="K248" s="149">
        <f t="shared" si="24"/>
        <v>0</v>
      </c>
      <c r="L248" s="148"/>
    </row>
    <row r="249" spans="1:12">
      <c r="A249" s="150">
        <v>186</v>
      </c>
      <c r="B249" s="149">
        <f t="shared" si="17"/>
        <v>0</v>
      </c>
      <c r="C249" s="149">
        <f t="shared" si="18"/>
        <v>0</v>
      </c>
      <c r="D249" s="149">
        <f t="shared" si="19"/>
        <v>0</v>
      </c>
      <c r="E249" s="149">
        <f t="shared" si="20"/>
        <v>0</v>
      </c>
      <c r="F249" s="148"/>
      <c r="G249" s="150">
        <v>186</v>
      </c>
      <c r="H249" s="149">
        <f t="shared" si="21"/>
        <v>0</v>
      </c>
      <c r="I249" s="149">
        <f t="shared" si="22"/>
        <v>0</v>
      </c>
      <c r="J249" s="149">
        <f t="shared" si="23"/>
        <v>0</v>
      </c>
      <c r="K249" s="149">
        <f t="shared" si="24"/>
        <v>0</v>
      </c>
      <c r="L249" s="148"/>
    </row>
    <row r="250" spans="1:12">
      <c r="A250" s="150">
        <v>187</v>
      </c>
      <c r="B250" s="149">
        <f t="shared" si="17"/>
        <v>0</v>
      </c>
      <c r="C250" s="149">
        <f t="shared" si="18"/>
        <v>0</v>
      </c>
      <c r="D250" s="149">
        <f t="shared" si="19"/>
        <v>0</v>
      </c>
      <c r="E250" s="149">
        <f t="shared" si="20"/>
        <v>0</v>
      </c>
      <c r="F250" s="148"/>
      <c r="G250" s="150">
        <v>187</v>
      </c>
      <c r="H250" s="149">
        <f t="shared" si="21"/>
        <v>0</v>
      </c>
      <c r="I250" s="149">
        <f t="shared" si="22"/>
        <v>0</v>
      </c>
      <c r="J250" s="149">
        <f t="shared" si="23"/>
        <v>0</v>
      </c>
      <c r="K250" s="149">
        <f t="shared" si="24"/>
        <v>0</v>
      </c>
      <c r="L250" s="148"/>
    </row>
    <row r="251" spans="1:12">
      <c r="A251" s="150">
        <v>188</v>
      </c>
      <c r="B251" s="149">
        <f t="shared" si="17"/>
        <v>0</v>
      </c>
      <c r="C251" s="149">
        <f t="shared" si="18"/>
        <v>0</v>
      </c>
      <c r="D251" s="149">
        <f t="shared" si="19"/>
        <v>0</v>
      </c>
      <c r="E251" s="149">
        <f t="shared" si="20"/>
        <v>0</v>
      </c>
      <c r="F251" s="148"/>
      <c r="G251" s="150">
        <v>188</v>
      </c>
      <c r="H251" s="149">
        <f t="shared" si="21"/>
        <v>0</v>
      </c>
      <c r="I251" s="149">
        <f t="shared" si="22"/>
        <v>0</v>
      </c>
      <c r="J251" s="149">
        <f t="shared" si="23"/>
        <v>0</v>
      </c>
      <c r="K251" s="149">
        <f t="shared" si="24"/>
        <v>0</v>
      </c>
      <c r="L251" s="148"/>
    </row>
    <row r="252" spans="1:12">
      <c r="A252" s="150">
        <v>189</v>
      </c>
      <c r="B252" s="149">
        <f t="shared" si="17"/>
        <v>0</v>
      </c>
      <c r="C252" s="149">
        <f t="shared" si="18"/>
        <v>0</v>
      </c>
      <c r="D252" s="149">
        <f t="shared" si="19"/>
        <v>0</v>
      </c>
      <c r="E252" s="149">
        <f t="shared" si="20"/>
        <v>0</v>
      </c>
      <c r="F252" s="148"/>
      <c r="G252" s="150">
        <v>189</v>
      </c>
      <c r="H252" s="149">
        <f t="shared" si="21"/>
        <v>0</v>
      </c>
      <c r="I252" s="149">
        <f t="shared" si="22"/>
        <v>0</v>
      </c>
      <c r="J252" s="149">
        <f t="shared" si="23"/>
        <v>0</v>
      </c>
      <c r="K252" s="149">
        <f t="shared" si="24"/>
        <v>0</v>
      </c>
      <c r="L252" s="148"/>
    </row>
    <row r="253" spans="1:12">
      <c r="A253" s="150">
        <v>190</v>
      </c>
      <c r="B253" s="149">
        <f t="shared" si="17"/>
        <v>0</v>
      </c>
      <c r="C253" s="149">
        <f t="shared" si="18"/>
        <v>0</v>
      </c>
      <c r="D253" s="149">
        <f t="shared" si="19"/>
        <v>0</v>
      </c>
      <c r="E253" s="149">
        <f t="shared" si="20"/>
        <v>0</v>
      </c>
      <c r="F253" s="148"/>
      <c r="G253" s="150">
        <v>190</v>
      </c>
      <c r="H253" s="149">
        <f t="shared" si="21"/>
        <v>0</v>
      </c>
      <c r="I253" s="149">
        <f t="shared" si="22"/>
        <v>0</v>
      </c>
      <c r="J253" s="149">
        <f t="shared" si="23"/>
        <v>0</v>
      </c>
      <c r="K253" s="149">
        <f t="shared" si="24"/>
        <v>0</v>
      </c>
      <c r="L253" s="148"/>
    </row>
    <row r="254" spans="1:12">
      <c r="A254" s="150">
        <v>191</v>
      </c>
      <c r="B254" s="149">
        <f t="shared" si="17"/>
        <v>0</v>
      </c>
      <c r="C254" s="149">
        <f t="shared" si="18"/>
        <v>0</v>
      </c>
      <c r="D254" s="149">
        <f t="shared" si="19"/>
        <v>0</v>
      </c>
      <c r="E254" s="149">
        <f t="shared" si="20"/>
        <v>0</v>
      </c>
      <c r="F254" s="148"/>
      <c r="G254" s="150">
        <v>191</v>
      </c>
      <c r="H254" s="149">
        <f t="shared" si="21"/>
        <v>0</v>
      </c>
      <c r="I254" s="149">
        <f t="shared" si="22"/>
        <v>0</v>
      </c>
      <c r="J254" s="149">
        <f t="shared" si="23"/>
        <v>0</v>
      </c>
      <c r="K254" s="149">
        <f t="shared" si="24"/>
        <v>0</v>
      </c>
      <c r="L254" s="148"/>
    </row>
    <row r="255" spans="1:12">
      <c r="A255" s="150">
        <v>192</v>
      </c>
      <c r="B255" s="149">
        <f t="shared" si="17"/>
        <v>0</v>
      </c>
      <c r="C255" s="149">
        <f t="shared" si="18"/>
        <v>0</v>
      </c>
      <c r="D255" s="149">
        <f t="shared" si="19"/>
        <v>0</v>
      </c>
      <c r="E255" s="149">
        <f t="shared" si="20"/>
        <v>0</v>
      </c>
      <c r="F255" s="148">
        <v>16</v>
      </c>
      <c r="G255" s="150">
        <v>192</v>
      </c>
      <c r="H255" s="149">
        <f t="shared" si="21"/>
        <v>0</v>
      </c>
      <c r="I255" s="149">
        <f t="shared" si="22"/>
        <v>0</v>
      </c>
      <c r="J255" s="149">
        <f t="shared" si="23"/>
        <v>0</v>
      </c>
      <c r="K255" s="149">
        <f t="shared" si="24"/>
        <v>0</v>
      </c>
      <c r="L255" s="148">
        <v>16</v>
      </c>
    </row>
    <row r="256" spans="1:12">
      <c r="A256" s="150">
        <v>193</v>
      </c>
      <c r="B256" s="149">
        <f t="shared" ref="B256:B319" si="25">IF(A256&gt;12*$C$9,0,IF($C$5&gt;1500000,$D$12,$C$12))</f>
        <v>0</v>
      </c>
      <c r="C256" s="149">
        <f t="shared" ref="C256:C319" si="26">IF(A256&gt;12*$C$9,0,E255*$C$7/12)</f>
        <v>0</v>
      </c>
      <c r="D256" s="149">
        <f t="shared" ref="D256:D319" si="27">IF(A256&gt;12*$C$9,0,B256-C256)</f>
        <v>0</v>
      </c>
      <c r="E256" s="149">
        <f t="shared" ref="E256:E319" si="28">IF(A256&gt;12*$C$9,0,E255-D256)</f>
        <v>0</v>
      </c>
      <c r="F256" s="148"/>
      <c r="G256" s="150">
        <v>193</v>
      </c>
      <c r="H256" s="149">
        <f t="shared" ref="H256:H319" si="29">IF(G256&gt;12*$C$9,0,IF($C$5&gt;1500000,$E$12,0))</f>
        <v>0</v>
      </c>
      <c r="I256" s="149">
        <f t="shared" ref="I256:I319" si="30">IF(G256&gt;12*$C$9,0,K255*$C$7/12)</f>
        <v>0</v>
      </c>
      <c r="J256" s="149">
        <f t="shared" ref="J256:J319" si="31">IF(G256&gt;12*$C$9,0,H256-I256)</f>
        <v>0</v>
      </c>
      <c r="K256" s="149">
        <f t="shared" ref="K256:K319" si="32">IF(G256&gt;12*$C$9,0,K255-J256)</f>
        <v>0</v>
      </c>
      <c r="L256" s="148"/>
    </row>
    <row r="257" spans="1:12">
      <c r="A257" s="150">
        <v>194</v>
      </c>
      <c r="B257" s="149">
        <f t="shared" si="25"/>
        <v>0</v>
      </c>
      <c r="C257" s="149">
        <f t="shared" si="26"/>
        <v>0</v>
      </c>
      <c r="D257" s="149">
        <f t="shared" si="27"/>
        <v>0</v>
      </c>
      <c r="E257" s="149">
        <f t="shared" si="28"/>
        <v>0</v>
      </c>
      <c r="F257" s="148"/>
      <c r="G257" s="150">
        <v>194</v>
      </c>
      <c r="H257" s="149">
        <f t="shared" si="29"/>
        <v>0</v>
      </c>
      <c r="I257" s="149">
        <f t="shared" si="30"/>
        <v>0</v>
      </c>
      <c r="J257" s="149">
        <f t="shared" si="31"/>
        <v>0</v>
      </c>
      <c r="K257" s="149">
        <f t="shared" si="32"/>
        <v>0</v>
      </c>
      <c r="L257" s="148"/>
    </row>
    <row r="258" spans="1:12">
      <c r="A258" s="150">
        <v>195</v>
      </c>
      <c r="B258" s="149">
        <f t="shared" si="25"/>
        <v>0</v>
      </c>
      <c r="C258" s="149">
        <f t="shared" si="26"/>
        <v>0</v>
      </c>
      <c r="D258" s="149">
        <f t="shared" si="27"/>
        <v>0</v>
      </c>
      <c r="E258" s="149">
        <f t="shared" si="28"/>
        <v>0</v>
      </c>
      <c r="F258" s="148"/>
      <c r="G258" s="150">
        <v>195</v>
      </c>
      <c r="H258" s="149">
        <f t="shared" si="29"/>
        <v>0</v>
      </c>
      <c r="I258" s="149">
        <f t="shared" si="30"/>
        <v>0</v>
      </c>
      <c r="J258" s="149">
        <f t="shared" si="31"/>
        <v>0</v>
      </c>
      <c r="K258" s="149">
        <f t="shared" si="32"/>
        <v>0</v>
      </c>
      <c r="L258" s="148"/>
    </row>
    <row r="259" spans="1:12">
      <c r="A259" s="150">
        <v>196</v>
      </c>
      <c r="B259" s="149">
        <f t="shared" si="25"/>
        <v>0</v>
      </c>
      <c r="C259" s="149">
        <f t="shared" si="26"/>
        <v>0</v>
      </c>
      <c r="D259" s="149">
        <f t="shared" si="27"/>
        <v>0</v>
      </c>
      <c r="E259" s="149">
        <f t="shared" si="28"/>
        <v>0</v>
      </c>
      <c r="F259" s="148"/>
      <c r="G259" s="150">
        <v>196</v>
      </c>
      <c r="H259" s="149">
        <f t="shared" si="29"/>
        <v>0</v>
      </c>
      <c r="I259" s="149">
        <f t="shared" si="30"/>
        <v>0</v>
      </c>
      <c r="J259" s="149">
        <f t="shared" si="31"/>
        <v>0</v>
      </c>
      <c r="K259" s="149">
        <f t="shared" si="32"/>
        <v>0</v>
      </c>
      <c r="L259" s="148"/>
    </row>
    <row r="260" spans="1:12">
      <c r="A260" s="150">
        <v>197</v>
      </c>
      <c r="B260" s="149">
        <f t="shared" si="25"/>
        <v>0</v>
      </c>
      <c r="C260" s="149">
        <f t="shared" si="26"/>
        <v>0</v>
      </c>
      <c r="D260" s="149">
        <f t="shared" si="27"/>
        <v>0</v>
      </c>
      <c r="E260" s="149">
        <f t="shared" si="28"/>
        <v>0</v>
      </c>
      <c r="F260" s="148"/>
      <c r="G260" s="150">
        <v>197</v>
      </c>
      <c r="H260" s="149">
        <f t="shared" si="29"/>
        <v>0</v>
      </c>
      <c r="I260" s="149">
        <f t="shared" si="30"/>
        <v>0</v>
      </c>
      <c r="J260" s="149">
        <f t="shared" si="31"/>
        <v>0</v>
      </c>
      <c r="K260" s="149">
        <f t="shared" si="32"/>
        <v>0</v>
      </c>
      <c r="L260" s="148"/>
    </row>
    <row r="261" spans="1:12">
      <c r="A261" s="150">
        <v>198</v>
      </c>
      <c r="B261" s="149">
        <f t="shared" si="25"/>
        <v>0</v>
      </c>
      <c r="C261" s="149">
        <f t="shared" si="26"/>
        <v>0</v>
      </c>
      <c r="D261" s="149">
        <f t="shared" si="27"/>
        <v>0</v>
      </c>
      <c r="E261" s="149">
        <f t="shared" si="28"/>
        <v>0</v>
      </c>
      <c r="F261" s="148"/>
      <c r="G261" s="150">
        <v>198</v>
      </c>
      <c r="H261" s="149">
        <f t="shared" si="29"/>
        <v>0</v>
      </c>
      <c r="I261" s="149">
        <f t="shared" si="30"/>
        <v>0</v>
      </c>
      <c r="J261" s="149">
        <f t="shared" si="31"/>
        <v>0</v>
      </c>
      <c r="K261" s="149">
        <f t="shared" si="32"/>
        <v>0</v>
      </c>
      <c r="L261" s="148"/>
    </row>
    <row r="262" spans="1:12">
      <c r="A262" s="150">
        <v>199</v>
      </c>
      <c r="B262" s="149">
        <f t="shared" si="25"/>
        <v>0</v>
      </c>
      <c r="C262" s="149">
        <f t="shared" si="26"/>
        <v>0</v>
      </c>
      <c r="D262" s="149">
        <f t="shared" si="27"/>
        <v>0</v>
      </c>
      <c r="E262" s="149">
        <f t="shared" si="28"/>
        <v>0</v>
      </c>
      <c r="F262" s="148"/>
      <c r="G262" s="150">
        <v>199</v>
      </c>
      <c r="H262" s="149">
        <f t="shared" si="29"/>
        <v>0</v>
      </c>
      <c r="I262" s="149">
        <f t="shared" si="30"/>
        <v>0</v>
      </c>
      <c r="J262" s="149">
        <f t="shared" si="31"/>
        <v>0</v>
      </c>
      <c r="K262" s="149">
        <f t="shared" si="32"/>
        <v>0</v>
      </c>
      <c r="L262" s="148"/>
    </row>
    <row r="263" spans="1:12">
      <c r="A263" s="150">
        <v>200</v>
      </c>
      <c r="B263" s="149">
        <f t="shared" si="25"/>
        <v>0</v>
      </c>
      <c r="C263" s="149">
        <f t="shared" si="26"/>
        <v>0</v>
      </c>
      <c r="D263" s="149">
        <f t="shared" si="27"/>
        <v>0</v>
      </c>
      <c r="E263" s="149">
        <f t="shared" si="28"/>
        <v>0</v>
      </c>
      <c r="F263" s="148"/>
      <c r="G263" s="150">
        <v>200</v>
      </c>
      <c r="H263" s="149">
        <f t="shared" si="29"/>
        <v>0</v>
      </c>
      <c r="I263" s="149">
        <f t="shared" si="30"/>
        <v>0</v>
      </c>
      <c r="J263" s="149">
        <f t="shared" si="31"/>
        <v>0</v>
      </c>
      <c r="K263" s="149">
        <f t="shared" si="32"/>
        <v>0</v>
      </c>
      <c r="L263" s="148"/>
    </row>
    <row r="264" spans="1:12">
      <c r="A264" s="150">
        <v>201</v>
      </c>
      <c r="B264" s="149">
        <f t="shared" si="25"/>
        <v>0</v>
      </c>
      <c r="C264" s="149">
        <f t="shared" si="26"/>
        <v>0</v>
      </c>
      <c r="D264" s="149">
        <f t="shared" si="27"/>
        <v>0</v>
      </c>
      <c r="E264" s="149">
        <f t="shared" si="28"/>
        <v>0</v>
      </c>
      <c r="F264" s="148"/>
      <c r="G264" s="150">
        <v>201</v>
      </c>
      <c r="H264" s="149">
        <f t="shared" si="29"/>
        <v>0</v>
      </c>
      <c r="I264" s="149">
        <f t="shared" si="30"/>
        <v>0</v>
      </c>
      <c r="J264" s="149">
        <f t="shared" si="31"/>
        <v>0</v>
      </c>
      <c r="K264" s="149">
        <f t="shared" si="32"/>
        <v>0</v>
      </c>
      <c r="L264" s="148"/>
    </row>
    <row r="265" spans="1:12">
      <c r="A265" s="150">
        <v>202</v>
      </c>
      <c r="B265" s="149">
        <f t="shared" si="25"/>
        <v>0</v>
      </c>
      <c r="C265" s="149">
        <f t="shared" si="26"/>
        <v>0</v>
      </c>
      <c r="D265" s="149">
        <f t="shared" si="27"/>
        <v>0</v>
      </c>
      <c r="E265" s="149">
        <f t="shared" si="28"/>
        <v>0</v>
      </c>
      <c r="F265" s="148"/>
      <c r="G265" s="150">
        <v>202</v>
      </c>
      <c r="H265" s="149">
        <f t="shared" si="29"/>
        <v>0</v>
      </c>
      <c r="I265" s="149">
        <f t="shared" si="30"/>
        <v>0</v>
      </c>
      <c r="J265" s="149">
        <f t="shared" si="31"/>
        <v>0</v>
      </c>
      <c r="K265" s="149">
        <f t="shared" si="32"/>
        <v>0</v>
      </c>
      <c r="L265" s="148"/>
    </row>
    <row r="266" spans="1:12">
      <c r="A266" s="150">
        <v>203</v>
      </c>
      <c r="B266" s="149">
        <f t="shared" si="25"/>
        <v>0</v>
      </c>
      <c r="C266" s="149">
        <f t="shared" si="26"/>
        <v>0</v>
      </c>
      <c r="D266" s="149">
        <f t="shared" si="27"/>
        <v>0</v>
      </c>
      <c r="E266" s="149">
        <f t="shared" si="28"/>
        <v>0</v>
      </c>
      <c r="F266" s="148"/>
      <c r="G266" s="150">
        <v>203</v>
      </c>
      <c r="H266" s="149">
        <f t="shared" si="29"/>
        <v>0</v>
      </c>
      <c r="I266" s="149">
        <f t="shared" si="30"/>
        <v>0</v>
      </c>
      <c r="J266" s="149">
        <f t="shared" si="31"/>
        <v>0</v>
      </c>
      <c r="K266" s="149">
        <f t="shared" si="32"/>
        <v>0</v>
      </c>
      <c r="L266" s="148"/>
    </row>
    <row r="267" spans="1:12">
      <c r="A267" s="150">
        <v>204</v>
      </c>
      <c r="B267" s="149">
        <f t="shared" si="25"/>
        <v>0</v>
      </c>
      <c r="C267" s="149">
        <f t="shared" si="26"/>
        <v>0</v>
      </c>
      <c r="D267" s="149">
        <f t="shared" si="27"/>
        <v>0</v>
      </c>
      <c r="E267" s="149">
        <f t="shared" si="28"/>
        <v>0</v>
      </c>
      <c r="F267" s="148">
        <v>17</v>
      </c>
      <c r="G267" s="150">
        <v>204</v>
      </c>
      <c r="H267" s="149">
        <f t="shared" si="29"/>
        <v>0</v>
      </c>
      <c r="I267" s="149">
        <f t="shared" si="30"/>
        <v>0</v>
      </c>
      <c r="J267" s="149">
        <f t="shared" si="31"/>
        <v>0</v>
      </c>
      <c r="K267" s="149">
        <f t="shared" si="32"/>
        <v>0</v>
      </c>
      <c r="L267" s="148">
        <v>17</v>
      </c>
    </row>
    <row r="268" spans="1:12">
      <c r="A268" s="150">
        <v>205</v>
      </c>
      <c r="B268" s="149">
        <f t="shared" si="25"/>
        <v>0</v>
      </c>
      <c r="C268" s="149">
        <f t="shared" si="26"/>
        <v>0</v>
      </c>
      <c r="D268" s="149">
        <f t="shared" si="27"/>
        <v>0</v>
      </c>
      <c r="E268" s="149">
        <f t="shared" si="28"/>
        <v>0</v>
      </c>
      <c r="F268" s="148"/>
      <c r="G268" s="150">
        <v>205</v>
      </c>
      <c r="H268" s="149">
        <f t="shared" si="29"/>
        <v>0</v>
      </c>
      <c r="I268" s="149">
        <f t="shared" si="30"/>
        <v>0</v>
      </c>
      <c r="J268" s="149">
        <f t="shared" si="31"/>
        <v>0</v>
      </c>
      <c r="K268" s="149">
        <f t="shared" si="32"/>
        <v>0</v>
      </c>
      <c r="L268" s="148"/>
    </row>
    <row r="269" spans="1:12">
      <c r="A269" s="150">
        <v>206</v>
      </c>
      <c r="B269" s="149">
        <f t="shared" si="25"/>
        <v>0</v>
      </c>
      <c r="C269" s="149">
        <f t="shared" si="26"/>
        <v>0</v>
      </c>
      <c r="D269" s="149">
        <f t="shared" si="27"/>
        <v>0</v>
      </c>
      <c r="E269" s="149">
        <f t="shared" si="28"/>
        <v>0</v>
      </c>
      <c r="F269" s="148"/>
      <c r="G269" s="150">
        <v>206</v>
      </c>
      <c r="H269" s="149">
        <f t="shared" si="29"/>
        <v>0</v>
      </c>
      <c r="I269" s="149">
        <f t="shared" si="30"/>
        <v>0</v>
      </c>
      <c r="J269" s="149">
        <f t="shared" si="31"/>
        <v>0</v>
      </c>
      <c r="K269" s="149">
        <f t="shared" si="32"/>
        <v>0</v>
      </c>
      <c r="L269" s="148"/>
    </row>
    <row r="270" spans="1:12">
      <c r="A270" s="150">
        <v>207</v>
      </c>
      <c r="B270" s="149">
        <f t="shared" si="25"/>
        <v>0</v>
      </c>
      <c r="C270" s="149">
        <f t="shared" si="26"/>
        <v>0</v>
      </c>
      <c r="D270" s="149">
        <f t="shared" si="27"/>
        <v>0</v>
      </c>
      <c r="E270" s="149">
        <f t="shared" si="28"/>
        <v>0</v>
      </c>
      <c r="F270" s="148"/>
      <c r="G270" s="150">
        <v>207</v>
      </c>
      <c r="H270" s="149">
        <f t="shared" si="29"/>
        <v>0</v>
      </c>
      <c r="I270" s="149">
        <f t="shared" si="30"/>
        <v>0</v>
      </c>
      <c r="J270" s="149">
        <f t="shared" si="31"/>
        <v>0</v>
      </c>
      <c r="K270" s="149">
        <f t="shared" si="32"/>
        <v>0</v>
      </c>
      <c r="L270" s="148"/>
    </row>
    <row r="271" spans="1:12">
      <c r="A271" s="150">
        <v>208</v>
      </c>
      <c r="B271" s="149">
        <f t="shared" si="25"/>
        <v>0</v>
      </c>
      <c r="C271" s="149">
        <f t="shared" si="26"/>
        <v>0</v>
      </c>
      <c r="D271" s="149">
        <f t="shared" si="27"/>
        <v>0</v>
      </c>
      <c r="E271" s="149">
        <f t="shared" si="28"/>
        <v>0</v>
      </c>
      <c r="F271" s="148"/>
      <c r="G271" s="150">
        <v>208</v>
      </c>
      <c r="H271" s="149">
        <f t="shared" si="29"/>
        <v>0</v>
      </c>
      <c r="I271" s="149">
        <f t="shared" si="30"/>
        <v>0</v>
      </c>
      <c r="J271" s="149">
        <f t="shared" si="31"/>
        <v>0</v>
      </c>
      <c r="K271" s="149">
        <f t="shared" si="32"/>
        <v>0</v>
      </c>
      <c r="L271" s="148"/>
    </row>
    <row r="272" spans="1:12">
      <c r="A272" s="150">
        <v>209</v>
      </c>
      <c r="B272" s="149">
        <f t="shared" si="25"/>
        <v>0</v>
      </c>
      <c r="C272" s="149">
        <f t="shared" si="26"/>
        <v>0</v>
      </c>
      <c r="D272" s="149">
        <f t="shared" si="27"/>
        <v>0</v>
      </c>
      <c r="E272" s="149">
        <f t="shared" si="28"/>
        <v>0</v>
      </c>
      <c r="F272" s="148"/>
      <c r="G272" s="150">
        <v>209</v>
      </c>
      <c r="H272" s="149">
        <f t="shared" si="29"/>
        <v>0</v>
      </c>
      <c r="I272" s="149">
        <f t="shared" si="30"/>
        <v>0</v>
      </c>
      <c r="J272" s="149">
        <f t="shared" si="31"/>
        <v>0</v>
      </c>
      <c r="K272" s="149">
        <f t="shared" si="32"/>
        <v>0</v>
      </c>
      <c r="L272" s="148"/>
    </row>
    <row r="273" spans="1:12">
      <c r="A273" s="150">
        <v>210</v>
      </c>
      <c r="B273" s="149">
        <f t="shared" si="25"/>
        <v>0</v>
      </c>
      <c r="C273" s="149">
        <f t="shared" si="26"/>
        <v>0</v>
      </c>
      <c r="D273" s="149">
        <f t="shared" si="27"/>
        <v>0</v>
      </c>
      <c r="E273" s="149">
        <f t="shared" si="28"/>
        <v>0</v>
      </c>
      <c r="F273" s="148"/>
      <c r="G273" s="150">
        <v>210</v>
      </c>
      <c r="H273" s="149">
        <f t="shared" si="29"/>
        <v>0</v>
      </c>
      <c r="I273" s="149">
        <f t="shared" si="30"/>
        <v>0</v>
      </c>
      <c r="J273" s="149">
        <f t="shared" si="31"/>
        <v>0</v>
      </c>
      <c r="K273" s="149">
        <f t="shared" si="32"/>
        <v>0</v>
      </c>
      <c r="L273" s="148"/>
    </row>
    <row r="274" spans="1:12">
      <c r="A274" s="150">
        <v>211</v>
      </c>
      <c r="B274" s="149">
        <f t="shared" si="25"/>
        <v>0</v>
      </c>
      <c r="C274" s="149">
        <f t="shared" si="26"/>
        <v>0</v>
      </c>
      <c r="D274" s="149">
        <f t="shared" si="27"/>
        <v>0</v>
      </c>
      <c r="E274" s="149">
        <f t="shared" si="28"/>
        <v>0</v>
      </c>
      <c r="F274" s="148"/>
      <c r="G274" s="150">
        <v>211</v>
      </c>
      <c r="H274" s="149">
        <f t="shared" si="29"/>
        <v>0</v>
      </c>
      <c r="I274" s="149">
        <f t="shared" si="30"/>
        <v>0</v>
      </c>
      <c r="J274" s="149">
        <f t="shared" si="31"/>
        <v>0</v>
      </c>
      <c r="K274" s="149">
        <f t="shared" si="32"/>
        <v>0</v>
      </c>
      <c r="L274" s="148"/>
    </row>
    <row r="275" spans="1:12">
      <c r="A275" s="150">
        <v>212</v>
      </c>
      <c r="B275" s="149">
        <f t="shared" si="25"/>
        <v>0</v>
      </c>
      <c r="C275" s="149">
        <f t="shared" si="26"/>
        <v>0</v>
      </c>
      <c r="D275" s="149">
        <f t="shared" si="27"/>
        <v>0</v>
      </c>
      <c r="E275" s="149">
        <f t="shared" si="28"/>
        <v>0</v>
      </c>
      <c r="F275" s="148"/>
      <c r="G275" s="150">
        <v>212</v>
      </c>
      <c r="H275" s="149">
        <f t="shared" si="29"/>
        <v>0</v>
      </c>
      <c r="I275" s="149">
        <f t="shared" si="30"/>
        <v>0</v>
      </c>
      <c r="J275" s="149">
        <f t="shared" si="31"/>
        <v>0</v>
      </c>
      <c r="K275" s="149">
        <f t="shared" si="32"/>
        <v>0</v>
      </c>
      <c r="L275" s="148"/>
    </row>
    <row r="276" spans="1:12">
      <c r="A276" s="150">
        <v>213</v>
      </c>
      <c r="B276" s="149">
        <f t="shared" si="25"/>
        <v>0</v>
      </c>
      <c r="C276" s="149">
        <f t="shared" si="26"/>
        <v>0</v>
      </c>
      <c r="D276" s="149">
        <f t="shared" si="27"/>
        <v>0</v>
      </c>
      <c r="E276" s="149">
        <f t="shared" si="28"/>
        <v>0</v>
      </c>
      <c r="F276" s="148"/>
      <c r="G276" s="150">
        <v>213</v>
      </c>
      <c r="H276" s="149">
        <f t="shared" si="29"/>
        <v>0</v>
      </c>
      <c r="I276" s="149">
        <f t="shared" si="30"/>
        <v>0</v>
      </c>
      <c r="J276" s="149">
        <f t="shared" si="31"/>
        <v>0</v>
      </c>
      <c r="K276" s="149">
        <f t="shared" si="32"/>
        <v>0</v>
      </c>
      <c r="L276" s="148"/>
    </row>
    <row r="277" spans="1:12">
      <c r="A277" s="150">
        <v>214</v>
      </c>
      <c r="B277" s="149">
        <f t="shared" si="25"/>
        <v>0</v>
      </c>
      <c r="C277" s="149">
        <f t="shared" si="26"/>
        <v>0</v>
      </c>
      <c r="D277" s="149">
        <f t="shared" si="27"/>
        <v>0</v>
      </c>
      <c r="E277" s="149">
        <f t="shared" si="28"/>
        <v>0</v>
      </c>
      <c r="F277" s="148"/>
      <c r="G277" s="150">
        <v>214</v>
      </c>
      <c r="H277" s="149">
        <f t="shared" si="29"/>
        <v>0</v>
      </c>
      <c r="I277" s="149">
        <f t="shared" si="30"/>
        <v>0</v>
      </c>
      <c r="J277" s="149">
        <f t="shared" si="31"/>
        <v>0</v>
      </c>
      <c r="K277" s="149">
        <f t="shared" si="32"/>
        <v>0</v>
      </c>
      <c r="L277" s="148"/>
    </row>
    <row r="278" spans="1:12">
      <c r="A278" s="150">
        <v>215</v>
      </c>
      <c r="B278" s="149">
        <f t="shared" si="25"/>
        <v>0</v>
      </c>
      <c r="C278" s="149">
        <f t="shared" si="26"/>
        <v>0</v>
      </c>
      <c r="D278" s="149">
        <f t="shared" si="27"/>
        <v>0</v>
      </c>
      <c r="E278" s="149">
        <f t="shared" si="28"/>
        <v>0</v>
      </c>
      <c r="F278" s="148"/>
      <c r="G278" s="150">
        <v>215</v>
      </c>
      <c r="H278" s="149">
        <f t="shared" si="29"/>
        <v>0</v>
      </c>
      <c r="I278" s="149">
        <f t="shared" si="30"/>
        <v>0</v>
      </c>
      <c r="J278" s="149">
        <f t="shared" si="31"/>
        <v>0</v>
      </c>
      <c r="K278" s="149">
        <f t="shared" si="32"/>
        <v>0</v>
      </c>
      <c r="L278" s="148"/>
    </row>
    <row r="279" spans="1:12">
      <c r="A279" s="150">
        <v>216</v>
      </c>
      <c r="B279" s="149">
        <f t="shared" si="25"/>
        <v>0</v>
      </c>
      <c r="C279" s="149">
        <f t="shared" si="26"/>
        <v>0</v>
      </c>
      <c r="D279" s="149">
        <f t="shared" si="27"/>
        <v>0</v>
      </c>
      <c r="E279" s="149">
        <f t="shared" si="28"/>
        <v>0</v>
      </c>
      <c r="F279" s="148">
        <v>18</v>
      </c>
      <c r="G279" s="150">
        <v>216</v>
      </c>
      <c r="H279" s="149">
        <f t="shared" si="29"/>
        <v>0</v>
      </c>
      <c r="I279" s="149">
        <f t="shared" si="30"/>
        <v>0</v>
      </c>
      <c r="J279" s="149">
        <f t="shared" si="31"/>
        <v>0</v>
      </c>
      <c r="K279" s="149">
        <f t="shared" si="32"/>
        <v>0</v>
      </c>
      <c r="L279" s="148">
        <v>18</v>
      </c>
    </row>
    <row r="280" spans="1:12">
      <c r="A280" s="150">
        <v>217</v>
      </c>
      <c r="B280" s="149">
        <f t="shared" si="25"/>
        <v>0</v>
      </c>
      <c r="C280" s="149">
        <f t="shared" si="26"/>
        <v>0</v>
      </c>
      <c r="D280" s="149">
        <f t="shared" si="27"/>
        <v>0</v>
      </c>
      <c r="E280" s="149">
        <f t="shared" si="28"/>
        <v>0</v>
      </c>
      <c r="F280" s="148"/>
      <c r="G280" s="150">
        <v>217</v>
      </c>
      <c r="H280" s="149">
        <f t="shared" si="29"/>
        <v>0</v>
      </c>
      <c r="I280" s="149">
        <f t="shared" si="30"/>
        <v>0</v>
      </c>
      <c r="J280" s="149">
        <f t="shared" si="31"/>
        <v>0</v>
      </c>
      <c r="K280" s="149">
        <f t="shared" si="32"/>
        <v>0</v>
      </c>
      <c r="L280" s="148"/>
    </row>
    <row r="281" spans="1:12">
      <c r="A281" s="150">
        <v>218</v>
      </c>
      <c r="B281" s="149">
        <f t="shared" si="25"/>
        <v>0</v>
      </c>
      <c r="C281" s="149">
        <f t="shared" si="26"/>
        <v>0</v>
      </c>
      <c r="D281" s="149">
        <f t="shared" si="27"/>
        <v>0</v>
      </c>
      <c r="E281" s="149">
        <f t="shared" si="28"/>
        <v>0</v>
      </c>
      <c r="F281" s="148"/>
      <c r="G281" s="150">
        <v>218</v>
      </c>
      <c r="H281" s="149">
        <f t="shared" si="29"/>
        <v>0</v>
      </c>
      <c r="I281" s="149">
        <f t="shared" si="30"/>
        <v>0</v>
      </c>
      <c r="J281" s="149">
        <f t="shared" si="31"/>
        <v>0</v>
      </c>
      <c r="K281" s="149">
        <f t="shared" si="32"/>
        <v>0</v>
      </c>
      <c r="L281" s="148"/>
    </row>
    <row r="282" spans="1:12">
      <c r="A282" s="150">
        <v>219</v>
      </c>
      <c r="B282" s="149">
        <f t="shared" si="25"/>
        <v>0</v>
      </c>
      <c r="C282" s="149">
        <f t="shared" si="26"/>
        <v>0</v>
      </c>
      <c r="D282" s="149">
        <f t="shared" si="27"/>
        <v>0</v>
      </c>
      <c r="E282" s="149">
        <f t="shared" si="28"/>
        <v>0</v>
      </c>
      <c r="F282" s="148"/>
      <c r="G282" s="150">
        <v>219</v>
      </c>
      <c r="H282" s="149">
        <f t="shared" si="29"/>
        <v>0</v>
      </c>
      <c r="I282" s="149">
        <f t="shared" si="30"/>
        <v>0</v>
      </c>
      <c r="J282" s="149">
        <f t="shared" si="31"/>
        <v>0</v>
      </c>
      <c r="K282" s="149">
        <f t="shared" si="32"/>
        <v>0</v>
      </c>
      <c r="L282" s="148"/>
    </row>
    <row r="283" spans="1:12">
      <c r="A283" s="150">
        <v>220</v>
      </c>
      <c r="B283" s="149">
        <f t="shared" si="25"/>
        <v>0</v>
      </c>
      <c r="C283" s="149">
        <f t="shared" si="26"/>
        <v>0</v>
      </c>
      <c r="D283" s="149">
        <f t="shared" si="27"/>
        <v>0</v>
      </c>
      <c r="E283" s="149">
        <f t="shared" si="28"/>
        <v>0</v>
      </c>
      <c r="F283" s="148"/>
      <c r="G283" s="150">
        <v>220</v>
      </c>
      <c r="H283" s="149">
        <f t="shared" si="29"/>
        <v>0</v>
      </c>
      <c r="I283" s="149">
        <f t="shared" si="30"/>
        <v>0</v>
      </c>
      <c r="J283" s="149">
        <f t="shared" si="31"/>
        <v>0</v>
      </c>
      <c r="K283" s="149">
        <f t="shared" si="32"/>
        <v>0</v>
      </c>
      <c r="L283" s="148"/>
    </row>
    <row r="284" spans="1:12">
      <c r="A284" s="150">
        <v>221</v>
      </c>
      <c r="B284" s="149">
        <f t="shared" si="25"/>
        <v>0</v>
      </c>
      <c r="C284" s="149">
        <f t="shared" si="26"/>
        <v>0</v>
      </c>
      <c r="D284" s="149">
        <f t="shared" si="27"/>
        <v>0</v>
      </c>
      <c r="E284" s="149">
        <f t="shared" si="28"/>
        <v>0</v>
      </c>
      <c r="F284" s="148"/>
      <c r="G284" s="150">
        <v>221</v>
      </c>
      <c r="H284" s="149">
        <f t="shared" si="29"/>
        <v>0</v>
      </c>
      <c r="I284" s="149">
        <f t="shared" si="30"/>
        <v>0</v>
      </c>
      <c r="J284" s="149">
        <f t="shared" si="31"/>
        <v>0</v>
      </c>
      <c r="K284" s="149">
        <f t="shared" si="32"/>
        <v>0</v>
      </c>
      <c r="L284" s="148"/>
    </row>
    <row r="285" spans="1:12">
      <c r="A285" s="150">
        <v>222</v>
      </c>
      <c r="B285" s="149">
        <f t="shared" si="25"/>
        <v>0</v>
      </c>
      <c r="C285" s="149">
        <f t="shared" si="26"/>
        <v>0</v>
      </c>
      <c r="D285" s="149">
        <f t="shared" si="27"/>
        <v>0</v>
      </c>
      <c r="E285" s="149">
        <f t="shared" si="28"/>
        <v>0</v>
      </c>
      <c r="F285" s="148"/>
      <c r="G285" s="150">
        <v>222</v>
      </c>
      <c r="H285" s="149">
        <f t="shared" si="29"/>
        <v>0</v>
      </c>
      <c r="I285" s="149">
        <f t="shared" si="30"/>
        <v>0</v>
      </c>
      <c r="J285" s="149">
        <f t="shared" si="31"/>
        <v>0</v>
      </c>
      <c r="K285" s="149">
        <f t="shared" si="32"/>
        <v>0</v>
      </c>
      <c r="L285" s="148"/>
    </row>
    <row r="286" spans="1:12">
      <c r="A286" s="150">
        <v>223</v>
      </c>
      <c r="B286" s="149">
        <f t="shared" si="25"/>
        <v>0</v>
      </c>
      <c r="C286" s="149">
        <f t="shared" si="26"/>
        <v>0</v>
      </c>
      <c r="D286" s="149">
        <f t="shared" si="27"/>
        <v>0</v>
      </c>
      <c r="E286" s="149">
        <f t="shared" si="28"/>
        <v>0</v>
      </c>
      <c r="F286" s="148"/>
      <c r="G286" s="150">
        <v>223</v>
      </c>
      <c r="H286" s="149">
        <f t="shared" si="29"/>
        <v>0</v>
      </c>
      <c r="I286" s="149">
        <f t="shared" si="30"/>
        <v>0</v>
      </c>
      <c r="J286" s="149">
        <f t="shared" si="31"/>
        <v>0</v>
      </c>
      <c r="K286" s="149">
        <f t="shared" si="32"/>
        <v>0</v>
      </c>
      <c r="L286" s="148"/>
    </row>
    <row r="287" spans="1:12">
      <c r="A287" s="150">
        <v>224</v>
      </c>
      <c r="B287" s="149">
        <f t="shared" si="25"/>
        <v>0</v>
      </c>
      <c r="C287" s="149">
        <f t="shared" si="26"/>
        <v>0</v>
      </c>
      <c r="D287" s="149">
        <f t="shared" si="27"/>
        <v>0</v>
      </c>
      <c r="E287" s="149">
        <f t="shared" si="28"/>
        <v>0</v>
      </c>
      <c r="F287" s="148"/>
      <c r="G287" s="150">
        <v>224</v>
      </c>
      <c r="H287" s="149">
        <f t="shared" si="29"/>
        <v>0</v>
      </c>
      <c r="I287" s="149">
        <f t="shared" si="30"/>
        <v>0</v>
      </c>
      <c r="J287" s="149">
        <f t="shared" si="31"/>
        <v>0</v>
      </c>
      <c r="K287" s="149">
        <f t="shared" si="32"/>
        <v>0</v>
      </c>
      <c r="L287" s="148"/>
    </row>
    <row r="288" spans="1:12">
      <c r="A288" s="150">
        <v>225</v>
      </c>
      <c r="B288" s="149">
        <f t="shared" si="25"/>
        <v>0</v>
      </c>
      <c r="C288" s="149">
        <f t="shared" si="26"/>
        <v>0</v>
      </c>
      <c r="D288" s="149">
        <f t="shared" si="27"/>
        <v>0</v>
      </c>
      <c r="E288" s="149">
        <f t="shared" si="28"/>
        <v>0</v>
      </c>
      <c r="F288" s="148"/>
      <c r="G288" s="150">
        <v>225</v>
      </c>
      <c r="H288" s="149">
        <f t="shared" si="29"/>
        <v>0</v>
      </c>
      <c r="I288" s="149">
        <f t="shared" si="30"/>
        <v>0</v>
      </c>
      <c r="J288" s="149">
        <f t="shared" si="31"/>
        <v>0</v>
      </c>
      <c r="K288" s="149">
        <f t="shared" si="32"/>
        <v>0</v>
      </c>
      <c r="L288" s="148"/>
    </row>
    <row r="289" spans="1:12">
      <c r="A289" s="150">
        <v>226</v>
      </c>
      <c r="B289" s="149">
        <f t="shared" si="25"/>
        <v>0</v>
      </c>
      <c r="C289" s="149">
        <f t="shared" si="26"/>
        <v>0</v>
      </c>
      <c r="D289" s="149">
        <f t="shared" si="27"/>
        <v>0</v>
      </c>
      <c r="E289" s="149">
        <f t="shared" si="28"/>
        <v>0</v>
      </c>
      <c r="F289" s="148"/>
      <c r="G289" s="150">
        <v>226</v>
      </c>
      <c r="H289" s="149">
        <f t="shared" si="29"/>
        <v>0</v>
      </c>
      <c r="I289" s="149">
        <f t="shared" si="30"/>
        <v>0</v>
      </c>
      <c r="J289" s="149">
        <f t="shared" si="31"/>
        <v>0</v>
      </c>
      <c r="K289" s="149">
        <f t="shared" si="32"/>
        <v>0</v>
      </c>
      <c r="L289" s="148"/>
    </row>
    <row r="290" spans="1:12">
      <c r="A290" s="150">
        <v>227</v>
      </c>
      <c r="B290" s="149">
        <f t="shared" si="25"/>
        <v>0</v>
      </c>
      <c r="C290" s="149">
        <f t="shared" si="26"/>
        <v>0</v>
      </c>
      <c r="D290" s="149">
        <f t="shared" si="27"/>
        <v>0</v>
      </c>
      <c r="E290" s="149">
        <f t="shared" si="28"/>
        <v>0</v>
      </c>
      <c r="F290" s="148"/>
      <c r="G290" s="150">
        <v>227</v>
      </c>
      <c r="H290" s="149">
        <f t="shared" si="29"/>
        <v>0</v>
      </c>
      <c r="I290" s="149">
        <f t="shared" si="30"/>
        <v>0</v>
      </c>
      <c r="J290" s="149">
        <f t="shared" si="31"/>
        <v>0</v>
      </c>
      <c r="K290" s="149">
        <f t="shared" si="32"/>
        <v>0</v>
      </c>
      <c r="L290" s="148"/>
    </row>
    <row r="291" spans="1:12">
      <c r="A291" s="150">
        <v>228</v>
      </c>
      <c r="B291" s="149">
        <f t="shared" si="25"/>
        <v>0</v>
      </c>
      <c r="C291" s="149">
        <f t="shared" si="26"/>
        <v>0</v>
      </c>
      <c r="D291" s="149">
        <f t="shared" si="27"/>
        <v>0</v>
      </c>
      <c r="E291" s="149">
        <f t="shared" si="28"/>
        <v>0</v>
      </c>
      <c r="F291" s="148">
        <v>19</v>
      </c>
      <c r="G291" s="150">
        <v>228</v>
      </c>
      <c r="H291" s="149">
        <f t="shared" si="29"/>
        <v>0</v>
      </c>
      <c r="I291" s="149">
        <f t="shared" si="30"/>
        <v>0</v>
      </c>
      <c r="J291" s="149">
        <f t="shared" si="31"/>
        <v>0</v>
      </c>
      <c r="K291" s="149">
        <f t="shared" si="32"/>
        <v>0</v>
      </c>
      <c r="L291" s="148">
        <v>19</v>
      </c>
    </row>
    <row r="292" spans="1:12">
      <c r="A292" s="150">
        <v>229</v>
      </c>
      <c r="B292" s="149">
        <f t="shared" si="25"/>
        <v>0</v>
      </c>
      <c r="C292" s="149">
        <f t="shared" si="26"/>
        <v>0</v>
      </c>
      <c r="D292" s="149">
        <f t="shared" si="27"/>
        <v>0</v>
      </c>
      <c r="E292" s="149">
        <f t="shared" si="28"/>
        <v>0</v>
      </c>
      <c r="F292" s="148"/>
      <c r="G292" s="150">
        <v>229</v>
      </c>
      <c r="H292" s="149">
        <f t="shared" si="29"/>
        <v>0</v>
      </c>
      <c r="I292" s="149">
        <f t="shared" si="30"/>
        <v>0</v>
      </c>
      <c r="J292" s="149">
        <f t="shared" si="31"/>
        <v>0</v>
      </c>
      <c r="K292" s="149">
        <f t="shared" si="32"/>
        <v>0</v>
      </c>
      <c r="L292" s="148"/>
    </row>
    <row r="293" spans="1:12">
      <c r="A293" s="150">
        <v>230</v>
      </c>
      <c r="B293" s="149">
        <f t="shared" si="25"/>
        <v>0</v>
      </c>
      <c r="C293" s="149">
        <f t="shared" si="26"/>
        <v>0</v>
      </c>
      <c r="D293" s="149">
        <f t="shared" si="27"/>
        <v>0</v>
      </c>
      <c r="E293" s="149">
        <f t="shared" si="28"/>
        <v>0</v>
      </c>
      <c r="F293" s="148"/>
      <c r="G293" s="150">
        <v>230</v>
      </c>
      <c r="H293" s="149">
        <f t="shared" si="29"/>
        <v>0</v>
      </c>
      <c r="I293" s="149">
        <f t="shared" si="30"/>
        <v>0</v>
      </c>
      <c r="J293" s="149">
        <f t="shared" si="31"/>
        <v>0</v>
      </c>
      <c r="K293" s="149">
        <f t="shared" si="32"/>
        <v>0</v>
      </c>
      <c r="L293" s="148"/>
    </row>
    <row r="294" spans="1:12">
      <c r="A294" s="150">
        <v>231</v>
      </c>
      <c r="B294" s="149">
        <f t="shared" si="25"/>
        <v>0</v>
      </c>
      <c r="C294" s="149">
        <f t="shared" si="26"/>
        <v>0</v>
      </c>
      <c r="D294" s="149">
        <f t="shared" si="27"/>
        <v>0</v>
      </c>
      <c r="E294" s="149">
        <f t="shared" si="28"/>
        <v>0</v>
      </c>
      <c r="F294" s="148"/>
      <c r="G294" s="150">
        <v>231</v>
      </c>
      <c r="H294" s="149">
        <f t="shared" si="29"/>
        <v>0</v>
      </c>
      <c r="I294" s="149">
        <f t="shared" si="30"/>
        <v>0</v>
      </c>
      <c r="J294" s="149">
        <f t="shared" si="31"/>
        <v>0</v>
      </c>
      <c r="K294" s="149">
        <f t="shared" si="32"/>
        <v>0</v>
      </c>
      <c r="L294" s="148"/>
    </row>
    <row r="295" spans="1:12">
      <c r="A295" s="150">
        <v>232</v>
      </c>
      <c r="B295" s="149">
        <f t="shared" si="25"/>
        <v>0</v>
      </c>
      <c r="C295" s="149">
        <f t="shared" si="26"/>
        <v>0</v>
      </c>
      <c r="D295" s="149">
        <f t="shared" si="27"/>
        <v>0</v>
      </c>
      <c r="E295" s="149">
        <f t="shared" si="28"/>
        <v>0</v>
      </c>
      <c r="F295" s="148"/>
      <c r="G295" s="150">
        <v>232</v>
      </c>
      <c r="H295" s="149">
        <f t="shared" si="29"/>
        <v>0</v>
      </c>
      <c r="I295" s="149">
        <f t="shared" si="30"/>
        <v>0</v>
      </c>
      <c r="J295" s="149">
        <f t="shared" si="31"/>
        <v>0</v>
      </c>
      <c r="K295" s="149">
        <f t="shared" si="32"/>
        <v>0</v>
      </c>
      <c r="L295" s="148"/>
    </row>
    <row r="296" spans="1:12">
      <c r="A296" s="150">
        <v>233</v>
      </c>
      <c r="B296" s="149">
        <f t="shared" si="25"/>
        <v>0</v>
      </c>
      <c r="C296" s="149">
        <f t="shared" si="26"/>
        <v>0</v>
      </c>
      <c r="D296" s="149">
        <f t="shared" si="27"/>
        <v>0</v>
      </c>
      <c r="E296" s="149">
        <f t="shared" si="28"/>
        <v>0</v>
      </c>
      <c r="F296" s="148"/>
      <c r="G296" s="150">
        <v>233</v>
      </c>
      <c r="H296" s="149">
        <f t="shared" si="29"/>
        <v>0</v>
      </c>
      <c r="I296" s="149">
        <f t="shared" si="30"/>
        <v>0</v>
      </c>
      <c r="J296" s="149">
        <f t="shared" si="31"/>
        <v>0</v>
      </c>
      <c r="K296" s="149">
        <f t="shared" si="32"/>
        <v>0</v>
      </c>
      <c r="L296" s="148"/>
    </row>
    <row r="297" spans="1:12">
      <c r="A297" s="150">
        <v>234</v>
      </c>
      <c r="B297" s="149">
        <f t="shared" si="25"/>
        <v>0</v>
      </c>
      <c r="C297" s="149">
        <f t="shared" si="26"/>
        <v>0</v>
      </c>
      <c r="D297" s="149">
        <f t="shared" si="27"/>
        <v>0</v>
      </c>
      <c r="E297" s="149">
        <f t="shared" si="28"/>
        <v>0</v>
      </c>
      <c r="F297" s="148"/>
      <c r="G297" s="150">
        <v>234</v>
      </c>
      <c r="H297" s="149">
        <f t="shared" si="29"/>
        <v>0</v>
      </c>
      <c r="I297" s="149">
        <f t="shared" si="30"/>
        <v>0</v>
      </c>
      <c r="J297" s="149">
        <f t="shared" si="31"/>
        <v>0</v>
      </c>
      <c r="K297" s="149">
        <f t="shared" si="32"/>
        <v>0</v>
      </c>
      <c r="L297" s="148"/>
    </row>
    <row r="298" spans="1:12">
      <c r="A298" s="150">
        <v>235</v>
      </c>
      <c r="B298" s="149">
        <f t="shared" si="25"/>
        <v>0</v>
      </c>
      <c r="C298" s="149">
        <f t="shared" si="26"/>
        <v>0</v>
      </c>
      <c r="D298" s="149">
        <f t="shared" si="27"/>
        <v>0</v>
      </c>
      <c r="E298" s="149">
        <f t="shared" si="28"/>
        <v>0</v>
      </c>
      <c r="F298" s="148"/>
      <c r="G298" s="150">
        <v>235</v>
      </c>
      <c r="H298" s="149">
        <f t="shared" si="29"/>
        <v>0</v>
      </c>
      <c r="I298" s="149">
        <f t="shared" si="30"/>
        <v>0</v>
      </c>
      <c r="J298" s="149">
        <f t="shared" si="31"/>
        <v>0</v>
      </c>
      <c r="K298" s="149">
        <f t="shared" si="32"/>
        <v>0</v>
      </c>
      <c r="L298" s="148"/>
    </row>
    <row r="299" spans="1:12">
      <c r="A299" s="150">
        <v>236</v>
      </c>
      <c r="B299" s="149">
        <f t="shared" si="25"/>
        <v>0</v>
      </c>
      <c r="C299" s="149">
        <f t="shared" si="26"/>
        <v>0</v>
      </c>
      <c r="D299" s="149">
        <f t="shared" si="27"/>
        <v>0</v>
      </c>
      <c r="E299" s="149">
        <f t="shared" si="28"/>
        <v>0</v>
      </c>
      <c r="F299" s="148"/>
      <c r="G299" s="150">
        <v>236</v>
      </c>
      <c r="H299" s="149">
        <f t="shared" si="29"/>
        <v>0</v>
      </c>
      <c r="I299" s="149">
        <f t="shared" si="30"/>
        <v>0</v>
      </c>
      <c r="J299" s="149">
        <f t="shared" si="31"/>
        <v>0</v>
      </c>
      <c r="K299" s="149">
        <f t="shared" si="32"/>
        <v>0</v>
      </c>
      <c r="L299" s="148"/>
    </row>
    <row r="300" spans="1:12">
      <c r="A300" s="150">
        <v>237</v>
      </c>
      <c r="B300" s="149">
        <f t="shared" si="25"/>
        <v>0</v>
      </c>
      <c r="C300" s="149">
        <f t="shared" si="26"/>
        <v>0</v>
      </c>
      <c r="D300" s="149">
        <f t="shared" si="27"/>
        <v>0</v>
      </c>
      <c r="E300" s="149">
        <f t="shared" si="28"/>
        <v>0</v>
      </c>
      <c r="F300" s="148"/>
      <c r="G300" s="150">
        <v>237</v>
      </c>
      <c r="H300" s="149">
        <f t="shared" si="29"/>
        <v>0</v>
      </c>
      <c r="I300" s="149">
        <f t="shared" si="30"/>
        <v>0</v>
      </c>
      <c r="J300" s="149">
        <f t="shared" si="31"/>
        <v>0</v>
      </c>
      <c r="K300" s="149">
        <f t="shared" si="32"/>
        <v>0</v>
      </c>
      <c r="L300" s="148"/>
    </row>
    <row r="301" spans="1:12">
      <c r="A301" s="150">
        <v>238</v>
      </c>
      <c r="B301" s="149">
        <f t="shared" si="25"/>
        <v>0</v>
      </c>
      <c r="C301" s="149">
        <f t="shared" si="26"/>
        <v>0</v>
      </c>
      <c r="D301" s="149">
        <f t="shared" si="27"/>
        <v>0</v>
      </c>
      <c r="E301" s="149">
        <f t="shared" si="28"/>
        <v>0</v>
      </c>
      <c r="F301" s="148"/>
      <c r="G301" s="150">
        <v>238</v>
      </c>
      <c r="H301" s="149">
        <f t="shared" si="29"/>
        <v>0</v>
      </c>
      <c r="I301" s="149">
        <f t="shared" si="30"/>
        <v>0</v>
      </c>
      <c r="J301" s="149">
        <f t="shared" si="31"/>
        <v>0</v>
      </c>
      <c r="K301" s="149">
        <f t="shared" si="32"/>
        <v>0</v>
      </c>
      <c r="L301" s="148"/>
    </row>
    <row r="302" spans="1:12">
      <c r="A302" s="150">
        <v>239</v>
      </c>
      <c r="B302" s="149">
        <f t="shared" si="25"/>
        <v>0</v>
      </c>
      <c r="C302" s="149">
        <f t="shared" si="26"/>
        <v>0</v>
      </c>
      <c r="D302" s="149">
        <f t="shared" si="27"/>
        <v>0</v>
      </c>
      <c r="E302" s="149">
        <f t="shared" si="28"/>
        <v>0</v>
      </c>
      <c r="F302" s="148"/>
      <c r="G302" s="150">
        <v>239</v>
      </c>
      <c r="H302" s="149">
        <f t="shared" si="29"/>
        <v>0</v>
      </c>
      <c r="I302" s="149">
        <f t="shared" si="30"/>
        <v>0</v>
      </c>
      <c r="J302" s="149">
        <f t="shared" si="31"/>
        <v>0</v>
      </c>
      <c r="K302" s="149">
        <f t="shared" si="32"/>
        <v>0</v>
      </c>
      <c r="L302" s="148"/>
    </row>
    <row r="303" spans="1:12">
      <c r="A303" s="150">
        <v>240</v>
      </c>
      <c r="B303" s="149">
        <f t="shared" si="25"/>
        <v>0</v>
      </c>
      <c r="C303" s="149">
        <f t="shared" si="26"/>
        <v>0</v>
      </c>
      <c r="D303" s="149">
        <f t="shared" si="27"/>
        <v>0</v>
      </c>
      <c r="E303" s="149">
        <f t="shared" si="28"/>
        <v>0</v>
      </c>
      <c r="F303" s="148">
        <v>20</v>
      </c>
      <c r="G303" s="150">
        <v>240</v>
      </c>
      <c r="H303" s="149">
        <f t="shared" si="29"/>
        <v>0</v>
      </c>
      <c r="I303" s="149">
        <f t="shared" si="30"/>
        <v>0</v>
      </c>
      <c r="J303" s="149">
        <f t="shared" si="31"/>
        <v>0</v>
      </c>
      <c r="K303" s="149">
        <f t="shared" si="32"/>
        <v>0</v>
      </c>
      <c r="L303" s="148">
        <v>20</v>
      </c>
    </row>
    <row r="304" spans="1:12">
      <c r="A304" s="150">
        <v>241</v>
      </c>
      <c r="B304" s="149">
        <f t="shared" si="25"/>
        <v>0</v>
      </c>
      <c r="C304" s="149">
        <f t="shared" si="26"/>
        <v>0</v>
      </c>
      <c r="D304" s="149">
        <f t="shared" si="27"/>
        <v>0</v>
      </c>
      <c r="E304" s="149">
        <f t="shared" si="28"/>
        <v>0</v>
      </c>
      <c r="F304" s="148"/>
      <c r="G304" s="150">
        <v>241</v>
      </c>
      <c r="H304" s="149">
        <f t="shared" si="29"/>
        <v>0</v>
      </c>
      <c r="I304" s="149">
        <f t="shared" si="30"/>
        <v>0</v>
      </c>
      <c r="J304" s="149">
        <f t="shared" si="31"/>
        <v>0</v>
      </c>
      <c r="K304" s="149">
        <f t="shared" si="32"/>
        <v>0</v>
      </c>
      <c r="L304" s="148"/>
    </row>
    <row r="305" spans="1:12">
      <c r="A305" s="150">
        <v>242</v>
      </c>
      <c r="B305" s="149">
        <f t="shared" si="25"/>
        <v>0</v>
      </c>
      <c r="C305" s="149">
        <f t="shared" si="26"/>
        <v>0</v>
      </c>
      <c r="D305" s="149">
        <f t="shared" si="27"/>
        <v>0</v>
      </c>
      <c r="E305" s="149">
        <f t="shared" si="28"/>
        <v>0</v>
      </c>
      <c r="F305" s="148"/>
      <c r="G305" s="150">
        <v>242</v>
      </c>
      <c r="H305" s="149">
        <f t="shared" si="29"/>
        <v>0</v>
      </c>
      <c r="I305" s="149">
        <f t="shared" si="30"/>
        <v>0</v>
      </c>
      <c r="J305" s="149">
        <f t="shared" si="31"/>
        <v>0</v>
      </c>
      <c r="K305" s="149">
        <f t="shared" si="32"/>
        <v>0</v>
      </c>
      <c r="L305" s="148"/>
    </row>
    <row r="306" spans="1:12">
      <c r="A306" s="150">
        <v>243</v>
      </c>
      <c r="B306" s="149">
        <f t="shared" si="25"/>
        <v>0</v>
      </c>
      <c r="C306" s="149">
        <f t="shared" si="26"/>
        <v>0</v>
      </c>
      <c r="D306" s="149">
        <f t="shared" si="27"/>
        <v>0</v>
      </c>
      <c r="E306" s="149">
        <f t="shared" si="28"/>
        <v>0</v>
      </c>
      <c r="F306" s="148"/>
      <c r="G306" s="150">
        <v>243</v>
      </c>
      <c r="H306" s="149">
        <f t="shared" si="29"/>
        <v>0</v>
      </c>
      <c r="I306" s="149">
        <f t="shared" si="30"/>
        <v>0</v>
      </c>
      <c r="J306" s="149">
        <f t="shared" si="31"/>
        <v>0</v>
      </c>
      <c r="K306" s="149">
        <f t="shared" si="32"/>
        <v>0</v>
      </c>
      <c r="L306" s="148"/>
    </row>
    <row r="307" spans="1:12">
      <c r="A307" s="150">
        <v>244</v>
      </c>
      <c r="B307" s="149">
        <f t="shared" si="25"/>
        <v>0</v>
      </c>
      <c r="C307" s="149">
        <f t="shared" si="26"/>
        <v>0</v>
      </c>
      <c r="D307" s="149">
        <f t="shared" si="27"/>
        <v>0</v>
      </c>
      <c r="E307" s="149">
        <f t="shared" si="28"/>
        <v>0</v>
      </c>
      <c r="F307" s="148"/>
      <c r="G307" s="150">
        <v>244</v>
      </c>
      <c r="H307" s="149">
        <f t="shared" si="29"/>
        <v>0</v>
      </c>
      <c r="I307" s="149">
        <f t="shared" si="30"/>
        <v>0</v>
      </c>
      <c r="J307" s="149">
        <f t="shared" si="31"/>
        <v>0</v>
      </c>
      <c r="K307" s="149">
        <f t="shared" si="32"/>
        <v>0</v>
      </c>
      <c r="L307" s="148"/>
    </row>
    <row r="308" spans="1:12">
      <c r="A308" s="150">
        <v>245</v>
      </c>
      <c r="B308" s="149">
        <f t="shared" si="25"/>
        <v>0</v>
      </c>
      <c r="C308" s="149">
        <f t="shared" si="26"/>
        <v>0</v>
      </c>
      <c r="D308" s="149">
        <f t="shared" si="27"/>
        <v>0</v>
      </c>
      <c r="E308" s="149">
        <f t="shared" si="28"/>
        <v>0</v>
      </c>
      <c r="F308" s="148"/>
      <c r="G308" s="150">
        <v>245</v>
      </c>
      <c r="H308" s="149">
        <f t="shared" si="29"/>
        <v>0</v>
      </c>
      <c r="I308" s="149">
        <f t="shared" si="30"/>
        <v>0</v>
      </c>
      <c r="J308" s="149">
        <f t="shared" si="31"/>
        <v>0</v>
      </c>
      <c r="K308" s="149">
        <f t="shared" si="32"/>
        <v>0</v>
      </c>
      <c r="L308" s="148"/>
    </row>
    <row r="309" spans="1:12">
      <c r="A309" s="150">
        <v>246</v>
      </c>
      <c r="B309" s="149">
        <f t="shared" si="25"/>
        <v>0</v>
      </c>
      <c r="C309" s="149">
        <f t="shared" si="26"/>
        <v>0</v>
      </c>
      <c r="D309" s="149">
        <f t="shared" si="27"/>
        <v>0</v>
      </c>
      <c r="E309" s="149">
        <f t="shared" si="28"/>
        <v>0</v>
      </c>
      <c r="F309" s="148"/>
      <c r="G309" s="150">
        <v>246</v>
      </c>
      <c r="H309" s="149">
        <f t="shared" si="29"/>
        <v>0</v>
      </c>
      <c r="I309" s="149">
        <f t="shared" si="30"/>
        <v>0</v>
      </c>
      <c r="J309" s="149">
        <f t="shared" si="31"/>
        <v>0</v>
      </c>
      <c r="K309" s="149">
        <f t="shared" si="32"/>
        <v>0</v>
      </c>
      <c r="L309" s="148"/>
    </row>
    <row r="310" spans="1:12">
      <c r="A310" s="150">
        <v>247</v>
      </c>
      <c r="B310" s="149">
        <f t="shared" si="25"/>
        <v>0</v>
      </c>
      <c r="C310" s="149">
        <f t="shared" si="26"/>
        <v>0</v>
      </c>
      <c r="D310" s="149">
        <f t="shared" si="27"/>
        <v>0</v>
      </c>
      <c r="E310" s="149">
        <f t="shared" si="28"/>
        <v>0</v>
      </c>
      <c r="F310" s="148"/>
      <c r="G310" s="150">
        <v>247</v>
      </c>
      <c r="H310" s="149">
        <f t="shared" si="29"/>
        <v>0</v>
      </c>
      <c r="I310" s="149">
        <f t="shared" si="30"/>
        <v>0</v>
      </c>
      <c r="J310" s="149">
        <f t="shared" si="31"/>
        <v>0</v>
      </c>
      <c r="K310" s="149">
        <f t="shared" si="32"/>
        <v>0</v>
      </c>
      <c r="L310" s="148"/>
    </row>
    <row r="311" spans="1:12">
      <c r="A311" s="150">
        <v>248</v>
      </c>
      <c r="B311" s="149">
        <f t="shared" si="25"/>
        <v>0</v>
      </c>
      <c r="C311" s="149">
        <f t="shared" si="26"/>
        <v>0</v>
      </c>
      <c r="D311" s="149">
        <f t="shared" si="27"/>
        <v>0</v>
      </c>
      <c r="E311" s="149">
        <f t="shared" si="28"/>
        <v>0</v>
      </c>
      <c r="F311" s="148"/>
      <c r="G311" s="150">
        <v>248</v>
      </c>
      <c r="H311" s="149">
        <f t="shared" si="29"/>
        <v>0</v>
      </c>
      <c r="I311" s="149">
        <f t="shared" si="30"/>
        <v>0</v>
      </c>
      <c r="J311" s="149">
        <f t="shared" si="31"/>
        <v>0</v>
      </c>
      <c r="K311" s="149">
        <f t="shared" si="32"/>
        <v>0</v>
      </c>
      <c r="L311" s="148"/>
    </row>
    <row r="312" spans="1:12">
      <c r="A312" s="150">
        <v>249</v>
      </c>
      <c r="B312" s="149">
        <f t="shared" si="25"/>
        <v>0</v>
      </c>
      <c r="C312" s="149">
        <f t="shared" si="26"/>
        <v>0</v>
      </c>
      <c r="D312" s="149">
        <f t="shared" si="27"/>
        <v>0</v>
      </c>
      <c r="E312" s="149">
        <f t="shared" si="28"/>
        <v>0</v>
      </c>
      <c r="F312" s="148"/>
      <c r="G312" s="150">
        <v>249</v>
      </c>
      <c r="H312" s="149">
        <f t="shared" si="29"/>
        <v>0</v>
      </c>
      <c r="I312" s="149">
        <f t="shared" si="30"/>
        <v>0</v>
      </c>
      <c r="J312" s="149">
        <f t="shared" si="31"/>
        <v>0</v>
      </c>
      <c r="K312" s="149">
        <f t="shared" si="32"/>
        <v>0</v>
      </c>
      <c r="L312" s="148"/>
    </row>
    <row r="313" spans="1:12">
      <c r="A313" s="150">
        <v>250</v>
      </c>
      <c r="B313" s="149">
        <f t="shared" si="25"/>
        <v>0</v>
      </c>
      <c r="C313" s="149">
        <f t="shared" si="26"/>
        <v>0</v>
      </c>
      <c r="D313" s="149">
        <f t="shared" si="27"/>
        <v>0</v>
      </c>
      <c r="E313" s="149">
        <f t="shared" si="28"/>
        <v>0</v>
      </c>
      <c r="F313" s="148"/>
      <c r="G313" s="150">
        <v>250</v>
      </c>
      <c r="H313" s="149">
        <f t="shared" si="29"/>
        <v>0</v>
      </c>
      <c r="I313" s="149">
        <f t="shared" si="30"/>
        <v>0</v>
      </c>
      <c r="J313" s="149">
        <f t="shared" si="31"/>
        <v>0</v>
      </c>
      <c r="K313" s="149">
        <f t="shared" si="32"/>
        <v>0</v>
      </c>
      <c r="L313" s="148"/>
    </row>
    <row r="314" spans="1:12">
      <c r="A314" s="150">
        <v>251</v>
      </c>
      <c r="B314" s="149">
        <f t="shared" si="25"/>
        <v>0</v>
      </c>
      <c r="C314" s="149">
        <f t="shared" si="26"/>
        <v>0</v>
      </c>
      <c r="D314" s="149">
        <f t="shared" si="27"/>
        <v>0</v>
      </c>
      <c r="E314" s="149">
        <f t="shared" si="28"/>
        <v>0</v>
      </c>
      <c r="F314" s="148"/>
      <c r="G314" s="150">
        <v>251</v>
      </c>
      <c r="H314" s="149">
        <f t="shared" si="29"/>
        <v>0</v>
      </c>
      <c r="I314" s="149">
        <f t="shared" si="30"/>
        <v>0</v>
      </c>
      <c r="J314" s="149">
        <f t="shared" si="31"/>
        <v>0</v>
      </c>
      <c r="K314" s="149">
        <f t="shared" si="32"/>
        <v>0</v>
      </c>
      <c r="L314" s="148"/>
    </row>
    <row r="315" spans="1:12">
      <c r="A315" s="150">
        <v>252</v>
      </c>
      <c r="B315" s="149">
        <f t="shared" si="25"/>
        <v>0</v>
      </c>
      <c r="C315" s="149">
        <f t="shared" si="26"/>
        <v>0</v>
      </c>
      <c r="D315" s="149">
        <f t="shared" si="27"/>
        <v>0</v>
      </c>
      <c r="E315" s="149">
        <f t="shared" si="28"/>
        <v>0</v>
      </c>
      <c r="F315" s="148">
        <v>21</v>
      </c>
      <c r="G315" s="150">
        <v>252</v>
      </c>
      <c r="H315" s="149">
        <f t="shared" si="29"/>
        <v>0</v>
      </c>
      <c r="I315" s="149">
        <f t="shared" si="30"/>
        <v>0</v>
      </c>
      <c r="J315" s="149">
        <f t="shared" si="31"/>
        <v>0</v>
      </c>
      <c r="K315" s="149">
        <f t="shared" si="32"/>
        <v>0</v>
      </c>
      <c r="L315" s="148">
        <v>21</v>
      </c>
    </row>
    <row r="316" spans="1:12">
      <c r="A316" s="150">
        <v>253</v>
      </c>
      <c r="B316" s="149">
        <f t="shared" si="25"/>
        <v>0</v>
      </c>
      <c r="C316" s="149">
        <f t="shared" si="26"/>
        <v>0</v>
      </c>
      <c r="D316" s="149">
        <f t="shared" si="27"/>
        <v>0</v>
      </c>
      <c r="E316" s="149">
        <f t="shared" si="28"/>
        <v>0</v>
      </c>
      <c r="F316" s="148"/>
      <c r="G316" s="150">
        <v>253</v>
      </c>
      <c r="H316" s="149">
        <f t="shared" si="29"/>
        <v>0</v>
      </c>
      <c r="I316" s="149">
        <f t="shared" si="30"/>
        <v>0</v>
      </c>
      <c r="J316" s="149">
        <f t="shared" si="31"/>
        <v>0</v>
      </c>
      <c r="K316" s="149">
        <f t="shared" si="32"/>
        <v>0</v>
      </c>
      <c r="L316" s="148"/>
    </row>
    <row r="317" spans="1:12">
      <c r="A317" s="150">
        <v>254</v>
      </c>
      <c r="B317" s="149">
        <f t="shared" si="25"/>
        <v>0</v>
      </c>
      <c r="C317" s="149">
        <f t="shared" si="26"/>
        <v>0</v>
      </c>
      <c r="D317" s="149">
        <f t="shared" si="27"/>
        <v>0</v>
      </c>
      <c r="E317" s="149">
        <f t="shared" si="28"/>
        <v>0</v>
      </c>
      <c r="F317" s="148"/>
      <c r="G317" s="150">
        <v>254</v>
      </c>
      <c r="H317" s="149">
        <f t="shared" si="29"/>
        <v>0</v>
      </c>
      <c r="I317" s="149">
        <f t="shared" si="30"/>
        <v>0</v>
      </c>
      <c r="J317" s="149">
        <f t="shared" si="31"/>
        <v>0</v>
      </c>
      <c r="K317" s="149">
        <f t="shared" si="32"/>
        <v>0</v>
      </c>
      <c r="L317" s="148"/>
    </row>
    <row r="318" spans="1:12">
      <c r="A318" s="150">
        <v>255</v>
      </c>
      <c r="B318" s="149">
        <f t="shared" si="25"/>
        <v>0</v>
      </c>
      <c r="C318" s="149">
        <f t="shared" si="26"/>
        <v>0</v>
      </c>
      <c r="D318" s="149">
        <f t="shared" si="27"/>
        <v>0</v>
      </c>
      <c r="E318" s="149">
        <f t="shared" si="28"/>
        <v>0</v>
      </c>
      <c r="F318" s="148"/>
      <c r="G318" s="150">
        <v>255</v>
      </c>
      <c r="H318" s="149">
        <f t="shared" si="29"/>
        <v>0</v>
      </c>
      <c r="I318" s="149">
        <f t="shared" si="30"/>
        <v>0</v>
      </c>
      <c r="J318" s="149">
        <f t="shared" si="31"/>
        <v>0</v>
      </c>
      <c r="K318" s="149">
        <f t="shared" si="32"/>
        <v>0</v>
      </c>
      <c r="L318" s="148"/>
    </row>
    <row r="319" spans="1:12">
      <c r="A319" s="150">
        <v>256</v>
      </c>
      <c r="B319" s="149">
        <f t="shared" si="25"/>
        <v>0</v>
      </c>
      <c r="C319" s="149">
        <f t="shared" si="26"/>
        <v>0</v>
      </c>
      <c r="D319" s="149">
        <f t="shared" si="27"/>
        <v>0</v>
      </c>
      <c r="E319" s="149">
        <f t="shared" si="28"/>
        <v>0</v>
      </c>
      <c r="F319" s="148"/>
      <c r="G319" s="150">
        <v>256</v>
      </c>
      <c r="H319" s="149">
        <f t="shared" si="29"/>
        <v>0</v>
      </c>
      <c r="I319" s="149">
        <f t="shared" si="30"/>
        <v>0</v>
      </c>
      <c r="J319" s="149">
        <f t="shared" si="31"/>
        <v>0</v>
      </c>
      <c r="K319" s="149">
        <f t="shared" si="32"/>
        <v>0</v>
      </c>
      <c r="L319" s="148"/>
    </row>
    <row r="320" spans="1:12">
      <c r="A320" s="150">
        <v>257</v>
      </c>
      <c r="B320" s="149">
        <f t="shared" ref="B320:B383" si="33">IF(A320&gt;12*$C$9,0,IF($C$5&gt;1500000,$D$12,$C$12))</f>
        <v>0</v>
      </c>
      <c r="C320" s="149">
        <f t="shared" ref="C320:C383" si="34">IF(A320&gt;12*$C$9,0,E319*$C$7/12)</f>
        <v>0</v>
      </c>
      <c r="D320" s="149">
        <f t="shared" ref="D320:D383" si="35">IF(A320&gt;12*$C$9,0,B320-C320)</f>
        <v>0</v>
      </c>
      <c r="E320" s="149">
        <f t="shared" ref="E320:E383" si="36">IF(A320&gt;12*$C$9,0,E319-D320)</f>
        <v>0</v>
      </c>
      <c r="F320" s="148"/>
      <c r="G320" s="150">
        <v>257</v>
      </c>
      <c r="H320" s="149">
        <f t="shared" ref="H320:H383" si="37">IF(G320&gt;12*$C$9,0,IF($C$5&gt;1500000,$E$12,0))</f>
        <v>0</v>
      </c>
      <c r="I320" s="149">
        <f t="shared" ref="I320:I383" si="38">IF(G320&gt;12*$C$9,0,K319*$C$7/12)</f>
        <v>0</v>
      </c>
      <c r="J320" s="149">
        <f t="shared" ref="J320:J383" si="39">IF(G320&gt;12*$C$9,0,H320-I320)</f>
        <v>0</v>
      </c>
      <c r="K320" s="149">
        <f t="shared" ref="K320:K383" si="40">IF(G320&gt;12*$C$9,0,K319-J320)</f>
        <v>0</v>
      </c>
      <c r="L320" s="148"/>
    </row>
    <row r="321" spans="1:12">
      <c r="A321" s="150">
        <v>258</v>
      </c>
      <c r="B321" s="149">
        <f t="shared" si="33"/>
        <v>0</v>
      </c>
      <c r="C321" s="149">
        <f t="shared" si="34"/>
        <v>0</v>
      </c>
      <c r="D321" s="149">
        <f t="shared" si="35"/>
        <v>0</v>
      </c>
      <c r="E321" s="149">
        <f t="shared" si="36"/>
        <v>0</v>
      </c>
      <c r="F321" s="148"/>
      <c r="G321" s="150">
        <v>258</v>
      </c>
      <c r="H321" s="149">
        <f t="shared" si="37"/>
        <v>0</v>
      </c>
      <c r="I321" s="149">
        <f t="shared" si="38"/>
        <v>0</v>
      </c>
      <c r="J321" s="149">
        <f t="shared" si="39"/>
        <v>0</v>
      </c>
      <c r="K321" s="149">
        <f t="shared" si="40"/>
        <v>0</v>
      </c>
      <c r="L321" s="148"/>
    </row>
    <row r="322" spans="1:12">
      <c r="A322" s="150">
        <v>259</v>
      </c>
      <c r="B322" s="149">
        <f t="shared" si="33"/>
        <v>0</v>
      </c>
      <c r="C322" s="149">
        <f t="shared" si="34"/>
        <v>0</v>
      </c>
      <c r="D322" s="149">
        <f t="shared" si="35"/>
        <v>0</v>
      </c>
      <c r="E322" s="149">
        <f t="shared" si="36"/>
        <v>0</v>
      </c>
      <c r="F322" s="148"/>
      <c r="G322" s="150">
        <v>259</v>
      </c>
      <c r="H322" s="149">
        <f t="shared" si="37"/>
        <v>0</v>
      </c>
      <c r="I322" s="149">
        <f t="shared" si="38"/>
        <v>0</v>
      </c>
      <c r="J322" s="149">
        <f t="shared" si="39"/>
        <v>0</v>
      </c>
      <c r="K322" s="149">
        <f t="shared" si="40"/>
        <v>0</v>
      </c>
      <c r="L322" s="148"/>
    </row>
    <row r="323" spans="1:12">
      <c r="A323" s="150">
        <v>260</v>
      </c>
      <c r="B323" s="149">
        <f t="shared" si="33"/>
        <v>0</v>
      </c>
      <c r="C323" s="149">
        <f t="shared" si="34"/>
        <v>0</v>
      </c>
      <c r="D323" s="149">
        <f t="shared" si="35"/>
        <v>0</v>
      </c>
      <c r="E323" s="149">
        <f t="shared" si="36"/>
        <v>0</v>
      </c>
      <c r="F323" s="148"/>
      <c r="G323" s="150">
        <v>260</v>
      </c>
      <c r="H323" s="149">
        <f t="shared" si="37"/>
        <v>0</v>
      </c>
      <c r="I323" s="149">
        <f t="shared" si="38"/>
        <v>0</v>
      </c>
      <c r="J323" s="149">
        <f t="shared" si="39"/>
        <v>0</v>
      </c>
      <c r="K323" s="149">
        <f t="shared" si="40"/>
        <v>0</v>
      </c>
      <c r="L323" s="148"/>
    </row>
    <row r="324" spans="1:12">
      <c r="A324" s="150">
        <v>261</v>
      </c>
      <c r="B324" s="149">
        <f t="shared" si="33"/>
        <v>0</v>
      </c>
      <c r="C324" s="149">
        <f t="shared" si="34"/>
        <v>0</v>
      </c>
      <c r="D324" s="149">
        <f t="shared" si="35"/>
        <v>0</v>
      </c>
      <c r="E324" s="149">
        <f t="shared" si="36"/>
        <v>0</v>
      </c>
      <c r="F324" s="148"/>
      <c r="G324" s="150">
        <v>261</v>
      </c>
      <c r="H324" s="149">
        <f t="shared" si="37"/>
        <v>0</v>
      </c>
      <c r="I324" s="149">
        <f t="shared" si="38"/>
        <v>0</v>
      </c>
      <c r="J324" s="149">
        <f t="shared" si="39"/>
        <v>0</v>
      </c>
      <c r="K324" s="149">
        <f t="shared" si="40"/>
        <v>0</v>
      </c>
      <c r="L324" s="148"/>
    </row>
    <row r="325" spans="1:12">
      <c r="A325" s="150">
        <v>262</v>
      </c>
      <c r="B325" s="149">
        <f t="shared" si="33"/>
        <v>0</v>
      </c>
      <c r="C325" s="149">
        <f t="shared" si="34"/>
        <v>0</v>
      </c>
      <c r="D325" s="149">
        <f t="shared" si="35"/>
        <v>0</v>
      </c>
      <c r="E325" s="149">
        <f t="shared" si="36"/>
        <v>0</v>
      </c>
      <c r="F325" s="148"/>
      <c r="G325" s="150">
        <v>262</v>
      </c>
      <c r="H325" s="149">
        <f t="shared" si="37"/>
        <v>0</v>
      </c>
      <c r="I325" s="149">
        <f t="shared" si="38"/>
        <v>0</v>
      </c>
      <c r="J325" s="149">
        <f t="shared" si="39"/>
        <v>0</v>
      </c>
      <c r="K325" s="149">
        <f t="shared" si="40"/>
        <v>0</v>
      </c>
      <c r="L325" s="148"/>
    </row>
    <row r="326" spans="1:12">
      <c r="A326" s="150">
        <v>263</v>
      </c>
      <c r="B326" s="149">
        <f t="shared" si="33"/>
        <v>0</v>
      </c>
      <c r="C326" s="149">
        <f t="shared" si="34"/>
        <v>0</v>
      </c>
      <c r="D326" s="149">
        <f t="shared" si="35"/>
        <v>0</v>
      </c>
      <c r="E326" s="149">
        <f t="shared" si="36"/>
        <v>0</v>
      </c>
      <c r="F326" s="148"/>
      <c r="G326" s="150">
        <v>263</v>
      </c>
      <c r="H326" s="149">
        <f t="shared" si="37"/>
        <v>0</v>
      </c>
      <c r="I326" s="149">
        <f t="shared" si="38"/>
        <v>0</v>
      </c>
      <c r="J326" s="149">
        <f t="shared" si="39"/>
        <v>0</v>
      </c>
      <c r="K326" s="149">
        <f t="shared" si="40"/>
        <v>0</v>
      </c>
      <c r="L326" s="148"/>
    </row>
    <row r="327" spans="1:12">
      <c r="A327" s="150">
        <v>264</v>
      </c>
      <c r="B327" s="149">
        <f t="shared" si="33"/>
        <v>0</v>
      </c>
      <c r="C327" s="149">
        <f t="shared" si="34"/>
        <v>0</v>
      </c>
      <c r="D327" s="149">
        <f t="shared" si="35"/>
        <v>0</v>
      </c>
      <c r="E327" s="149">
        <f t="shared" si="36"/>
        <v>0</v>
      </c>
      <c r="F327" s="148">
        <v>22</v>
      </c>
      <c r="G327" s="150">
        <v>264</v>
      </c>
      <c r="H327" s="149">
        <f t="shared" si="37"/>
        <v>0</v>
      </c>
      <c r="I327" s="149">
        <f t="shared" si="38"/>
        <v>0</v>
      </c>
      <c r="J327" s="149">
        <f t="shared" si="39"/>
        <v>0</v>
      </c>
      <c r="K327" s="149">
        <f t="shared" si="40"/>
        <v>0</v>
      </c>
      <c r="L327" s="148">
        <v>22</v>
      </c>
    </row>
    <row r="328" spans="1:12">
      <c r="A328" s="150">
        <v>265</v>
      </c>
      <c r="B328" s="149">
        <f t="shared" si="33"/>
        <v>0</v>
      </c>
      <c r="C328" s="149">
        <f t="shared" si="34"/>
        <v>0</v>
      </c>
      <c r="D328" s="149">
        <f t="shared" si="35"/>
        <v>0</v>
      </c>
      <c r="E328" s="149">
        <f t="shared" si="36"/>
        <v>0</v>
      </c>
      <c r="F328" s="148"/>
      <c r="G328" s="150">
        <v>265</v>
      </c>
      <c r="H328" s="149">
        <f t="shared" si="37"/>
        <v>0</v>
      </c>
      <c r="I328" s="149">
        <f t="shared" si="38"/>
        <v>0</v>
      </c>
      <c r="J328" s="149">
        <f t="shared" si="39"/>
        <v>0</v>
      </c>
      <c r="K328" s="149">
        <f t="shared" si="40"/>
        <v>0</v>
      </c>
      <c r="L328" s="148"/>
    </row>
    <row r="329" spans="1:12">
      <c r="A329" s="150">
        <v>266</v>
      </c>
      <c r="B329" s="149">
        <f t="shared" si="33"/>
        <v>0</v>
      </c>
      <c r="C329" s="149">
        <f t="shared" si="34"/>
        <v>0</v>
      </c>
      <c r="D329" s="149">
        <f t="shared" si="35"/>
        <v>0</v>
      </c>
      <c r="E329" s="149">
        <f t="shared" si="36"/>
        <v>0</v>
      </c>
      <c r="F329" s="148"/>
      <c r="G329" s="150">
        <v>266</v>
      </c>
      <c r="H329" s="149">
        <f t="shared" si="37"/>
        <v>0</v>
      </c>
      <c r="I329" s="149">
        <f t="shared" si="38"/>
        <v>0</v>
      </c>
      <c r="J329" s="149">
        <f t="shared" si="39"/>
        <v>0</v>
      </c>
      <c r="K329" s="149">
        <f t="shared" si="40"/>
        <v>0</v>
      </c>
      <c r="L329" s="148"/>
    </row>
    <row r="330" spans="1:12">
      <c r="A330" s="150">
        <v>267</v>
      </c>
      <c r="B330" s="149">
        <f t="shared" si="33"/>
        <v>0</v>
      </c>
      <c r="C330" s="149">
        <f t="shared" si="34"/>
        <v>0</v>
      </c>
      <c r="D330" s="149">
        <f t="shared" si="35"/>
        <v>0</v>
      </c>
      <c r="E330" s="149">
        <f t="shared" si="36"/>
        <v>0</v>
      </c>
      <c r="F330" s="148"/>
      <c r="G330" s="150">
        <v>267</v>
      </c>
      <c r="H330" s="149">
        <f t="shared" si="37"/>
        <v>0</v>
      </c>
      <c r="I330" s="149">
        <f t="shared" si="38"/>
        <v>0</v>
      </c>
      <c r="J330" s="149">
        <f t="shared" si="39"/>
        <v>0</v>
      </c>
      <c r="K330" s="149">
        <f t="shared" si="40"/>
        <v>0</v>
      </c>
      <c r="L330" s="148"/>
    </row>
    <row r="331" spans="1:12">
      <c r="A331" s="150">
        <v>268</v>
      </c>
      <c r="B331" s="149">
        <f t="shared" si="33"/>
        <v>0</v>
      </c>
      <c r="C331" s="149">
        <f t="shared" si="34"/>
        <v>0</v>
      </c>
      <c r="D331" s="149">
        <f t="shared" si="35"/>
        <v>0</v>
      </c>
      <c r="E331" s="149">
        <f t="shared" si="36"/>
        <v>0</v>
      </c>
      <c r="F331" s="148"/>
      <c r="G331" s="150">
        <v>268</v>
      </c>
      <c r="H331" s="149">
        <f t="shared" si="37"/>
        <v>0</v>
      </c>
      <c r="I331" s="149">
        <f t="shared" si="38"/>
        <v>0</v>
      </c>
      <c r="J331" s="149">
        <f t="shared" si="39"/>
        <v>0</v>
      </c>
      <c r="K331" s="149">
        <f t="shared" si="40"/>
        <v>0</v>
      </c>
      <c r="L331" s="148"/>
    </row>
    <row r="332" spans="1:12">
      <c r="A332" s="150">
        <v>269</v>
      </c>
      <c r="B332" s="149">
        <f t="shared" si="33"/>
        <v>0</v>
      </c>
      <c r="C332" s="149">
        <f t="shared" si="34"/>
        <v>0</v>
      </c>
      <c r="D332" s="149">
        <f t="shared" si="35"/>
        <v>0</v>
      </c>
      <c r="E332" s="149">
        <f t="shared" si="36"/>
        <v>0</v>
      </c>
      <c r="F332" s="148"/>
      <c r="G332" s="150">
        <v>269</v>
      </c>
      <c r="H332" s="149">
        <f t="shared" si="37"/>
        <v>0</v>
      </c>
      <c r="I332" s="149">
        <f t="shared" si="38"/>
        <v>0</v>
      </c>
      <c r="J332" s="149">
        <f t="shared" si="39"/>
        <v>0</v>
      </c>
      <c r="K332" s="149">
        <f t="shared" si="40"/>
        <v>0</v>
      </c>
      <c r="L332" s="148"/>
    </row>
    <row r="333" spans="1:12">
      <c r="A333" s="150">
        <v>270</v>
      </c>
      <c r="B333" s="149">
        <f t="shared" si="33"/>
        <v>0</v>
      </c>
      <c r="C333" s="149">
        <f t="shared" si="34"/>
        <v>0</v>
      </c>
      <c r="D333" s="149">
        <f t="shared" si="35"/>
        <v>0</v>
      </c>
      <c r="E333" s="149">
        <f t="shared" si="36"/>
        <v>0</v>
      </c>
      <c r="F333" s="148"/>
      <c r="G333" s="150">
        <v>270</v>
      </c>
      <c r="H333" s="149">
        <f t="shared" si="37"/>
        <v>0</v>
      </c>
      <c r="I333" s="149">
        <f t="shared" si="38"/>
        <v>0</v>
      </c>
      <c r="J333" s="149">
        <f t="shared" si="39"/>
        <v>0</v>
      </c>
      <c r="K333" s="149">
        <f t="shared" si="40"/>
        <v>0</v>
      </c>
      <c r="L333" s="148"/>
    </row>
    <row r="334" spans="1:12">
      <c r="A334" s="150">
        <v>271</v>
      </c>
      <c r="B334" s="149">
        <f t="shared" si="33"/>
        <v>0</v>
      </c>
      <c r="C334" s="149">
        <f t="shared" si="34"/>
        <v>0</v>
      </c>
      <c r="D334" s="149">
        <f t="shared" si="35"/>
        <v>0</v>
      </c>
      <c r="E334" s="149">
        <f t="shared" si="36"/>
        <v>0</v>
      </c>
      <c r="F334" s="148"/>
      <c r="G334" s="150">
        <v>271</v>
      </c>
      <c r="H334" s="149">
        <f t="shared" si="37"/>
        <v>0</v>
      </c>
      <c r="I334" s="149">
        <f t="shared" si="38"/>
        <v>0</v>
      </c>
      <c r="J334" s="149">
        <f t="shared" si="39"/>
        <v>0</v>
      </c>
      <c r="K334" s="149">
        <f t="shared" si="40"/>
        <v>0</v>
      </c>
      <c r="L334" s="148"/>
    </row>
    <row r="335" spans="1:12">
      <c r="A335" s="150">
        <v>272</v>
      </c>
      <c r="B335" s="149">
        <f t="shared" si="33"/>
        <v>0</v>
      </c>
      <c r="C335" s="149">
        <f t="shared" si="34"/>
        <v>0</v>
      </c>
      <c r="D335" s="149">
        <f t="shared" si="35"/>
        <v>0</v>
      </c>
      <c r="E335" s="149">
        <f t="shared" si="36"/>
        <v>0</v>
      </c>
      <c r="F335" s="148"/>
      <c r="G335" s="150">
        <v>272</v>
      </c>
      <c r="H335" s="149">
        <f t="shared" si="37"/>
        <v>0</v>
      </c>
      <c r="I335" s="149">
        <f t="shared" si="38"/>
        <v>0</v>
      </c>
      <c r="J335" s="149">
        <f t="shared" si="39"/>
        <v>0</v>
      </c>
      <c r="K335" s="149">
        <f t="shared" si="40"/>
        <v>0</v>
      </c>
      <c r="L335" s="148"/>
    </row>
    <row r="336" spans="1:12">
      <c r="A336" s="150">
        <v>273</v>
      </c>
      <c r="B336" s="149">
        <f t="shared" si="33"/>
        <v>0</v>
      </c>
      <c r="C336" s="149">
        <f t="shared" si="34"/>
        <v>0</v>
      </c>
      <c r="D336" s="149">
        <f t="shared" si="35"/>
        <v>0</v>
      </c>
      <c r="E336" s="149">
        <f t="shared" si="36"/>
        <v>0</v>
      </c>
      <c r="F336" s="148"/>
      <c r="G336" s="150">
        <v>273</v>
      </c>
      <c r="H336" s="149">
        <f t="shared" si="37"/>
        <v>0</v>
      </c>
      <c r="I336" s="149">
        <f t="shared" si="38"/>
        <v>0</v>
      </c>
      <c r="J336" s="149">
        <f t="shared" si="39"/>
        <v>0</v>
      </c>
      <c r="K336" s="149">
        <f t="shared" si="40"/>
        <v>0</v>
      </c>
      <c r="L336" s="148"/>
    </row>
    <row r="337" spans="1:12">
      <c r="A337" s="150">
        <v>274</v>
      </c>
      <c r="B337" s="149">
        <f t="shared" si="33"/>
        <v>0</v>
      </c>
      <c r="C337" s="149">
        <f t="shared" si="34"/>
        <v>0</v>
      </c>
      <c r="D337" s="149">
        <f t="shared" si="35"/>
        <v>0</v>
      </c>
      <c r="E337" s="149">
        <f t="shared" si="36"/>
        <v>0</v>
      </c>
      <c r="F337" s="148"/>
      <c r="G337" s="150">
        <v>274</v>
      </c>
      <c r="H337" s="149">
        <f t="shared" si="37"/>
        <v>0</v>
      </c>
      <c r="I337" s="149">
        <f t="shared" si="38"/>
        <v>0</v>
      </c>
      <c r="J337" s="149">
        <f t="shared" si="39"/>
        <v>0</v>
      </c>
      <c r="K337" s="149">
        <f t="shared" si="40"/>
        <v>0</v>
      </c>
      <c r="L337" s="148"/>
    </row>
    <row r="338" spans="1:12">
      <c r="A338" s="150">
        <v>275</v>
      </c>
      <c r="B338" s="149">
        <f t="shared" si="33"/>
        <v>0</v>
      </c>
      <c r="C338" s="149">
        <f t="shared" si="34"/>
        <v>0</v>
      </c>
      <c r="D338" s="149">
        <f t="shared" si="35"/>
        <v>0</v>
      </c>
      <c r="E338" s="149">
        <f t="shared" si="36"/>
        <v>0</v>
      </c>
      <c r="F338" s="148"/>
      <c r="G338" s="150">
        <v>275</v>
      </c>
      <c r="H338" s="149">
        <f t="shared" si="37"/>
        <v>0</v>
      </c>
      <c r="I338" s="149">
        <f t="shared" si="38"/>
        <v>0</v>
      </c>
      <c r="J338" s="149">
        <f t="shared" si="39"/>
        <v>0</v>
      </c>
      <c r="K338" s="149">
        <f t="shared" si="40"/>
        <v>0</v>
      </c>
      <c r="L338" s="148"/>
    </row>
    <row r="339" spans="1:12">
      <c r="A339" s="150">
        <v>276</v>
      </c>
      <c r="B339" s="149">
        <f t="shared" si="33"/>
        <v>0</v>
      </c>
      <c r="C339" s="149">
        <f t="shared" si="34"/>
        <v>0</v>
      </c>
      <c r="D339" s="149">
        <f t="shared" si="35"/>
        <v>0</v>
      </c>
      <c r="E339" s="149">
        <f t="shared" si="36"/>
        <v>0</v>
      </c>
      <c r="F339" s="148">
        <v>23</v>
      </c>
      <c r="G339" s="150">
        <v>276</v>
      </c>
      <c r="H339" s="149">
        <f t="shared" si="37"/>
        <v>0</v>
      </c>
      <c r="I339" s="149">
        <f t="shared" si="38"/>
        <v>0</v>
      </c>
      <c r="J339" s="149">
        <f t="shared" si="39"/>
        <v>0</v>
      </c>
      <c r="K339" s="149">
        <f t="shared" si="40"/>
        <v>0</v>
      </c>
      <c r="L339" s="148">
        <v>23</v>
      </c>
    </row>
    <row r="340" spans="1:12">
      <c r="A340" s="150">
        <v>277</v>
      </c>
      <c r="B340" s="149">
        <f t="shared" si="33"/>
        <v>0</v>
      </c>
      <c r="C340" s="149">
        <f t="shared" si="34"/>
        <v>0</v>
      </c>
      <c r="D340" s="149">
        <f t="shared" si="35"/>
        <v>0</v>
      </c>
      <c r="E340" s="149">
        <f t="shared" si="36"/>
        <v>0</v>
      </c>
      <c r="F340" s="148"/>
      <c r="G340" s="150">
        <v>277</v>
      </c>
      <c r="H340" s="149">
        <f t="shared" si="37"/>
        <v>0</v>
      </c>
      <c r="I340" s="149">
        <f t="shared" si="38"/>
        <v>0</v>
      </c>
      <c r="J340" s="149">
        <f t="shared" si="39"/>
        <v>0</v>
      </c>
      <c r="K340" s="149">
        <f t="shared" si="40"/>
        <v>0</v>
      </c>
      <c r="L340" s="148"/>
    </row>
    <row r="341" spans="1:12">
      <c r="A341" s="150">
        <v>278</v>
      </c>
      <c r="B341" s="149">
        <f t="shared" si="33"/>
        <v>0</v>
      </c>
      <c r="C341" s="149">
        <f t="shared" si="34"/>
        <v>0</v>
      </c>
      <c r="D341" s="149">
        <f t="shared" si="35"/>
        <v>0</v>
      </c>
      <c r="E341" s="149">
        <f t="shared" si="36"/>
        <v>0</v>
      </c>
      <c r="F341" s="148"/>
      <c r="G341" s="150">
        <v>278</v>
      </c>
      <c r="H341" s="149">
        <f t="shared" si="37"/>
        <v>0</v>
      </c>
      <c r="I341" s="149">
        <f t="shared" si="38"/>
        <v>0</v>
      </c>
      <c r="J341" s="149">
        <f t="shared" si="39"/>
        <v>0</v>
      </c>
      <c r="K341" s="149">
        <f t="shared" si="40"/>
        <v>0</v>
      </c>
      <c r="L341" s="148"/>
    </row>
    <row r="342" spans="1:12">
      <c r="A342" s="150">
        <v>279</v>
      </c>
      <c r="B342" s="149">
        <f t="shared" si="33"/>
        <v>0</v>
      </c>
      <c r="C342" s="149">
        <f t="shared" si="34"/>
        <v>0</v>
      </c>
      <c r="D342" s="149">
        <f t="shared" si="35"/>
        <v>0</v>
      </c>
      <c r="E342" s="149">
        <f t="shared" si="36"/>
        <v>0</v>
      </c>
      <c r="F342" s="148"/>
      <c r="G342" s="150">
        <v>279</v>
      </c>
      <c r="H342" s="149">
        <f t="shared" si="37"/>
        <v>0</v>
      </c>
      <c r="I342" s="149">
        <f t="shared" si="38"/>
        <v>0</v>
      </c>
      <c r="J342" s="149">
        <f t="shared" si="39"/>
        <v>0</v>
      </c>
      <c r="K342" s="149">
        <f t="shared" si="40"/>
        <v>0</v>
      </c>
      <c r="L342" s="148"/>
    </row>
    <row r="343" spans="1:12">
      <c r="A343" s="150">
        <v>280</v>
      </c>
      <c r="B343" s="149">
        <f t="shared" si="33"/>
        <v>0</v>
      </c>
      <c r="C343" s="149">
        <f t="shared" si="34"/>
        <v>0</v>
      </c>
      <c r="D343" s="149">
        <f t="shared" si="35"/>
        <v>0</v>
      </c>
      <c r="E343" s="149">
        <f t="shared" si="36"/>
        <v>0</v>
      </c>
      <c r="F343" s="148"/>
      <c r="G343" s="150">
        <v>280</v>
      </c>
      <c r="H343" s="149">
        <f t="shared" si="37"/>
        <v>0</v>
      </c>
      <c r="I343" s="149">
        <f t="shared" si="38"/>
        <v>0</v>
      </c>
      <c r="J343" s="149">
        <f t="shared" si="39"/>
        <v>0</v>
      </c>
      <c r="K343" s="149">
        <f t="shared" si="40"/>
        <v>0</v>
      </c>
      <c r="L343" s="148"/>
    </row>
    <row r="344" spans="1:12">
      <c r="A344" s="150">
        <v>281</v>
      </c>
      <c r="B344" s="149">
        <f t="shared" si="33"/>
        <v>0</v>
      </c>
      <c r="C344" s="149">
        <f t="shared" si="34"/>
        <v>0</v>
      </c>
      <c r="D344" s="149">
        <f t="shared" si="35"/>
        <v>0</v>
      </c>
      <c r="E344" s="149">
        <f t="shared" si="36"/>
        <v>0</v>
      </c>
      <c r="F344" s="148"/>
      <c r="G344" s="150">
        <v>281</v>
      </c>
      <c r="H344" s="149">
        <f t="shared" si="37"/>
        <v>0</v>
      </c>
      <c r="I344" s="149">
        <f t="shared" si="38"/>
        <v>0</v>
      </c>
      <c r="J344" s="149">
        <f t="shared" si="39"/>
        <v>0</v>
      </c>
      <c r="K344" s="149">
        <f t="shared" si="40"/>
        <v>0</v>
      </c>
      <c r="L344" s="148"/>
    </row>
    <row r="345" spans="1:12">
      <c r="A345" s="150">
        <v>282</v>
      </c>
      <c r="B345" s="149">
        <f t="shared" si="33"/>
        <v>0</v>
      </c>
      <c r="C345" s="149">
        <f t="shared" si="34"/>
        <v>0</v>
      </c>
      <c r="D345" s="149">
        <f t="shared" si="35"/>
        <v>0</v>
      </c>
      <c r="E345" s="149">
        <f t="shared" si="36"/>
        <v>0</v>
      </c>
      <c r="F345" s="148"/>
      <c r="G345" s="150">
        <v>282</v>
      </c>
      <c r="H345" s="149">
        <f t="shared" si="37"/>
        <v>0</v>
      </c>
      <c r="I345" s="149">
        <f t="shared" si="38"/>
        <v>0</v>
      </c>
      <c r="J345" s="149">
        <f t="shared" si="39"/>
        <v>0</v>
      </c>
      <c r="K345" s="149">
        <f t="shared" si="40"/>
        <v>0</v>
      </c>
      <c r="L345" s="148"/>
    </row>
    <row r="346" spans="1:12">
      <c r="A346" s="150">
        <v>283</v>
      </c>
      <c r="B346" s="149">
        <f t="shared" si="33"/>
        <v>0</v>
      </c>
      <c r="C346" s="149">
        <f t="shared" si="34"/>
        <v>0</v>
      </c>
      <c r="D346" s="149">
        <f t="shared" si="35"/>
        <v>0</v>
      </c>
      <c r="E346" s="149">
        <f t="shared" si="36"/>
        <v>0</v>
      </c>
      <c r="F346" s="148"/>
      <c r="G346" s="150">
        <v>283</v>
      </c>
      <c r="H346" s="149">
        <f t="shared" si="37"/>
        <v>0</v>
      </c>
      <c r="I346" s="149">
        <f t="shared" si="38"/>
        <v>0</v>
      </c>
      <c r="J346" s="149">
        <f t="shared" si="39"/>
        <v>0</v>
      </c>
      <c r="K346" s="149">
        <f t="shared" si="40"/>
        <v>0</v>
      </c>
      <c r="L346" s="148"/>
    </row>
    <row r="347" spans="1:12">
      <c r="A347" s="150">
        <v>284</v>
      </c>
      <c r="B347" s="149">
        <f t="shared" si="33"/>
        <v>0</v>
      </c>
      <c r="C347" s="149">
        <f t="shared" si="34"/>
        <v>0</v>
      </c>
      <c r="D347" s="149">
        <f t="shared" si="35"/>
        <v>0</v>
      </c>
      <c r="E347" s="149">
        <f t="shared" si="36"/>
        <v>0</v>
      </c>
      <c r="F347" s="148"/>
      <c r="G347" s="150">
        <v>284</v>
      </c>
      <c r="H347" s="149">
        <f t="shared" si="37"/>
        <v>0</v>
      </c>
      <c r="I347" s="149">
        <f t="shared" si="38"/>
        <v>0</v>
      </c>
      <c r="J347" s="149">
        <f t="shared" si="39"/>
        <v>0</v>
      </c>
      <c r="K347" s="149">
        <f t="shared" si="40"/>
        <v>0</v>
      </c>
      <c r="L347" s="148"/>
    </row>
    <row r="348" spans="1:12">
      <c r="A348" s="150">
        <v>285</v>
      </c>
      <c r="B348" s="149">
        <f t="shared" si="33"/>
        <v>0</v>
      </c>
      <c r="C348" s="149">
        <f t="shared" si="34"/>
        <v>0</v>
      </c>
      <c r="D348" s="149">
        <f t="shared" si="35"/>
        <v>0</v>
      </c>
      <c r="E348" s="149">
        <f t="shared" si="36"/>
        <v>0</v>
      </c>
      <c r="F348" s="148"/>
      <c r="G348" s="150">
        <v>285</v>
      </c>
      <c r="H348" s="149">
        <f t="shared" si="37"/>
        <v>0</v>
      </c>
      <c r="I348" s="149">
        <f t="shared" si="38"/>
        <v>0</v>
      </c>
      <c r="J348" s="149">
        <f t="shared" si="39"/>
        <v>0</v>
      </c>
      <c r="K348" s="149">
        <f t="shared" si="40"/>
        <v>0</v>
      </c>
      <c r="L348" s="148"/>
    </row>
    <row r="349" spans="1:12">
      <c r="A349" s="150">
        <v>286</v>
      </c>
      <c r="B349" s="149">
        <f t="shared" si="33"/>
        <v>0</v>
      </c>
      <c r="C349" s="149">
        <f t="shared" si="34"/>
        <v>0</v>
      </c>
      <c r="D349" s="149">
        <f t="shared" si="35"/>
        <v>0</v>
      </c>
      <c r="E349" s="149">
        <f t="shared" si="36"/>
        <v>0</v>
      </c>
      <c r="F349" s="148"/>
      <c r="G349" s="150">
        <v>286</v>
      </c>
      <c r="H349" s="149">
        <f t="shared" si="37"/>
        <v>0</v>
      </c>
      <c r="I349" s="149">
        <f t="shared" si="38"/>
        <v>0</v>
      </c>
      <c r="J349" s="149">
        <f t="shared" si="39"/>
        <v>0</v>
      </c>
      <c r="K349" s="149">
        <f t="shared" si="40"/>
        <v>0</v>
      </c>
      <c r="L349" s="148"/>
    </row>
    <row r="350" spans="1:12">
      <c r="A350" s="150">
        <v>287</v>
      </c>
      <c r="B350" s="149">
        <f t="shared" si="33"/>
        <v>0</v>
      </c>
      <c r="C350" s="149">
        <f t="shared" si="34"/>
        <v>0</v>
      </c>
      <c r="D350" s="149">
        <f t="shared" si="35"/>
        <v>0</v>
      </c>
      <c r="E350" s="149">
        <f t="shared" si="36"/>
        <v>0</v>
      </c>
      <c r="F350" s="148"/>
      <c r="G350" s="150">
        <v>287</v>
      </c>
      <c r="H350" s="149">
        <f t="shared" si="37"/>
        <v>0</v>
      </c>
      <c r="I350" s="149">
        <f t="shared" si="38"/>
        <v>0</v>
      </c>
      <c r="J350" s="149">
        <f t="shared" si="39"/>
        <v>0</v>
      </c>
      <c r="K350" s="149">
        <f t="shared" si="40"/>
        <v>0</v>
      </c>
      <c r="L350" s="148"/>
    </row>
    <row r="351" spans="1:12">
      <c r="A351" s="150">
        <v>288</v>
      </c>
      <c r="B351" s="149">
        <f t="shared" si="33"/>
        <v>0</v>
      </c>
      <c r="C351" s="149">
        <f t="shared" si="34"/>
        <v>0</v>
      </c>
      <c r="D351" s="149">
        <f t="shared" si="35"/>
        <v>0</v>
      </c>
      <c r="E351" s="149">
        <f t="shared" si="36"/>
        <v>0</v>
      </c>
      <c r="F351" s="148">
        <v>24</v>
      </c>
      <c r="G351" s="150">
        <v>288</v>
      </c>
      <c r="H351" s="149">
        <f t="shared" si="37"/>
        <v>0</v>
      </c>
      <c r="I351" s="149">
        <f t="shared" si="38"/>
        <v>0</v>
      </c>
      <c r="J351" s="149">
        <f t="shared" si="39"/>
        <v>0</v>
      </c>
      <c r="K351" s="149">
        <f t="shared" si="40"/>
        <v>0</v>
      </c>
      <c r="L351" s="148">
        <v>24</v>
      </c>
    </row>
    <row r="352" spans="1:12">
      <c r="A352" s="150">
        <v>289</v>
      </c>
      <c r="B352" s="149">
        <f t="shared" si="33"/>
        <v>0</v>
      </c>
      <c r="C352" s="149">
        <f t="shared" si="34"/>
        <v>0</v>
      </c>
      <c r="D352" s="149">
        <f t="shared" si="35"/>
        <v>0</v>
      </c>
      <c r="E352" s="149">
        <f t="shared" si="36"/>
        <v>0</v>
      </c>
      <c r="F352" s="148"/>
      <c r="G352" s="150">
        <v>289</v>
      </c>
      <c r="H352" s="149">
        <f t="shared" si="37"/>
        <v>0</v>
      </c>
      <c r="I352" s="149">
        <f t="shared" si="38"/>
        <v>0</v>
      </c>
      <c r="J352" s="149">
        <f t="shared" si="39"/>
        <v>0</v>
      </c>
      <c r="K352" s="149">
        <f t="shared" si="40"/>
        <v>0</v>
      </c>
      <c r="L352" s="148"/>
    </row>
    <row r="353" spans="1:12">
      <c r="A353" s="150">
        <v>290</v>
      </c>
      <c r="B353" s="149">
        <f t="shared" si="33"/>
        <v>0</v>
      </c>
      <c r="C353" s="149">
        <f t="shared" si="34"/>
        <v>0</v>
      </c>
      <c r="D353" s="149">
        <f t="shared" si="35"/>
        <v>0</v>
      </c>
      <c r="E353" s="149">
        <f t="shared" si="36"/>
        <v>0</v>
      </c>
      <c r="F353" s="148"/>
      <c r="G353" s="150">
        <v>290</v>
      </c>
      <c r="H353" s="149">
        <f t="shared" si="37"/>
        <v>0</v>
      </c>
      <c r="I353" s="149">
        <f t="shared" si="38"/>
        <v>0</v>
      </c>
      <c r="J353" s="149">
        <f t="shared" si="39"/>
        <v>0</v>
      </c>
      <c r="K353" s="149">
        <f t="shared" si="40"/>
        <v>0</v>
      </c>
      <c r="L353" s="148"/>
    </row>
    <row r="354" spans="1:12">
      <c r="A354" s="150">
        <v>291</v>
      </c>
      <c r="B354" s="149">
        <f t="shared" si="33"/>
        <v>0</v>
      </c>
      <c r="C354" s="149">
        <f t="shared" si="34"/>
        <v>0</v>
      </c>
      <c r="D354" s="149">
        <f t="shared" si="35"/>
        <v>0</v>
      </c>
      <c r="E354" s="149">
        <f t="shared" si="36"/>
        <v>0</v>
      </c>
      <c r="F354" s="148"/>
      <c r="G354" s="150">
        <v>291</v>
      </c>
      <c r="H354" s="149">
        <f t="shared" si="37"/>
        <v>0</v>
      </c>
      <c r="I354" s="149">
        <f t="shared" si="38"/>
        <v>0</v>
      </c>
      <c r="J354" s="149">
        <f t="shared" si="39"/>
        <v>0</v>
      </c>
      <c r="K354" s="149">
        <f t="shared" si="40"/>
        <v>0</v>
      </c>
      <c r="L354" s="148"/>
    </row>
    <row r="355" spans="1:12">
      <c r="A355" s="150">
        <v>292</v>
      </c>
      <c r="B355" s="149">
        <f t="shared" si="33"/>
        <v>0</v>
      </c>
      <c r="C355" s="149">
        <f t="shared" si="34"/>
        <v>0</v>
      </c>
      <c r="D355" s="149">
        <f t="shared" si="35"/>
        <v>0</v>
      </c>
      <c r="E355" s="149">
        <f t="shared" si="36"/>
        <v>0</v>
      </c>
      <c r="F355" s="148"/>
      <c r="G355" s="150">
        <v>292</v>
      </c>
      <c r="H355" s="149">
        <f t="shared" si="37"/>
        <v>0</v>
      </c>
      <c r="I355" s="149">
        <f t="shared" si="38"/>
        <v>0</v>
      </c>
      <c r="J355" s="149">
        <f t="shared" si="39"/>
        <v>0</v>
      </c>
      <c r="K355" s="149">
        <f t="shared" si="40"/>
        <v>0</v>
      </c>
      <c r="L355" s="148"/>
    </row>
    <row r="356" spans="1:12">
      <c r="A356" s="150">
        <v>293</v>
      </c>
      <c r="B356" s="149">
        <f t="shared" si="33"/>
        <v>0</v>
      </c>
      <c r="C356" s="149">
        <f t="shared" si="34"/>
        <v>0</v>
      </c>
      <c r="D356" s="149">
        <f t="shared" si="35"/>
        <v>0</v>
      </c>
      <c r="E356" s="149">
        <f t="shared" si="36"/>
        <v>0</v>
      </c>
      <c r="F356" s="148"/>
      <c r="G356" s="150">
        <v>293</v>
      </c>
      <c r="H356" s="149">
        <f t="shared" si="37"/>
        <v>0</v>
      </c>
      <c r="I356" s="149">
        <f t="shared" si="38"/>
        <v>0</v>
      </c>
      <c r="J356" s="149">
        <f t="shared" si="39"/>
        <v>0</v>
      </c>
      <c r="K356" s="149">
        <f t="shared" si="40"/>
        <v>0</v>
      </c>
      <c r="L356" s="148"/>
    </row>
    <row r="357" spans="1:12">
      <c r="A357" s="150">
        <v>294</v>
      </c>
      <c r="B357" s="149">
        <f t="shared" si="33"/>
        <v>0</v>
      </c>
      <c r="C357" s="149">
        <f t="shared" si="34"/>
        <v>0</v>
      </c>
      <c r="D357" s="149">
        <f t="shared" si="35"/>
        <v>0</v>
      </c>
      <c r="E357" s="149">
        <f t="shared" si="36"/>
        <v>0</v>
      </c>
      <c r="F357" s="148"/>
      <c r="G357" s="150">
        <v>294</v>
      </c>
      <c r="H357" s="149">
        <f t="shared" si="37"/>
        <v>0</v>
      </c>
      <c r="I357" s="149">
        <f t="shared" si="38"/>
        <v>0</v>
      </c>
      <c r="J357" s="149">
        <f t="shared" si="39"/>
        <v>0</v>
      </c>
      <c r="K357" s="149">
        <f t="shared" si="40"/>
        <v>0</v>
      </c>
      <c r="L357" s="148"/>
    </row>
    <row r="358" spans="1:12">
      <c r="A358" s="150">
        <v>295</v>
      </c>
      <c r="B358" s="149">
        <f t="shared" si="33"/>
        <v>0</v>
      </c>
      <c r="C358" s="149">
        <f t="shared" si="34"/>
        <v>0</v>
      </c>
      <c r="D358" s="149">
        <f t="shared" si="35"/>
        <v>0</v>
      </c>
      <c r="E358" s="149">
        <f t="shared" si="36"/>
        <v>0</v>
      </c>
      <c r="F358" s="148"/>
      <c r="G358" s="150">
        <v>295</v>
      </c>
      <c r="H358" s="149">
        <f t="shared" si="37"/>
        <v>0</v>
      </c>
      <c r="I358" s="149">
        <f t="shared" si="38"/>
        <v>0</v>
      </c>
      <c r="J358" s="149">
        <f t="shared" si="39"/>
        <v>0</v>
      </c>
      <c r="K358" s="149">
        <f t="shared" si="40"/>
        <v>0</v>
      </c>
      <c r="L358" s="148"/>
    </row>
    <row r="359" spans="1:12">
      <c r="A359" s="150">
        <v>296</v>
      </c>
      <c r="B359" s="149">
        <f t="shared" si="33"/>
        <v>0</v>
      </c>
      <c r="C359" s="149">
        <f t="shared" si="34"/>
        <v>0</v>
      </c>
      <c r="D359" s="149">
        <f t="shared" si="35"/>
        <v>0</v>
      </c>
      <c r="E359" s="149">
        <f t="shared" si="36"/>
        <v>0</v>
      </c>
      <c r="F359" s="148"/>
      <c r="G359" s="150">
        <v>296</v>
      </c>
      <c r="H359" s="149">
        <f t="shared" si="37"/>
        <v>0</v>
      </c>
      <c r="I359" s="149">
        <f t="shared" si="38"/>
        <v>0</v>
      </c>
      <c r="J359" s="149">
        <f t="shared" si="39"/>
        <v>0</v>
      </c>
      <c r="K359" s="149">
        <f t="shared" si="40"/>
        <v>0</v>
      </c>
      <c r="L359" s="148"/>
    </row>
    <row r="360" spans="1:12">
      <c r="A360" s="150">
        <v>297</v>
      </c>
      <c r="B360" s="149">
        <f t="shared" si="33"/>
        <v>0</v>
      </c>
      <c r="C360" s="149">
        <f t="shared" si="34"/>
        <v>0</v>
      </c>
      <c r="D360" s="149">
        <f t="shared" si="35"/>
        <v>0</v>
      </c>
      <c r="E360" s="149">
        <f t="shared" si="36"/>
        <v>0</v>
      </c>
      <c r="F360" s="148"/>
      <c r="G360" s="150">
        <v>297</v>
      </c>
      <c r="H360" s="149">
        <f t="shared" si="37"/>
        <v>0</v>
      </c>
      <c r="I360" s="149">
        <f t="shared" si="38"/>
        <v>0</v>
      </c>
      <c r="J360" s="149">
        <f t="shared" si="39"/>
        <v>0</v>
      </c>
      <c r="K360" s="149">
        <f t="shared" si="40"/>
        <v>0</v>
      </c>
      <c r="L360" s="148"/>
    </row>
    <row r="361" spans="1:12">
      <c r="A361" s="150">
        <v>298</v>
      </c>
      <c r="B361" s="149">
        <f t="shared" si="33"/>
        <v>0</v>
      </c>
      <c r="C361" s="149">
        <f t="shared" si="34"/>
        <v>0</v>
      </c>
      <c r="D361" s="149">
        <f t="shared" si="35"/>
        <v>0</v>
      </c>
      <c r="E361" s="149">
        <f t="shared" si="36"/>
        <v>0</v>
      </c>
      <c r="F361" s="148"/>
      <c r="G361" s="150">
        <v>298</v>
      </c>
      <c r="H361" s="149">
        <f t="shared" si="37"/>
        <v>0</v>
      </c>
      <c r="I361" s="149">
        <f t="shared" si="38"/>
        <v>0</v>
      </c>
      <c r="J361" s="149">
        <f t="shared" si="39"/>
        <v>0</v>
      </c>
      <c r="K361" s="149">
        <f t="shared" si="40"/>
        <v>0</v>
      </c>
      <c r="L361" s="148"/>
    </row>
    <row r="362" spans="1:12">
      <c r="A362" s="150">
        <v>299</v>
      </c>
      <c r="B362" s="149">
        <f t="shared" si="33"/>
        <v>0</v>
      </c>
      <c r="C362" s="149">
        <f t="shared" si="34"/>
        <v>0</v>
      </c>
      <c r="D362" s="149">
        <f t="shared" si="35"/>
        <v>0</v>
      </c>
      <c r="E362" s="149">
        <f t="shared" si="36"/>
        <v>0</v>
      </c>
      <c r="F362" s="148"/>
      <c r="G362" s="150">
        <v>299</v>
      </c>
      <c r="H362" s="149">
        <f t="shared" si="37"/>
        <v>0</v>
      </c>
      <c r="I362" s="149">
        <f t="shared" si="38"/>
        <v>0</v>
      </c>
      <c r="J362" s="149">
        <f t="shared" si="39"/>
        <v>0</v>
      </c>
      <c r="K362" s="149">
        <f t="shared" si="40"/>
        <v>0</v>
      </c>
      <c r="L362" s="148"/>
    </row>
    <row r="363" spans="1:12">
      <c r="A363" s="150">
        <v>300</v>
      </c>
      <c r="B363" s="149">
        <f t="shared" si="33"/>
        <v>0</v>
      </c>
      <c r="C363" s="149">
        <f t="shared" si="34"/>
        <v>0</v>
      </c>
      <c r="D363" s="149">
        <f t="shared" si="35"/>
        <v>0</v>
      </c>
      <c r="E363" s="149">
        <f t="shared" si="36"/>
        <v>0</v>
      </c>
      <c r="F363" s="148">
        <v>25</v>
      </c>
      <c r="G363" s="150">
        <v>300</v>
      </c>
      <c r="H363" s="149">
        <f t="shared" si="37"/>
        <v>0</v>
      </c>
      <c r="I363" s="149">
        <f t="shared" si="38"/>
        <v>0</v>
      </c>
      <c r="J363" s="149">
        <f t="shared" si="39"/>
        <v>0</v>
      </c>
      <c r="K363" s="149">
        <f t="shared" si="40"/>
        <v>0</v>
      </c>
      <c r="L363" s="148">
        <v>25</v>
      </c>
    </row>
    <row r="364" spans="1:12">
      <c r="A364" s="150">
        <v>301</v>
      </c>
      <c r="B364" s="149">
        <f t="shared" si="33"/>
        <v>0</v>
      </c>
      <c r="C364" s="149">
        <f t="shared" si="34"/>
        <v>0</v>
      </c>
      <c r="D364" s="149">
        <f t="shared" si="35"/>
        <v>0</v>
      </c>
      <c r="E364" s="149">
        <f t="shared" si="36"/>
        <v>0</v>
      </c>
      <c r="F364" s="148"/>
      <c r="G364" s="150">
        <v>301</v>
      </c>
      <c r="H364" s="149">
        <f t="shared" si="37"/>
        <v>0</v>
      </c>
      <c r="I364" s="149">
        <f t="shared" si="38"/>
        <v>0</v>
      </c>
      <c r="J364" s="149">
        <f t="shared" si="39"/>
        <v>0</v>
      </c>
      <c r="K364" s="149">
        <f t="shared" si="40"/>
        <v>0</v>
      </c>
      <c r="L364" s="148"/>
    </row>
    <row r="365" spans="1:12">
      <c r="A365" s="150">
        <v>302</v>
      </c>
      <c r="B365" s="149">
        <f t="shared" si="33"/>
        <v>0</v>
      </c>
      <c r="C365" s="149">
        <f t="shared" si="34"/>
        <v>0</v>
      </c>
      <c r="D365" s="149">
        <f t="shared" si="35"/>
        <v>0</v>
      </c>
      <c r="E365" s="149">
        <f t="shared" si="36"/>
        <v>0</v>
      </c>
      <c r="F365" s="148"/>
      <c r="G365" s="150">
        <v>302</v>
      </c>
      <c r="H365" s="149">
        <f t="shared" si="37"/>
        <v>0</v>
      </c>
      <c r="I365" s="149">
        <f t="shared" si="38"/>
        <v>0</v>
      </c>
      <c r="J365" s="149">
        <f t="shared" si="39"/>
        <v>0</v>
      </c>
      <c r="K365" s="149">
        <f t="shared" si="40"/>
        <v>0</v>
      </c>
      <c r="L365" s="148"/>
    </row>
    <row r="366" spans="1:12">
      <c r="A366" s="150">
        <v>303</v>
      </c>
      <c r="B366" s="149">
        <f t="shared" si="33"/>
        <v>0</v>
      </c>
      <c r="C366" s="149">
        <f t="shared" si="34"/>
        <v>0</v>
      </c>
      <c r="D366" s="149">
        <f t="shared" si="35"/>
        <v>0</v>
      </c>
      <c r="E366" s="149">
        <f t="shared" si="36"/>
        <v>0</v>
      </c>
      <c r="F366" s="148"/>
      <c r="G366" s="150">
        <v>303</v>
      </c>
      <c r="H366" s="149">
        <f t="shared" si="37"/>
        <v>0</v>
      </c>
      <c r="I366" s="149">
        <f t="shared" si="38"/>
        <v>0</v>
      </c>
      <c r="J366" s="149">
        <f t="shared" si="39"/>
        <v>0</v>
      </c>
      <c r="K366" s="149">
        <f t="shared" si="40"/>
        <v>0</v>
      </c>
      <c r="L366" s="148"/>
    </row>
    <row r="367" spans="1:12">
      <c r="A367" s="150">
        <v>304</v>
      </c>
      <c r="B367" s="149">
        <f t="shared" si="33"/>
        <v>0</v>
      </c>
      <c r="C367" s="149">
        <f t="shared" si="34"/>
        <v>0</v>
      </c>
      <c r="D367" s="149">
        <f t="shared" si="35"/>
        <v>0</v>
      </c>
      <c r="E367" s="149">
        <f t="shared" si="36"/>
        <v>0</v>
      </c>
      <c r="F367" s="148"/>
      <c r="G367" s="150">
        <v>304</v>
      </c>
      <c r="H367" s="149">
        <f t="shared" si="37"/>
        <v>0</v>
      </c>
      <c r="I367" s="149">
        <f t="shared" si="38"/>
        <v>0</v>
      </c>
      <c r="J367" s="149">
        <f t="shared" si="39"/>
        <v>0</v>
      </c>
      <c r="K367" s="149">
        <f t="shared" si="40"/>
        <v>0</v>
      </c>
      <c r="L367" s="148"/>
    </row>
    <row r="368" spans="1:12">
      <c r="A368" s="150">
        <v>305</v>
      </c>
      <c r="B368" s="149">
        <f t="shared" si="33"/>
        <v>0</v>
      </c>
      <c r="C368" s="149">
        <f t="shared" si="34"/>
        <v>0</v>
      </c>
      <c r="D368" s="149">
        <f t="shared" si="35"/>
        <v>0</v>
      </c>
      <c r="E368" s="149">
        <f t="shared" si="36"/>
        <v>0</v>
      </c>
      <c r="F368" s="148"/>
      <c r="G368" s="150">
        <v>305</v>
      </c>
      <c r="H368" s="149">
        <f t="shared" si="37"/>
        <v>0</v>
      </c>
      <c r="I368" s="149">
        <f t="shared" si="38"/>
        <v>0</v>
      </c>
      <c r="J368" s="149">
        <f t="shared" si="39"/>
        <v>0</v>
      </c>
      <c r="K368" s="149">
        <f t="shared" si="40"/>
        <v>0</v>
      </c>
      <c r="L368" s="148"/>
    </row>
    <row r="369" spans="1:12">
      <c r="A369" s="150">
        <v>306</v>
      </c>
      <c r="B369" s="149">
        <f t="shared" si="33"/>
        <v>0</v>
      </c>
      <c r="C369" s="149">
        <f t="shared" si="34"/>
        <v>0</v>
      </c>
      <c r="D369" s="149">
        <f t="shared" si="35"/>
        <v>0</v>
      </c>
      <c r="E369" s="149">
        <f t="shared" si="36"/>
        <v>0</v>
      </c>
      <c r="F369" s="148"/>
      <c r="G369" s="150">
        <v>306</v>
      </c>
      <c r="H369" s="149">
        <f t="shared" si="37"/>
        <v>0</v>
      </c>
      <c r="I369" s="149">
        <f t="shared" si="38"/>
        <v>0</v>
      </c>
      <c r="J369" s="149">
        <f t="shared" si="39"/>
        <v>0</v>
      </c>
      <c r="K369" s="149">
        <f t="shared" si="40"/>
        <v>0</v>
      </c>
      <c r="L369" s="148"/>
    </row>
    <row r="370" spans="1:12">
      <c r="A370" s="150">
        <v>307</v>
      </c>
      <c r="B370" s="149">
        <f t="shared" si="33"/>
        <v>0</v>
      </c>
      <c r="C370" s="149">
        <f t="shared" si="34"/>
        <v>0</v>
      </c>
      <c r="D370" s="149">
        <f t="shared" si="35"/>
        <v>0</v>
      </c>
      <c r="E370" s="149">
        <f t="shared" si="36"/>
        <v>0</v>
      </c>
      <c r="F370" s="148"/>
      <c r="G370" s="150">
        <v>307</v>
      </c>
      <c r="H370" s="149">
        <f t="shared" si="37"/>
        <v>0</v>
      </c>
      <c r="I370" s="149">
        <f t="shared" si="38"/>
        <v>0</v>
      </c>
      <c r="J370" s="149">
        <f t="shared" si="39"/>
        <v>0</v>
      </c>
      <c r="K370" s="149">
        <f t="shared" si="40"/>
        <v>0</v>
      </c>
      <c r="L370" s="148"/>
    </row>
    <row r="371" spans="1:12">
      <c r="A371" s="150">
        <v>308</v>
      </c>
      <c r="B371" s="149">
        <f t="shared" si="33"/>
        <v>0</v>
      </c>
      <c r="C371" s="149">
        <f t="shared" si="34"/>
        <v>0</v>
      </c>
      <c r="D371" s="149">
        <f t="shared" si="35"/>
        <v>0</v>
      </c>
      <c r="E371" s="149">
        <f t="shared" si="36"/>
        <v>0</v>
      </c>
      <c r="F371" s="148"/>
      <c r="G371" s="150">
        <v>308</v>
      </c>
      <c r="H371" s="149">
        <f t="shared" si="37"/>
        <v>0</v>
      </c>
      <c r="I371" s="149">
        <f t="shared" si="38"/>
        <v>0</v>
      </c>
      <c r="J371" s="149">
        <f t="shared" si="39"/>
        <v>0</v>
      </c>
      <c r="K371" s="149">
        <f t="shared" si="40"/>
        <v>0</v>
      </c>
      <c r="L371" s="148"/>
    </row>
    <row r="372" spans="1:12">
      <c r="A372" s="150">
        <v>309</v>
      </c>
      <c r="B372" s="149">
        <f t="shared" si="33"/>
        <v>0</v>
      </c>
      <c r="C372" s="149">
        <f t="shared" si="34"/>
        <v>0</v>
      </c>
      <c r="D372" s="149">
        <f t="shared" si="35"/>
        <v>0</v>
      </c>
      <c r="E372" s="149">
        <f t="shared" si="36"/>
        <v>0</v>
      </c>
      <c r="F372" s="148"/>
      <c r="G372" s="150">
        <v>309</v>
      </c>
      <c r="H372" s="149">
        <f t="shared" si="37"/>
        <v>0</v>
      </c>
      <c r="I372" s="149">
        <f t="shared" si="38"/>
        <v>0</v>
      </c>
      <c r="J372" s="149">
        <f t="shared" si="39"/>
        <v>0</v>
      </c>
      <c r="K372" s="149">
        <f t="shared" si="40"/>
        <v>0</v>
      </c>
      <c r="L372" s="148"/>
    </row>
    <row r="373" spans="1:12">
      <c r="A373" s="150">
        <v>310</v>
      </c>
      <c r="B373" s="149">
        <f t="shared" si="33"/>
        <v>0</v>
      </c>
      <c r="C373" s="149">
        <f t="shared" si="34"/>
        <v>0</v>
      </c>
      <c r="D373" s="149">
        <f t="shared" si="35"/>
        <v>0</v>
      </c>
      <c r="E373" s="149">
        <f t="shared" si="36"/>
        <v>0</v>
      </c>
      <c r="F373" s="148"/>
      <c r="G373" s="150">
        <v>310</v>
      </c>
      <c r="H373" s="149">
        <f t="shared" si="37"/>
        <v>0</v>
      </c>
      <c r="I373" s="149">
        <f t="shared" si="38"/>
        <v>0</v>
      </c>
      <c r="J373" s="149">
        <f t="shared" si="39"/>
        <v>0</v>
      </c>
      <c r="K373" s="149">
        <f t="shared" si="40"/>
        <v>0</v>
      </c>
      <c r="L373" s="148"/>
    </row>
    <row r="374" spans="1:12">
      <c r="A374" s="150">
        <v>311</v>
      </c>
      <c r="B374" s="149">
        <f t="shared" si="33"/>
        <v>0</v>
      </c>
      <c r="C374" s="149">
        <f t="shared" si="34"/>
        <v>0</v>
      </c>
      <c r="D374" s="149">
        <f t="shared" si="35"/>
        <v>0</v>
      </c>
      <c r="E374" s="149">
        <f t="shared" si="36"/>
        <v>0</v>
      </c>
      <c r="F374" s="148"/>
      <c r="G374" s="150">
        <v>311</v>
      </c>
      <c r="H374" s="149">
        <f t="shared" si="37"/>
        <v>0</v>
      </c>
      <c r="I374" s="149">
        <f t="shared" si="38"/>
        <v>0</v>
      </c>
      <c r="J374" s="149">
        <f t="shared" si="39"/>
        <v>0</v>
      </c>
      <c r="K374" s="149">
        <f t="shared" si="40"/>
        <v>0</v>
      </c>
      <c r="L374" s="148"/>
    </row>
    <row r="375" spans="1:12">
      <c r="A375" s="150">
        <v>312</v>
      </c>
      <c r="B375" s="149">
        <f t="shared" si="33"/>
        <v>0</v>
      </c>
      <c r="C375" s="149">
        <f t="shared" si="34"/>
        <v>0</v>
      </c>
      <c r="D375" s="149">
        <f t="shared" si="35"/>
        <v>0</v>
      </c>
      <c r="E375" s="149">
        <f t="shared" si="36"/>
        <v>0</v>
      </c>
      <c r="F375" s="148">
        <v>26</v>
      </c>
      <c r="G375" s="150">
        <v>312</v>
      </c>
      <c r="H375" s="149">
        <f t="shared" si="37"/>
        <v>0</v>
      </c>
      <c r="I375" s="149">
        <f t="shared" si="38"/>
        <v>0</v>
      </c>
      <c r="J375" s="149">
        <f t="shared" si="39"/>
        <v>0</v>
      </c>
      <c r="K375" s="149">
        <f t="shared" si="40"/>
        <v>0</v>
      </c>
      <c r="L375" s="148">
        <v>26</v>
      </c>
    </row>
    <row r="376" spans="1:12">
      <c r="A376" s="150">
        <v>313</v>
      </c>
      <c r="B376" s="149">
        <f t="shared" si="33"/>
        <v>0</v>
      </c>
      <c r="C376" s="149">
        <f t="shared" si="34"/>
        <v>0</v>
      </c>
      <c r="D376" s="149">
        <f t="shared" si="35"/>
        <v>0</v>
      </c>
      <c r="E376" s="149">
        <f t="shared" si="36"/>
        <v>0</v>
      </c>
      <c r="F376" s="148"/>
      <c r="G376" s="150">
        <v>313</v>
      </c>
      <c r="H376" s="149">
        <f t="shared" si="37"/>
        <v>0</v>
      </c>
      <c r="I376" s="149">
        <f t="shared" si="38"/>
        <v>0</v>
      </c>
      <c r="J376" s="149">
        <f t="shared" si="39"/>
        <v>0</v>
      </c>
      <c r="K376" s="149">
        <f t="shared" si="40"/>
        <v>0</v>
      </c>
      <c r="L376" s="148"/>
    </row>
    <row r="377" spans="1:12">
      <c r="A377" s="150">
        <v>314</v>
      </c>
      <c r="B377" s="149">
        <f t="shared" si="33"/>
        <v>0</v>
      </c>
      <c r="C377" s="149">
        <f t="shared" si="34"/>
        <v>0</v>
      </c>
      <c r="D377" s="149">
        <f t="shared" si="35"/>
        <v>0</v>
      </c>
      <c r="E377" s="149">
        <f t="shared" si="36"/>
        <v>0</v>
      </c>
      <c r="F377" s="148"/>
      <c r="G377" s="150">
        <v>314</v>
      </c>
      <c r="H377" s="149">
        <f t="shared" si="37"/>
        <v>0</v>
      </c>
      <c r="I377" s="149">
        <f t="shared" si="38"/>
        <v>0</v>
      </c>
      <c r="J377" s="149">
        <f t="shared" si="39"/>
        <v>0</v>
      </c>
      <c r="K377" s="149">
        <f t="shared" si="40"/>
        <v>0</v>
      </c>
      <c r="L377" s="148"/>
    </row>
    <row r="378" spans="1:12">
      <c r="A378" s="150">
        <v>315</v>
      </c>
      <c r="B378" s="149">
        <f t="shared" si="33"/>
        <v>0</v>
      </c>
      <c r="C378" s="149">
        <f t="shared" si="34"/>
        <v>0</v>
      </c>
      <c r="D378" s="149">
        <f t="shared" si="35"/>
        <v>0</v>
      </c>
      <c r="E378" s="149">
        <f t="shared" si="36"/>
        <v>0</v>
      </c>
      <c r="F378" s="148"/>
      <c r="G378" s="150">
        <v>315</v>
      </c>
      <c r="H378" s="149">
        <f t="shared" si="37"/>
        <v>0</v>
      </c>
      <c r="I378" s="149">
        <f t="shared" si="38"/>
        <v>0</v>
      </c>
      <c r="J378" s="149">
        <f t="shared" si="39"/>
        <v>0</v>
      </c>
      <c r="K378" s="149">
        <f t="shared" si="40"/>
        <v>0</v>
      </c>
      <c r="L378" s="148"/>
    </row>
    <row r="379" spans="1:12">
      <c r="A379" s="150">
        <v>316</v>
      </c>
      <c r="B379" s="149">
        <f t="shared" si="33"/>
        <v>0</v>
      </c>
      <c r="C379" s="149">
        <f t="shared" si="34"/>
        <v>0</v>
      </c>
      <c r="D379" s="149">
        <f t="shared" si="35"/>
        <v>0</v>
      </c>
      <c r="E379" s="149">
        <f t="shared" si="36"/>
        <v>0</v>
      </c>
      <c r="F379" s="148"/>
      <c r="G379" s="150">
        <v>316</v>
      </c>
      <c r="H379" s="149">
        <f t="shared" si="37"/>
        <v>0</v>
      </c>
      <c r="I379" s="149">
        <f t="shared" si="38"/>
        <v>0</v>
      </c>
      <c r="J379" s="149">
        <f t="shared" si="39"/>
        <v>0</v>
      </c>
      <c r="K379" s="149">
        <f t="shared" si="40"/>
        <v>0</v>
      </c>
      <c r="L379" s="148"/>
    </row>
    <row r="380" spans="1:12">
      <c r="A380" s="150">
        <v>317</v>
      </c>
      <c r="B380" s="149">
        <f t="shared" si="33"/>
        <v>0</v>
      </c>
      <c r="C380" s="149">
        <f t="shared" si="34"/>
        <v>0</v>
      </c>
      <c r="D380" s="149">
        <f t="shared" si="35"/>
        <v>0</v>
      </c>
      <c r="E380" s="149">
        <f t="shared" si="36"/>
        <v>0</v>
      </c>
      <c r="F380" s="148"/>
      <c r="G380" s="150">
        <v>317</v>
      </c>
      <c r="H380" s="149">
        <f t="shared" si="37"/>
        <v>0</v>
      </c>
      <c r="I380" s="149">
        <f t="shared" si="38"/>
        <v>0</v>
      </c>
      <c r="J380" s="149">
        <f t="shared" si="39"/>
        <v>0</v>
      </c>
      <c r="K380" s="149">
        <f t="shared" si="40"/>
        <v>0</v>
      </c>
      <c r="L380" s="148"/>
    </row>
    <row r="381" spans="1:12">
      <c r="A381" s="150">
        <v>318</v>
      </c>
      <c r="B381" s="149">
        <f t="shared" si="33"/>
        <v>0</v>
      </c>
      <c r="C381" s="149">
        <f t="shared" si="34"/>
        <v>0</v>
      </c>
      <c r="D381" s="149">
        <f t="shared" si="35"/>
        <v>0</v>
      </c>
      <c r="E381" s="149">
        <f t="shared" si="36"/>
        <v>0</v>
      </c>
      <c r="F381" s="148"/>
      <c r="G381" s="150">
        <v>318</v>
      </c>
      <c r="H381" s="149">
        <f t="shared" si="37"/>
        <v>0</v>
      </c>
      <c r="I381" s="149">
        <f t="shared" si="38"/>
        <v>0</v>
      </c>
      <c r="J381" s="149">
        <f t="shared" si="39"/>
        <v>0</v>
      </c>
      <c r="K381" s="149">
        <f t="shared" si="40"/>
        <v>0</v>
      </c>
      <c r="L381" s="148"/>
    </row>
    <row r="382" spans="1:12">
      <c r="A382" s="150">
        <v>319</v>
      </c>
      <c r="B382" s="149">
        <f t="shared" si="33"/>
        <v>0</v>
      </c>
      <c r="C382" s="149">
        <f t="shared" si="34"/>
        <v>0</v>
      </c>
      <c r="D382" s="149">
        <f t="shared" si="35"/>
        <v>0</v>
      </c>
      <c r="E382" s="149">
        <f t="shared" si="36"/>
        <v>0</v>
      </c>
      <c r="F382" s="148"/>
      <c r="G382" s="150">
        <v>319</v>
      </c>
      <c r="H382" s="149">
        <f t="shared" si="37"/>
        <v>0</v>
      </c>
      <c r="I382" s="149">
        <f t="shared" si="38"/>
        <v>0</v>
      </c>
      <c r="J382" s="149">
        <f t="shared" si="39"/>
        <v>0</v>
      </c>
      <c r="K382" s="149">
        <f t="shared" si="40"/>
        <v>0</v>
      </c>
      <c r="L382" s="148"/>
    </row>
    <row r="383" spans="1:12">
      <c r="A383" s="150">
        <v>320</v>
      </c>
      <c r="B383" s="149">
        <f t="shared" si="33"/>
        <v>0</v>
      </c>
      <c r="C383" s="149">
        <f t="shared" si="34"/>
        <v>0</v>
      </c>
      <c r="D383" s="149">
        <f t="shared" si="35"/>
        <v>0</v>
      </c>
      <c r="E383" s="149">
        <f t="shared" si="36"/>
        <v>0</v>
      </c>
      <c r="F383" s="148"/>
      <c r="G383" s="150">
        <v>320</v>
      </c>
      <c r="H383" s="149">
        <f t="shared" si="37"/>
        <v>0</v>
      </c>
      <c r="I383" s="149">
        <f t="shared" si="38"/>
        <v>0</v>
      </c>
      <c r="J383" s="149">
        <f t="shared" si="39"/>
        <v>0</v>
      </c>
      <c r="K383" s="149">
        <f t="shared" si="40"/>
        <v>0</v>
      </c>
      <c r="L383" s="148"/>
    </row>
    <row r="384" spans="1:12">
      <c r="A384" s="150">
        <v>321</v>
      </c>
      <c r="B384" s="149">
        <f t="shared" ref="B384:B447" si="41">IF(A384&gt;12*$C$9,0,IF($C$5&gt;1500000,$D$12,$C$12))</f>
        <v>0</v>
      </c>
      <c r="C384" s="149">
        <f t="shared" ref="C384:C447" si="42">IF(A384&gt;12*$C$9,0,E383*$C$7/12)</f>
        <v>0</v>
      </c>
      <c r="D384" s="149">
        <f t="shared" ref="D384:D447" si="43">IF(A384&gt;12*$C$9,0,B384-C384)</f>
        <v>0</v>
      </c>
      <c r="E384" s="149">
        <f t="shared" ref="E384:E447" si="44">IF(A384&gt;12*$C$9,0,E383-D384)</f>
        <v>0</v>
      </c>
      <c r="F384" s="148"/>
      <c r="G384" s="150">
        <v>321</v>
      </c>
      <c r="H384" s="149">
        <f t="shared" ref="H384:H447" si="45">IF(G384&gt;12*$C$9,0,IF($C$5&gt;1500000,$E$12,0))</f>
        <v>0</v>
      </c>
      <c r="I384" s="149">
        <f t="shared" ref="I384:I447" si="46">IF(G384&gt;12*$C$9,0,K383*$C$7/12)</f>
        <v>0</v>
      </c>
      <c r="J384" s="149">
        <f t="shared" ref="J384:J447" si="47">IF(G384&gt;12*$C$9,0,H384-I384)</f>
        <v>0</v>
      </c>
      <c r="K384" s="149">
        <f t="shared" ref="K384:K447" si="48">IF(G384&gt;12*$C$9,0,K383-J384)</f>
        <v>0</v>
      </c>
      <c r="L384" s="148"/>
    </row>
    <row r="385" spans="1:12">
      <c r="A385" s="150">
        <v>322</v>
      </c>
      <c r="B385" s="149">
        <f t="shared" si="41"/>
        <v>0</v>
      </c>
      <c r="C385" s="149">
        <f t="shared" si="42"/>
        <v>0</v>
      </c>
      <c r="D385" s="149">
        <f t="shared" si="43"/>
        <v>0</v>
      </c>
      <c r="E385" s="149">
        <f t="shared" si="44"/>
        <v>0</v>
      </c>
      <c r="F385" s="148"/>
      <c r="G385" s="150">
        <v>322</v>
      </c>
      <c r="H385" s="149">
        <f t="shared" si="45"/>
        <v>0</v>
      </c>
      <c r="I385" s="149">
        <f t="shared" si="46"/>
        <v>0</v>
      </c>
      <c r="J385" s="149">
        <f t="shared" si="47"/>
        <v>0</v>
      </c>
      <c r="K385" s="149">
        <f t="shared" si="48"/>
        <v>0</v>
      </c>
      <c r="L385" s="148"/>
    </row>
    <row r="386" spans="1:12">
      <c r="A386" s="150">
        <v>323</v>
      </c>
      <c r="B386" s="149">
        <f t="shared" si="41"/>
        <v>0</v>
      </c>
      <c r="C386" s="149">
        <f t="shared" si="42"/>
        <v>0</v>
      </c>
      <c r="D386" s="149">
        <f t="shared" si="43"/>
        <v>0</v>
      </c>
      <c r="E386" s="149">
        <f t="shared" si="44"/>
        <v>0</v>
      </c>
      <c r="F386" s="148"/>
      <c r="G386" s="150">
        <v>323</v>
      </c>
      <c r="H386" s="149">
        <f t="shared" si="45"/>
        <v>0</v>
      </c>
      <c r="I386" s="149">
        <f t="shared" si="46"/>
        <v>0</v>
      </c>
      <c r="J386" s="149">
        <f t="shared" si="47"/>
        <v>0</v>
      </c>
      <c r="K386" s="149">
        <f t="shared" si="48"/>
        <v>0</v>
      </c>
      <c r="L386" s="148"/>
    </row>
    <row r="387" spans="1:12">
      <c r="A387" s="150">
        <v>324</v>
      </c>
      <c r="B387" s="149">
        <f t="shared" si="41"/>
        <v>0</v>
      </c>
      <c r="C387" s="149">
        <f t="shared" si="42"/>
        <v>0</v>
      </c>
      <c r="D387" s="149">
        <f t="shared" si="43"/>
        <v>0</v>
      </c>
      <c r="E387" s="149">
        <f t="shared" si="44"/>
        <v>0</v>
      </c>
      <c r="F387" s="148">
        <v>27</v>
      </c>
      <c r="G387" s="150">
        <v>324</v>
      </c>
      <c r="H387" s="149">
        <f t="shared" si="45"/>
        <v>0</v>
      </c>
      <c r="I387" s="149">
        <f t="shared" si="46"/>
        <v>0</v>
      </c>
      <c r="J387" s="149">
        <f t="shared" si="47"/>
        <v>0</v>
      </c>
      <c r="K387" s="149">
        <f t="shared" si="48"/>
        <v>0</v>
      </c>
      <c r="L387" s="148">
        <v>27</v>
      </c>
    </row>
    <row r="388" spans="1:12">
      <c r="A388" s="150">
        <v>325</v>
      </c>
      <c r="B388" s="149">
        <f t="shared" si="41"/>
        <v>0</v>
      </c>
      <c r="C388" s="149">
        <f t="shared" si="42"/>
        <v>0</v>
      </c>
      <c r="D388" s="149">
        <f t="shared" si="43"/>
        <v>0</v>
      </c>
      <c r="E388" s="149">
        <f t="shared" si="44"/>
        <v>0</v>
      </c>
      <c r="F388" s="148"/>
      <c r="G388" s="150">
        <v>325</v>
      </c>
      <c r="H388" s="149">
        <f t="shared" si="45"/>
        <v>0</v>
      </c>
      <c r="I388" s="149">
        <f t="shared" si="46"/>
        <v>0</v>
      </c>
      <c r="J388" s="149">
        <f t="shared" si="47"/>
        <v>0</v>
      </c>
      <c r="K388" s="149">
        <f t="shared" si="48"/>
        <v>0</v>
      </c>
      <c r="L388" s="148"/>
    </row>
    <row r="389" spans="1:12">
      <c r="A389" s="150">
        <v>326</v>
      </c>
      <c r="B389" s="149">
        <f t="shared" si="41"/>
        <v>0</v>
      </c>
      <c r="C389" s="149">
        <f t="shared" si="42"/>
        <v>0</v>
      </c>
      <c r="D389" s="149">
        <f t="shared" si="43"/>
        <v>0</v>
      </c>
      <c r="E389" s="149">
        <f t="shared" si="44"/>
        <v>0</v>
      </c>
      <c r="F389" s="148"/>
      <c r="G389" s="150">
        <v>326</v>
      </c>
      <c r="H389" s="149">
        <f t="shared" si="45"/>
        <v>0</v>
      </c>
      <c r="I389" s="149">
        <f t="shared" si="46"/>
        <v>0</v>
      </c>
      <c r="J389" s="149">
        <f t="shared" si="47"/>
        <v>0</v>
      </c>
      <c r="K389" s="149">
        <f t="shared" si="48"/>
        <v>0</v>
      </c>
      <c r="L389" s="148"/>
    </row>
    <row r="390" spans="1:12">
      <c r="A390" s="150">
        <v>327</v>
      </c>
      <c r="B390" s="149">
        <f t="shared" si="41"/>
        <v>0</v>
      </c>
      <c r="C390" s="149">
        <f t="shared" si="42"/>
        <v>0</v>
      </c>
      <c r="D390" s="149">
        <f t="shared" si="43"/>
        <v>0</v>
      </c>
      <c r="E390" s="149">
        <f t="shared" si="44"/>
        <v>0</v>
      </c>
      <c r="F390" s="148"/>
      <c r="G390" s="150">
        <v>327</v>
      </c>
      <c r="H390" s="149">
        <f t="shared" si="45"/>
        <v>0</v>
      </c>
      <c r="I390" s="149">
        <f t="shared" si="46"/>
        <v>0</v>
      </c>
      <c r="J390" s="149">
        <f t="shared" si="47"/>
        <v>0</v>
      </c>
      <c r="K390" s="149">
        <f t="shared" si="48"/>
        <v>0</v>
      </c>
      <c r="L390" s="148"/>
    </row>
    <row r="391" spans="1:12">
      <c r="A391" s="150">
        <v>328</v>
      </c>
      <c r="B391" s="149">
        <f t="shared" si="41"/>
        <v>0</v>
      </c>
      <c r="C391" s="149">
        <f t="shared" si="42"/>
        <v>0</v>
      </c>
      <c r="D391" s="149">
        <f t="shared" si="43"/>
        <v>0</v>
      </c>
      <c r="E391" s="149">
        <f t="shared" si="44"/>
        <v>0</v>
      </c>
      <c r="F391" s="148"/>
      <c r="G391" s="150">
        <v>328</v>
      </c>
      <c r="H391" s="149">
        <f t="shared" si="45"/>
        <v>0</v>
      </c>
      <c r="I391" s="149">
        <f t="shared" si="46"/>
        <v>0</v>
      </c>
      <c r="J391" s="149">
        <f t="shared" si="47"/>
        <v>0</v>
      </c>
      <c r="K391" s="149">
        <f t="shared" si="48"/>
        <v>0</v>
      </c>
      <c r="L391" s="148"/>
    </row>
    <row r="392" spans="1:12">
      <c r="A392" s="150">
        <v>329</v>
      </c>
      <c r="B392" s="149">
        <f t="shared" si="41"/>
        <v>0</v>
      </c>
      <c r="C392" s="149">
        <f t="shared" si="42"/>
        <v>0</v>
      </c>
      <c r="D392" s="149">
        <f t="shared" si="43"/>
        <v>0</v>
      </c>
      <c r="E392" s="149">
        <f t="shared" si="44"/>
        <v>0</v>
      </c>
      <c r="F392" s="148"/>
      <c r="G392" s="150">
        <v>329</v>
      </c>
      <c r="H392" s="149">
        <f t="shared" si="45"/>
        <v>0</v>
      </c>
      <c r="I392" s="149">
        <f t="shared" si="46"/>
        <v>0</v>
      </c>
      <c r="J392" s="149">
        <f t="shared" si="47"/>
        <v>0</v>
      </c>
      <c r="K392" s="149">
        <f t="shared" si="48"/>
        <v>0</v>
      </c>
      <c r="L392" s="148"/>
    </row>
    <row r="393" spans="1:12">
      <c r="A393" s="150">
        <v>330</v>
      </c>
      <c r="B393" s="149">
        <f t="shared" si="41"/>
        <v>0</v>
      </c>
      <c r="C393" s="149">
        <f t="shared" si="42"/>
        <v>0</v>
      </c>
      <c r="D393" s="149">
        <f t="shared" si="43"/>
        <v>0</v>
      </c>
      <c r="E393" s="149">
        <f t="shared" si="44"/>
        <v>0</v>
      </c>
      <c r="F393" s="148"/>
      <c r="G393" s="150">
        <v>330</v>
      </c>
      <c r="H393" s="149">
        <f t="shared" si="45"/>
        <v>0</v>
      </c>
      <c r="I393" s="149">
        <f t="shared" si="46"/>
        <v>0</v>
      </c>
      <c r="J393" s="149">
        <f t="shared" si="47"/>
        <v>0</v>
      </c>
      <c r="K393" s="149">
        <f t="shared" si="48"/>
        <v>0</v>
      </c>
      <c r="L393" s="148"/>
    </row>
    <row r="394" spans="1:12">
      <c r="A394" s="150">
        <v>331</v>
      </c>
      <c r="B394" s="149">
        <f t="shared" si="41"/>
        <v>0</v>
      </c>
      <c r="C394" s="149">
        <f t="shared" si="42"/>
        <v>0</v>
      </c>
      <c r="D394" s="149">
        <f t="shared" si="43"/>
        <v>0</v>
      </c>
      <c r="E394" s="149">
        <f t="shared" si="44"/>
        <v>0</v>
      </c>
      <c r="F394" s="148"/>
      <c r="G394" s="150">
        <v>331</v>
      </c>
      <c r="H394" s="149">
        <f t="shared" si="45"/>
        <v>0</v>
      </c>
      <c r="I394" s="149">
        <f t="shared" si="46"/>
        <v>0</v>
      </c>
      <c r="J394" s="149">
        <f t="shared" si="47"/>
        <v>0</v>
      </c>
      <c r="K394" s="149">
        <f t="shared" si="48"/>
        <v>0</v>
      </c>
      <c r="L394" s="148"/>
    </row>
    <row r="395" spans="1:12">
      <c r="A395" s="150">
        <v>332</v>
      </c>
      <c r="B395" s="149">
        <f t="shared" si="41"/>
        <v>0</v>
      </c>
      <c r="C395" s="149">
        <f t="shared" si="42"/>
        <v>0</v>
      </c>
      <c r="D395" s="149">
        <f t="shared" si="43"/>
        <v>0</v>
      </c>
      <c r="E395" s="149">
        <f t="shared" si="44"/>
        <v>0</v>
      </c>
      <c r="F395" s="148"/>
      <c r="G395" s="150">
        <v>332</v>
      </c>
      <c r="H395" s="149">
        <f t="shared" si="45"/>
        <v>0</v>
      </c>
      <c r="I395" s="149">
        <f t="shared" si="46"/>
        <v>0</v>
      </c>
      <c r="J395" s="149">
        <f t="shared" si="47"/>
        <v>0</v>
      </c>
      <c r="K395" s="149">
        <f t="shared" si="48"/>
        <v>0</v>
      </c>
      <c r="L395" s="148"/>
    </row>
    <row r="396" spans="1:12">
      <c r="A396" s="150">
        <v>333</v>
      </c>
      <c r="B396" s="149">
        <f t="shared" si="41"/>
        <v>0</v>
      </c>
      <c r="C396" s="149">
        <f t="shared" si="42"/>
        <v>0</v>
      </c>
      <c r="D396" s="149">
        <f t="shared" si="43"/>
        <v>0</v>
      </c>
      <c r="E396" s="149">
        <f t="shared" si="44"/>
        <v>0</v>
      </c>
      <c r="F396" s="148"/>
      <c r="G396" s="150">
        <v>333</v>
      </c>
      <c r="H396" s="149">
        <f t="shared" si="45"/>
        <v>0</v>
      </c>
      <c r="I396" s="149">
        <f t="shared" si="46"/>
        <v>0</v>
      </c>
      <c r="J396" s="149">
        <f t="shared" si="47"/>
        <v>0</v>
      </c>
      <c r="K396" s="149">
        <f t="shared" si="48"/>
        <v>0</v>
      </c>
      <c r="L396" s="148"/>
    </row>
    <row r="397" spans="1:12">
      <c r="A397" s="150">
        <v>334</v>
      </c>
      <c r="B397" s="149">
        <f t="shared" si="41"/>
        <v>0</v>
      </c>
      <c r="C397" s="149">
        <f t="shared" si="42"/>
        <v>0</v>
      </c>
      <c r="D397" s="149">
        <f t="shared" si="43"/>
        <v>0</v>
      </c>
      <c r="E397" s="149">
        <f t="shared" si="44"/>
        <v>0</v>
      </c>
      <c r="F397" s="148"/>
      <c r="G397" s="150">
        <v>334</v>
      </c>
      <c r="H397" s="149">
        <f t="shared" si="45"/>
        <v>0</v>
      </c>
      <c r="I397" s="149">
        <f t="shared" si="46"/>
        <v>0</v>
      </c>
      <c r="J397" s="149">
        <f t="shared" si="47"/>
        <v>0</v>
      </c>
      <c r="K397" s="149">
        <f t="shared" si="48"/>
        <v>0</v>
      </c>
      <c r="L397" s="148"/>
    </row>
    <row r="398" spans="1:12">
      <c r="A398" s="150">
        <v>335</v>
      </c>
      <c r="B398" s="149">
        <f t="shared" si="41"/>
        <v>0</v>
      </c>
      <c r="C398" s="149">
        <f t="shared" si="42"/>
        <v>0</v>
      </c>
      <c r="D398" s="149">
        <f t="shared" si="43"/>
        <v>0</v>
      </c>
      <c r="E398" s="149">
        <f t="shared" si="44"/>
        <v>0</v>
      </c>
      <c r="F398" s="148"/>
      <c r="G398" s="150">
        <v>335</v>
      </c>
      <c r="H398" s="149">
        <f t="shared" si="45"/>
        <v>0</v>
      </c>
      <c r="I398" s="149">
        <f t="shared" si="46"/>
        <v>0</v>
      </c>
      <c r="J398" s="149">
        <f t="shared" si="47"/>
        <v>0</v>
      </c>
      <c r="K398" s="149">
        <f t="shared" si="48"/>
        <v>0</v>
      </c>
      <c r="L398" s="148"/>
    </row>
    <row r="399" spans="1:12">
      <c r="A399" s="150">
        <v>336</v>
      </c>
      <c r="B399" s="149">
        <f t="shared" si="41"/>
        <v>0</v>
      </c>
      <c r="C399" s="149">
        <f t="shared" si="42"/>
        <v>0</v>
      </c>
      <c r="D399" s="149">
        <f t="shared" si="43"/>
        <v>0</v>
      </c>
      <c r="E399" s="149">
        <f t="shared" si="44"/>
        <v>0</v>
      </c>
      <c r="F399" s="148">
        <v>28</v>
      </c>
      <c r="G399" s="150">
        <v>336</v>
      </c>
      <c r="H399" s="149">
        <f t="shared" si="45"/>
        <v>0</v>
      </c>
      <c r="I399" s="149">
        <f t="shared" si="46"/>
        <v>0</v>
      </c>
      <c r="J399" s="149">
        <f t="shared" si="47"/>
        <v>0</v>
      </c>
      <c r="K399" s="149">
        <f t="shared" si="48"/>
        <v>0</v>
      </c>
      <c r="L399" s="148">
        <v>28</v>
      </c>
    </row>
    <row r="400" spans="1:12">
      <c r="A400" s="150">
        <v>337</v>
      </c>
      <c r="B400" s="149">
        <f t="shared" si="41"/>
        <v>0</v>
      </c>
      <c r="C400" s="149">
        <f t="shared" si="42"/>
        <v>0</v>
      </c>
      <c r="D400" s="149">
        <f t="shared" si="43"/>
        <v>0</v>
      </c>
      <c r="E400" s="149">
        <f t="shared" si="44"/>
        <v>0</v>
      </c>
      <c r="F400" s="148"/>
      <c r="G400" s="150">
        <v>337</v>
      </c>
      <c r="H400" s="149">
        <f t="shared" si="45"/>
        <v>0</v>
      </c>
      <c r="I400" s="149">
        <f t="shared" si="46"/>
        <v>0</v>
      </c>
      <c r="J400" s="149">
        <f t="shared" si="47"/>
        <v>0</v>
      </c>
      <c r="K400" s="149">
        <f t="shared" si="48"/>
        <v>0</v>
      </c>
      <c r="L400" s="148"/>
    </row>
    <row r="401" spans="1:12">
      <c r="A401" s="150">
        <v>338</v>
      </c>
      <c r="B401" s="149">
        <f t="shared" si="41"/>
        <v>0</v>
      </c>
      <c r="C401" s="149">
        <f t="shared" si="42"/>
        <v>0</v>
      </c>
      <c r="D401" s="149">
        <f t="shared" si="43"/>
        <v>0</v>
      </c>
      <c r="E401" s="149">
        <f t="shared" si="44"/>
        <v>0</v>
      </c>
      <c r="F401" s="148"/>
      <c r="G401" s="150">
        <v>338</v>
      </c>
      <c r="H401" s="149">
        <f t="shared" si="45"/>
        <v>0</v>
      </c>
      <c r="I401" s="149">
        <f t="shared" si="46"/>
        <v>0</v>
      </c>
      <c r="J401" s="149">
        <f t="shared" si="47"/>
        <v>0</v>
      </c>
      <c r="K401" s="149">
        <f t="shared" si="48"/>
        <v>0</v>
      </c>
      <c r="L401" s="148"/>
    </row>
    <row r="402" spans="1:12">
      <c r="A402" s="150">
        <v>339</v>
      </c>
      <c r="B402" s="149">
        <f t="shared" si="41"/>
        <v>0</v>
      </c>
      <c r="C402" s="149">
        <f t="shared" si="42"/>
        <v>0</v>
      </c>
      <c r="D402" s="149">
        <f t="shared" si="43"/>
        <v>0</v>
      </c>
      <c r="E402" s="149">
        <f t="shared" si="44"/>
        <v>0</v>
      </c>
      <c r="F402" s="148"/>
      <c r="G402" s="150">
        <v>339</v>
      </c>
      <c r="H402" s="149">
        <f t="shared" si="45"/>
        <v>0</v>
      </c>
      <c r="I402" s="149">
        <f t="shared" si="46"/>
        <v>0</v>
      </c>
      <c r="J402" s="149">
        <f t="shared" si="47"/>
        <v>0</v>
      </c>
      <c r="K402" s="149">
        <f t="shared" si="48"/>
        <v>0</v>
      </c>
      <c r="L402" s="148"/>
    </row>
    <row r="403" spans="1:12">
      <c r="A403" s="150">
        <v>340</v>
      </c>
      <c r="B403" s="149">
        <f t="shared" si="41"/>
        <v>0</v>
      </c>
      <c r="C403" s="149">
        <f t="shared" si="42"/>
        <v>0</v>
      </c>
      <c r="D403" s="149">
        <f t="shared" si="43"/>
        <v>0</v>
      </c>
      <c r="E403" s="149">
        <f t="shared" si="44"/>
        <v>0</v>
      </c>
      <c r="F403" s="148"/>
      <c r="G403" s="150">
        <v>340</v>
      </c>
      <c r="H403" s="149">
        <f t="shared" si="45"/>
        <v>0</v>
      </c>
      <c r="I403" s="149">
        <f t="shared" si="46"/>
        <v>0</v>
      </c>
      <c r="J403" s="149">
        <f t="shared" si="47"/>
        <v>0</v>
      </c>
      <c r="K403" s="149">
        <f t="shared" si="48"/>
        <v>0</v>
      </c>
      <c r="L403" s="148"/>
    </row>
    <row r="404" spans="1:12">
      <c r="A404" s="150">
        <v>341</v>
      </c>
      <c r="B404" s="149">
        <f t="shared" si="41"/>
        <v>0</v>
      </c>
      <c r="C404" s="149">
        <f t="shared" si="42"/>
        <v>0</v>
      </c>
      <c r="D404" s="149">
        <f t="shared" si="43"/>
        <v>0</v>
      </c>
      <c r="E404" s="149">
        <f t="shared" si="44"/>
        <v>0</v>
      </c>
      <c r="F404" s="148"/>
      <c r="G404" s="150">
        <v>341</v>
      </c>
      <c r="H404" s="149">
        <f t="shared" si="45"/>
        <v>0</v>
      </c>
      <c r="I404" s="149">
        <f t="shared" si="46"/>
        <v>0</v>
      </c>
      <c r="J404" s="149">
        <f t="shared" si="47"/>
        <v>0</v>
      </c>
      <c r="K404" s="149">
        <f t="shared" si="48"/>
        <v>0</v>
      </c>
      <c r="L404" s="148"/>
    </row>
    <row r="405" spans="1:12">
      <c r="A405" s="150">
        <v>342</v>
      </c>
      <c r="B405" s="149">
        <f t="shared" si="41"/>
        <v>0</v>
      </c>
      <c r="C405" s="149">
        <f t="shared" si="42"/>
        <v>0</v>
      </c>
      <c r="D405" s="149">
        <f t="shared" si="43"/>
        <v>0</v>
      </c>
      <c r="E405" s="149">
        <f t="shared" si="44"/>
        <v>0</v>
      </c>
      <c r="F405" s="148"/>
      <c r="G405" s="150">
        <v>342</v>
      </c>
      <c r="H405" s="149">
        <f t="shared" si="45"/>
        <v>0</v>
      </c>
      <c r="I405" s="149">
        <f t="shared" si="46"/>
        <v>0</v>
      </c>
      <c r="J405" s="149">
        <f t="shared" si="47"/>
        <v>0</v>
      </c>
      <c r="K405" s="149">
        <f t="shared" si="48"/>
        <v>0</v>
      </c>
      <c r="L405" s="148"/>
    </row>
    <row r="406" spans="1:12">
      <c r="A406" s="150">
        <v>343</v>
      </c>
      <c r="B406" s="149">
        <f t="shared" si="41"/>
        <v>0</v>
      </c>
      <c r="C406" s="149">
        <f t="shared" si="42"/>
        <v>0</v>
      </c>
      <c r="D406" s="149">
        <f t="shared" si="43"/>
        <v>0</v>
      </c>
      <c r="E406" s="149">
        <f t="shared" si="44"/>
        <v>0</v>
      </c>
      <c r="F406" s="148"/>
      <c r="G406" s="150">
        <v>343</v>
      </c>
      <c r="H406" s="149">
        <f t="shared" si="45"/>
        <v>0</v>
      </c>
      <c r="I406" s="149">
        <f t="shared" si="46"/>
        <v>0</v>
      </c>
      <c r="J406" s="149">
        <f t="shared" si="47"/>
        <v>0</v>
      </c>
      <c r="K406" s="149">
        <f t="shared" si="48"/>
        <v>0</v>
      </c>
      <c r="L406" s="148"/>
    </row>
    <row r="407" spans="1:12">
      <c r="A407" s="150">
        <v>344</v>
      </c>
      <c r="B407" s="149">
        <f t="shared" si="41"/>
        <v>0</v>
      </c>
      <c r="C407" s="149">
        <f t="shared" si="42"/>
        <v>0</v>
      </c>
      <c r="D407" s="149">
        <f t="shared" si="43"/>
        <v>0</v>
      </c>
      <c r="E407" s="149">
        <f t="shared" si="44"/>
        <v>0</v>
      </c>
      <c r="F407" s="148"/>
      <c r="G407" s="150">
        <v>344</v>
      </c>
      <c r="H407" s="149">
        <f t="shared" si="45"/>
        <v>0</v>
      </c>
      <c r="I407" s="149">
        <f t="shared" si="46"/>
        <v>0</v>
      </c>
      <c r="J407" s="149">
        <f t="shared" si="47"/>
        <v>0</v>
      </c>
      <c r="K407" s="149">
        <f t="shared" si="48"/>
        <v>0</v>
      </c>
      <c r="L407" s="148"/>
    </row>
    <row r="408" spans="1:12">
      <c r="A408" s="150">
        <v>345</v>
      </c>
      <c r="B408" s="149">
        <f t="shared" si="41"/>
        <v>0</v>
      </c>
      <c r="C408" s="149">
        <f t="shared" si="42"/>
        <v>0</v>
      </c>
      <c r="D408" s="149">
        <f t="shared" si="43"/>
        <v>0</v>
      </c>
      <c r="E408" s="149">
        <f t="shared" si="44"/>
        <v>0</v>
      </c>
      <c r="F408" s="148"/>
      <c r="G408" s="150">
        <v>345</v>
      </c>
      <c r="H408" s="149">
        <f t="shared" si="45"/>
        <v>0</v>
      </c>
      <c r="I408" s="149">
        <f t="shared" si="46"/>
        <v>0</v>
      </c>
      <c r="J408" s="149">
        <f t="shared" si="47"/>
        <v>0</v>
      </c>
      <c r="K408" s="149">
        <f t="shared" si="48"/>
        <v>0</v>
      </c>
      <c r="L408" s="148"/>
    </row>
    <row r="409" spans="1:12">
      <c r="A409" s="150">
        <v>346</v>
      </c>
      <c r="B409" s="149">
        <f t="shared" si="41"/>
        <v>0</v>
      </c>
      <c r="C409" s="149">
        <f t="shared" si="42"/>
        <v>0</v>
      </c>
      <c r="D409" s="149">
        <f t="shared" si="43"/>
        <v>0</v>
      </c>
      <c r="E409" s="149">
        <f t="shared" si="44"/>
        <v>0</v>
      </c>
      <c r="F409" s="148"/>
      <c r="G409" s="150">
        <v>346</v>
      </c>
      <c r="H409" s="149">
        <f t="shared" si="45"/>
        <v>0</v>
      </c>
      <c r="I409" s="149">
        <f t="shared" si="46"/>
        <v>0</v>
      </c>
      <c r="J409" s="149">
        <f t="shared" si="47"/>
        <v>0</v>
      </c>
      <c r="K409" s="149">
        <f t="shared" si="48"/>
        <v>0</v>
      </c>
      <c r="L409" s="148"/>
    </row>
    <row r="410" spans="1:12">
      <c r="A410" s="150">
        <v>347</v>
      </c>
      <c r="B410" s="149">
        <f t="shared" si="41"/>
        <v>0</v>
      </c>
      <c r="C410" s="149">
        <f t="shared" si="42"/>
        <v>0</v>
      </c>
      <c r="D410" s="149">
        <f t="shared" si="43"/>
        <v>0</v>
      </c>
      <c r="E410" s="149">
        <f t="shared" si="44"/>
        <v>0</v>
      </c>
      <c r="F410" s="148"/>
      <c r="G410" s="150">
        <v>347</v>
      </c>
      <c r="H410" s="149">
        <f t="shared" si="45"/>
        <v>0</v>
      </c>
      <c r="I410" s="149">
        <f t="shared" si="46"/>
        <v>0</v>
      </c>
      <c r="J410" s="149">
        <f t="shared" si="47"/>
        <v>0</v>
      </c>
      <c r="K410" s="149">
        <f t="shared" si="48"/>
        <v>0</v>
      </c>
      <c r="L410" s="148"/>
    </row>
    <row r="411" spans="1:12">
      <c r="A411" s="150">
        <v>348</v>
      </c>
      <c r="B411" s="149">
        <f t="shared" si="41"/>
        <v>0</v>
      </c>
      <c r="C411" s="149">
        <f t="shared" si="42"/>
        <v>0</v>
      </c>
      <c r="D411" s="149">
        <f t="shared" si="43"/>
        <v>0</v>
      </c>
      <c r="E411" s="149">
        <f t="shared" si="44"/>
        <v>0</v>
      </c>
      <c r="F411" s="148">
        <v>29</v>
      </c>
      <c r="G411" s="150">
        <v>348</v>
      </c>
      <c r="H411" s="149">
        <f t="shared" si="45"/>
        <v>0</v>
      </c>
      <c r="I411" s="149">
        <f t="shared" si="46"/>
        <v>0</v>
      </c>
      <c r="J411" s="149">
        <f t="shared" si="47"/>
        <v>0</v>
      </c>
      <c r="K411" s="149">
        <f t="shared" si="48"/>
        <v>0</v>
      </c>
      <c r="L411" s="148">
        <v>29</v>
      </c>
    </row>
    <row r="412" spans="1:12">
      <c r="A412" s="150">
        <v>349</v>
      </c>
      <c r="B412" s="149">
        <f t="shared" si="41"/>
        <v>0</v>
      </c>
      <c r="C412" s="149">
        <f t="shared" si="42"/>
        <v>0</v>
      </c>
      <c r="D412" s="149">
        <f t="shared" si="43"/>
        <v>0</v>
      </c>
      <c r="E412" s="149">
        <f t="shared" si="44"/>
        <v>0</v>
      </c>
      <c r="F412" s="148"/>
      <c r="G412" s="150">
        <v>349</v>
      </c>
      <c r="H412" s="149">
        <f t="shared" si="45"/>
        <v>0</v>
      </c>
      <c r="I412" s="149">
        <f t="shared" si="46"/>
        <v>0</v>
      </c>
      <c r="J412" s="149">
        <f t="shared" si="47"/>
        <v>0</v>
      </c>
      <c r="K412" s="149">
        <f t="shared" si="48"/>
        <v>0</v>
      </c>
      <c r="L412" s="148"/>
    </row>
    <row r="413" spans="1:12">
      <c r="A413" s="150">
        <v>350</v>
      </c>
      <c r="B413" s="149">
        <f t="shared" si="41"/>
        <v>0</v>
      </c>
      <c r="C413" s="149">
        <f t="shared" si="42"/>
        <v>0</v>
      </c>
      <c r="D413" s="149">
        <f t="shared" si="43"/>
        <v>0</v>
      </c>
      <c r="E413" s="149">
        <f t="shared" si="44"/>
        <v>0</v>
      </c>
      <c r="F413" s="148"/>
      <c r="G413" s="150">
        <v>350</v>
      </c>
      <c r="H413" s="149">
        <f t="shared" si="45"/>
        <v>0</v>
      </c>
      <c r="I413" s="149">
        <f t="shared" si="46"/>
        <v>0</v>
      </c>
      <c r="J413" s="149">
        <f t="shared" si="47"/>
        <v>0</v>
      </c>
      <c r="K413" s="149">
        <f t="shared" si="48"/>
        <v>0</v>
      </c>
      <c r="L413" s="148"/>
    </row>
    <row r="414" spans="1:12">
      <c r="A414" s="150">
        <v>351</v>
      </c>
      <c r="B414" s="149">
        <f t="shared" si="41"/>
        <v>0</v>
      </c>
      <c r="C414" s="149">
        <f t="shared" si="42"/>
        <v>0</v>
      </c>
      <c r="D414" s="149">
        <f t="shared" si="43"/>
        <v>0</v>
      </c>
      <c r="E414" s="149">
        <f t="shared" si="44"/>
        <v>0</v>
      </c>
      <c r="F414" s="148"/>
      <c r="G414" s="150">
        <v>351</v>
      </c>
      <c r="H414" s="149">
        <f t="shared" si="45"/>
        <v>0</v>
      </c>
      <c r="I414" s="149">
        <f t="shared" si="46"/>
        <v>0</v>
      </c>
      <c r="J414" s="149">
        <f t="shared" si="47"/>
        <v>0</v>
      </c>
      <c r="K414" s="149">
        <f t="shared" si="48"/>
        <v>0</v>
      </c>
      <c r="L414" s="148"/>
    </row>
    <row r="415" spans="1:12">
      <c r="A415" s="150">
        <v>352</v>
      </c>
      <c r="B415" s="149">
        <f t="shared" si="41"/>
        <v>0</v>
      </c>
      <c r="C415" s="149">
        <f t="shared" si="42"/>
        <v>0</v>
      </c>
      <c r="D415" s="149">
        <f t="shared" si="43"/>
        <v>0</v>
      </c>
      <c r="E415" s="149">
        <f t="shared" si="44"/>
        <v>0</v>
      </c>
      <c r="F415" s="148"/>
      <c r="G415" s="150">
        <v>352</v>
      </c>
      <c r="H415" s="149">
        <f t="shared" si="45"/>
        <v>0</v>
      </c>
      <c r="I415" s="149">
        <f t="shared" si="46"/>
        <v>0</v>
      </c>
      <c r="J415" s="149">
        <f t="shared" si="47"/>
        <v>0</v>
      </c>
      <c r="K415" s="149">
        <f t="shared" si="48"/>
        <v>0</v>
      </c>
      <c r="L415" s="148"/>
    </row>
    <row r="416" spans="1:12">
      <c r="A416" s="150">
        <v>353</v>
      </c>
      <c r="B416" s="149">
        <f t="shared" si="41"/>
        <v>0</v>
      </c>
      <c r="C416" s="149">
        <f t="shared" si="42"/>
        <v>0</v>
      </c>
      <c r="D416" s="149">
        <f t="shared" si="43"/>
        <v>0</v>
      </c>
      <c r="E416" s="149">
        <f t="shared" si="44"/>
        <v>0</v>
      </c>
      <c r="F416" s="148"/>
      <c r="G416" s="150">
        <v>353</v>
      </c>
      <c r="H416" s="149">
        <f t="shared" si="45"/>
        <v>0</v>
      </c>
      <c r="I416" s="149">
        <f t="shared" si="46"/>
        <v>0</v>
      </c>
      <c r="J416" s="149">
        <f t="shared" si="47"/>
        <v>0</v>
      </c>
      <c r="K416" s="149">
        <f t="shared" si="48"/>
        <v>0</v>
      </c>
      <c r="L416" s="148"/>
    </row>
    <row r="417" spans="1:12">
      <c r="A417" s="150">
        <v>354</v>
      </c>
      <c r="B417" s="149">
        <f t="shared" si="41"/>
        <v>0</v>
      </c>
      <c r="C417" s="149">
        <f t="shared" si="42"/>
        <v>0</v>
      </c>
      <c r="D417" s="149">
        <f t="shared" si="43"/>
        <v>0</v>
      </c>
      <c r="E417" s="149">
        <f t="shared" si="44"/>
        <v>0</v>
      </c>
      <c r="F417" s="148"/>
      <c r="G417" s="150">
        <v>354</v>
      </c>
      <c r="H417" s="149">
        <f t="shared" si="45"/>
        <v>0</v>
      </c>
      <c r="I417" s="149">
        <f t="shared" si="46"/>
        <v>0</v>
      </c>
      <c r="J417" s="149">
        <f t="shared" si="47"/>
        <v>0</v>
      </c>
      <c r="K417" s="149">
        <f t="shared" si="48"/>
        <v>0</v>
      </c>
      <c r="L417" s="148"/>
    </row>
    <row r="418" spans="1:12">
      <c r="A418" s="150">
        <v>355</v>
      </c>
      <c r="B418" s="149">
        <f t="shared" si="41"/>
        <v>0</v>
      </c>
      <c r="C418" s="149">
        <f t="shared" si="42"/>
        <v>0</v>
      </c>
      <c r="D418" s="149">
        <f t="shared" si="43"/>
        <v>0</v>
      </c>
      <c r="E418" s="149">
        <f t="shared" si="44"/>
        <v>0</v>
      </c>
      <c r="F418" s="148"/>
      <c r="G418" s="150">
        <v>355</v>
      </c>
      <c r="H418" s="149">
        <f t="shared" si="45"/>
        <v>0</v>
      </c>
      <c r="I418" s="149">
        <f t="shared" si="46"/>
        <v>0</v>
      </c>
      <c r="J418" s="149">
        <f t="shared" si="47"/>
        <v>0</v>
      </c>
      <c r="K418" s="149">
        <f t="shared" si="48"/>
        <v>0</v>
      </c>
      <c r="L418" s="148"/>
    </row>
    <row r="419" spans="1:12">
      <c r="A419" s="150">
        <v>356</v>
      </c>
      <c r="B419" s="149">
        <f t="shared" si="41"/>
        <v>0</v>
      </c>
      <c r="C419" s="149">
        <f t="shared" si="42"/>
        <v>0</v>
      </c>
      <c r="D419" s="149">
        <f t="shared" si="43"/>
        <v>0</v>
      </c>
      <c r="E419" s="149">
        <f t="shared" si="44"/>
        <v>0</v>
      </c>
      <c r="F419" s="148"/>
      <c r="G419" s="150">
        <v>356</v>
      </c>
      <c r="H419" s="149">
        <f t="shared" si="45"/>
        <v>0</v>
      </c>
      <c r="I419" s="149">
        <f t="shared" si="46"/>
        <v>0</v>
      </c>
      <c r="J419" s="149">
        <f t="shared" si="47"/>
        <v>0</v>
      </c>
      <c r="K419" s="149">
        <f t="shared" si="48"/>
        <v>0</v>
      </c>
      <c r="L419" s="148"/>
    </row>
    <row r="420" spans="1:12">
      <c r="A420" s="150">
        <v>357</v>
      </c>
      <c r="B420" s="149">
        <f t="shared" si="41"/>
        <v>0</v>
      </c>
      <c r="C420" s="149">
        <f t="shared" si="42"/>
        <v>0</v>
      </c>
      <c r="D420" s="149">
        <f t="shared" si="43"/>
        <v>0</v>
      </c>
      <c r="E420" s="149">
        <f t="shared" si="44"/>
        <v>0</v>
      </c>
      <c r="F420" s="148"/>
      <c r="G420" s="150">
        <v>357</v>
      </c>
      <c r="H420" s="149">
        <f t="shared" si="45"/>
        <v>0</v>
      </c>
      <c r="I420" s="149">
        <f t="shared" si="46"/>
        <v>0</v>
      </c>
      <c r="J420" s="149">
        <f t="shared" si="47"/>
        <v>0</v>
      </c>
      <c r="K420" s="149">
        <f t="shared" si="48"/>
        <v>0</v>
      </c>
      <c r="L420" s="148"/>
    </row>
    <row r="421" spans="1:12">
      <c r="A421" s="150">
        <v>358</v>
      </c>
      <c r="B421" s="149">
        <f t="shared" si="41"/>
        <v>0</v>
      </c>
      <c r="C421" s="149">
        <f t="shared" si="42"/>
        <v>0</v>
      </c>
      <c r="D421" s="149">
        <f t="shared" si="43"/>
        <v>0</v>
      </c>
      <c r="E421" s="149">
        <f t="shared" si="44"/>
        <v>0</v>
      </c>
      <c r="F421" s="148"/>
      <c r="G421" s="150">
        <v>358</v>
      </c>
      <c r="H421" s="149">
        <f t="shared" si="45"/>
        <v>0</v>
      </c>
      <c r="I421" s="149">
        <f t="shared" si="46"/>
        <v>0</v>
      </c>
      <c r="J421" s="149">
        <f t="shared" si="47"/>
        <v>0</v>
      </c>
      <c r="K421" s="149">
        <f t="shared" si="48"/>
        <v>0</v>
      </c>
      <c r="L421" s="148"/>
    </row>
    <row r="422" spans="1:12">
      <c r="A422" s="150">
        <v>359</v>
      </c>
      <c r="B422" s="149">
        <f t="shared" si="41"/>
        <v>0</v>
      </c>
      <c r="C422" s="149">
        <f t="shared" si="42"/>
        <v>0</v>
      </c>
      <c r="D422" s="149">
        <f t="shared" si="43"/>
        <v>0</v>
      </c>
      <c r="E422" s="149">
        <f t="shared" si="44"/>
        <v>0</v>
      </c>
      <c r="F422" s="148"/>
      <c r="G422" s="150">
        <v>359</v>
      </c>
      <c r="H422" s="149">
        <f t="shared" si="45"/>
        <v>0</v>
      </c>
      <c r="I422" s="149">
        <f t="shared" si="46"/>
        <v>0</v>
      </c>
      <c r="J422" s="149">
        <f t="shared" si="47"/>
        <v>0</v>
      </c>
      <c r="K422" s="149">
        <f t="shared" si="48"/>
        <v>0</v>
      </c>
      <c r="L422" s="148"/>
    </row>
    <row r="423" spans="1:12">
      <c r="A423" s="150">
        <v>360</v>
      </c>
      <c r="B423" s="149">
        <f t="shared" si="41"/>
        <v>0</v>
      </c>
      <c r="C423" s="149">
        <f t="shared" si="42"/>
        <v>0</v>
      </c>
      <c r="D423" s="149">
        <f t="shared" si="43"/>
        <v>0</v>
      </c>
      <c r="E423" s="149">
        <f t="shared" si="44"/>
        <v>0</v>
      </c>
      <c r="F423" s="148">
        <v>30</v>
      </c>
      <c r="G423" s="150">
        <v>360</v>
      </c>
      <c r="H423" s="149">
        <f t="shared" si="45"/>
        <v>0</v>
      </c>
      <c r="I423" s="149">
        <f t="shared" si="46"/>
        <v>0</v>
      </c>
      <c r="J423" s="149">
        <f t="shared" si="47"/>
        <v>0</v>
      </c>
      <c r="K423" s="149">
        <f t="shared" si="48"/>
        <v>0</v>
      </c>
      <c r="L423" s="148">
        <v>30</v>
      </c>
    </row>
    <row r="424" spans="1:12">
      <c r="A424" s="150">
        <v>361</v>
      </c>
      <c r="B424" s="149">
        <f t="shared" si="41"/>
        <v>0</v>
      </c>
      <c r="C424" s="149">
        <f t="shared" si="42"/>
        <v>0</v>
      </c>
      <c r="D424" s="149">
        <f t="shared" si="43"/>
        <v>0</v>
      </c>
      <c r="E424" s="149">
        <f t="shared" si="44"/>
        <v>0</v>
      </c>
      <c r="F424" s="148"/>
      <c r="G424" s="150">
        <v>361</v>
      </c>
      <c r="H424" s="149">
        <f t="shared" si="45"/>
        <v>0</v>
      </c>
      <c r="I424" s="149">
        <f t="shared" si="46"/>
        <v>0</v>
      </c>
      <c r="J424" s="149">
        <f t="shared" si="47"/>
        <v>0</v>
      </c>
      <c r="K424" s="149">
        <f t="shared" si="48"/>
        <v>0</v>
      </c>
      <c r="L424" s="148"/>
    </row>
    <row r="425" spans="1:12">
      <c r="A425" s="150">
        <v>362</v>
      </c>
      <c r="B425" s="149">
        <f t="shared" si="41"/>
        <v>0</v>
      </c>
      <c r="C425" s="149">
        <f t="shared" si="42"/>
        <v>0</v>
      </c>
      <c r="D425" s="149">
        <f t="shared" si="43"/>
        <v>0</v>
      </c>
      <c r="E425" s="149">
        <f t="shared" si="44"/>
        <v>0</v>
      </c>
      <c r="F425" s="148"/>
      <c r="G425" s="150">
        <v>362</v>
      </c>
      <c r="H425" s="149">
        <f t="shared" si="45"/>
        <v>0</v>
      </c>
      <c r="I425" s="149">
        <f t="shared" si="46"/>
        <v>0</v>
      </c>
      <c r="J425" s="149">
        <f t="shared" si="47"/>
        <v>0</v>
      </c>
      <c r="K425" s="149">
        <f t="shared" si="48"/>
        <v>0</v>
      </c>
      <c r="L425" s="148"/>
    </row>
    <row r="426" spans="1:12">
      <c r="A426" s="150">
        <v>363</v>
      </c>
      <c r="B426" s="149">
        <f t="shared" si="41"/>
        <v>0</v>
      </c>
      <c r="C426" s="149">
        <f t="shared" si="42"/>
        <v>0</v>
      </c>
      <c r="D426" s="149">
        <f t="shared" si="43"/>
        <v>0</v>
      </c>
      <c r="E426" s="149">
        <f t="shared" si="44"/>
        <v>0</v>
      </c>
      <c r="F426" s="148"/>
      <c r="G426" s="150">
        <v>363</v>
      </c>
      <c r="H426" s="149">
        <f t="shared" si="45"/>
        <v>0</v>
      </c>
      <c r="I426" s="149">
        <f t="shared" si="46"/>
        <v>0</v>
      </c>
      <c r="J426" s="149">
        <f t="shared" si="47"/>
        <v>0</v>
      </c>
      <c r="K426" s="149">
        <f t="shared" si="48"/>
        <v>0</v>
      </c>
      <c r="L426" s="148"/>
    </row>
    <row r="427" spans="1:12">
      <c r="A427" s="150">
        <v>364</v>
      </c>
      <c r="B427" s="149">
        <f t="shared" si="41"/>
        <v>0</v>
      </c>
      <c r="C427" s="149">
        <f t="shared" si="42"/>
        <v>0</v>
      </c>
      <c r="D427" s="149">
        <f t="shared" si="43"/>
        <v>0</v>
      </c>
      <c r="E427" s="149">
        <f t="shared" si="44"/>
        <v>0</v>
      </c>
      <c r="F427" s="148"/>
      <c r="G427" s="150">
        <v>364</v>
      </c>
      <c r="H427" s="149">
        <f t="shared" si="45"/>
        <v>0</v>
      </c>
      <c r="I427" s="149">
        <f t="shared" si="46"/>
        <v>0</v>
      </c>
      <c r="J427" s="149">
        <f t="shared" si="47"/>
        <v>0</v>
      </c>
      <c r="K427" s="149">
        <f t="shared" si="48"/>
        <v>0</v>
      </c>
      <c r="L427" s="148"/>
    </row>
    <row r="428" spans="1:12">
      <c r="A428" s="150">
        <v>365</v>
      </c>
      <c r="B428" s="149">
        <f t="shared" si="41"/>
        <v>0</v>
      </c>
      <c r="C428" s="149">
        <f t="shared" si="42"/>
        <v>0</v>
      </c>
      <c r="D428" s="149">
        <f t="shared" si="43"/>
        <v>0</v>
      </c>
      <c r="E428" s="149">
        <f t="shared" si="44"/>
        <v>0</v>
      </c>
      <c r="F428" s="148"/>
      <c r="G428" s="150">
        <v>365</v>
      </c>
      <c r="H428" s="149">
        <f t="shared" si="45"/>
        <v>0</v>
      </c>
      <c r="I428" s="149">
        <f t="shared" si="46"/>
        <v>0</v>
      </c>
      <c r="J428" s="149">
        <f t="shared" si="47"/>
        <v>0</v>
      </c>
      <c r="K428" s="149">
        <f t="shared" si="48"/>
        <v>0</v>
      </c>
      <c r="L428" s="148"/>
    </row>
    <row r="429" spans="1:12">
      <c r="A429" s="150">
        <v>366</v>
      </c>
      <c r="B429" s="149">
        <f t="shared" si="41"/>
        <v>0</v>
      </c>
      <c r="C429" s="149">
        <f t="shared" si="42"/>
        <v>0</v>
      </c>
      <c r="D429" s="149">
        <f t="shared" si="43"/>
        <v>0</v>
      </c>
      <c r="E429" s="149">
        <f t="shared" si="44"/>
        <v>0</v>
      </c>
      <c r="F429" s="148"/>
      <c r="G429" s="150">
        <v>366</v>
      </c>
      <c r="H429" s="149">
        <f t="shared" si="45"/>
        <v>0</v>
      </c>
      <c r="I429" s="149">
        <f t="shared" si="46"/>
        <v>0</v>
      </c>
      <c r="J429" s="149">
        <f t="shared" si="47"/>
        <v>0</v>
      </c>
      <c r="K429" s="149">
        <f t="shared" si="48"/>
        <v>0</v>
      </c>
      <c r="L429" s="148"/>
    </row>
    <row r="430" spans="1:12">
      <c r="A430" s="150">
        <v>367</v>
      </c>
      <c r="B430" s="149">
        <f t="shared" si="41"/>
        <v>0</v>
      </c>
      <c r="C430" s="149">
        <f t="shared" si="42"/>
        <v>0</v>
      </c>
      <c r="D430" s="149">
        <f t="shared" si="43"/>
        <v>0</v>
      </c>
      <c r="E430" s="149">
        <f t="shared" si="44"/>
        <v>0</v>
      </c>
      <c r="F430" s="148"/>
      <c r="G430" s="150">
        <v>367</v>
      </c>
      <c r="H430" s="149">
        <f t="shared" si="45"/>
        <v>0</v>
      </c>
      <c r="I430" s="149">
        <f t="shared" si="46"/>
        <v>0</v>
      </c>
      <c r="J430" s="149">
        <f t="shared" si="47"/>
        <v>0</v>
      </c>
      <c r="K430" s="149">
        <f t="shared" si="48"/>
        <v>0</v>
      </c>
      <c r="L430" s="148"/>
    </row>
    <row r="431" spans="1:12">
      <c r="A431" s="150">
        <v>368</v>
      </c>
      <c r="B431" s="149">
        <f t="shared" si="41"/>
        <v>0</v>
      </c>
      <c r="C431" s="149">
        <f t="shared" si="42"/>
        <v>0</v>
      </c>
      <c r="D431" s="149">
        <f t="shared" si="43"/>
        <v>0</v>
      </c>
      <c r="E431" s="149">
        <f t="shared" si="44"/>
        <v>0</v>
      </c>
      <c r="F431" s="148"/>
      <c r="G431" s="150">
        <v>368</v>
      </c>
      <c r="H431" s="149">
        <f t="shared" si="45"/>
        <v>0</v>
      </c>
      <c r="I431" s="149">
        <f t="shared" si="46"/>
        <v>0</v>
      </c>
      <c r="J431" s="149">
        <f t="shared" si="47"/>
        <v>0</v>
      </c>
      <c r="K431" s="149">
        <f t="shared" si="48"/>
        <v>0</v>
      </c>
      <c r="L431" s="148"/>
    </row>
    <row r="432" spans="1:12">
      <c r="A432" s="150">
        <v>369</v>
      </c>
      <c r="B432" s="149">
        <f t="shared" si="41"/>
        <v>0</v>
      </c>
      <c r="C432" s="149">
        <f t="shared" si="42"/>
        <v>0</v>
      </c>
      <c r="D432" s="149">
        <f t="shared" si="43"/>
        <v>0</v>
      </c>
      <c r="E432" s="149">
        <f t="shared" si="44"/>
        <v>0</v>
      </c>
      <c r="F432" s="148"/>
      <c r="G432" s="150">
        <v>369</v>
      </c>
      <c r="H432" s="149">
        <f t="shared" si="45"/>
        <v>0</v>
      </c>
      <c r="I432" s="149">
        <f t="shared" si="46"/>
        <v>0</v>
      </c>
      <c r="J432" s="149">
        <f t="shared" si="47"/>
        <v>0</v>
      </c>
      <c r="K432" s="149">
        <f t="shared" si="48"/>
        <v>0</v>
      </c>
      <c r="L432" s="148"/>
    </row>
    <row r="433" spans="1:12">
      <c r="A433" s="150">
        <v>370</v>
      </c>
      <c r="B433" s="149">
        <f t="shared" si="41"/>
        <v>0</v>
      </c>
      <c r="C433" s="149">
        <f t="shared" si="42"/>
        <v>0</v>
      </c>
      <c r="D433" s="149">
        <f t="shared" si="43"/>
        <v>0</v>
      </c>
      <c r="E433" s="149">
        <f t="shared" si="44"/>
        <v>0</v>
      </c>
      <c r="F433" s="148"/>
      <c r="G433" s="150">
        <v>370</v>
      </c>
      <c r="H433" s="149">
        <f t="shared" si="45"/>
        <v>0</v>
      </c>
      <c r="I433" s="149">
        <f t="shared" si="46"/>
        <v>0</v>
      </c>
      <c r="J433" s="149">
        <f t="shared" si="47"/>
        <v>0</v>
      </c>
      <c r="K433" s="149">
        <f t="shared" si="48"/>
        <v>0</v>
      </c>
      <c r="L433" s="148"/>
    </row>
    <row r="434" spans="1:12">
      <c r="A434" s="150">
        <v>371</v>
      </c>
      <c r="B434" s="149">
        <f t="shared" si="41"/>
        <v>0</v>
      </c>
      <c r="C434" s="149">
        <f t="shared" si="42"/>
        <v>0</v>
      </c>
      <c r="D434" s="149">
        <f t="shared" si="43"/>
        <v>0</v>
      </c>
      <c r="E434" s="149">
        <f t="shared" si="44"/>
        <v>0</v>
      </c>
      <c r="F434" s="148"/>
      <c r="G434" s="150">
        <v>371</v>
      </c>
      <c r="H434" s="149">
        <f t="shared" si="45"/>
        <v>0</v>
      </c>
      <c r="I434" s="149">
        <f t="shared" si="46"/>
        <v>0</v>
      </c>
      <c r="J434" s="149">
        <f t="shared" si="47"/>
        <v>0</v>
      </c>
      <c r="K434" s="149">
        <f t="shared" si="48"/>
        <v>0</v>
      </c>
      <c r="L434" s="148"/>
    </row>
    <row r="435" spans="1:12">
      <c r="A435" s="150">
        <v>372</v>
      </c>
      <c r="B435" s="149">
        <f t="shared" si="41"/>
        <v>0</v>
      </c>
      <c r="C435" s="149">
        <f t="shared" si="42"/>
        <v>0</v>
      </c>
      <c r="D435" s="149">
        <f t="shared" si="43"/>
        <v>0</v>
      </c>
      <c r="E435" s="149">
        <f t="shared" si="44"/>
        <v>0</v>
      </c>
      <c r="F435" s="148">
        <v>31</v>
      </c>
      <c r="G435" s="150">
        <v>372</v>
      </c>
      <c r="H435" s="149">
        <f t="shared" si="45"/>
        <v>0</v>
      </c>
      <c r="I435" s="149">
        <f t="shared" si="46"/>
        <v>0</v>
      </c>
      <c r="J435" s="149">
        <f t="shared" si="47"/>
        <v>0</v>
      </c>
      <c r="K435" s="149">
        <f t="shared" si="48"/>
        <v>0</v>
      </c>
      <c r="L435" s="148">
        <v>31</v>
      </c>
    </row>
    <row r="436" spans="1:12">
      <c r="A436" s="150">
        <v>373</v>
      </c>
      <c r="B436" s="149">
        <f t="shared" si="41"/>
        <v>0</v>
      </c>
      <c r="C436" s="149">
        <f t="shared" si="42"/>
        <v>0</v>
      </c>
      <c r="D436" s="149">
        <f t="shared" si="43"/>
        <v>0</v>
      </c>
      <c r="E436" s="149">
        <f t="shared" si="44"/>
        <v>0</v>
      </c>
      <c r="F436" s="148"/>
      <c r="G436" s="150">
        <v>373</v>
      </c>
      <c r="H436" s="149">
        <f t="shared" si="45"/>
        <v>0</v>
      </c>
      <c r="I436" s="149">
        <f t="shared" si="46"/>
        <v>0</v>
      </c>
      <c r="J436" s="149">
        <f t="shared" si="47"/>
        <v>0</v>
      </c>
      <c r="K436" s="149">
        <f t="shared" si="48"/>
        <v>0</v>
      </c>
      <c r="L436" s="148"/>
    </row>
    <row r="437" spans="1:12">
      <c r="A437" s="150">
        <v>374</v>
      </c>
      <c r="B437" s="149">
        <f t="shared" si="41"/>
        <v>0</v>
      </c>
      <c r="C437" s="149">
        <f t="shared" si="42"/>
        <v>0</v>
      </c>
      <c r="D437" s="149">
        <f t="shared" si="43"/>
        <v>0</v>
      </c>
      <c r="E437" s="149">
        <f t="shared" si="44"/>
        <v>0</v>
      </c>
      <c r="F437" s="148"/>
      <c r="G437" s="150">
        <v>374</v>
      </c>
      <c r="H437" s="149">
        <f t="shared" si="45"/>
        <v>0</v>
      </c>
      <c r="I437" s="149">
        <f t="shared" si="46"/>
        <v>0</v>
      </c>
      <c r="J437" s="149">
        <f t="shared" si="47"/>
        <v>0</v>
      </c>
      <c r="K437" s="149">
        <f t="shared" si="48"/>
        <v>0</v>
      </c>
      <c r="L437" s="148"/>
    </row>
    <row r="438" spans="1:12">
      <c r="A438" s="150">
        <v>375</v>
      </c>
      <c r="B438" s="149">
        <f t="shared" si="41"/>
        <v>0</v>
      </c>
      <c r="C438" s="149">
        <f t="shared" si="42"/>
        <v>0</v>
      </c>
      <c r="D438" s="149">
        <f t="shared" si="43"/>
        <v>0</v>
      </c>
      <c r="E438" s="149">
        <f t="shared" si="44"/>
        <v>0</v>
      </c>
      <c r="F438" s="148"/>
      <c r="G438" s="150">
        <v>375</v>
      </c>
      <c r="H438" s="149">
        <f t="shared" si="45"/>
        <v>0</v>
      </c>
      <c r="I438" s="149">
        <f t="shared" si="46"/>
        <v>0</v>
      </c>
      <c r="J438" s="149">
        <f t="shared" si="47"/>
        <v>0</v>
      </c>
      <c r="K438" s="149">
        <f t="shared" si="48"/>
        <v>0</v>
      </c>
      <c r="L438" s="148"/>
    </row>
    <row r="439" spans="1:12">
      <c r="A439" s="150">
        <v>376</v>
      </c>
      <c r="B439" s="149">
        <f t="shared" si="41"/>
        <v>0</v>
      </c>
      <c r="C439" s="149">
        <f t="shared" si="42"/>
        <v>0</v>
      </c>
      <c r="D439" s="149">
        <f t="shared" si="43"/>
        <v>0</v>
      </c>
      <c r="E439" s="149">
        <f t="shared" si="44"/>
        <v>0</v>
      </c>
      <c r="F439" s="148"/>
      <c r="G439" s="150">
        <v>376</v>
      </c>
      <c r="H439" s="149">
        <f t="shared" si="45"/>
        <v>0</v>
      </c>
      <c r="I439" s="149">
        <f t="shared" si="46"/>
        <v>0</v>
      </c>
      <c r="J439" s="149">
        <f t="shared" si="47"/>
        <v>0</v>
      </c>
      <c r="K439" s="149">
        <f t="shared" si="48"/>
        <v>0</v>
      </c>
      <c r="L439" s="148"/>
    </row>
    <row r="440" spans="1:12">
      <c r="A440" s="150">
        <v>377</v>
      </c>
      <c r="B440" s="149">
        <f t="shared" si="41"/>
        <v>0</v>
      </c>
      <c r="C440" s="149">
        <f t="shared" si="42"/>
        <v>0</v>
      </c>
      <c r="D440" s="149">
        <f t="shared" si="43"/>
        <v>0</v>
      </c>
      <c r="E440" s="149">
        <f t="shared" si="44"/>
        <v>0</v>
      </c>
      <c r="F440" s="148"/>
      <c r="G440" s="150">
        <v>377</v>
      </c>
      <c r="H440" s="149">
        <f t="shared" si="45"/>
        <v>0</v>
      </c>
      <c r="I440" s="149">
        <f t="shared" si="46"/>
        <v>0</v>
      </c>
      <c r="J440" s="149">
        <f t="shared" si="47"/>
        <v>0</v>
      </c>
      <c r="K440" s="149">
        <f t="shared" si="48"/>
        <v>0</v>
      </c>
      <c r="L440" s="148"/>
    </row>
    <row r="441" spans="1:12">
      <c r="A441" s="150">
        <v>378</v>
      </c>
      <c r="B441" s="149">
        <f t="shared" si="41"/>
        <v>0</v>
      </c>
      <c r="C441" s="149">
        <f t="shared" si="42"/>
        <v>0</v>
      </c>
      <c r="D441" s="149">
        <f t="shared" si="43"/>
        <v>0</v>
      </c>
      <c r="E441" s="149">
        <f t="shared" si="44"/>
        <v>0</v>
      </c>
      <c r="F441" s="148"/>
      <c r="G441" s="150">
        <v>378</v>
      </c>
      <c r="H441" s="149">
        <f t="shared" si="45"/>
        <v>0</v>
      </c>
      <c r="I441" s="149">
        <f t="shared" si="46"/>
        <v>0</v>
      </c>
      <c r="J441" s="149">
        <f t="shared" si="47"/>
        <v>0</v>
      </c>
      <c r="K441" s="149">
        <f t="shared" si="48"/>
        <v>0</v>
      </c>
      <c r="L441" s="148"/>
    </row>
    <row r="442" spans="1:12">
      <c r="A442" s="150">
        <v>379</v>
      </c>
      <c r="B442" s="149">
        <f t="shared" si="41"/>
        <v>0</v>
      </c>
      <c r="C442" s="149">
        <f t="shared" si="42"/>
        <v>0</v>
      </c>
      <c r="D442" s="149">
        <f t="shared" si="43"/>
        <v>0</v>
      </c>
      <c r="E442" s="149">
        <f t="shared" si="44"/>
        <v>0</v>
      </c>
      <c r="F442" s="148"/>
      <c r="G442" s="150">
        <v>379</v>
      </c>
      <c r="H442" s="149">
        <f t="shared" si="45"/>
        <v>0</v>
      </c>
      <c r="I442" s="149">
        <f t="shared" si="46"/>
        <v>0</v>
      </c>
      <c r="J442" s="149">
        <f t="shared" si="47"/>
        <v>0</v>
      </c>
      <c r="K442" s="149">
        <f t="shared" si="48"/>
        <v>0</v>
      </c>
      <c r="L442" s="148"/>
    </row>
    <row r="443" spans="1:12">
      <c r="A443" s="150">
        <v>380</v>
      </c>
      <c r="B443" s="149">
        <f t="shared" si="41"/>
        <v>0</v>
      </c>
      <c r="C443" s="149">
        <f t="shared" si="42"/>
        <v>0</v>
      </c>
      <c r="D443" s="149">
        <f t="shared" si="43"/>
        <v>0</v>
      </c>
      <c r="E443" s="149">
        <f t="shared" si="44"/>
        <v>0</v>
      </c>
      <c r="F443" s="148"/>
      <c r="G443" s="150">
        <v>380</v>
      </c>
      <c r="H443" s="149">
        <f t="shared" si="45"/>
        <v>0</v>
      </c>
      <c r="I443" s="149">
        <f t="shared" si="46"/>
        <v>0</v>
      </c>
      <c r="J443" s="149">
        <f t="shared" si="47"/>
        <v>0</v>
      </c>
      <c r="K443" s="149">
        <f t="shared" si="48"/>
        <v>0</v>
      </c>
      <c r="L443" s="148"/>
    </row>
    <row r="444" spans="1:12">
      <c r="A444" s="150">
        <v>381</v>
      </c>
      <c r="B444" s="149">
        <f t="shared" si="41"/>
        <v>0</v>
      </c>
      <c r="C444" s="149">
        <f t="shared" si="42"/>
        <v>0</v>
      </c>
      <c r="D444" s="149">
        <f t="shared" si="43"/>
        <v>0</v>
      </c>
      <c r="E444" s="149">
        <f t="shared" si="44"/>
        <v>0</v>
      </c>
      <c r="F444" s="148"/>
      <c r="G444" s="150">
        <v>381</v>
      </c>
      <c r="H444" s="149">
        <f t="shared" si="45"/>
        <v>0</v>
      </c>
      <c r="I444" s="149">
        <f t="shared" si="46"/>
        <v>0</v>
      </c>
      <c r="J444" s="149">
        <f t="shared" si="47"/>
        <v>0</v>
      </c>
      <c r="K444" s="149">
        <f t="shared" si="48"/>
        <v>0</v>
      </c>
      <c r="L444" s="148"/>
    </row>
    <row r="445" spans="1:12">
      <c r="A445" s="150">
        <v>382</v>
      </c>
      <c r="B445" s="149">
        <f t="shared" si="41"/>
        <v>0</v>
      </c>
      <c r="C445" s="149">
        <f t="shared" si="42"/>
        <v>0</v>
      </c>
      <c r="D445" s="149">
        <f t="shared" si="43"/>
        <v>0</v>
      </c>
      <c r="E445" s="149">
        <f t="shared" si="44"/>
        <v>0</v>
      </c>
      <c r="F445" s="148"/>
      <c r="G445" s="150">
        <v>382</v>
      </c>
      <c r="H445" s="149">
        <f t="shared" si="45"/>
        <v>0</v>
      </c>
      <c r="I445" s="149">
        <f t="shared" si="46"/>
        <v>0</v>
      </c>
      <c r="J445" s="149">
        <f t="shared" si="47"/>
        <v>0</v>
      </c>
      <c r="K445" s="149">
        <f t="shared" si="48"/>
        <v>0</v>
      </c>
      <c r="L445" s="148"/>
    </row>
    <row r="446" spans="1:12">
      <c r="A446" s="150">
        <v>383</v>
      </c>
      <c r="B446" s="149">
        <f t="shared" si="41"/>
        <v>0</v>
      </c>
      <c r="C446" s="149">
        <f t="shared" si="42"/>
        <v>0</v>
      </c>
      <c r="D446" s="149">
        <f t="shared" si="43"/>
        <v>0</v>
      </c>
      <c r="E446" s="149">
        <f t="shared" si="44"/>
        <v>0</v>
      </c>
      <c r="F446" s="148"/>
      <c r="G446" s="150">
        <v>383</v>
      </c>
      <c r="H446" s="149">
        <f t="shared" si="45"/>
        <v>0</v>
      </c>
      <c r="I446" s="149">
        <f t="shared" si="46"/>
        <v>0</v>
      </c>
      <c r="J446" s="149">
        <f t="shared" si="47"/>
        <v>0</v>
      </c>
      <c r="K446" s="149">
        <f t="shared" si="48"/>
        <v>0</v>
      </c>
      <c r="L446" s="148"/>
    </row>
    <row r="447" spans="1:12">
      <c r="A447" s="150">
        <v>384</v>
      </c>
      <c r="B447" s="149">
        <f t="shared" si="41"/>
        <v>0</v>
      </c>
      <c r="C447" s="149">
        <f t="shared" si="42"/>
        <v>0</v>
      </c>
      <c r="D447" s="149">
        <f t="shared" si="43"/>
        <v>0</v>
      </c>
      <c r="E447" s="149">
        <f t="shared" si="44"/>
        <v>0</v>
      </c>
      <c r="F447" s="148">
        <v>32</v>
      </c>
      <c r="G447" s="150">
        <v>384</v>
      </c>
      <c r="H447" s="149">
        <f t="shared" si="45"/>
        <v>0</v>
      </c>
      <c r="I447" s="149">
        <f t="shared" si="46"/>
        <v>0</v>
      </c>
      <c r="J447" s="149">
        <f t="shared" si="47"/>
        <v>0</v>
      </c>
      <c r="K447" s="149">
        <f t="shared" si="48"/>
        <v>0</v>
      </c>
      <c r="L447" s="148">
        <v>32</v>
      </c>
    </row>
    <row r="448" spans="1:12">
      <c r="A448" s="150">
        <v>385</v>
      </c>
      <c r="B448" s="149">
        <f t="shared" ref="B448:B511" si="49">IF(A448&gt;12*$C$9,0,IF($C$5&gt;1500000,$D$12,$C$12))</f>
        <v>0</v>
      </c>
      <c r="C448" s="149">
        <f t="shared" ref="C448:C511" si="50">IF(A448&gt;12*$C$9,0,E447*$C$7/12)</f>
        <v>0</v>
      </c>
      <c r="D448" s="149">
        <f t="shared" ref="D448:D511" si="51">IF(A448&gt;12*$C$9,0,B448-C448)</f>
        <v>0</v>
      </c>
      <c r="E448" s="149">
        <f t="shared" ref="E448:E511" si="52">IF(A448&gt;12*$C$9,0,E447-D448)</f>
        <v>0</v>
      </c>
      <c r="F448" s="148"/>
      <c r="G448" s="150">
        <v>385</v>
      </c>
      <c r="H448" s="149">
        <f t="shared" ref="H448:H511" si="53">IF(G448&gt;12*$C$9,0,IF($C$5&gt;1500000,$E$12,0))</f>
        <v>0</v>
      </c>
      <c r="I448" s="149">
        <f t="shared" ref="I448:I511" si="54">IF(G448&gt;12*$C$9,0,K447*$C$7/12)</f>
        <v>0</v>
      </c>
      <c r="J448" s="149">
        <f t="shared" ref="J448:J511" si="55">IF(G448&gt;12*$C$9,0,H448-I448)</f>
        <v>0</v>
      </c>
      <c r="K448" s="149">
        <f t="shared" ref="K448:K511" si="56">IF(G448&gt;12*$C$9,0,K447-J448)</f>
        <v>0</v>
      </c>
      <c r="L448" s="148"/>
    </row>
    <row r="449" spans="1:12">
      <c r="A449" s="150">
        <v>386</v>
      </c>
      <c r="B449" s="149">
        <f t="shared" si="49"/>
        <v>0</v>
      </c>
      <c r="C449" s="149">
        <f t="shared" si="50"/>
        <v>0</v>
      </c>
      <c r="D449" s="149">
        <f t="shared" si="51"/>
        <v>0</v>
      </c>
      <c r="E449" s="149">
        <f t="shared" si="52"/>
        <v>0</v>
      </c>
      <c r="F449" s="148"/>
      <c r="G449" s="150">
        <v>386</v>
      </c>
      <c r="H449" s="149">
        <f t="shared" si="53"/>
        <v>0</v>
      </c>
      <c r="I449" s="149">
        <f t="shared" si="54"/>
        <v>0</v>
      </c>
      <c r="J449" s="149">
        <f t="shared" si="55"/>
        <v>0</v>
      </c>
      <c r="K449" s="149">
        <f t="shared" si="56"/>
        <v>0</v>
      </c>
      <c r="L449" s="148"/>
    </row>
    <row r="450" spans="1:12">
      <c r="A450" s="150">
        <v>387</v>
      </c>
      <c r="B450" s="149">
        <f t="shared" si="49"/>
        <v>0</v>
      </c>
      <c r="C450" s="149">
        <f t="shared" si="50"/>
        <v>0</v>
      </c>
      <c r="D450" s="149">
        <f t="shared" si="51"/>
        <v>0</v>
      </c>
      <c r="E450" s="149">
        <f t="shared" si="52"/>
        <v>0</v>
      </c>
      <c r="F450" s="148"/>
      <c r="G450" s="150">
        <v>387</v>
      </c>
      <c r="H450" s="149">
        <f t="shared" si="53"/>
        <v>0</v>
      </c>
      <c r="I450" s="149">
        <f t="shared" si="54"/>
        <v>0</v>
      </c>
      <c r="J450" s="149">
        <f t="shared" si="55"/>
        <v>0</v>
      </c>
      <c r="K450" s="149">
        <f t="shared" si="56"/>
        <v>0</v>
      </c>
      <c r="L450" s="148"/>
    </row>
    <row r="451" spans="1:12">
      <c r="A451" s="150">
        <v>388</v>
      </c>
      <c r="B451" s="149">
        <f t="shared" si="49"/>
        <v>0</v>
      </c>
      <c r="C451" s="149">
        <f t="shared" si="50"/>
        <v>0</v>
      </c>
      <c r="D451" s="149">
        <f t="shared" si="51"/>
        <v>0</v>
      </c>
      <c r="E451" s="149">
        <f t="shared" si="52"/>
        <v>0</v>
      </c>
      <c r="F451" s="148"/>
      <c r="G451" s="150">
        <v>388</v>
      </c>
      <c r="H451" s="149">
        <f t="shared" si="53"/>
        <v>0</v>
      </c>
      <c r="I451" s="149">
        <f t="shared" si="54"/>
        <v>0</v>
      </c>
      <c r="J451" s="149">
        <f t="shared" si="55"/>
        <v>0</v>
      </c>
      <c r="K451" s="149">
        <f t="shared" si="56"/>
        <v>0</v>
      </c>
      <c r="L451" s="148"/>
    </row>
    <row r="452" spans="1:12">
      <c r="A452" s="150">
        <v>389</v>
      </c>
      <c r="B452" s="149">
        <f t="shared" si="49"/>
        <v>0</v>
      </c>
      <c r="C452" s="149">
        <f t="shared" si="50"/>
        <v>0</v>
      </c>
      <c r="D452" s="149">
        <f t="shared" si="51"/>
        <v>0</v>
      </c>
      <c r="E452" s="149">
        <f t="shared" si="52"/>
        <v>0</v>
      </c>
      <c r="F452" s="148"/>
      <c r="G452" s="150">
        <v>389</v>
      </c>
      <c r="H452" s="149">
        <f t="shared" si="53"/>
        <v>0</v>
      </c>
      <c r="I452" s="149">
        <f t="shared" si="54"/>
        <v>0</v>
      </c>
      <c r="J452" s="149">
        <f t="shared" si="55"/>
        <v>0</v>
      </c>
      <c r="K452" s="149">
        <f t="shared" si="56"/>
        <v>0</v>
      </c>
      <c r="L452" s="148"/>
    </row>
    <row r="453" spans="1:12">
      <c r="A453" s="150">
        <v>390</v>
      </c>
      <c r="B453" s="149">
        <f t="shared" si="49"/>
        <v>0</v>
      </c>
      <c r="C453" s="149">
        <f t="shared" si="50"/>
        <v>0</v>
      </c>
      <c r="D453" s="149">
        <f t="shared" si="51"/>
        <v>0</v>
      </c>
      <c r="E453" s="149">
        <f t="shared" si="52"/>
        <v>0</v>
      </c>
      <c r="F453" s="148"/>
      <c r="G453" s="150">
        <v>390</v>
      </c>
      <c r="H453" s="149">
        <f t="shared" si="53"/>
        <v>0</v>
      </c>
      <c r="I453" s="149">
        <f t="shared" si="54"/>
        <v>0</v>
      </c>
      <c r="J453" s="149">
        <f t="shared" si="55"/>
        <v>0</v>
      </c>
      <c r="K453" s="149">
        <f t="shared" si="56"/>
        <v>0</v>
      </c>
      <c r="L453" s="148"/>
    </row>
    <row r="454" spans="1:12">
      <c r="A454" s="150">
        <v>391</v>
      </c>
      <c r="B454" s="149">
        <f t="shared" si="49"/>
        <v>0</v>
      </c>
      <c r="C454" s="149">
        <f t="shared" si="50"/>
        <v>0</v>
      </c>
      <c r="D454" s="149">
        <f t="shared" si="51"/>
        <v>0</v>
      </c>
      <c r="E454" s="149">
        <f t="shared" si="52"/>
        <v>0</v>
      </c>
      <c r="F454" s="148"/>
      <c r="G454" s="150">
        <v>391</v>
      </c>
      <c r="H454" s="149">
        <f t="shared" si="53"/>
        <v>0</v>
      </c>
      <c r="I454" s="149">
        <f t="shared" si="54"/>
        <v>0</v>
      </c>
      <c r="J454" s="149">
        <f t="shared" si="55"/>
        <v>0</v>
      </c>
      <c r="K454" s="149">
        <f t="shared" si="56"/>
        <v>0</v>
      </c>
      <c r="L454" s="148"/>
    </row>
    <row r="455" spans="1:12">
      <c r="A455" s="150">
        <v>392</v>
      </c>
      <c r="B455" s="149">
        <f t="shared" si="49"/>
        <v>0</v>
      </c>
      <c r="C455" s="149">
        <f t="shared" si="50"/>
        <v>0</v>
      </c>
      <c r="D455" s="149">
        <f t="shared" si="51"/>
        <v>0</v>
      </c>
      <c r="E455" s="149">
        <f t="shared" si="52"/>
        <v>0</v>
      </c>
      <c r="F455" s="148"/>
      <c r="G455" s="150">
        <v>392</v>
      </c>
      <c r="H455" s="149">
        <f t="shared" si="53"/>
        <v>0</v>
      </c>
      <c r="I455" s="149">
        <f t="shared" si="54"/>
        <v>0</v>
      </c>
      <c r="J455" s="149">
        <f t="shared" si="55"/>
        <v>0</v>
      </c>
      <c r="K455" s="149">
        <f t="shared" si="56"/>
        <v>0</v>
      </c>
      <c r="L455" s="148"/>
    </row>
    <row r="456" spans="1:12">
      <c r="A456" s="150">
        <v>393</v>
      </c>
      <c r="B456" s="149">
        <f t="shared" si="49"/>
        <v>0</v>
      </c>
      <c r="C456" s="149">
        <f t="shared" si="50"/>
        <v>0</v>
      </c>
      <c r="D456" s="149">
        <f t="shared" si="51"/>
        <v>0</v>
      </c>
      <c r="E456" s="149">
        <f t="shared" si="52"/>
        <v>0</v>
      </c>
      <c r="F456" s="148"/>
      <c r="G456" s="150">
        <v>393</v>
      </c>
      <c r="H456" s="149">
        <f t="shared" si="53"/>
        <v>0</v>
      </c>
      <c r="I456" s="149">
        <f t="shared" si="54"/>
        <v>0</v>
      </c>
      <c r="J456" s="149">
        <f t="shared" si="55"/>
        <v>0</v>
      </c>
      <c r="K456" s="149">
        <f t="shared" si="56"/>
        <v>0</v>
      </c>
      <c r="L456" s="148"/>
    </row>
    <row r="457" spans="1:12">
      <c r="A457" s="150">
        <v>394</v>
      </c>
      <c r="B457" s="149">
        <f t="shared" si="49"/>
        <v>0</v>
      </c>
      <c r="C457" s="149">
        <f t="shared" si="50"/>
        <v>0</v>
      </c>
      <c r="D457" s="149">
        <f t="shared" si="51"/>
        <v>0</v>
      </c>
      <c r="E457" s="149">
        <f t="shared" si="52"/>
        <v>0</v>
      </c>
      <c r="F457" s="148"/>
      <c r="G457" s="150">
        <v>394</v>
      </c>
      <c r="H457" s="149">
        <f t="shared" si="53"/>
        <v>0</v>
      </c>
      <c r="I457" s="149">
        <f t="shared" si="54"/>
        <v>0</v>
      </c>
      <c r="J457" s="149">
        <f t="shared" si="55"/>
        <v>0</v>
      </c>
      <c r="K457" s="149">
        <f t="shared" si="56"/>
        <v>0</v>
      </c>
      <c r="L457" s="148"/>
    </row>
    <row r="458" spans="1:12">
      <c r="A458" s="150">
        <v>395</v>
      </c>
      <c r="B458" s="149">
        <f t="shared" si="49"/>
        <v>0</v>
      </c>
      <c r="C458" s="149">
        <f t="shared" si="50"/>
        <v>0</v>
      </c>
      <c r="D458" s="149">
        <f t="shared" si="51"/>
        <v>0</v>
      </c>
      <c r="E458" s="149">
        <f t="shared" si="52"/>
        <v>0</v>
      </c>
      <c r="F458" s="148"/>
      <c r="G458" s="150">
        <v>395</v>
      </c>
      <c r="H458" s="149">
        <f t="shared" si="53"/>
        <v>0</v>
      </c>
      <c r="I458" s="149">
        <f t="shared" si="54"/>
        <v>0</v>
      </c>
      <c r="J458" s="149">
        <f t="shared" si="55"/>
        <v>0</v>
      </c>
      <c r="K458" s="149">
        <f t="shared" si="56"/>
        <v>0</v>
      </c>
      <c r="L458" s="148"/>
    </row>
    <row r="459" spans="1:12">
      <c r="A459" s="150">
        <v>396</v>
      </c>
      <c r="B459" s="149">
        <f t="shared" si="49"/>
        <v>0</v>
      </c>
      <c r="C459" s="149">
        <f t="shared" si="50"/>
        <v>0</v>
      </c>
      <c r="D459" s="149">
        <f t="shared" si="51"/>
        <v>0</v>
      </c>
      <c r="E459" s="149">
        <f t="shared" si="52"/>
        <v>0</v>
      </c>
      <c r="F459" s="148">
        <v>33</v>
      </c>
      <c r="G459" s="150">
        <v>396</v>
      </c>
      <c r="H459" s="149">
        <f t="shared" si="53"/>
        <v>0</v>
      </c>
      <c r="I459" s="149">
        <f t="shared" si="54"/>
        <v>0</v>
      </c>
      <c r="J459" s="149">
        <f t="shared" si="55"/>
        <v>0</v>
      </c>
      <c r="K459" s="149">
        <f t="shared" si="56"/>
        <v>0</v>
      </c>
      <c r="L459" s="148">
        <v>33</v>
      </c>
    </row>
    <row r="460" spans="1:12">
      <c r="A460" s="150">
        <v>397</v>
      </c>
      <c r="B460" s="149">
        <f t="shared" si="49"/>
        <v>0</v>
      </c>
      <c r="C460" s="149">
        <f t="shared" si="50"/>
        <v>0</v>
      </c>
      <c r="D460" s="149">
        <f t="shared" si="51"/>
        <v>0</v>
      </c>
      <c r="E460" s="149">
        <f t="shared" si="52"/>
        <v>0</v>
      </c>
      <c r="F460" s="148"/>
      <c r="G460" s="150">
        <v>397</v>
      </c>
      <c r="H460" s="149">
        <f t="shared" si="53"/>
        <v>0</v>
      </c>
      <c r="I460" s="149">
        <f t="shared" si="54"/>
        <v>0</v>
      </c>
      <c r="J460" s="149">
        <f t="shared" si="55"/>
        <v>0</v>
      </c>
      <c r="K460" s="149">
        <f t="shared" si="56"/>
        <v>0</v>
      </c>
      <c r="L460" s="148"/>
    </row>
    <row r="461" spans="1:12">
      <c r="A461" s="150">
        <v>398</v>
      </c>
      <c r="B461" s="149">
        <f t="shared" si="49"/>
        <v>0</v>
      </c>
      <c r="C461" s="149">
        <f t="shared" si="50"/>
        <v>0</v>
      </c>
      <c r="D461" s="149">
        <f t="shared" si="51"/>
        <v>0</v>
      </c>
      <c r="E461" s="149">
        <f t="shared" si="52"/>
        <v>0</v>
      </c>
      <c r="F461" s="148"/>
      <c r="G461" s="150">
        <v>398</v>
      </c>
      <c r="H461" s="149">
        <f t="shared" si="53"/>
        <v>0</v>
      </c>
      <c r="I461" s="149">
        <f t="shared" si="54"/>
        <v>0</v>
      </c>
      <c r="J461" s="149">
        <f t="shared" si="55"/>
        <v>0</v>
      </c>
      <c r="K461" s="149">
        <f t="shared" si="56"/>
        <v>0</v>
      </c>
      <c r="L461" s="148"/>
    </row>
    <row r="462" spans="1:12">
      <c r="A462" s="150">
        <v>399</v>
      </c>
      <c r="B462" s="149">
        <f t="shared" si="49"/>
        <v>0</v>
      </c>
      <c r="C462" s="149">
        <f t="shared" si="50"/>
        <v>0</v>
      </c>
      <c r="D462" s="149">
        <f t="shared" si="51"/>
        <v>0</v>
      </c>
      <c r="E462" s="149">
        <f t="shared" si="52"/>
        <v>0</v>
      </c>
      <c r="F462" s="148"/>
      <c r="G462" s="150">
        <v>399</v>
      </c>
      <c r="H462" s="149">
        <f t="shared" si="53"/>
        <v>0</v>
      </c>
      <c r="I462" s="149">
        <f t="shared" si="54"/>
        <v>0</v>
      </c>
      <c r="J462" s="149">
        <f t="shared" si="55"/>
        <v>0</v>
      </c>
      <c r="K462" s="149">
        <f t="shared" si="56"/>
        <v>0</v>
      </c>
      <c r="L462" s="148"/>
    </row>
    <row r="463" spans="1:12">
      <c r="A463" s="150">
        <v>400</v>
      </c>
      <c r="B463" s="149">
        <f t="shared" si="49"/>
        <v>0</v>
      </c>
      <c r="C463" s="149">
        <f t="shared" si="50"/>
        <v>0</v>
      </c>
      <c r="D463" s="149">
        <f t="shared" si="51"/>
        <v>0</v>
      </c>
      <c r="E463" s="149">
        <f t="shared" si="52"/>
        <v>0</v>
      </c>
      <c r="F463" s="148"/>
      <c r="G463" s="150">
        <v>400</v>
      </c>
      <c r="H463" s="149">
        <f t="shared" si="53"/>
        <v>0</v>
      </c>
      <c r="I463" s="149">
        <f t="shared" si="54"/>
        <v>0</v>
      </c>
      <c r="J463" s="149">
        <f t="shared" si="55"/>
        <v>0</v>
      </c>
      <c r="K463" s="149">
        <f t="shared" si="56"/>
        <v>0</v>
      </c>
      <c r="L463" s="148"/>
    </row>
    <row r="464" spans="1:12">
      <c r="A464" s="150">
        <v>401</v>
      </c>
      <c r="B464" s="149">
        <f t="shared" si="49"/>
        <v>0</v>
      </c>
      <c r="C464" s="149">
        <f t="shared" si="50"/>
        <v>0</v>
      </c>
      <c r="D464" s="149">
        <f t="shared" si="51"/>
        <v>0</v>
      </c>
      <c r="E464" s="149">
        <f t="shared" si="52"/>
        <v>0</v>
      </c>
      <c r="F464" s="148"/>
      <c r="G464" s="150">
        <v>401</v>
      </c>
      <c r="H464" s="149">
        <f t="shared" si="53"/>
        <v>0</v>
      </c>
      <c r="I464" s="149">
        <f t="shared" si="54"/>
        <v>0</v>
      </c>
      <c r="J464" s="149">
        <f t="shared" si="55"/>
        <v>0</v>
      </c>
      <c r="K464" s="149">
        <f t="shared" si="56"/>
        <v>0</v>
      </c>
      <c r="L464" s="148"/>
    </row>
    <row r="465" spans="1:12">
      <c r="A465" s="150">
        <v>402</v>
      </c>
      <c r="B465" s="149">
        <f t="shared" si="49"/>
        <v>0</v>
      </c>
      <c r="C465" s="149">
        <f t="shared" si="50"/>
        <v>0</v>
      </c>
      <c r="D465" s="149">
        <f t="shared" si="51"/>
        <v>0</v>
      </c>
      <c r="E465" s="149">
        <f t="shared" si="52"/>
        <v>0</v>
      </c>
      <c r="F465" s="148"/>
      <c r="G465" s="150">
        <v>402</v>
      </c>
      <c r="H465" s="149">
        <f t="shared" si="53"/>
        <v>0</v>
      </c>
      <c r="I465" s="149">
        <f t="shared" si="54"/>
        <v>0</v>
      </c>
      <c r="J465" s="149">
        <f t="shared" si="55"/>
        <v>0</v>
      </c>
      <c r="K465" s="149">
        <f t="shared" si="56"/>
        <v>0</v>
      </c>
      <c r="L465" s="148"/>
    </row>
    <row r="466" spans="1:12">
      <c r="A466" s="150">
        <v>403</v>
      </c>
      <c r="B466" s="149">
        <f t="shared" si="49"/>
        <v>0</v>
      </c>
      <c r="C466" s="149">
        <f t="shared" si="50"/>
        <v>0</v>
      </c>
      <c r="D466" s="149">
        <f t="shared" si="51"/>
        <v>0</v>
      </c>
      <c r="E466" s="149">
        <f t="shared" si="52"/>
        <v>0</v>
      </c>
      <c r="F466" s="148"/>
      <c r="G466" s="150">
        <v>403</v>
      </c>
      <c r="H466" s="149">
        <f t="shared" si="53"/>
        <v>0</v>
      </c>
      <c r="I466" s="149">
        <f t="shared" si="54"/>
        <v>0</v>
      </c>
      <c r="J466" s="149">
        <f t="shared" si="55"/>
        <v>0</v>
      </c>
      <c r="K466" s="149">
        <f t="shared" si="56"/>
        <v>0</v>
      </c>
      <c r="L466" s="148"/>
    </row>
    <row r="467" spans="1:12">
      <c r="A467" s="150">
        <v>404</v>
      </c>
      <c r="B467" s="149">
        <f t="shared" si="49"/>
        <v>0</v>
      </c>
      <c r="C467" s="149">
        <f t="shared" si="50"/>
        <v>0</v>
      </c>
      <c r="D467" s="149">
        <f t="shared" si="51"/>
        <v>0</v>
      </c>
      <c r="E467" s="149">
        <f t="shared" si="52"/>
        <v>0</v>
      </c>
      <c r="F467" s="148"/>
      <c r="G467" s="150">
        <v>404</v>
      </c>
      <c r="H467" s="149">
        <f t="shared" si="53"/>
        <v>0</v>
      </c>
      <c r="I467" s="149">
        <f t="shared" si="54"/>
        <v>0</v>
      </c>
      <c r="J467" s="149">
        <f t="shared" si="55"/>
        <v>0</v>
      </c>
      <c r="K467" s="149">
        <f t="shared" si="56"/>
        <v>0</v>
      </c>
      <c r="L467" s="148"/>
    </row>
    <row r="468" spans="1:12">
      <c r="A468" s="150">
        <v>405</v>
      </c>
      <c r="B468" s="149">
        <f t="shared" si="49"/>
        <v>0</v>
      </c>
      <c r="C468" s="149">
        <f t="shared" si="50"/>
        <v>0</v>
      </c>
      <c r="D468" s="149">
        <f t="shared" si="51"/>
        <v>0</v>
      </c>
      <c r="E468" s="149">
        <f t="shared" si="52"/>
        <v>0</v>
      </c>
      <c r="F468" s="148"/>
      <c r="G468" s="150">
        <v>405</v>
      </c>
      <c r="H468" s="149">
        <f t="shared" si="53"/>
        <v>0</v>
      </c>
      <c r="I468" s="149">
        <f t="shared" si="54"/>
        <v>0</v>
      </c>
      <c r="J468" s="149">
        <f t="shared" si="55"/>
        <v>0</v>
      </c>
      <c r="K468" s="149">
        <f t="shared" si="56"/>
        <v>0</v>
      </c>
      <c r="L468" s="148"/>
    </row>
    <row r="469" spans="1:12">
      <c r="A469" s="150">
        <v>406</v>
      </c>
      <c r="B469" s="149">
        <f t="shared" si="49"/>
        <v>0</v>
      </c>
      <c r="C469" s="149">
        <f t="shared" si="50"/>
        <v>0</v>
      </c>
      <c r="D469" s="149">
        <f t="shared" si="51"/>
        <v>0</v>
      </c>
      <c r="E469" s="149">
        <f t="shared" si="52"/>
        <v>0</v>
      </c>
      <c r="F469" s="148"/>
      <c r="G469" s="150">
        <v>406</v>
      </c>
      <c r="H469" s="149">
        <f t="shared" si="53"/>
        <v>0</v>
      </c>
      <c r="I469" s="149">
        <f t="shared" si="54"/>
        <v>0</v>
      </c>
      <c r="J469" s="149">
        <f t="shared" si="55"/>
        <v>0</v>
      </c>
      <c r="K469" s="149">
        <f t="shared" si="56"/>
        <v>0</v>
      </c>
      <c r="L469" s="148"/>
    </row>
    <row r="470" spans="1:12">
      <c r="A470" s="150">
        <v>407</v>
      </c>
      <c r="B470" s="149">
        <f t="shared" si="49"/>
        <v>0</v>
      </c>
      <c r="C470" s="149">
        <f t="shared" si="50"/>
        <v>0</v>
      </c>
      <c r="D470" s="149">
        <f t="shared" si="51"/>
        <v>0</v>
      </c>
      <c r="E470" s="149">
        <f t="shared" si="52"/>
        <v>0</v>
      </c>
      <c r="F470" s="148"/>
      <c r="G470" s="150">
        <v>407</v>
      </c>
      <c r="H470" s="149">
        <f t="shared" si="53"/>
        <v>0</v>
      </c>
      <c r="I470" s="149">
        <f t="shared" si="54"/>
        <v>0</v>
      </c>
      <c r="J470" s="149">
        <f t="shared" si="55"/>
        <v>0</v>
      </c>
      <c r="K470" s="149">
        <f t="shared" si="56"/>
        <v>0</v>
      </c>
      <c r="L470" s="148"/>
    </row>
    <row r="471" spans="1:12">
      <c r="A471" s="150">
        <v>408</v>
      </c>
      <c r="B471" s="149">
        <f t="shared" si="49"/>
        <v>0</v>
      </c>
      <c r="C471" s="149">
        <f t="shared" si="50"/>
        <v>0</v>
      </c>
      <c r="D471" s="149">
        <f t="shared" si="51"/>
        <v>0</v>
      </c>
      <c r="E471" s="149">
        <f t="shared" si="52"/>
        <v>0</v>
      </c>
      <c r="F471" s="148">
        <v>34</v>
      </c>
      <c r="G471" s="150">
        <v>408</v>
      </c>
      <c r="H471" s="149">
        <f t="shared" si="53"/>
        <v>0</v>
      </c>
      <c r="I471" s="149">
        <f t="shared" si="54"/>
        <v>0</v>
      </c>
      <c r="J471" s="149">
        <f t="shared" si="55"/>
        <v>0</v>
      </c>
      <c r="K471" s="149">
        <f t="shared" si="56"/>
        <v>0</v>
      </c>
      <c r="L471" s="148">
        <v>34</v>
      </c>
    </row>
    <row r="472" spans="1:12">
      <c r="A472" s="150">
        <v>409</v>
      </c>
      <c r="B472" s="149">
        <f t="shared" si="49"/>
        <v>0</v>
      </c>
      <c r="C472" s="149">
        <f t="shared" si="50"/>
        <v>0</v>
      </c>
      <c r="D472" s="149">
        <f t="shared" si="51"/>
        <v>0</v>
      </c>
      <c r="E472" s="149">
        <f t="shared" si="52"/>
        <v>0</v>
      </c>
      <c r="F472" s="148"/>
      <c r="G472" s="150">
        <v>409</v>
      </c>
      <c r="H472" s="149">
        <f t="shared" si="53"/>
        <v>0</v>
      </c>
      <c r="I472" s="149">
        <f t="shared" si="54"/>
        <v>0</v>
      </c>
      <c r="J472" s="149">
        <f t="shared" si="55"/>
        <v>0</v>
      </c>
      <c r="K472" s="149">
        <f t="shared" si="56"/>
        <v>0</v>
      </c>
      <c r="L472" s="148"/>
    </row>
    <row r="473" spans="1:12">
      <c r="A473" s="150">
        <v>410</v>
      </c>
      <c r="B473" s="149">
        <f t="shared" si="49"/>
        <v>0</v>
      </c>
      <c r="C473" s="149">
        <f t="shared" si="50"/>
        <v>0</v>
      </c>
      <c r="D473" s="149">
        <f t="shared" si="51"/>
        <v>0</v>
      </c>
      <c r="E473" s="149">
        <f t="shared" si="52"/>
        <v>0</v>
      </c>
      <c r="F473" s="148"/>
      <c r="G473" s="150">
        <v>410</v>
      </c>
      <c r="H473" s="149">
        <f t="shared" si="53"/>
        <v>0</v>
      </c>
      <c r="I473" s="149">
        <f t="shared" si="54"/>
        <v>0</v>
      </c>
      <c r="J473" s="149">
        <f t="shared" si="55"/>
        <v>0</v>
      </c>
      <c r="K473" s="149">
        <f t="shared" si="56"/>
        <v>0</v>
      </c>
      <c r="L473" s="148"/>
    </row>
    <row r="474" spans="1:12">
      <c r="A474" s="150">
        <v>411</v>
      </c>
      <c r="B474" s="149">
        <f t="shared" si="49"/>
        <v>0</v>
      </c>
      <c r="C474" s="149">
        <f t="shared" si="50"/>
        <v>0</v>
      </c>
      <c r="D474" s="149">
        <f t="shared" si="51"/>
        <v>0</v>
      </c>
      <c r="E474" s="149">
        <f t="shared" si="52"/>
        <v>0</v>
      </c>
      <c r="F474" s="148"/>
      <c r="G474" s="150">
        <v>411</v>
      </c>
      <c r="H474" s="149">
        <f t="shared" si="53"/>
        <v>0</v>
      </c>
      <c r="I474" s="149">
        <f t="shared" si="54"/>
        <v>0</v>
      </c>
      <c r="J474" s="149">
        <f t="shared" si="55"/>
        <v>0</v>
      </c>
      <c r="K474" s="149">
        <f t="shared" si="56"/>
        <v>0</v>
      </c>
      <c r="L474" s="148"/>
    </row>
    <row r="475" spans="1:12">
      <c r="A475" s="150">
        <v>412</v>
      </c>
      <c r="B475" s="149">
        <f t="shared" si="49"/>
        <v>0</v>
      </c>
      <c r="C475" s="149">
        <f t="shared" si="50"/>
        <v>0</v>
      </c>
      <c r="D475" s="149">
        <f t="shared" si="51"/>
        <v>0</v>
      </c>
      <c r="E475" s="149">
        <f t="shared" si="52"/>
        <v>0</v>
      </c>
      <c r="F475" s="148"/>
      <c r="G475" s="150">
        <v>412</v>
      </c>
      <c r="H475" s="149">
        <f t="shared" si="53"/>
        <v>0</v>
      </c>
      <c r="I475" s="149">
        <f t="shared" si="54"/>
        <v>0</v>
      </c>
      <c r="J475" s="149">
        <f t="shared" si="55"/>
        <v>0</v>
      </c>
      <c r="K475" s="149">
        <f t="shared" si="56"/>
        <v>0</v>
      </c>
      <c r="L475" s="148"/>
    </row>
    <row r="476" spans="1:12">
      <c r="A476" s="150">
        <v>413</v>
      </c>
      <c r="B476" s="149">
        <f t="shared" si="49"/>
        <v>0</v>
      </c>
      <c r="C476" s="149">
        <f t="shared" si="50"/>
        <v>0</v>
      </c>
      <c r="D476" s="149">
        <f t="shared" si="51"/>
        <v>0</v>
      </c>
      <c r="E476" s="149">
        <f t="shared" si="52"/>
        <v>0</v>
      </c>
      <c r="F476" s="148"/>
      <c r="G476" s="150">
        <v>413</v>
      </c>
      <c r="H476" s="149">
        <f t="shared" si="53"/>
        <v>0</v>
      </c>
      <c r="I476" s="149">
        <f t="shared" si="54"/>
        <v>0</v>
      </c>
      <c r="J476" s="149">
        <f t="shared" si="55"/>
        <v>0</v>
      </c>
      <c r="K476" s="149">
        <f t="shared" si="56"/>
        <v>0</v>
      </c>
      <c r="L476" s="148"/>
    </row>
    <row r="477" spans="1:12">
      <c r="A477" s="150">
        <v>414</v>
      </c>
      <c r="B477" s="149">
        <f t="shared" si="49"/>
        <v>0</v>
      </c>
      <c r="C477" s="149">
        <f t="shared" si="50"/>
        <v>0</v>
      </c>
      <c r="D477" s="149">
        <f t="shared" si="51"/>
        <v>0</v>
      </c>
      <c r="E477" s="149">
        <f t="shared" si="52"/>
        <v>0</v>
      </c>
      <c r="F477" s="148"/>
      <c r="G477" s="150">
        <v>414</v>
      </c>
      <c r="H477" s="149">
        <f t="shared" si="53"/>
        <v>0</v>
      </c>
      <c r="I477" s="149">
        <f t="shared" si="54"/>
        <v>0</v>
      </c>
      <c r="J477" s="149">
        <f t="shared" si="55"/>
        <v>0</v>
      </c>
      <c r="K477" s="149">
        <f t="shared" si="56"/>
        <v>0</v>
      </c>
      <c r="L477" s="148"/>
    </row>
    <row r="478" spans="1:12">
      <c r="A478" s="150">
        <v>415</v>
      </c>
      <c r="B478" s="149">
        <f t="shared" si="49"/>
        <v>0</v>
      </c>
      <c r="C478" s="149">
        <f t="shared" si="50"/>
        <v>0</v>
      </c>
      <c r="D478" s="149">
        <f t="shared" si="51"/>
        <v>0</v>
      </c>
      <c r="E478" s="149">
        <f t="shared" si="52"/>
        <v>0</v>
      </c>
      <c r="F478" s="148"/>
      <c r="G478" s="150">
        <v>415</v>
      </c>
      <c r="H478" s="149">
        <f t="shared" si="53"/>
        <v>0</v>
      </c>
      <c r="I478" s="149">
        <f t="shared" si="54"/>
        <v>0</v>
      </c>
      <c r="J478" s="149">
        <f t="shared" si="55"/>
        <v>0</v>
      </c>
      <c r="K478" s="149">
        <f t="shared" si="56"/>
        <v>0</v>
      </c>
      <c r="L478" s="148"/>
    </row>
    <row r="479" spans="1:12">
      <c r="A479" s="150">
        <v>416</v>
      </c>
      <c r="B479" s="149">
        <f t="shared" si="49"/>
        <v>0</v>
      </c>
      <c r="C479" s="149">
        <f t="shared" si="50"/>
        <v>0</v>
      </c>
      <c r="D479" s="149">
        <f t="shared" si="51"/>
        <v>0</v>
      </c>
      <c r="E479" s="149">
        <f t="shared" si="52"/>
        <v>0</v>
      </c>
      <c r="F479" s="148"/>
      <c r="G479" s="150">
        <v>416</v>
      </c>
      <c r="H479" s="149">
        <f t="shared" si="53"/>
        <v>0</v>
      </c>
      <c r="I479" s="149">
        <f t="shared" si="54"/>
        <v>0</v>
      </c>
      <c r="J479" s="149">
        <f t="shared" si="55"/>
        <v>0</v>
      </c>
      <c r="K479" s="149">
        <f t="shared" si="56"/>
        <v>0</v>
      </c>
      <c r="L479" s="148"/>
    </row>
    <row r="480" spans="1:12">
      <c r="A480" s="150">
        <v>417</v>
      </c>
      <c r="B480" s="149">
        <f t="shared" si="49"/>
        <v>0</v>
      </c>
      <c r="C480" s="149">
        <f t="shared" si="50"/>
        <v>0</v>
      </c>
      <c r="D480" s="149">
        <f t="shared" si="51"/>
        <v>0</v>
      </c>
      <c r="E480" s="149">
        <f t="shared" si="52"/>
        <v>0</v>
      </c>
      <c r="F480" s="148"/>
      <c r="G480" s="150">
        <v>417</v>
      </c>
      <c r="H480" s="149">
        <f t="shared" si="53"/>
        <v>0</v>
      </c>
      <c r="I480" s="149">
        <f t="shared" si="54"/>
        <v>0</v>
      </c>
      <c r="J480" s="149">
        <f t="shared" si="55"/>
        <v>0</v>
      </c>
      <c r="K480" s="149">
        <f t="shared" si="56"/>
        <v>0</v>
      </c>
      <c r="L480" s="148"/>
    </row>
    <row r="481" spans="1:12">
      <c r="A481" s="150">
        <v>418</v>
      </c>
      <c r="B481" s="149">
        <f t="shared" si="49"/>
        <v>0</v>
      </c>
      <c r="C481" s="149">
        <f t="shared" si="50"/>
        <v>0</v>
      </c>
      <c r="D481" s="149">
        <f t="shared" si="51"/>
        <v>0</v>
      </c>
      <c r="E481" s="149">
        <f t="shared" si="52"/>
        <v>0</v>
      </c>
      <c r="F481" s="148"/>
      <c r="G481" s="150">
        <v>418</v>
      </c>
      <c r="H481" s="149">
        <f t="shared" si="53"/>
        <v>0</v>
      </c>
      <c r="I481" s="149">
        <f t="shared" si="54"/>
        <v>0</v>
      </c>
      <c r="J481" s="149">
        <f t="shared" si="55"/>
        <v>0</v>
      </c>
      <c r="K481" s="149">
        <f t="shared" si="56"/>
        <v>0</v>
      </c>
      <c r="L481" s="148"/>
    </row>
    <row r="482" spans="1:12">
      <c r="A482" s="150">
        <v>419</v>
      </c>
      <c r="B482" s="149">
        <f t="shared" si="49"/>
        <v>0</v>
      </c>
      <c r="C482" s="149">
        <f t="shared" si="50"/>
        <v>0</v>
      </c>
      <c r="D482" s="149">
        <f t="shared" si="51"/>
        <v>0</v>
      </c>
      <c r="E482" s="149">
        <f t="shared" si="52"/>
        <v>0</v>
      </c>
      <c r="F482" s="148"/>
      <c r="G482" s="150">
        <v>419</v>
      </c>
      <c r="H482" s="149">
        <f t="shared" si="53"/>
        <v>0</v>
      </c>
      <c r="I482" s="149">
        <f t="shared" si="54"/>
        <v>0</v>
      </c>
      <c r="J482" s="149">
        <f t="shared" si="55"/>
        <v>0</v>
      </c>
      <c r="K482" s="149">
        <f t="shared" si="56"/>
        <v>0</v>
      </c>
      <c r="L482" s="148"/>
    </row>
    <row r="483" spans="1:12">
      <c r="A483" s="150">
        <v>420</v>
      </c>
      <c r="B483" s="149">
        <f t="shared" si="49"/>
        <v>0</v>
      </c>
      <c r="C483" s="149">
        <f t="shared" si="50"/>
        <v>0</v>
      </c>
      <c r="D483" s="149">
        <f t="shared" si="51"/>
        <v>0</v>
      </c>
      <c r="E483" s="149">
        <f t="shared" si="52"/>
        <v>0</v>
      </c>
      <c r="F483" s="148">
        <v>35</v>
      </c>
      <c r="G483" s="150">
        <v>420</v>
      </c>
      <c r="H483" s="149">
        <f t="shared" si="53"/>
        <v>0</v>
      </c>
      <c r="I483" s="149">
        <f t="shared" si="54"/>
        <v>0</v>
      </c>
      <c r="J483" s="149">
        <f t="shared" si="55"/>
        <v>0</v>
      </c>
      <c r="K483" s="149">
        <f t="shared" si="56"/>
        <v>0</v>
      </c>
      <c r="L483" s="148">
        <v>35</v>
      </c>
    </row>
    <row r="484" spans="1:12">
      <c r="A484" s="150">
        <v>421</v>
      </c>
      <c r="B484" s="149">
        <f t="shared" si="49"/>
        <v>0</v>
      </c>
      <c r="C484" s="149">
        <f t="shared" si="50"/>
        <v>0</v>
      </c>
      <c r="D484" s="149">
        <f t="shared" si="51"/>
        <v>0</v>
      </c>
      <c r="E484" s="149">
        <f t="shared" si="52"/>
        <v>0</v>
      </c>
      <c r="F484" s="148"/>
      <c r="G484" s="150">
        <v>421</v>
      </c>
      <c r="H484" s="149">
        <f t="shared" si="53"/>
        <v>0</v>
      </c>
      <c r="I484" s="149">
        <f t="shared" si="54"/>
        <v>0</v>
      </c>
      <c r="J484" s="149">
        <f t="shared" si="55"/>
        <v>0</v>
      </c>
      <c r="K484" s="149">
        <f t="shared" si="56"/>
        <v>0</v>
      </c>
      <c r="L484" s="148"/>
    </row>
    <row r="485" spans="1:12">
      <c r="A485" s="150">
        <v>422</v>
      </c>
      <c r="B485" s="149">
        <f t="shared" si="49"/>
        <v>0</v>
      </c>
      <c r="C485" s="149">
        <f t="shared" si="50"/>
        <v>0</v>
      </c>
      <c r="D485" s="149">
        <f t="shared" si="51"/>
        <v>0</v>
      </c>
      <c r="E485" s="149">
        <f t="shared" si="52"/>
        <v>0</v>
      </c>
      <c r="F485" s="148"/>
      <c r="G485" s="150">
        <v>422</v>
      </c>
      <c r="H485" s="149">
        <f t="shared" si="53"/>
        <v>0</v>
      </c>
      <c r="I485" s="149">
        <f t="shared" si="54"/>
        <v>0</v>
      </c>
      <c r="J485" s="149">
        <f t="shared" si="55"/>
        <v>0</v>
      </c>
      <c r="K485" s="149">
        <f t="shared" si="56"/>
        <v>0</v>
      </c>
      <c r="L485" s="148"/>
    </row>
    <row r="486" spans="1:12">
      <c r="A486" s="150">
        <v>423</v>
      </c>
      <c r="B486" s="149">
        <f t="shared" si="49"/>
        <v>0</v>
      </c>
      <c r="C486" s="149">
        <f t="shared" si="50"/>
        <v>0</v>
      </c>
      <c r="D486" s="149">
        <f t="shared" si="51"/>
        <v>0</v>
      </c>
      <c r="E486" s="149">
        <f t="shared" si="52"/>
        <v>0</v>
      </c>
      <c r="F486" s="148"/>
      <c r="G486" s="150">
        <v>423</v>
      </c>
      <c r="H486" s="149">
        <f t="shared" si="53"/>
        <v>0</v>
      </c>
      <c r="I486" s="149">
        <f t="shared" si="54"/>
        <v>0</v>
      </c>
      <c r="J486" s="149">
        <f t="shared" si="55"/>
        <v>0</v>
      </c>
      <c r="K486" s="149">
        <f t="shared" si="56"/>
        <v>0</v>
      </c>
      <c r="L486" s="148"/>
    </row>
    <row r="487" spans="1:12">
      <c r="A487" s="150">
        <v>424</v>
      </c>
      <c r="B487" s="149">
        <f t="shared" si="49"/>
        <v>0</v>
      </c>
      <c r="C487" s="149">
        <f t="shared" si="50"/>
        <v>0</v>
      </c>
      <c r="D487" s="149">
        <f t="shared" si="51"/>
        <v>0</v>
      </c>
      <c r="E487" s="149">
        <f t="shared" si="52"/>
        <v>0</v>
      </c>
      <c r="F487" s="148"/>
      <c r="G487" s="150">
        <v>424</v>
      </c>
      <c r="H487" s="149">
        <f t="shared" si="53"/>
        <v>0</v>
      </c>
      <c r="I487" s="149">
        <f t="shared" si="54"/>
        <v>0</v>
      </c>
      <c r="J487" s="149">
        <f t="shared" si="55"/>
        <v>0</v>
      </c>
      <c r="K487" s="149">
        <f t="shared" si="56"/>
        <v>0</v>
      </c>
      <c r="L487" s="148"/>
    </row>
    <row r="488" spans="1:12">
      <c r="A488" s="150">
        <v>425</v>
      </c>
      <c r="B488" s="149">
        <f t="shared" si="49"/>
        <v>0</v>
      </c>
      <c r="C488" s="149">
        <f t="shared" si="50"/>
        <v>0</v>
      </c>
      <c r="D488" s="149">
        <f t="shared" si="51"/>
        <v>0</v>
      </c>
      <c r="E488" s="149">
        <f t="shared" si="52"/>
        <v>0</v>
      </c>
      <c r="F488" s="148"/>
      <c r="G488" s="150">
        <v>425</v>
      </c>
      <c r="H488" s="149">
        <f t="shared" si="53"/>
        <v>0</v>
      </c>
      <c r="I488" s="149">
        <f t="shared" si="54"/>
        <v>0</v>
      </c>
      <c r="J488" s="149">
        <f t="shared" si="55"/>
        <v>0</v>
      </c>
      <c r="K488" s="149">
        <f t="shared" si="56"/>
        <v>0</v>
      </c>
      <c r="L488" s="148"/>
    </row>
    <row r="489" spans="1:12">
      <c r="A489" s="150">
        <v>426</v>
      </c>
      <c r="B489" s="149">
        <f t="shared" si="49"/>
        <v>0</v>
      </c>
      <c r="C489" s="149">
        <f t="shared" si="50"/>
        <v>0</v>
      </c>
      <c r="D489" s="149">
        <f t="shared" si="51"/>
        <v>0</v>
      </c>
      <c r="E489" s="149">
        <f t="shared" si="52"/>
        <v>0</v>
      </c>
      <c r="F489" s="148"/>
      <c r="G489" s="150">
        <v>426</v>
      </c>
      <c r="H489" s="149">
        <f t="shared" si="53"/>
        <v>0</v>
      </c>
      <c r="I489" s="149">
        <f t="shared" si="54"/>
        <v>0</v>
      </c>
      <c r="J489" s="149">
        <f t="shared" si="55"/>
        <v>0</v>
      </c>
      <c r="K489" s="149">
        <f t="shared" si="56"/>
        <v>0</v>
      </c>
      <c r="L489" s="148"/>
    </row>
    <row r="490" spans="1:12">
      <c r="A490" s="150">
        <v>427</v>
      </c>
      <c r="B490" s="149">
        <f t="shared" si="49"/>
        <v>0</v>
      </c>
      <c r="C490" s="149">
        <f t="shared" si="50"/>
        <v>0</v>
      </c>
      <c r="D490" s="149">
        <f t="shared" si="51"/>
        <v>0</v>
      </c>
      <c r="E490" s="149">
        <f t="shared" si="52"/>
        <v>0</v>
      </c>
      <c r="F490" s="148"/>
      <c r="G490" s="150">
        <v>427</v>
      </c>
      <c r="H490" s="149">
        <f t="shared" si="53"/>
        <v>0</v>
      </c>
      <c r="I490" s="149">
        <f t="shared" si="54"/>
        <v>0</v>
      </c>
      <c r="J490" s="149">
        <f t="shared" si="55"/>
        <v>0</v>
      </c>
      <c r="K490" s="149">
        <f t="shared" si="56"/>
        <v>0</v>
      </c>
      <c r="L490" s="148"/>
    </row>
    <row r="491" spans="1:12">
      <c r="A491" s="150">
        <v>428</v>
      </c>
      <c r="B491" s="149">
        <f t="shared" si="49"/>
        <v>0</v>
      </c>
      <c r="C491" s="149">
        <f t="shared" si="50"/>
        <v>0</v>
      </c>
      <c r="D491" s="149">
        <f t="shared" si="51"/>
        <v>0</v>
      </c>
      <c r="E491" s="149">
        <f t="shared" si="52"/>
        <v>0</v>
      </c>
      <c r="F491" s="148"/>
      <c r="G491" s="150">
        <v>428</v>
      </c>
      <c r="H491" s="149">
        <f t="shared" si="53"/>
        <v>0</v>
      </c>
      <c r="I491" s="149">
        <f t="shared" si="54"/>
        <v>0</v>
      </c>
      <c r="J491" s="149">
        <f t="shared" si="55"/>
        <v>0</v>
      </c>
      <c r="K491" s="149">
        <f t="shared" si="56"/>
        <v>0</v>
      </c>
      <c r="L491" s="148"/>
    </row>
    <row r="492" spans="1:12">
      <c r="A492" s="150">
        <v>429</v>
      </c>
      <c r="B492" s="149">
        <f t="shared" si="49"/>
        <v>0</v>
      </c>
      <c r="C492" s="149">
        <f t="shared" si="50"/>
        <v>0</v>
      </c>
      <c r="D492" s="149">
        <f t="shared" si="51"/>
        <v>0</v>
      </c>
      <c r="E492" s="149">
        <f t="shared" si="52"/>
        <v>0</v>
      </c>
      <c r="F492" s="148"/>
      <c r="G492" s="150">
        <v>429</v>
      </c>
      <c r="H492" s="149">
        <f t="shared" si="53"/>
        <v>0</v>
      </c>
      <c r="I492" s="149">
        <f t="shared" si="54"/>
        <v>0</v>
      </c>
      <c r="J492" s="149">
        <f t="shared" si="55"/>
        <v>0</v>
      </c>
      <c r="K492" s="149">
        <f t="shared" si="56"/>
        <v>0</v>
      </c>
      <c r="L492" s="148"/>
    </row>
    <row r="493" spans="1:12">
      <c r="A493" s="150">
        <v>430</v>
      </c>
      <c r="B493" s="149">
        <f t="shared" si="49"/>
        <v>0</v>
      </c>
      <c r="C493" s="149">
        <f t="shared" si="50"/>
        <v>0</v>
      </c>
      <c r="D493" s="149">
        <f t="shared" si="51"/>
        <v>0</v>
      </c>
      <c r="E493" s="149">
        <f t="shared" si="52"/>
        <v>0</v>
      </c>
      <c r="F493" s="148"/>
      <c r="G493" s="150">
        <v>430</v>
      </c>
      <c r="H493" s="149">
        <f t="shared" si="53"/>
        <v>0</v>
      </c>
      <c r="I493" s="149">
        <f t="shared" si="54"/>
        <v>0</v>
      </c>
      <c r="J493" s="149">
        <f t="shared" si="55"/>
        <v>0</v>
      </c>
      <c r="K493" s="149">
        <f t="shared" si="56"/>
        <v>0</v>
      </c>
      <c r="L493" s="148"/>
    </row>
    <row r="494" spans="1:12">
      <c r="A494" s="150">
        <v>431</v>
      </c>
      <c r="B494" s="149">
        <f t="shared" si="49"/>
        <v>0</v>
      </c>
      <c r="C494" s="149">
        <f t="shared" si="50"/>
        <v>0</v>
      </c>
      <c r="D494" s="149">
        <f t="shared" si="51"/>
        <v>0</v>
      </c>
      <c r="E494" s="149">
        <f t="shared" si="52"/>
        <v>0</v>
      </c>
      <c r="F494" s="148"/>
      <c r="G494" s="150">
        <v>431</v>
      </c>
      <c r="H494" s="149">
        <f t="shared" si="53"/>
        <v>0</v>
      </c>
      <c r="I494" s="149">
        <f t="shared" si="54"/>
        <v>0</v>
      </c>
      <c r="J494" s="149">
        <f t="shared" si="55"/>
        <v>0</v>
      </c>
      <c r="K494" s="149">
        <f t="shared" si="56"/>
        <v>0</v>
      </c>
      <c r="L494" s="148"/>
    </row>
    <row r="495" spans="1:12">
      <c r="A495" s="150">
        <v>432</v>
      </c>
      <c r="B495" s="149">
        <f t="shared" si="49"/>
        <v>0</v>
      </c>
      <c r="C495" s="149">
        <f t="shared" si="50"/>
        <v>0</v>
      </c>
      <c r="D495" s="149">
        <f t="shared" si="51"/>
        <v>0</v>
      </c>
      <c r="E495" s="149">
        <f t="shared" si="52"/>
        <v>0</v>
      </c>
      <c r="F495" s="148">
        <v>36</v>
      </c>
      <c r="G495" s="150">
        <v>432</v>
      </c>
      <c r="H495" s="149">
        <f t="shared" si="53"/>
        <v>0</v>
      </c>
      <c r="I495" s="149">
        <f t="shared" si="54"/>
        <v>0</v>
      </c>
      <c r="J495" s="149">
        <f t="shared" si="55"/>
        <v>0</v>
      </c>
      <c r="K495" s="149">
        <f t="shared" si="56"/>
        <v>0</v>
      </c>
      <c r="L495" s="148">
        <v>36</v>
      </c>
    </row>
    <row r="496" spans="1:12">
      <c r="A496" s="150">
        <v>433</v>
      </c>
      <c r="B496" s="149">
        <f t="shared" si="49"/>
        <v>0</v>
      </c>
      <c r="C496" s="149">
        <f t="shared" si="50"/>
        <v>0</v>
      </c>
      <c r="D496" s="149">
        <f t="shared" si="51"/>
        <v>0</v>
      </c>
      <c r="E496" s="149">
        <f t="shared" si="52"/>
        <v>0</v>
      </c>
      <c r="F496" s="148"/>
      <c r="G496" s="150">
        <v>433</v>
      </c>
      <c r="H496" s="149">
        <f t="shared" si="53"/>
        <v>0</v>
      </c>
      <c r="I496" s="149">
        <f t="shared" si="54"/>
        <v>0</v>
      </c>
      <c r="J496" s="149">
        <f t="shared" si="55"/>
        <v>0</v>
      </c>
      <c r="K496" s="149">
        <f t="shared" si="56"/>
        <v>0</v>
      </c>
      <c r="L496" s="148"/>
    </row>
    <row r="497" spans="1:12">
      <c r="A497" s="150">
        <v>434</v>
      </c>
      <c r="B497" s="149">
        <f t="shared" si="49"/>
        <v>0</v>
      </c>
      <c r="C497" s="149">
        <f t="shared" si="50"/>
        <v>0</v>
      </c>
      <c r="D497" s="149">
        <f t="shared" si="51"/>
        <v>0</v>
      </c>
      <c r="E497" s="149">
        <f t="shared" si="52"/>
        <v>0</v>
      </c>
      <c r="F497" s="148"/>
      <c r="G497" s="150">
        <v>434</v>
      </c>
      <c r="H497" s="149">
        <f t="shared" si="53"/>
        <v>0</v>
      </c>
      <c r="I497" s="149">
        <f t="shared" si="54"/>
        <v>0</v>
      </c>
      <c r="J497" s="149">
        <f t="shared" si="55"/>
        <v>0</v>
      </c>
      <c r="K497" s="149">
        <f t="shared" si="56"/>
        <v>0</v>
      </c>
      <c r="L497" s="148"/>
    </row>
    <row r="498" spans="1:12">
      <c r="A498" s="150">
        <v>435</v>
      </c>
      <c r="B498" s="149">
        <f t="shared" si="49"/>
        <v>0</v>
      </c>
      <c r="C498" s="149">
        <f t="shared" si="50"/>
        <v>0</v>
      </c>
      <c r="D498" s="149">
        <f t="shared" si="51"/>
        <v>0</v>
      </c>
      <c r="E498" s="149">
        <f t="shared" si="52"/>
        <v>0</v>
      </c>
      <c r="F498" s="148"/>
      <c r="G498" s="150">
        <v>435</v>
      </c>
      <c r="H498" s="149">
        <f t="shared" si="53"/>
        <v>0</v>
      </c>
      <c r="I498" s="149">
        <f t="shared" si="54"/>
        <v>0</v>
      </c>
      <c r="J498" s="149">
        <f t="shared" si="55"/>
        <v>0</v>
      </c>
      <c r="K498" s="149">
        <f t="shared" si="56"/>
        <v>0</v>
      </c>
      <c r="L498" s="148"/>
    </row>
    <row r="499" spans="1:12">
      <c r="A499" s="150">
        <v>436</v>
      </c>
      <c r="B499" s="149">
        <f t="shared" si="49"/>
        <v>0</v>
      </c>
      <c r="C499" s="149">
        <f t="shared" si="50"/>
        <v>0</v>
      </c>
      <c r="D499" s="149">
        <f t="shared" si="51"/>
        <v>0</v>
      </c>
      <c r="E499" s="149">
        <f t="shared" si="52"/>
        <v>0</v>
      </c>
      <c r="F499" s="148"/>
      <c r="G499" s="150">
        <v>436</v>
      </c>
      <c r="H499" s="149">
        <f t="shared" si="53"/>
        <v>0</v>
      </c>
      <c r="I499" s="149">
        <f t="shared" si="54"/>
        <v>0</v>
      </c>
      <c r="J499" s="149">
        <f t="shared" si="55"/>
        <v>0</v>
      </c>
      <c r="K499" s="149">
        <f t="shared" si="56"/>
        <v>0</v>
      </c>
      <c r="L499" s="148"/>
    </row>
    <row r="500" spans="1:12">
      <c r="A500" s="150">
        <v>437</v>
      </c>
      <c r="B500" s="149">
        <f t="shared" si="49"/>
        <v>0</v>
      </c>
      <c r="C500" s="149">
        <f t="shared" si="50"/>
        <v>0</v>
      </c>
      <c r="D500" s="149">
        <f t="shared" si="51"/>
        <v>0</v>
      </c>
      <c r="E500" s="149">
        <f t="shared" si="52"/>
        <v>0</v>
      </c>
      <c r="F500" s="148"/>
      <c r="G500" s="150">
        <v>437</v>
      </c>
      <c r="H500" s="149">
        <f t="shared" si="53"/>
        <v>0</v>
      </c>
      <c r="I500" s="149">
        <f t="shared" si="54"/>
        <v>0</v>
      </c>
      <c r="J500" s="149">
        <f t="shared" si="55"/>
        <v>0</v>
      </c>
      <c r="K500" s="149">
        <f t="shared" si="56"/>
        <v>0</v>
      </c>
      <c r="L500" s="148"/>
    </row>
    <row r="501" spans="1:12">
      <c r="A501" s="150">
        <v>438</v>
      </c>
      <c r="B501" s="149">
        <f t="shared" si="49"/>
        <v>0</v>
      </c>
      <c r="C501" s="149">
        <f t="shared" si="50"/>
        <v>0</v>
      </c>
      <c r="D501" s="149">
        <f t="shared" si="51"/>
        <v>0</v>
      </c>
      <c r="E501" s="149">
        <f t="shared" si="52"/>
        <v>0</v>
      </c>
      <c r="F501" s="148"/>
      <c r="G501" s="150">
        <v>438</v>
      </c>
      <c r="H501" s="149">
        <f t="shared" si="53"/>
        <v>0</v>
      </c>
      <c r="I501" s="149">
        <f t="shared" si="54"/>
        <v>0</v>
      </c>
      <c r="J501" s="149">
        <f t="shared" si="55"/>
        <v>0</v>
      </c>
      <c r="K501" s="149">
        <f t="shared" si="56"/>
        <v>0</v>
      </c>
      <c r="L501" s="148"/>
    </row>
    <row r="502" spans="1:12">
      <c r="A502" s="150">
        <v>439</v>
      </c>
      <c r="B502" s="149">
        <f t="shared" si="49"/>
        <v>0</v>
      </c>
      <c r="C502" s="149">
        <f t="shared" si="50"/>
        <v>0</v>
      </c>
      <c r="D502" s="149">
        <f t="shared" si="51"/>
        <v>0</v>
      </c>
      <c r="E502" s="149">
        <f t="shared" si="52"/>
        <v>0</v>
      </c>
      <c r="F502" s="148"/>
      <c r="G502" s="150">
        <v>439</v>
      </c>
      <c r="H502" s="149">
        <f t="shared" si="53"/>
        <v>0</v>
      </c>
      <c r="I502" s="149">
        <f t="shared" si="54"/>
        <v>0</v>
      </c>
      <c r="J502" s="149">
        <f t="shared" si="55"/>
        <v>0</v>
      </c>
      <c r="K502" s="149">
        <f t="shared" si="56"/>
        <v>0</v>
      </c>
      <c r="L502" s="148"/>
    </row>
    <row r="503" spans="1:12">
      <c r="A503" s="150">
        <v>440</v>
      </c>
      <c r="B503" s="149">
        <f t="shared" si="49"/>
        <v>0</v>
      </c>
      <c r="C503" s="149">
        <f t="shared" si="50"/>
        <v>0</v>
      </c>
      <c r="D503" s="149">
        <f t="shared" si="51"/>
        <v>0</v>
      </c>
      <c r="E503" s="149">
        <f t="shared" si="52"/>
        <v>0</v>
      </c>
      <c r="F503" s="148"/>
      <c r="G503" s="150">
        <v>440</v>
      </c>
      <c r="H503" s="149">
        <f t="shared" si="53"/>
        <v>0</v>
      </c>
      <c r="I503" s="149">
        <f t="shared" si="54"/>
        <v>0</v>
      </c>
      <c r="J503" s="149">
        <f t="shared" si="55"/>
        <v>0</v>
      </c>
      <c r="K503" s="149">
        <f t="shared" si="56"/>
        <v>0</v>
      </c>
      <c r="L503" s="148"/>
    </row>
    <row r="504" spans="1:12">
      <c r="A504" s="150">
        <v>441</v>
      </c>
      <c r="B504" s="149">
        <f t="shared" si="49"/>
        <v>0</v>
      </c>
      <c r="C504" s="149">
        <f t="shared" si="50"/>
        <v>0</v>
      </c>
      <c r="D504" s="149">
        <f t="shared" si="51"/>
        <v>0</v>
      </c>
      <c r="E504" s="149">
        <f t="shared" si="52"/>
        <v>0</v>
      </c>
      <c r="F504" s="148"/>
      <c r="G504" s="150">
        <v>441</v>
      </c>
      <c r="H504" s="149">
        <f t="shared" si="53"/>
        <v>0</v>
      </c>
      <c r="I504" s="149">
        <f t="shared" si="54"/>
        <v>0</v>
      </c>
      <c r="J504" s="149">
        <f t="shared" si="55"/>
        <v>0</v>
      </c>
      <c r="K504" s="149">
        <f t="shared" si="56"/>
        <v>0</v>
      </c>
      <c r="L504" s="148"/>
    </row>
    <row r="505" spans="1:12">
      <c r="A505" s="150">
        <v>442</v>
      </c>
      <c r="B505" s="149">
        <f t="shared" si="49"/>
        <v>0</v>
      </c>
      <c r="C505" s="149">
        <f t="shared" si="50"/>
        <v>0</v>
      </c>
      <c r="D505" s="149">
        <f t="shared" si="51"/>
        <v>0</v>
      </c>
      <c r="E505" s="149">
        <f t="shared" si="52"/>
        <v>0</v>
      </c>
      <c r="F505" s="148"/>
      <c r="G505" s="150">
        <v>442</v>
      </c>
      <c r="H505" s="149">
        <f t="shared" si="53"/>
        <v>0</v>
      </c>
      <c r="I505" s="149">
        <f t="shared" si="54"/>
        <v>0</v>
      </c>
      <c r="J505" s="149">
        <f t="shared" si="55"/>
        <v>0</v>
      </c>
      <c r="K505" s="149">
        <f t="shared" si="56"/>
        <v>0</v>
      </c>
      <c r="L505" s="148"/>
    </row>
    <row r="506" spans="1:12">
      <c r="A506" s="150">
        <v>443</v>
      </c>
      <c r="B506" s="149">
        <f t="shared" si="49"/>
        <v>0</v>
      </c>
      <c r="C506" s="149">
        <f t="shared" si="50"/>
        <v>0</v>
      </c>
      <c r="D506" s="149">
        <f t="shared" si="51"/>
        <v>0</v>
      </c>
      <c r="E506" s="149">
        <f t="shared" si="52"/>
        <v>0</v>
      </c>
      <c r="F506" s="148"/>
      <c r="G506" s="150">
        <v>443</v>
      </c>
      <c r="H506" s="149">
        <f t="shared" si="53"/>
        <v>0</v>
      </c>
      <c r="I506" s="149">
        <f t="shared" si="54"/>
        <v>0</v>
      </c>
      <c r="J506" s="149">
        <f t="shared" si="55"/>
        <v>0</v>
      </c>
      <c r="K506" s="149">
        <f t="shared" si="56"/>
        <v>0</v>
      </c>
      <c r="L506" s="148"/>
    </row>
    <row r="507" spans="1:12">
      <c r="A507" s="150">
        <v>444</v>
      </c>
      <c r="B507" s="149">
        <f t="shared" si="49"/>
        <v>0</v>
      </c>
      <c r="C507" s="149">
        <f t="shared" si="50"/>
        <v>0</v>
      </c>
      <c r="D507" s="149">
        <f t="shared" si="51"/>
        <v>0</v>
      </c>
      <c r="E507" s="149">
        <f t="shared" si="52"/>
        <v>0</v>
      </c>
      <c r="F507" s="148">
        <v>37</v>
      </c>
      <c r="G507" s="150">
        <v>444</v>
      </c>
      <c r="H507" s="149">
        <f t="shared" si="53"/>
        <v>0</v>
      </c>
      <c r="I507" s="149">
        <f t="shared" si="54"/>
        <v>0</v>
      </c>
      <c r="J507" s="149">
        <f t="shared" si="55"/>
        <v>0</v>
      </c>
      <c r="K507" s="149">
        <f t="shared" si="56"/>
        <v>0</v>
      </c>
      <c r="L507" s="148">
        <v>37</v>
      </c>
    </row>
    <row r="508" spans="1:12">
      <c r="A508" s="150">
        <v>445</v>
      </c>
      <c r="B508" s="149">
        <f t="shared" si="49"/>
        <v>0</v>
      </c>
      <c r="C508" s="149">
        <f t="shared" si="50"/>
        <v>0</v>
      </c>
      <c r="D508" s="149">
        <f t="shared" si="51"/>
        <v>0</v>
      </c>
      <c r="E508" s="149">
        <f t="shared" si="52"/>
        <v>0</v>
      </c>
      <c r="F508" s="148"/>
      <c r="G508" s="150">
        <v>445</v>
      </c>
      <c r="H508" s="149">
        <f t="shared" si="53"/>
        <v>0</v>
      </c>
      <c r="I508" s="149">
        <f t="shared" si="54"/>
        <v>0</v>
      </c>
      <c r="J508" s="149">
        <f t="shared" si="55"/>
        <v>0</v>
      </c>
      <c r="K508" s="149">
        <f t="shared" si="56"/>
        <v>0</v>
      </c>
      <c r="L508" s="148"/>
    </row>
    <row r="509" spans="1:12">
      <c r="A509" s="150">
        <v>446</v>
      </c>
      <c r="B509" s="149">
        <f t="shared" si="49"/>
        <v>0</v>
      </c>
      <c r="C509" s="149">
        <f t="shared" si="50"/>
        <v>0</v>
      </c>
      <c r="D509" s="149">
        <f t="shared" si="51"/>
        <v>0</v>
      </c>
      <c r="E509" s="149">
        <f t="shared" si="52"/>
        <v>0</v>
      </c>
      <c r="F509" s="148"/>
      <c r="G509" s="150">
        <v>446</v>
      </c>
      <c r="H509" s="149">
        <f t="shared" si="53"/>
        <v>0</v>
      </c>
      <c r="I509" s="149">
        <f t="shared" si="54"/>
        <v>0</v>
      </c>
      <c r="J509" s="149">
        <f t="shared" si="55"/>
        <v>0</v>
      </c>
      <c r="K509" s="149">
        <f t="shared" si="56"/>
        <v>0</v>
      </c>
      <c r="L509" s="148"/>
    </row>
    <row r="510" spans="1:12">
      <c r="A510" s="150">
        <v>447</v>
      </c>
      <c r="B510" s="149">
        <f t="shared" si="49"/>
        <v>0</v>
      </c>
      <c r="C510" s="149">
        <f t="shared" si="50"/>
        <v>0</v>
      </c>
      <c r="D510" s="149">
        <f t="shared" si="51"/>
        <v>0</v>
      </c>
      <c r="E510" s="149">
        <f t="shared" si="52"/>
        <v>0</v>
      </c>
      <c r="F510" s="148"/>
      <c r="G510" s="150">
        <v>447</v>
      </c>
      <c r="H510" s="149">
        <f t="shared" si="53"/>
        <v>0</v>
      </c>
      <c r="I510" s="149">
        <f t="shared" si="54"/>
        <v>0</v>
      </c>
      <c r="J510" s="149">
        <f t="shared" si="55"/>
        <v>0</v>
      </c>
      <c r="K510" s="149">
        <f t="shared" si="56"/>
        <v>0</v>
      </c>
      <c r="L510" s="148"/>
    </row>
    <row r="511" spans="1:12">
      <c r="A511" s="150">
        <v>448</v>
      </c>
      <c r="B511" s="149">
        <f t="shared" si="49"/>
        <v>0</v>
      </c>
      <c r="C511" s="149">
        <f t="shared" si="50"/>
        <v>0</v>
      </c>
      <c r="D511" s="149">
        <f t="shared" si="51"/>
        <v>0</v>
      </c>
      <c r="E511" s="149">
        <f t="shared" si="52"/>
        <v>0</v>
      </c>
      <c r="F511" s="148"/>
      <c r="G511" s="150">
        <v>448</v>
      </c>
      <c r="H511" s="149">
        <f t="shared" si="53"/>
        <v>0</v>
      </c>
      <c r="I511" s="149">
        <f t="shared" si="54"/>
        <v>0</v>
      </c>
      <c r="J511" s="149">
        <f t="shared" si="55"/>
        <v>0</v>
      </c>
      <c r="K511" s="149">
        <f t="shared" si="56"/>
        <v>0</v>
      </c>
      <c r="L511" s="148"/>
    </row>
    <row r="512" spans="1:12">
      <c r="A512" s="150">
        <v>449</v>
      </c>
      <c r="B512" s="149">
        <f t="shared" ref="B512:B543" si="57">IF(A512&gt;12*$C$9,0,IF($C$5&gt;1500000,$D$12,$C$12))</f>
        <v>0</v>
      </c>
      <c r="C512" s="149">
        <f t="shared" ref="C512:C543" si="58">IF(A512&gt;12*$C$9,0,E511*$C$7/12)</f>
        <v>0</v>
      </c>
      <c r="D512" s="149">
        <f t="shared" ref="D512:D543" si="59">IF(A512&gt;12*$C$9,0,B512-C512)</f>
        <v>0</v>
      </c>
      <c r="E512" s="149">
        <f t="shared" ref="E512:E543" si="60">IF(A512&gt;12*$C$9,0,E511-D512)</f>
        <v>0</v>
      </c>
      <c r="F512" s="148"/>
      <c r="G512" s="150">
        <v>449</v>
      </c>
      <c r="H512" s="149">
        <f t="shared" ref="H512:H543" si="61">IF(G512&gt;12*$C$9,0,IF($C$5&gt;1500000,$E$12,0))</f>
        <v>0</v>
      </c>
      <c r="I512" s="149">
        <f t="shared" ref="I512:I543" si="62">IF(G512&gt;12*$C$9,0,K511*$C$7/12)</f>
        <v>0</v>
      </c>
      <c r="J512" s="149">
        <f t="shared" ref="J512:J543" si="63">IF(G512&gt;12*$C$9,0,H512-I512)</f>
        <v>0</v>
      </c>
      <c r="K512" s="149">
        <f t="shared" ref="K512:K543" si="64">IF(G512&gt;12*$C$9,0,K511-J512)</f>
        <v>0</v>
      </c>
      <c r="L512" s="148"/>
    </row>
    <row r="513" spans="1:12">
      <c r="A513" s="150">
        <v>450</v>
      </c>
      <c r="B513" s="149">
        <f t="shared" si="57"/>
        <v>0</v>
      </c>
      <c r="C513" s="149">
        <f t="shared" si="58"/>
        <v>0</v>
      </c>
      <c r="D513" s="149">
        <f t="shared" si="59"/>
        <v>0</v>
      </c>
      <c r="E513" s="149">
        <f t="shared" si="60"/>
        <v>0</v>
      </c>
      <c r="F513" s="148"/>
      <c r="G513" s="150">
        <v>450</v>
      </c>
      <c r="H513" s="149">
        <f t="shared" si="61"/>
        <v>0</v>
      </c>
      <c r="I513" s="149">
        <f t="shared" si="62"/>
        <v>0</v>
      </c>
      <c r="J513" s="149">
        <f t="shared" si="63"/>
        <v>0</v>
      </c>
      <c r="K513" s="149">
        <f t="shared" si="64"/>
        <v>0</v>
      </c>
      <c r="L513" s="148"/>
    </row>
    <row r="514" spans="1:12">
      <c r="A514" s="150">
        <v>451</v>
      </c>
      <c r="B514" s="149">
        <f t="shared" si="57"/>
        <v>0</v>
      </c>
      <c r="C514" s="149">
        <f t="shared" si="58"/>
        <v>0</v>
      </c>
      <c r="D514" s="149">
        <f t="shared" si="59"/>
        <v>0</v>
      </c>
      <c r="E514" s="149">
        <f t="shared" si="60"/>
        <v>0</v>
      </c>
      <c r="F514" s="148"/>
      <c r="G514" s="150">
        <v>451</v>
      </c>
      <c r="H514" s="149">
        <f t="shared" si="61"/>
        <v>0</v>
      </c>
      <c r="I514" s="149">
        <f t="shared" si="62"/>
        <v>0</v>
      </c>
      <c r="J514" s="149">
        <f t="shared" si="63"/>
        <v>0</v>
      </c>
      <c r="K514" s="149">
        <f t="shared" si="64"/>
        <v>0</v>
      </c>
      <c r="L514" s="148"/>
    </row>
    <row r="515" spans="1:12">
      <c r="A515" s="150">
        <v>452</v>
      </c>
      <c r="B515" s="149">
        <f t="shared" si="57"/>
        <v>0</v>
      </c>
      <c r="C515" s="149">
        <f t="shared" si="58"/>
        <v>0</v>
      </c>
      <c r="D515" s="149">
        <f t="shared" si="59"/>
        <v>0</v>
      </c>
      <c r="E515" s="149">
        <f t="shared" si="60"/>
        <v>0</v>
      </c>
      <c r="F515" s="148"/>
      <c r="G515" s="150">
        <v>452</v>
      </c>
      <c r="H515" s="149">
        <f t="shared" si="61"/>
        <v>0</v>
      </c>
      <c r="I515" s="149">
        <f t="shared" si="62"/>
        <v>0</v>
      </c>
      <c r="J515" s="149">
        <f t="shared" si="63"/>
        <v>0</v>
      </c>
      <c r="K515" s="149">
        <f t="shared" si="64"/>
        <v>0</v>
      </c>
      <c r="L515" s="148"/>
    </row>
    <row r="516" spans="1:12">
      <c r="A516" s="150">
        <v>453</v>
      </c>
      <c r="B516" s="149">
        <f t="shared" si="57"/>
        <v>0</v>
      </c>
      <c r="C516" s="149">
        <f t="shared" si="58"/>
        <v>0</v>
      </c>
      <c r="D516" s="149">
        <f t="shared" si="59"/>
        <v>0</v>
      </c>
      <c r="E516" s="149">
        <f t="shared" si="60"/>
        <v>0</v>
      </c>
      <c r="F516" s="148"/>
      <c r="G516" s="150">
        <v>453</v>
      </c>
      <c r="H516" s="149">
        <f t="shared" si="61"/>
        <v>0</v>
      </c>
      <c r="I516" s="149">
        <f t="shared" si="62"/>
        <v>0</v>
      </c>
      <c r="J516" s="149">
        <f t="shared" si="63"/>
        <v>0</v>
      </c>
      <c r="K516" s="149">
        <f t="shared" si="64"/>
        <v>0</v>
      </c>
      <c r="L516" s="148"/>
    </row>
    <row r="517" spans="1:12">
      <c r="A517" s="150">
        <v>454</v>
      </c>
      <c r="B517" s="149">
        <f t="shared" si="57"/>
        <v>0</v>
      </c>
      <c r="C517" s="149">
        <f t="shared" si="58"/>
        <v>0</v>
      </c>
      <c r="D517" s="149">
        <f t="shared" si="59"/>
        <v>0</v>
      </c>
      <c r="E517" s="149">
        <f t="shared" si="60"/>
        <v>0</v>
      </c>
      <c r="F517" s="148"/>
      <c r="G517" s="150">
        <v>454</v>
      </c>
      <c r="H517" s="149">
        <f t="shared" si="61"/>
        <v>0</v>
      </c>
      <c r="I517" s="149">
        <f t="shared" si="62"/>
        <v>0</v>
      </c>
      <c r="J517" s="149">
        <f t="shared" si="63"/>
        <v>0</v>
      </c>
      <c r="K517" s="149">
        <f t="shared" si="64"/>
        <v>0</v>
      </c>
      <c r="L517" s="148"/>
    </row>
    <row r="518" spans="1:12">
      <c r="A518" s="150">
        <v>455</v>
      </c>
      <c r="B518" s="149">
        <f t="shared" si="57"/>
        <v>0</v>
      </c>
      <c r="C518" s="149">
        <f t="shared" si="58"/>
        <v>0</v>
      </c>
      <c r="D518" s="149">
        <f t="shared" si="59"/>
        <v>0</v>
      </c>
      <c r="E518" s="149">
        <f t="shared" si="60"/>
        <v>0</v>
      </c>
      <c r="F518" s="148"/>
      <c r="G518" s="150">
        <v>455</v>
      </c>
      <c r="H518" s="149">
        <f t="shared" si="61"/>
        <v>0</v>
      </c>
      <c r="I518" s="149">
        <f t="shared" si="62"/>
        <v>0</v>
      </c>
      <c r="J518" s="149">
        <f t="shared" si="63"/>
        <v>0</v>
      </c>
      <c r="K518" s="149">
        <f t="shared" si="64"/>
        <v>0</v>
      </c>
      <c r="L518" s="148"/>
    </row>
    <row r="519" spans="1:12">
      <c r="A519" s="150">
        <v>456</v>
      </c>
      <c r="B519" s="149">
        <f t="shared" si="57"/>
        <v>0</v>
      </c>
      <c r="C519" s="149">
        <f t="shared" si="58"/>
        <v>0</v>
      </c>
      <c r="D519" s="149">
        <f t="shared" si="59"/>
        <v>0</v>
      </c>
      <c r="E519" s="149">
        <f t="shared" si="60"/>
        <v>0</v>
      </c>
      <c r="F519" s="150">
        <v>38</v>
      </c>
      <c r="G519" s="150">
        <v>456</v>
      </c>
      <c r="H519" s="149">
        <f t="shared" si="61"/>
        <v>0</v>
      </c>
      <c r="I519" s="149">
        <f t="shared" si="62"/>
        <v>0</v>
      </c>
      <c r="J519" s="149">
        <f t="shared" si="63"/>
        <v>0</v>
      </c>
      <c r="K519" s="149">
        <f t="shared" si="64"/>
        <v>0</v>
      </c>
      <c r="L519" s="150">
        <v>38</v>
      </c>
    </row>
    <row r="520" spans="1:12">
      <c r="A520" s="150">
        <v>457</v>
      </c>
      <c r="B520" s="149">
        <f t="shared" si="57"/>
        <v>0</v>
      </c>
      <c r="C520" s="149">
        <f t="shared" si="58"/>
        <v>0</v>
      </c>
      <c r="D520" s="149">
        <f t="shared" si="59"/>
        <v>0</v>
      </c>
      <c r="E520" s="149">
        <f t="shared" si="60"/>
        <v>0</v>
      </c>
      <c r="F520" s="148"/>
      <c r="G520" s="150">
        <v>457</v>
      </c>
      <c r="H520" s="149">
        <f t="shared" si="61"/>
        <v>0</v>
      </c>
      <c r="I520" s="149">
        <f t="shared" si="62"/>
        <v>0</v>
      </c>
      <c r="J520" s="149">
        <f t="shared" si="63"/>
        <v>0</v>
      </c>
      <c r="K520" s="149">
        <f t="shared" si="64"/>
        <v>0</v>
      </c>
      <c r="L520" s="148"/>
    </row>
    <row r="521" spans="1:12" s="133" customFormat="1">
      <c r="A521" s="150">
        <v>458</v>
      </c>
      <c r="B521" s="149">
        <f t="shared" si="57"/>
        <v>0</v>
      </c>
      <c r="C521" s="149">
        <f t="shared" si="58"/>
        <v>0</v>
      </c>
      <c r="D521" s="149">
        <f t="shared" si="59"/>
        <v>0</v>
      </c>
      <c r="E521" s="149">
        <f t="shared" si="60"/>
        <v>0</v>
      </c>
      <c r="F521" s="148"/>
      <c r="G521" s="150">
        <v>458</v>
      </c>
      <c r="H521" s="149">
        <f t="shared" si="61"/>
        <v>0</v>
      </c>
      <c r="I521" s="149">
        <f t="shared" si="62"/>
        <v>0</v>
      </c>
      <c r="J521" s="149">
        <f t="shared" si="63"/>
        <v>0</v>
      </c>
      <c r="K521" s="149">
        <f t="shared" si="64"/>
        <v>0</v>
      </c>
      <c r="L521" s="148"/>
    </row>
    <row r="522" spans="1:12">
      <c r="A522" s="150">
        <v>459</v>
      </c>
      <c r="B522" s="149">
        <f t="shared" si="57"/>
        <v>0</v>
      </c>
      <c r="C522" s="149">
        <f t="shared" si="58"/>
        <v>0</v>
      </c>
      <c r="D522" s="149">
        <f t="shared" si="59"/>
        <v>0</v>
      </c>
      <c r="E522" s="149">
        <f t="shared" si="60"/>
        <v>0</v>
      </c>
      <c r="F522" s="148"/>
      <c r="G522" s="150">
        <v>459</v>
      </c>
      <c r="H522" s="149">
        <f t="shared" si="61"/>
        <v>0</v>
      </c>
      <c r="I522" s="149">
        <f t="shared" si="62"/>
        <v>0</v>
      </c>
      <c r="J522" s="149">
        <f t="shared" si="63"/>
        <v>0</v>
      </c>
      <c r="K522" s="149">
        <f t="shared" si="64"/>
        <v>0</v>
      </c>
      <c r="L522" s="148"/>
    </row>
    <row r="523" spans="1:12">
      <c r="A523" s="150">
        <v>460</v>
      </c>
      <c r="B523" s="149">
        <f t="shared" si="57"/>
        <v>0</v>
      </c>
      <c r="C523" s="149">
        <f t="shared" si="58"/>
        <v>0</v>
      </c>
      <c r="D523" s="149">
        <f t="shared" si="59"/>
        <v>0</v>
      </c>
      <c r="E523" s="149">
        <f t="shared" si="60"/>
        <v>0</v>
      </c>
      <c r="F523" s="148"/>
      <c r="G523" s="150">
        <v>460</v>
      </c>
      <c r="H523" s="149">
        <f t="shared" si="61"/>
        <v>0</v>
      </c>
      <c r="I523" s="149">
        <f t="shared" si="62"/>
        <v>0</v>
      </c>
      <c r="J523" s="149">
        <f t="shared" si="63"/>
        <v>0</v>
      </c>
      <c r="K523" s="149">
        <f t="shared" si="64"/>
        <v>0</v>
      </c>
      <c r="L523" s="148"/>
    </row>
    <row r="524" spans="1:12">
      <c r="A524" s="150">
        <v>461</v>
      </c>
      <c r="B524" s="149">
        <f t="shared" si="57"/>
        <v>0</v>
      </c>
      <c r="C524" s="149">
        <f t="shared" si="58"/>
        <v>0</v>
      </c>
      <c r="D524" s="149">
        <f t="shared" si="59"/>
        <v>0</v>
      </c>
      <c r="E524" s="149">
        <f t="shared" si="60"/>
        <v>0</v>
      </c>
      <c r="F524" s="148"/>
      <c r="G524" s="150">
        <v>461</v>
      </c>
      <c r="H524" s="149">
        <f t="shared" si="61"/>
        <v>0</v>
      </c>
      <c r="I524" s="149">
        <f t="shared" si="62"/>
        <v>0</v>
      </c>
      <c r="J524" s="149">
        <f t="shared" si="63"/>
        <v>0</v>
      </c>
      <c r="K524" s="149">
        <f t="shared" si="64"/>
        <v>0</v>
      </c>
      <c r="L524" s="148"/>
    </row>
    <row r="525" spans="1:12">
      <c r="A525" s="150">
        <v>462</v>
      </c>
      <c r="B525" s="149">
        <f t="shared" si="57"/>
        <v>0</v>
      </c>
      <c r="C525" s="149">
        <f t="shared" si="58"/>
        <v>0</v>
      </c>
      <c r="D525" s="149">
        <f t="shared" si="59"/>
        <v>0</v>
      </c>
      <c r="E525" s="149">
        <f t="shared" si="60"/>
        <v>0</v>
      </c>
      <c r="F525" s="148"/>
      <c r="G525" s="150">
        <v>462</v>
      </c>
      <c r="H525" s="149">
        <f t="shared" si="61"/>
        <v>0</v>
      </c>
      <c r="I525" s="149">
        <f t="shared" si="62"/>
        <v>0</v>
      </c>
      <c r="J525" s="149">
        <f t="shared" si="63"/>
        <v>0</v>
      </c>
      <c r="K525" s="149">
        <f t="shared" si="64"/>
        <v>0</v>
      </c>
      <c r="L525" s="148"/>
    </row>
    <row r="526" spans="1:12">
      <c r="A526" s="150">
        <v>463</v>
      </c>
      <c r="B526" s="149">
        <f t="shared" si="57"/>
        <v>0</v>
      </c>
      <c r="C526" s="149">
        <f t="shared" si="58"/>
        <v>0</v>
      </c>
      <c r="D526" s="149">
        <f t="shared" si="59"/>
        <v>0</v>
      </c>
      <c r="E526" s="149">
        <f t="shared" si="60"/>
        <v>0</v>
      </c>
      <c r="F526" s="148"/>
      <c r="G526" s="150">
        <v>463</v>
      </c>
      <c r="H526" s="149">
        <f t="shared" si="61"/>
        <v>0</v>
      </c>
      <c r="I526" s="149">
        <f t="shared" si="62"/>
        <v>0</v>
      </c>
      <c r="J526" s="149">
        <f t="shared" si="63"/>
        <v>0</v>
      </c>
      <c r="K526" s="149">
        <f t="shared" si="64"/>
        <v>0</v>
      </c>
      <c r="L526" s="148"/>
    </row>
    <row r="527" spans="1:12">
      <c r="A527" s="150">
        <v>464</v>
      </c>
      <c r="B527" s="149">
        <f t="shared" si="57"/>
        <v>0</v>
      </c>
      <c r="C527" s="149">
        <f t="shared" si="58"/>
        <v>0</v>
      </c>
      <c r="D527" s="149">
        <f t="shared" si="59"/>
        <v>0</v>
      </c>
      <c r="E527" s="149">
        <f t="shared" si="60"/>
        <v>0</v>
      </c>
      <c r="F527" s="148"/>
      <c r="G527" s="150">
        <v>464</v>
      </c>
      <c r="H527" s="149">
        <f t="shared" si="61"/>
        <v>0</v>
      </c>
      <c r="I527" s="149">
        <f t="shared" si="62"/>
        <v>0</v>
      </c>
      <c r="J527" s="149">
        <f t="shared" si="63"/>
        <v>0</v>
      </c>
      <c r="K527" s="149">
        <f t="shared" si="64"/>
        <v>0</v>
      </c>
      <c r="L527" s="148"/>
    </row>
    <row r="528" spans="1:12">
      <c r="A528" s="150">
        <v>465</v>
      </c>
      <c r="B528" s="149">
        <f t="shared" si="57"/>
        <v>0</v>
      </c>
      <c r="C528" s="149">
        <f t="shared" si="58"/>
        <v>0</v>
      </c>
      <c r="D528" s="149">
        <f t="shared" si="59"/>
        <v>0</v>
      </c>
      <c r="E528" s="149">
        <f t="shared" si="60"/>
        <v>0</v>
      </c>
      <c r="F528" s="148"/>
      <c r="G528" s="150">
        <v>465</v>
      </c>
      <c r="H528" s="149">
        <f t="shared" si="61"/>
        <v>0</v>
      </c>
      <c r="I528" s="149">
        <f t="shared" si="62"/>
        <v>0</v>
      </c>
      <c r="J528" s="149">
        <f t="shared" si="63"/>
        <v>0</v>
      </c>
      <c r="K528" s="149">
        <f t="shared" si="64"/>
        <v>0</v>
      </c>
      <c r="L528" s="148"/>
    </row>
    <row r="529" spans="1:12">
      <c r="A529" s="150">
        <v>466</v>
      </c>
      <c r="B529" s="149">
        <f t="shared" si="57"/>
        <v>0</v>
      </c>
      <c r="C529" s="149">
        <f t="shared" si="58"/>
        <v>0</v>
      </c>
      <c r="D529" s="149">
        <f t="shared" si="59"/>
        <v>0</v>
      </c>
      <c r="E529" s="149">
        <f t="shared" si="60"/>
        <v>0</v>
      </c>
      <c r="F529" s="148"/>
      <c r="G529" s="150">
        <v>466</v>
      </c>
      <c r="H529" s="149">
        <f t="shared" si="61"/>
        <v>0</v>
      </c>
      <c r="I529" s="149">
        <f t="shared" si="62"/>
        <v>0</v>
      </c>
      <c r="J529" s="149">
        <f t="shared" si="63"/>
        <v>0</v>
      </c>
      <c r="K529" s="149">
        <f t="shared" si="64"/>
        <v>0</v>
      </c>
      <c r="L529" s="148"/>
    </row>
    <row r="530" spans="1:12">
      <c r="A530" s="150">
        <v>467</v>
      </c>
      <c r="B530" s="149">
        <f t="shared" si="57"/>
        <v>0</v>
      </c>
      <c r="C530" s="149">
        <f t="shared" si="58"/>
        <v>0</v>
      </c>
      <c r="D530" s="149">
        <f t="shared" si="59"/>
        <v>0</v>
      </c>
      <c r="E530" s="149">
        <f t="shared" si="60"/>
        <v>0</v>
      </c>
      <c r="F530" s="148"/>
      <c r="G530" s="150">
        <v>467</v>
      </c>
      <c r="H530" s="149">
        <f t="shared" si="61"/>
        <v>0</v>
      </c>
      <c r="I530" s="149">
        <f t="shared" si="62"/>
        <v>0</v>
      </c>
      <c r="J530" s="149">
        <f t="shared" si="63"/>
        <v>0</v>
      </c>
      <c r="K530" s="149">
        <f t="shared" si="64"/>
        <v>0</v>
      </c>
      <c r="L530" s="148"/>
    </row>
    <row r="531" spans="1:12">
      <c r="A531" s="150">
        <v>468</v>
      </c>
      <c r="B531" s="149">
        <f t="shared" si="57"/>
        <v>0</v>
      </c>
      <c r="C531" s="149">
        <f t="shared" si="58"/>
        <v>0</v>
      </c>
      <c r="D531" s="149">
        <f t="shared" si="59"/>
        <v>0</v>
      </c>
      <c r="E531" s="149">
        <f t="shared" si="60"/>
        <v>0</v>
      </c>
      <c r="F531" s="148">
        <v>39</v>
      </c>
      <c r="G531" s="150">
        <v>468</v>
      </c>
      <c r="H531" s="149">
        <f t="shared" si="61"/>
        <v>0</v>
      </c>
      <c r="I531" s="149">
        <f t="shared" si="62"/>
        <v>0</v>
      </c>
      <c r="J531" s="149">
        <f t="shared" si="63"/>
        <v>0</v>
      </c>
      <c r="K531" s="149">
        <f t="shared" si="64"/>
        <v>0</v>
      </c>
      <c r="L531" s="148">
        <v>39</v>
      </c>
    </row>
    <row r="532" spans="1:12">
      <c r="A532" s="150">
        <v>469</v>
      </c>
      <c r="B532" s="149">
        <f t="shared" si="57"/>
        <v>0</v>
      </c>
      <c r="C532" s="149">
        <f t="shared" si="58"/>
        <v>0</v>
      </c>
      <c r="D532" s="149">
        <f t="shared" si="59"/>
        <v>0</v>
      </c>
      <c r="E532" s="149">
        <f t="shared" si="60"/>
        <v>0</v>
      </c>
      <c r="F532" s="148"/>
      <c r="G532" s="150">
        <v>469</v>
      </c>
      <c r="H532" s="149">
        <f t="shared" si="61"/>
        <v>0</v>
      </c>
      <c r="I532" s="149">
        <f t="shared" si="62"/>
        <v>0</v>
      </c>
      <c r="J532" s="149">
        <f t="shared" si="63"/>
        <v>0</v>
      </c>
      <c r="K532" s="149">
        <f t="shared" si="64"/>
        <v>0</v>
      </c>
      <c r="L532" s="148"/>
    </row>
    <row r="533" spans="1:12">
      <c r="A533" s="150">
        <v>470</v>
      </c>
      <c r="B533" s="149">
        <f t="shared" si="57"/>
        <v>0</v>
      </c>
      <c r="C533" s="149">
        <f t="shared" si="58"/>
        <v>0</v>
      </c>
      <c r="D533" s="149">
        <f t="shared" si="59"/>
        <v>0</v>
      </c>
      <c r="E533" s="149">
        <f t="shared" si="60"/>
        <v>0</v>
      </c>
      <c r="F533" s="148"/>
      <c r="G533" s="150">
        <v>470</v>
      </c>
      <c r="H533" s="149">
        <f t="shared" si="61"/>
        <v>0</v>
      </c>
      <c r="I533" s="149">
        <f t="shared" si="62"/>
        <v>0</v>
      </c>
      <c r="J533" s="149">
        <f t="shared" si="63"/>
        <v>0</v>
      </c>
      <c r="K533" s="149">
        <f t="shared" si="64"/>
        <v>0</v>
      </c>
      <c r="L533" s="148"/>
    </row>
    <row r="534" spans="1:12">
      <c r="A534" s="150">
        <v>471</v>
      </c>
      <c r="B534" s="149">
        <f t="shared" si="57"/>
        <v>0</v>
      </c>
      <c r="C534" s="149">
        <f t="shared" si="58"/>
        <v>0</v>
      </c>
      <c r="D534" s="149">
        <f t="shared" si="59"/>
        <v>0</v>
      </c>
      <c r="E534" s="149">
        <f t="shared" si="60"/>
        <v>0</v>
      </c>
      <c r="F534" s="148"/>
      <c r="G534" s="150">
        <v>471</v>
      </c>
      <c r="H534" s="149">
        <f t="shared" si="61"/>
        <v>0</v>
      </c>
      <c r="I534" s="149">
        <f t="shared" si="62"/>
        <v>0</v>
      </c>
      <c r="J534" s="149">
        <f t="shared" si="63"/>
        <v>0</v>
      </c>
      <c r="K534" s="149">
        <f t="shared" si="64"/>
        <v>0</v>
      </c>
      <c r="L534" s="148"/>
    </row>
    <row r="535" spans="1:12">
      <c r="A535" s="150">
        <v>472</v>
      </c>
      <c r="B535" s="149">
        <f t="shared" si="57"/>
        <v>0</v>
      </c>
      <c r="C535" s="149">
        <f t="shared" si="58"/>
        <v>0</v>
      </c>
      <c r="D535" s="149">
        <f t="shared" si="59"/>
        <v>0</v>
      </c>
      <c r="E535" s="149">
        <f t="shared" si="60"/>
        <v>0</v>
      </c>
      <c r="F535" s="148"/>
      <c r="G535" s="150">
        <v>472</v>
      </c>
      <c r="H535" s="149">
        <f t="shared" si="61"/>
        <v>0</v>
      </c>
      <c r="I535" s="149">
        <f t="shared" si="62"/>
        <v>0</v>
      </c>
      <c r="J535" s="149">
        <f t="shared" si="63"/>
        <v>0</v>
      </c>
      <c r="K535" s="149">
        <f t="shared" si="64"/>
        <v>0</v>
      </c>
      <c r="L535" s="148"/>
    </row>
    <row r="536" spans="1:12">
      <c r="A536" s="150">
        <v>473</v>
      </c>
      <c r="B536" s="149">
        <f t="shared" si="57"/>
        <v>0</v>
      </c>
      <c r="C536" s="149">
        <f t="shared" si="58"/>
        <v>0</v>
      </c>
      <c r="D536" s="149">
        <f t="shared" si="59"/>
        <v>0</v>
      </c>
      <c r="E536" s="149">
        <f t="shared" si="60"/>
        <v>0</v>
      </c>
      <c r="F536" s="148"/>
      <c r="G536" s="150">
        <v>473</v>
      </c>
      <c r="H536" s="149">
        <f t="shared" si="61"/>
        <v>0</v>
      </c>
      <c r="I536" s="149">
        <f t="shared" si="62"/>
        <v>0</v>
      </c>
      <c r="J536" s="149">
        <f t="shared" si="63"/>
        <v>0</v>
      </c>
      <c r="K536" s="149">
        <f t="shared" si="64"/>
        <v>0</v>
      </c>
      <c r="L536" s="148"/>
    </row>
    <row r="537" spans="1:12">
      <c r="A537" s="150">
        <v>474</v>
      </c>
      <c r="B537" s="149">
        <f t="shared" si="57"/>
        <v>0</v>
      </c>
      <c r="C537" s="149">
        <f t="shared" si="58"/>
        <v>0</v>
      </c>
      <c r="D537" s="149">
        <f t="shared" si="59"/>
        <v>0</v>
      </c>
      <c r="E537" s="149">
        <f t="shared" si="60"/>
        <v>0</v>
      </c>
      <c r="F537" s="148"/>
      <c r="G537" s="150">
        <v>474</v>
      </c>
      <c r="H537" s="149">
        <f t="shared" si="61"/>
        <v>0</v>
      </c>
      <c r="I537" s="149">
        <f t="shared" si="62"/>
        <v>0</v>
      </c>
      <c r="J537" s="149">
        <f t="shared" si="63"/>
        <v>0</v>
      </c>
      <c r="K537" s="149">
        <f t="shared" si="64"/>
        <v>0</v>
      </c>
      <c r="L537" s="148"/>
    </row>
    <row r="538" spans="1:12">
      <c r="A538" s="150">
        <v>475</v>
      </c>
      <c r="B538" s="149">
        <f t="shared" si="57"/>
        <v>0</v>
      </c>
      <c r="C538" s="149">
        <f t="shared" si="58"/>
        <v>0</v>
      </c>
      <c r="D538" s="149">
        <f t="shared" si="59"/>
        <v>0</v>
      </c>
      <c r="E538" s="149">
        <f t="shared" si="60"/>
        <v>0</v>
      </c>
      <c r="F538" s="148"/>
      <c r="G538" s="150">
        <v>475</v>
      </c>
      <c r="H538" s="149">
        <f t="shared" si="61"/>
        <v>0</v>
      </c>
      <c r="I538" s="149">
        <f t="shared" si="62"/>
        <v>0</v>
      </c>
      <c r="J538" s="149">
        <f t="shared" si="63"/>
        <v>0</v>
      </c>
      <c r="K538" s="149">
        <f t="shared" si="64"/>
        <v>0</v>
      </c>
      <c r="L538" s="148"/>
    </row>
    <row r="539" spans="1:12">
      <c r="A539" s="150">
        <v>476</v>
      </c>
      <c r="B539" s="149">
        <f t="shared" si="57"/>
        <v>0</v>
      </c>
      <c r="C539" s="149">
        <f t="shared" si="58"/>
        <v>0</v>
      </c>
      <c r="D539" s="149">
        <f t="shared" si="59"/>
        <v>0</v>
      </c>
      <c r="E539" s="149">
        <f t="shared" si="60"/>
        <v>0</v>
      </c>
      <c r="F539" s="148"/>
      <c r="G539" s="150">
        <v>476</v>
      </c>
      <c r="H539" s="149">
        <f t="shared" si="61"/>
        <v>0</v>
      </c>
      <c r="I539" s="149">
        <f t="shared" si="62"/>
        <v>0</v>
      </c>
      <c r="J539" s="149">
        <f t="shared" si="63"/>
        <v>0</v>
      </c>
      <c r="K539" s="149">
        <f t="shared" si="64"/>
        <v>0</v>
      </c>
      <c r="L539" s="148"/>
    </row>
    <row r="540" spans="1:12">
      <c r="A540" s="150">
        <v>477</v>
      </c>
      <c r="B540" s="149">
        <f t="shared" si="57"/>
        <v>0</v>
      </c>
      <c r="C540" s="149">
        <f t="shared" si="58"/>
        <v>0</v>
      </c>
      <c r="D540" s="149">
        <f t="shared" si="59"/>
        <v>0</v>
      </c>
      <c r="E540" s="149">
        <f t="shared" si="60"/>
        <v>0</v>
      </c>
      <c r="F540" s="148"/>
      <c r="G540" s="150">
        <v>477</v>
      </c>
      <c r="H540" s="149">
        <f t="shared" si="61"/>
        <v>0</v>
      </c>
      <c r="I540" s="149">
        <f t="shared" si="62"/>
        <v>0</v>
      </c>
      <c r="J540" s="149">
        <f t="shared" si="63"/>
        <v>0</v>
      </c>
      <c r="K540" s="149">
        <f t="shared" si="64"/>
        <v>0</v>
      </c>
      <c r="L540" s="148"/>
    </row>
    <row r="541" spans="1:12">
      <c r="A541" s="150">
        <v>478</v>
      </c>
      <c r="B541" s="149">
        <f t="shared" si="57"/>
        <v>0</v>
      </c>
      <c r="C541" s="149">
        <f t="shared" si="58"/>
        <v>0</v>
      </c>
      <c r="D541" s="149">
        <f t="shared" si="59"/>
        <v>0</v>
      </c>
      <c r="E541" s="149">
        <f t="shared" si="60"/>
        <v>0</v>
      </c>
      <c r="F541" s="148"/>
      <c r="G541" s="150">
        <v>478</v>
      </c>
      <c r="H541" s="149">
        <f t="shared" si="61"/>
        <v>0</v>
      </c>
      <c r="I541" s="149">
        <f t="shared" si="62"/>
        <v>0</v>
      </c>
      <c r="J541" s="149">
        <f t="shared" si="63"/>
        <v>0</v>
      </c>
      <c r="K541" s="149">
        <f t="shared" si="64"/>
        <v>0</v>
      </c>
      <c r="L541" s="148"/>
    </row>
    <row r="542" spans="1:12">
      <c r="A542" s="150">
        <v>479</v>
      </c>
      <c r="B542" s="149">
        <f t="shared" si="57"/>
        <v>0</v>
      </c>
      <c r="C542" s="149">
        <f t="shared" si="58"/>
        <v>0</v>
      </c>
      <c r="D542" s="149">
        <f t="shared" si="59"/>
        <v>0</v>
      </c>
      <c r="E542" s="149">
        <f t="shared" si="60"/>
        <v>0</v>
      </c>
      <c r="F542" s="148"/>
      <c r="G542" s="150">
        <v>479</v>
      </c>
      <c r="H542" s="149">
        <f t="shared" si="61"/>
        <v>0</v>
      </c>
      <c r="I542" s="149">
        <f t="shared" si="62"/>
        <v>0</v>
      </c>
      <c r="J542" s="149">
        <f t="shared" si="63"/>
        <v>0</v>
      </c>
      <c r="K542" s="149">
        <f t="shared" si="64"/>
        <v>0</v>
      </c>
      <c r="L542" s="148"/>
    </row>
    <row r="543" spans="1:12">
      <c r="A543" s="150">
        <v>480</v>
      </c>
      <c r="B543" s="149">
        <f t="shared" si="57"/>
        <v>0</v>
      </c>
      <c r="C543" s="149">
        <f t="shared" si="58"/>
        <v>0</v>
      </c>
      <c r="D543" s="149">
        <f t="shared" si="59"/>
        <v>0</v>
      </c>
      <c r="E543" s="149">
        <f t="shared" si="60"/>
        <v>0</v>
      </c>
      <c r="F543" s="148">
        <v>40</v>
      </c>
      <c r="G543" s="150">
        <v>480</v>
      </c>
      <c r="H543" s="149">
        <f t="shared" si="61"/>
        <v>0</v>
      </c>
      <c r="I543" s="149">
        <f t="shared" si="62"/>
        <v>0</v>
      </c>
      <c r="J543" s="149">
        <f t="shared" si="63"/>
        <v>0</v>
      </c>
      <c r="K543" s="149">
        <f t="shared" si="64"/>
        <v>0</v>
      </c>
      <c r="L543" s="148">
        <v>40</v>
      </c>
    </row>
    <row r="544" spans="1:12">
      <c r="A544" s="133"/>
      <c r="G544" s="143"/>
      <c r="H544" s="143"/>
      <c r="I544" s="143"/>
      <c r="J544" s="143"/>
      <c r="K544" s="143"/>
    </row>
    <row r="545" spans="1:11">
      <c r="A545" s="133"/>
      <c r="G545" s="143"/>
      <c r="H545" s="143"/>
      <c r="I545" s="143"/>
      <c r="J545" s="143"/>
      <c r="K545" s="143"/>
    </row>
    <row r="546" spans="1:11">
      <c r="A546" s="133"/>
      <c r="G546" s="143"/>
      <c r="H546" s="143"/>
      <c r="I546" s="143"/>
      <c r="J546" s="143"/>
      <c r="K546" s="143"/>
    </row>
    <row r="547" spans="1:11">
      <c r="A547" s="133"/>
      <c r="G547" s="143"/>
      <c r="H547" s="143"/>
      <c r="I547" s="143"/>
      <c r="J547" s="143"/>
      <c r="K547" s="143"/>
    </row>
    <row r="548" spans="1:11">
      <c r="A548" s="133"/>
      <c r="G548" s="143"/>
      <c r="H548" s="143"/>
      <c r="I548" s="143"/>
      <c r="J548" s="143"/>
      <c r="K548" s="143"/>
    </row>
    <row r="549" spans="1:11">
      <c r="A549" s="133"/>
      <c r="G549" s="143"/>
      <c r="H549" s="143"/>
      <c r="I549" s="143"/>
      <c r="J549" s="143"/>
      <c r="K549" s="143"/>
    </row>
    <row r="550" spans="1:11">
      <c r="A550" s="133"/>
      <c r="G550" s="143"/>
      <c r="H550" s="143"/>
      <c r="I550" s="143"/>
      <c r="J550" s="143"/>
      <c r="K550" s="143"/>
    </row>
    <row r="551" spans="1:11">
      <c r="G551" s="143"/>
      <c r="H551" s="143"/>
      <c r="I551" s="143"/>
      <c r="J551" s="143"/>
      <c r="K551" s="143"/>
    </row>
    <row r="552" spans="1:11">
      <c r="G552" s="143"/>
      <c r="H552" s="143"/>
      <c r="I552" s="143"/>
      <c r="J552" s="143"/>
      <c r="K552" s="143"/>
    </row>
    <row r="553" spans="1:11">
      <c r="G553" s="143"/>
      <c r="H553" s="143"/>
      <c r="I553" s="143"/>
      <c r="J553" s="143"/>
      <c r="K553" s="143"/>
    </row>
    <row r="554" spans="1:11">
      <c r="G554" s="143"/>
      <c r="H554" s="143"/>
      <c r="I554" s="143"/>
      <c r="J554" s="143"/>
      <c r="K554" s="143"/>
    </row>
    <row r="555" spans="1:11">
      <c r="G555" s="143"/>
      <c r="H555" s="143"/>
      <c r="I555" s="143"/>
      <c r="J555" s="143"/>
      <c r="K555" s="143"/>
    </row>
    <row r="556" spans="1:11">
      <c r="G556" s="143"/>
      <c r="H556" s="143"/>
      <c r="I556" s="143"/>
      <c r="J556" s="143"/>
      <c r="K556" s="143"/>
    </row>
    <row r="557" spans="1:11">
      <c r="G557" s="143"/>
      <c r="H557" s="143"/>
      <c r="I557" s="143"/>
      <c r="J557" s="143"/>
      <c r="K557" s="143"/>
    </row>
    <row r="558" spans="1:11">
      <c r="G558" s="143"/>
      <c r="H558" s="143"/>
      <c r="I558" s="143"/>
      <c r="J558" s="143"/>
      <c r="K558" s="143"/>
    </row>
    <row r="559" spans="1:11">
      <c r="G559" s="143"/>
      <c r="H559" s="143"/>
      <c r="I559" s="143"/>
      <c r="J559" s="143"/>
      <c r="K559" s="143"/>
    </row>
    <row r="560" spans="1:11">
      <c r="G560" s="143"/>
      <c r="H560" s="143"/>
      <c r="I560" s="143"/>
      <c r="J560" s="143"/>
      <c r="K560" s="143"/>
    </row>
    <row r="561" spans="7:11">
      <c r="G561" s="143"/>
      <c r="H561" s="143"/>
      <c r="I561" s="143"/>
      <c r="J561" s="143"/>
      <c r="K561" s="143"/>
    </row>
    <row r="562" spans="7:11">
      <c r="G562" s="143"/>
      <c r="H562" s="143"/>
      <c r="I562" s="143"/>
      <c r="J562" s="143"/>
      <c r="K562" s="143"/>
    </row>
    <row r="563" spans="7:11">
      <c r="G563" s="143"/>
      <c r="H563" s="143"/>
      <c r="I563" s="143"/>
      <c r="J563" s="143"/>
      <c r="K563" s="143"/>
    </row>
    <row r="564" spans="7:11">
      <c r="G564" s="143"/>
      <c r="H564" s="143"/>
      <c r="I564" s="143"/>
      <c r="J564" s="143"/>
      <c r="K564" s="143"/>
    </row>
    <row r="565" spans="7:11">
      <c r="G565" s="143"/>
      <c r="H565" s="143"/>
      <c r="I565" s="143"/>
      <c r="J565" s="143"/>
      <c r="K565" s="143"/>
    </row>
    <row r="566" spans="7:11">
      <c r="G566" s="143"/>
      <c r="H566" s="143"/>
      <c r="I566" s="143"/>
      <c r="J566" s="143"/>
      <c r="K566" s="143"/>
    </row>
    <row r="567" spans="7:11">
      <c r="G567" s="143"/>
      <c r="H567" s="143"/>
      <c r="I567" s="143"/>
      <c r="J567" s="143"/>
      <c r="K567" s="143"/>
    </row>
    <row r="568" spans="7:11">
      <c r="G568" s="143"/>
      <c r="H568" s="143"/>
      <c r="I568" s="143"/>
      <c r="J568" s="143"/>
      <c r="K568" s="143"/>
    </row>
    <row r="569" spans="7:11">
      <c r="G569" s="143"/>
      <c r="H569" s="143"/>
      <c r="I569" s="143"/>
      <c r="J569" s="143"/>
      <c r="K569" s="143"/>
    </row>
    <row r="570" spans="7:11">
      <c r="G570" s="143"/>
      <c r="H570" s="143"/>
      <c r="I570" s="143"/>
      <c r="J570" s="143"/>
      <c r="K570" s="143"/>
    </row>
    <row r="571" spans="7:11">
      <c r="G571" s="143"/>
      <c r="H571" s="143"/>
      <c r="I571" s="143"/>
      <c r="J571" s="143"/>
      <c r="K571" s="143"/>
    </row>
    <row r="572" spans="7:11">
      <c r="G572" s="143"/>
      <c r="H572" s="143"/>
      <c r="I572" s="143"/>
      <c r="J572" s="143"/>
      <c r="K572" s="143"/>
    </row>
    <row r="573" spans="7:11">
      <c r="G573" s="143"/>
      <c r="H573" s="143"/>
      <c r="I573" s="143"/>
      <c r="J573" s="143"/>
      <c r="K573" s="143"/>
    </row>
    <row r="574" spans="7:11">
      <c r="G574" s="143"/>
      <c r="H574" s="143"/>
      <c r="I574" s="143"/>
      <c r="J574" s="143"/>
      <c r="K574" s="143"/>
    </row>
    <row r="575" spans="7:11">
      <c r="G575" s="143"/>
      <c r="H575" s="143"/>
      <c r="I575" s="143"/>
      <c r="J575" s="143"/>
      <c r="K575" s="143"/>
    </row>
    <row r="576" spans="7:11">
      <c r="G576" s="143"/>
      <c r="H576" s="143"/>
      <c r="I576" s="143"/>
      <c r="J576" s="143"/>
      <c r="K576" s="143"/>
    </row>
    <row r="577" spans="7:11">
      <c r="G577" s="143"/>
      <c r="H577" s="143"/>
      <c r="I577" s="143"/>
      <c r="J577" s="143"/>
      <c r="K577" s="143"/>
    </row>
    <row r="578" spans="7:11">
      <c r="G578" s="143"/>
      <c r="H578" s="143"/>
      <c r="I578" s="143"/>
      <c r="J578" s="143"/>
      <c r="K578" s="143"/>
    </row>
    <row r="579" spans="7:11">
      <c r="G579" s="143"/>
      <c r="H579" s="143"/>
      <c r="I579" s="143"/>
      <c r="J579" s="143"/>
      <c r="K579" s="143"/>
    </row>
    <row r="580" spans="7:11">
      <c r="G580" s="143"/>
      <c r="H580" s="143"/>
      <c r="I580" s="143"/>
      <c r="J580" s="143"/>
      <c r="K580" s="143"/>
    </row>
    <row r="581" spans="7:11">
      <c r="G581" s="143"/>
      <c r="H581" s="143"/>
      <c r="I581" s="143"/>
      <c r="J581" s="143"/>
      <c r="K581" s="143"/>
    </row>
    <row r="582" spans="7:11">
      <c r="G582" s="143"/>
      <c r="H582" s="143"/>
      <c r="I582" s="143"/>
      <c r="J582" s="143"/>
      <c r="K582" s="143"/>
    </row>
    <row r="583" spans="7:11">
      <c r="G583" s="143"/>
      <c r="H583" s="143"/>
      <c r="I583" s="143"/>
      <c r="J583" s="143"/>
      <c r="K583" s="143"/>
    </row>
    <row r="584" spans="7:11">
      <c r="G584" s="143"/>
      <c r="H584" s="143"/>
      <c r="I584" s="143"/>
      <c r="J584" s="143"/>
      <c r="K584" s="143"/>
    </row>
    <row r="585" spans="7:11">
      <c r="G585" s="143"/>
      <c r="H585" s="143"/>
      <c r="I585" s="143"/>
      <c r="J585" s="143"/>
      <c r="K585" s="143"/>
    </row>
    <row r="586" spans="7:11">
      <c r="G586" s="143"/>
      <c r="H586" s="143"/>
      <c r="I586" s="143"/>
      <c r="J586" s="143"/>
      <c r="K586" s="143"/>
    </row>
    <row r="587" spans="7:11">
      <c r="G587" s="143"/>
      <c r="H587" s="143"/>
      <c r="I587" s="143"/>
      <c r="J587" s="143"/>
      <c r="K587" s="143"/>
    </row>
    <row r="588" spans="7:11">
      <c r="G588" s="143"/>
      <c r="H588" s="143"/>
      <c r="I588" s="143"/>
      <c r="J588" s="143"/>
      <c r="K588" s="143"/>
    </row>
    <row r="589" spans="7:11">
      <c r="G589" s="143"/>
      <c r="H589" s="143"/>
      <c r="I589" s="143"/>
      <c r="J589" s="143"/>
      <c r="K589" s="143"/>
    </row>
    <row r="590" spans="7:11">
      <c r="G590" s="143"/>
      <c r="H590" s="143"/>
      <c r="I590" s="143"/>
      <c r="J590" s="143"/>
      <c r="K590" s="143"/>
    </row>
    <row r="591" spans="7:11">
      <c r="G591" s="143"/>
      <c r="H591" s="143"/>
      <c r="I591" s="143"/>
      <c r="J591" s="143"/>
      <c r="K591" s="143"/>
    </row>
    <row r="592" spans="7:11">
      <c r="G592" s="143"/>
      <c r="H592" s="143"/>
      <c r="I592" s="143"/>
      <c r="J592" s="143"/>
      <c r="K592" s="143"/>
    </row>
    <row r="593" spans="7:11">
      <c r="G593" s="143"/>
      <c r="H593" s="143"/>
      <c r="I593" s="143"/>
      <c r="J593" s="143"/>
      <c r="K593" s="143"/>
    </row>
    <row r="594" spans="7:11">
      <c r="G594" s="143"/>
      <c r="H594" s="143"/>
      <c r="I594" s="143"/>
      <c r="J594" s="143"/>
      <c r="K594" s="143"/>
    </row>
    <row r="595" spans="7:11">
      <c r="G595" s="143"/>
      <c r="H595" s="143"/>
      <c r="I595" s="143"/>
      <c r="J595" s="143"/>
      <c r="K595" s="143"/>
    </row>
    <row r="596" spans="7:11">
      <c r="G596" s="143"/>
      <c r="H596" s="143"/>
      <c r="I596" s="143"/>
      <c r="J596" s="143"/>
      <c r="K596" s="143"/>
    </row>
    <row r="597" spans="7:11">
      <c r="G597" s="143"/>
      <c r="H597" s="143"/>
      <c r="I597" s="143"/>
      <c r="J597" s="143"/>
      <c r="K597" s="143"/>
    </row>
    <row r="598" spans="7:11">
      <c r="G598" s="143"/>
      <c r="H598" s="143"/>
      <c r="I598" s="143"/>
      <c r="J598" s="143"/>
      <c r="K598" s="143"/>
    </row>
    <row r="599" spans="7:11">
      <c r="G599" s="143"/>
      <c r="H599" s="143"/>
      <c r="I599" s="143"/>
      <c r="J599" s="143"/>
      <c r="K599" s="143"/>
    </row>
    <row r="600" spans="7:11">
      <c r="G600" s="143"/>
      <c r="H600" s="143"/>
      <c r="I600" s="143"/>
      <c r="J600" s="143"/>
      <c r="K600" s="143"/>
    </row>
    <row r="601" spans="7:11">
      <c r="G601" s="143"/>
      <c r="H601" s="143"/>
      <c r="I601" s="143"/>
      <c r="J601" s="143"/>
      <c r="K601" s="143"/>
    </row>
    <row r="602" spans="7:11">
      <c r="G602" s="143"/>
      <c r="H602" s="143"/>
      <c r="I602" s="143"/>
      <c r="J602" s="143"/>
      <c r="K602" s="143"/>
    </row>
    <row r="603" spans="7:11">
      <c r="G603" s="143"/>
      <c r="H603" s="143"/>
      <c r="I603" s="143"/>
      <c r="J603" s="143"/>
      <c r="K603" s="143"/>
    </row>
    <row r="604" spans="7:11">
      <c r="G604" s="143"/>
      <c r="H604" s="143"/>
      <c r="I604" s="143"/>
      <c r="J604" s="143"/>
      <c r="K604" s="143"/>
    </row>
    <row r="605" spans="7:11">
      <c r="G605" s="143"/>
      <c r="H605" s="143"/>
      <c r="I605" s="143"/>
      <c r="J605" s="143"/>
      <c r="K605" s="143"/>
    </row>
    <row r="606" spans="7:11">
      <c r="G606" s="143"/>
      <c r="H606" s="143"/>
      <c r="I606" s="143"/>
      <c r="J606" s="143"/>
      <c r="K606" s="143"/>
    </row>
    <row r="607" spans="7:11">
      <c r="G607" s="143"/>
      <c r="H607" s="143"/>
      <c r="I607" s="143"/>
      <c r="J607" s="143"/>
      <c r="K607" s="143"/>
    </row>
    <row r="608" spans="7:11">
      <c r="G608" s="143"/>
      <c r="H608" s="143"/>
      <c r="I608" s="143"/>
      <c r="J608" s="143"/>
      <c r="K608" s="143"/>
    </row>
    <row r="609" spans="7:11">
      <c r="G609" s="143"/>
      <c r="H609" s="143"/>
      <c r="I609" s="143"/>
      <c r="J609" s="143"/>
      <c r="K609" s="143"/>
    </row>
    <row r="610" spans="7:11">
      <c r="G610" s="143"/>
      <c r="H610" s="143"/>
      <c r="I610" s="143"/>
      <c r="J610" s="143"/>
      <c r="K610" s="143"/>
    </row>
    <row r="611" spans="7:11">
      <c r="G611" s="143"/>
      <c r="H611" s="143"/>
      <c r="I611" s="143"/>
      <c r="J611" s="143"/>
      <c r="K611" s="143"/>
    </row>
    <row r="612" spans="7:11">
      <c r="G612" s="143"/>
      <c r="H612" s="143"/>
      <c r="I612" s="143"/>
      <c r="J612" s="143"/>
      <c r="K612" s="143"/>
    </row>
    <row r="613" spans="7:11">
      <c r="G613" s="143"/>
      <c r="H613" s="143"/>
      <c r="I613" s="143"/>
      <c r="J613" s="143"/>
      <c r="K613" s="143"/>
    </row>
    <row r="614" spans="7:11">
      <c r="G614" s="143"/>
      <c r="H614" s="143"/>
      <c r="I614" s="143"/>
      <c r="J614" s="143"/>
      <c r="K614" s="143"/>
    </row>
    <row r="615" spans="7:11">
      <c r="G615" s="143"/>
      <c r="H615" s="143"/>
      <c r="I615" s="143"/>
      <c r="J615" s="143"/>
      <c r="K615" s="143"/>
    </row>
    <row r="616" spans="7:11">
      <c r="G616" s="143"/>
      <c r="H616" s="143"/>
      <c r="I616" s="143"/>
      <c r="J616" s="143"/>
      <c r="K616" s="143"/>
    </row>
    <row r="617" spans="7:11">
      <c r="G617" s="143"/>
      <c r="H617" s="143"/>
      <c r="I617" s="143"/>
      <c r="J617" s="143"/>
      <c r="K617" s="143"/>
    </row>
    <row r="618" spans="7:11">
      <c r="G618" s="143"/>
      <c r="H618" s="143"/>
      <c r="I618" s="143"/>
      <c r="J618" s="143"/>
      <c r="K618" s="143"/>
    </row>
    <row r="619" spans="7:11">
      <c r="G619" s="143"/>
      <c r="H619" s="143"/>
      <c r="I619" s="143"/>
      <c r="J619" s="143"/>
      <c r="K619" s="143"/>
    </row>
    <row r="620" spans="7:11">
      <c r="G620" s="143"/>
      <c r="H620" s="143"/>
      <c r="I620" s="143"/>
      <c r="J620" s="143"/>
      <c r="K620" s="143"/>
    </row>
    <row r="621" spans="7:11">
      <c r="G621" s="143"/>
      <c r="H621" s="143"/>
      <c r="I621" s="143"/>
      <c r="J621" s="143"/>
      <c r="K621" s="143"/>
    </row>
    <row r="622" spans="7:11">
      <c r="G622" s="143"/>
      <c r="H622" s="143"/>
      <c r="I622" s="143"/>
      <c r="J622" s="143"/>
      <c r="K622" s="143"/>
    </row>
    <row r="623" spans="7:11">
      <c r="G623" s="143"/>
      <c r="H623" s="143"/>
      <c r="I623" s="143"/>
      <c r="J623" s="143"/>
      <c r="K623" s="143"/>
    </row>
    <row r="624" spans="7:11">
      <c r="G624" s="143"/>
      <c r="H624" s="143"/>
      <c r="I624" s="143"/>
      <c r="J624" s="143"/>
      <c r="K624" s="143"/>
    </row>
    <row r="625" spans="7:11">
      <c r="G625" s="143"/>
      <c r="H625" s="143"/>
      <c r="I625" s="143"/>
      <c r="J625" s="143"/>
      <c r="K625" s="143"/>
    </row>
    <row r="626" spans="7:11">
      <c r="G626" s="143"/>
      <c r="H626" s="143"/>
      <c r="I626" s="143"/>
      <c r="J626" s="143"/>
      <c r="K626" s="143"/>
    </row>
    <row r="627" spans="7:11">
      <c r="G627" s="143"/>
      <c r="H627" s="143"/>
      <c r="I627" s="143"/>
      <c r="J627" s="143"/>
      <c r="K627" s="143"/>
    </row>
    <row r="628" spans="7:11">
      <c r="G628" s="143"/>
      <c r="H628" s="143"/>
      <c r="I628" s="143"/>
      <c r="J628" s="143"/>
      <c r="K628" s="143"/>
    </row>
    <row r="629" spans="7:11">
      <c r="G629" s="143"/>
      <c r="H629" s="143"/>
      <c r="I629" s="143"/>
      <c r="J629" s="143"/>
      <c r="K629" s="143"/>
    </row>
    <row r="630" spans="7:11">
      <c r="G630" s="143"/>
      <c r="H630" s="143"/>
      <c r="I630" s="143"/>
      <c r="J630" s="143"/>
      <c r="K630" s="143"/>
    </row>
    <row r="631" spans="7:11">
      <c r="G631" s="143"/>
      <c r="H631" s="143"/>
      <c r="I631" s="143"/>
      <c r="J631" s="143"/>
      <c r="K631" s="143"/>
    </row>
    <row r="632" spans="7:11">
      <c r="G632" s="143"/>
      <c r="H632" s="143"/>
      <c r="I632" s="143"/>
      <c r="J632" s="143"/>
      <c r="K632" s="143"/>
    </row>
    <row r="633" spans="7:11">
      <c r="G633" s="143"/>
      <c r="H633" s="143"/>
      <c r="I633" s="143"/>
      <c r="J633" s="143"/>
      <c r="K633" s="143"/>
    </row>
    <row r="634" spans="7:11">
      <c r="G634" s="143"/>
      <c r="H634" s="143"/>
      <c r="I634" s="143"/>
      <c r="J634" s="143"/>
      <c r="K634" s="143"/>
    </row>
    <row r="635" spans="7:11">
      <c r="G635" s="143"/>
      <c r="H635" s="143"/>
      <c r="I635" s="143"/>
      <c r="J635" s="143"/>
      <c r="K635" s="143"/>
    </row>
    <row r="636" spans="7:11">
      <c r="G636" s="143"/>
      <c r="H636" s="143"/>
      <c r="I636" s="143"/>
      <c r="J636" s="143"/>
      <c r="K636" s="143"/>
    </row>
    <row r="637" spans="7:11">
      <c r="G637" s="143"/>
      <c r="H637" s="143"/>
      <c r="I637" s="143"/>
      <c r="J637" s="143"/>
      <c r="K637" s="143"/>
    </row>
    <row r="638" spans="7:11">
      <c r="G638" s="143"/>
      <c r="H638" s="143"/>
      <c r="I638" s="143"/>
      <c r="J638" s="143"/>
      <c r="K638" s="143"/>
    </row>
    <row r="639" spans="7:11">
      <c r="G639" s="143"/>
      <c r="H639" s="143"/>
      <c r="I639" s="143"/>
      <c r="J639" s="143"/>
      <c r="K639" s="143"/>
    </row>
    <row r="640" spans="7:11">
      <c r="G640" s="143"/>
      <c r="H640" s="143"/>
      <c r="I640" s="143"/>
      <c r="J640" s="143"/>
      <c r="K640" s="143"/>
    </row>
    <row r="641" spans="7:11">
      <c r="G641" s="143"/>
      <c r="H641" s="143"/>
      <c r="I641" s="143"/>
      <c r="J641" s="143"/>
      <c r="K641" s="143"/>
    </row>
    <row r="642" spans="7:11">
      <c r="G642" s="143"/>
      <c r="H642" s="143"/>
      <c r="I642" s="143"/>
      <c r="J642" s="143"/>
      <c r="K642" s="143"/>
    </row>
    <row r="643" spans="7:11">
      <c r="G643" s="143"/>
      <c r="H643" s="143"/>
      <c r="I643" s="143"/>
      <c r="J643" s="143"/>
      <c r="K643" s="143"/>
    </row>
    <row r="644" spans="7:11">
      <c r="G644" s="143"/>
      <c r="H644" s="143"/>
      <c r="I644" s="143"/>
      <c r="J644" s="143"/>
      <c r="K644" s="143"/>
    </row>
    <row r="645" spans="7:11">
      <c r="G645" s="143"/>
      <c r="H645" s="143"/>
      <c r="I645" s="143"/>
      <c r="J645" s="143"/>
      <c r="K645" s="143"/>
    </row>
    <row r="646" spans="7:11">
      <c r="G646" s="143"/>
      <c r="H646" s="143"/>
      <c r="I646" s="143"/>
      <c r="J646" s="143"/>
      <c r="K646" s="143"/>
    </row>
    <row r="647" spans="7:11">
      <c r="G647" s="143"/>
      <c r="H647" s="143"/>
      <c r="I647" s="143"/>
      <c r="J647" s="143"/>
      <c r="K647" s="143"/>
    </row>
    <row r="648" spans="7:11">
      <c r="G648" s="143"/>
      <c r="H648" s="143"/>
      <c r="I648" s="143"/>
      <c r="J648" s="143"/>
      <c r="K648" s="143"/>
    </row>
    <row r="649" spans="7:11">
      <c r="G649" s="143"/>
      <c r="H649" s="143"/>
      <c r="I649" s="143"/>
      <c r="J649" s="143"/>
      <c r="K649" s="143"/>
    </row>
    <row r="650" spans="7:11">
      <c r="G650" s="143"/>
      <c r="H650" s="143"/>
      <c r="I650" s="143"/>
      <c r="J650" s="143"/>
      <c r="K650" s="143"/>
    </row>
    <row r="651" spans="7:11">
      <c r="G651" s="143"/>
      <c r="H651" s="143"/>
      <c r="I651" s="143"/>
      <c r="J651" s="143"/>
      <c r="K651" s="143"/>
    </row>
    <row r="652" spans="7:11">
      <c r="G652" s="143"/>
      <c r="H652" s="143"/>
      <c r="I652" s="143"/>
      <c r="J652" s="143"/>
      <c r="K652" s="143"/>
    </row>
    <row r="653" spans="7:11">
      <c r="G653" s="143"/>
      <c r="H653" s="143"/>
      <c r="I653" s="143"/>
      <c r="J653" s="143"/>
      <c r="K653" s="143"/>
    </row>
    <row r="654" spans="7:11">
      <c r="G654" s="143"/>
      <c r="H654" s="143"/>
      <c r="I654" s="143"/>
      <c r="J654" s="143"/>
      <c r="K654" s="143"/>
    </row>
    <row r="655" spans="7:11">
      <c r="G655" s="143"/>
      <c r="H655" s="143"/>
      <c r="I655" s="143"/>
      <c r="J655" s="143"/>
      <c r="K655" s="143"/>
    </row>
    <row r="656" spans="7:11">
      <c r="G656" s="143"/>
      <c r="H656" s="143"/>
      <c r="I656" s="143"/>
      <c r="J656" s="143"/>
      <c r="K656" s="143"/>
    </row>
    <row r="657" spans="7:11">
      <c r="G657" s="143"/>
      <c r="H657" s="143"/>
      <c r="I657" s="143"/>
      <c r="J657" s="143"/>
      <c r="K657" s="143"/>
    </row>
    <row r="658" spans="7:11">
      <c r="G658" s="143"/>
      <c r="H658" s="143"/>
      <c r="I658" s="143"/>
      <c r="J658" s="143"/>
      <c r="K658" s="143"/>
    </row>
    <row r="659" spans="7:11">
      <c r="G659" s="143"/>
      <c r="H659" s="143"/>
      <c r="I659" s="143"/>
      <c r="J659" s="143"/>
      <c r="K659" s="143"/>
    </row>
    <row r="660" spans="7:11">
      <c r="G660" s="143"/>
      <c r="H660" s="143"/>
      <c r="I660" s="143"/>
      <c r="J660" s="143"/>
      <c r="K660" s="143"/>
    </row>
    <row r="661" spans="7:11">
      <c r="G661" s="143"/>
      <c r="H661" s="143"/>
      <c r="I661" s="143"/>
      <c r="J661" s="143"/>
      <c r="K661" s="143"/>
    </row>
    <row r="662" spans="7:11">
      <c r="G662" s="143"/>
      <c r="H662" s="143"/>
      <c r="I662" s="143"/>
      <c r="J662" s="143"/>
      <c r="K662" s="143"/>
    </row>
    <row r="663" spans="7:11">
      <c r="G663" s="143"/>
      <c r="H663" s="143"/>
      <c r="I663" s="143"/>
      <c r="J663" s="143"/>
      <c r="K663" s="143"/>
    </row>
    <row r="664" spans="7:11">
      <c r="G664" s="143"/>
      <c r="H664" s="143"/>
      <c r="I664" s="143"/>
      <c r="J664" s="143"/>
      <c r="K664" s="143"/>
    </row>
    <row r="665" spans="7:11">
      <c r="G665" s="143"/>
      <c r="H665" s="143"/>
      <c r="I665" s="143"/>
      <c r="J665" s="143"/>
      <c r="K665" s="143"/>
    </row>
    <row r="666" spans="7:11">
      <c r="G666" s="143"/>
      <c r="H666" s="143"/>
      <c r="I666" s="143"/>
      <c r="J666" s="143"/>
      <c r="K666" s="143"/>
    </row>
    <row r="667" spans="7:11">
      <c r="G667" s="143"/>
      <c r="H667" s="143"/>
      <c r="I667" s="143"/>
      <c r="J667" s="143"/>
      <c r="K667" s="143"/>
    </row>
    <row r="668" spans="7:11">
      <c r="G668" s="143"/>
      <c r="H668" s="143"/>
      <c r="I668" s="143"/>
      <c r="J668" s="143"/>
      <c r="K668" s="143"/>
    </row>
    <row r="669" spans="7:11">
      <c r="G669" s="143"/>
      <c r="H669" s="143"/>
      <c r="I669" s="143"/>
      <c r="J669" s="143"/>
      <c r="K669" s="143"/>
    </row>
    <row r="670" spans="7:11">
      <c r="G670" s="143"/>
      <c r="H670" s="143"/>
      <c r="I670" s="143"/>
      <c r="J670" s="143"/>
      <c r="K670" s="143"/>
    </row>
    <row r="671" spans="7:11">
      <c r="G671" s="143"/>
      <c r="H671" s="143"/>
      <c r="I671" s="143"/>
      <c r="J671" s="143"/>
      <c r="K671" s="143"/>
    </row>
    <row r="672" spans="7:11">
      <c r="G672" s="143"/>
      <c r="H672" s="143"/>
      <c r="I672" s="143"/>
      <c r="J672" s="143"/>
      <c r="K672" s="143"/>
    </row>
    <row r="673" spans="7:11">
      <c r="G673" s="143"/>
      <c r="H673" s="143"/>
      <c r="I673" s="143"/>
      <c r="J673" s="143"/>
      <c r="K673" s="143"/>
    </row>
    <row r="674" spans="7:11">
      <c r="G674" s="143"/>
      <c r="H674" s="143"/>
      <c r="I674" s="143"/>
      <c r="J674" s="143"/>
      <c r="K674" s="143"/>
    </row>
    <row r="675" spans="7:11">
      <c r="G675" s="143"/>
      <c r="H675" s="143"/>
      <c r="I675" s="143"/>
      <c r="J675" s="143"/>
      <c r="K675" s="143"/>
    </row>
    <row r="676" spans="7:11">
      <c r="G676" s="143"/>
      <c r="H676" s="143"/>
      <c r="I676" s="143"/>
      <c r="J676" s="143"/>
      <c r="K676" s="143"/>
    </row>
    <row r="677" spans="7:11">
      <c r="G677" s="143"/>
      <c r="H677" s="143"/>
      <c r="I677" s="143"/>
      <c r="J677" s="143"/>
      <c r="K677" s="143"/>
    </row>
    <row r="678" spans="7:11">
      <c r="G678" s="143"/>
      <c r="H678" s="143"/>
      <c r="I678" s="143"/>
      <c r="J678" s="143"/>
      <c r="K678" s="143"/>
    </row>
    <row r="679" spans="7:11">
      <c r="G679" s="143"/>
      <c r="H679" s="143"/>
      <c r="I679" s="143"/>
      <c r="J679" s="143"/>
      <c r="K679" s="143"/>
    </row>
    <row r="680" spans="7:11">
      <c r="G680" s="143"/>
      <c r="H680" s="143"/>
      <c r="I680" s="143"/>
      <c r="J680" s="143"/>
      <c r="K680" s="143"/>
    </row>
    <row r="681" spans="7:11">
      <c r="G681" s="143"/>
      <c r="H681" s="143"/>
      <c r="I681" s="143"/>
      <c r="J681" s="143"/>
      <c r="K681" s="143"/>
    </row>
    <row r="682" spans="7:11">
      <c r="G682" s="143"/>
      <c r="H682" s="143"/>
      <c r="I682" s="143"/>
      <c r="J682" s="143"/>
      <c r="K682" s="143"/>
    </row>
    <row r="683" spans="7:11">
      <c r="G683" s="143"/>
      <c r="H683" s="143"/>
      <c r="I683" s="143"/>
      <c r="J683" s="143"/>
      <c r="K683" s="143"/>
    </row>
    <row r="684" spans="7:11">
      <c r="G684" s="143"/>
      <c r="H684" s="143"/>
      <c r="I684" s="143"/>
      <c r="J684" s="143"/>
      <c r="K684" s="143"/>
    </row>
    <row r="685" spans="7:11">
      <c r="G685" s="143"/>
      <c r="H685" s="143"/>
      <c r="I685" s="143"/>
      <c r="J685" s="143"/>
      <c r="K685" s="143"/>
    </row>
    <row r="686" spans="7:11">
      <c r="G686" s="143"/>
      <c r="H686" s="143"/>
      <c r="I686" s="143"/>
      <c r="J686" s="143"/>
      <c r="K686" s="143"/>
    </row>
    <row r="687" spans="7:11">
      <c r="G687" s="143"/>
      <c r="H687" s="143"/>
      <c r="I687" s="143"/>
      <c r="J687" s="143"/>
      <c r="K687" s="143"/>
    </row>
    <row r="688" spans="7:11">
      <c r="G688" s="143"/>
      <c r="H688" s="143"/>
      <c r="I688" s="143"/>
      <c r="J688" s="143"/>
      <c r="K688" s="143"/>
    </row>
    <row r="689" spans="7:11">
      <c r="G689" s="143"/>
      <c r="H689" s="143"/>
      <c r="I689" s="143"/>
      <c r="J689" s="143"/>
      <c r="K689" s="143"/>
    </row>
    <row r="690" spans="7:11">
      <c r="G690" s="143"/>
      <c r="H690" s="143"/>
      <c r="I690" s="143"/>
      <c r="J690" s="143"/>
      <c r="K690" s="143"/>
    </row>
    <row r="691" spans="7:11">
      <c r="G691" s="143"/>
      <c r="H691" s="143"/>
      <c r="I691" s="143"/>
      <c r="J691" s="143"/>
      <c r="K691" s="143"/>
    </row>
    <row r="692" spans="7:11">
      <c r="G692" s="143"/>
      <c r="H692" s="143"/>
      <c r="I692" s="143"/>
      <c r="J692" s="143"/>
      <c r="K692" s="143"/>
    </row>
    <row r="693" spans="7:11">
      <c r="G693" s="143"/>
      <c r="H693" s="143"/>
      <c r="I693" s="143"/>
      <c r="J693" s="143"/>
      <c r="K693" s="143"/>
    </row>
    <row r="694" spans="7:11">
      <c r="G694" s="143"/>
      <c r="H694" s="143"/>
      <c r="I694" s="143"/>
      <c r="J694" s="143"/>
      <c r="K694" s="143"/>
    </row>
    <row r="695" spans="7:11">
      <c r="G695" s="143"/>
      <c r="H695" s="143"/>
      <c r="I695" s="143"/>
      <c r="J695" s="143"/>
      <c r="K695" s="143"/>
    </row>
    <row r="696" spans="7:11">
      <c r="G696" s="143"/>
      <c r="H696" s="143"/>
      <c r="I696" s="143"/>
      <c r="J696" s="143"/>
      <c r="K696" s="143"/>
    </row>
    <row r="697" spans="7:11">
      <c r="G697" s="143"/>
      <c r="H697" s="143"/>
      <c r="I697" s="143"/>
      <c r="J697" s="143"/>
      <c r="K697" s="143"/>
    </row>
    <row r="698" spans="7:11">
      <c r="G698" s="143"/>
      <c r="H698" s="143"/>
      <c r="I698" s="143"/>
      <c r="J698" s="143"/>
      <c r="K698" s="143"/>
    </row>
    <row r="699" spans="7:11">
      <c r="G699" s="143"/>
      <c r="H699" s="143"/>
      <c r="I699" s="143"/>
      <c r="J699" s="143"/>
      <c r="K699" s="143"/>
    </row>
    <row r="700" spans="7:11">
      <c r="G700" s="143"/>
      <c r="H700" s="143"/>
      <c r="I700" s="143"/>
      <c r="J700" s="143"/>
      <c r="K700" s="143"/>
    </row>
    <row r="701" spans="7:11">
      <c r="G701" s="143"/>
      <c r="H701" s="143"/>
      <c r="I701" s="143"/>
      <c r="J701" s="143"/>
      <c r="K701" s="143"/>
    </row>
    <row r="702" spans="7:11">
      <c r="G702" s="143"/>
      <c r="H702" s="143"/>
      <c r="I702" s="143"/>
      <c r="J702" s="143"/>
      <c r="K702" s="143"/>
    </row>
    <row r="703" spans="7:11">
      <c r="G703" s="143"/>
      <c r="H703" s="143"/>
      <c r="I703" s="143"/>
      <c r="J703" s="143"/>
      <c r="K703" s="143"/>
    </row>
    <row r="704" spans="7:11">
      <c r="G704" s="143"/>
      <c r="H704" s="143"/>
      <c r="I704" s="143"/>
      <c r="J704" s="143"/>
      <c r="K704" s="143"/>
    </row>
    <row r="705" spans="7:11">
      <c r="G705" s="143"/>
      <c r="H705" s="143"/>
      <c r="I705" s="143"/>
      <c r="J705" s="143"/>
      <c r="K705" s="143"/>
    </row>
    <row r="706" spans="7:11">
      <c r="G706" s="143"/>
      <c r="H706" s="143"/>
      <c r="I706" s="143"/>
      <c r="J706" s="143"/>
      <c r="K706" s="143"/>
    </row>
    <row r="707" spans="7:11">
      <c r="G707" s="143"/>
      <c r="H707" s="143"/>
      <c r="I707" s="143"/>
      <c r="J707" s="143"/>
      <c r="K707" s="143"/>
    </row>
    <row r="708" spans="7:11">
      <c r="G708" s="143"/>
      <c r="H708" s="143"/>
      <c r="I708" s="143"/>
      <c r="J708" s="143"/>
      <c r="K708" s="143"/>
    </row>
    <row r="709" spans="7:11">
      <c r="G709" s="143"/>
      <c r="H709" s="143"/>
      <c r="I709" s="143"/>
      <c r="J709" s="143"/>
      <c r="K709" s="143"/>
    </row>
    <row r="710" spans="7:11">
      <c r="G710" s="143"/>
      <c r="H710" s="143"/>
      <c r="I710" s="143"/>
      <c r="J710" s="143"/>
      <c r="K710" s="143"/>
    </row>
    <row r="711" spans="7:11">
      <c r="G711" s="143"/>
      <c r="H711" s="143"/>
      <c r="I711" s="143"/>
      <c r="J711" s="143"/>
      <c r="K711" s="143"/>
    </row>
    <row r="712" spans="7:11">
      <c r="G712" s="143"/>
      <c r="H712" s="143"/>
      <c r="I712" s="143"/>
      <c r="J712" s="143"/>
      <c r="K712" s="143"/>
    </row>
    <row r="713" spans="7:11">
      <c r="G713" s="143"/>
      <c r="H713" s="143"/>
      <c r="I713" s="143"/>
      <c r="J713" s="143"/>
      <c r="K713" s="143"/>
    </row>
    <row r="714" spans="7:11">
      <c r="G714" s="143"/>
      <c r="H714" s="143"/>
      <c r="I714" s="143"/>
      <c r="J714" s="143"/>
      <c r="K714" s="143"/>
    </row>
    <row r="715" spans="7:11">
      <c r="G715" s="143"/>
      <c r="H715" s="143"/>
      <c r="I715" s="143"/>
      <c r="J715" s="143"/>
      <c r="K715" s="143"/>
    </row>
    <row r="716" spans="7:11">
      <c r="G716" s="143"/>
      <c r="H716" s="143"/>
      <c r="I716" s="143"/>
      <c r="J716" s="143"/>
      <c r="K716" s="143"/>
    </row>
    <row r="717" spans="7:11">
      <c r="G717" s="143"/>
      <c r="H717" s="143"/>
      <c r="I717" s="143"/>
      <c r="J717" s="143"/>
      <c r="K717" s="143"/>
    </row>
    <row r="718" spans="7:11">
      <c r="G718" s="143"/>
      <c r="H718" s="143"/>
      <c r="I718" s="143"/>
      <c r="J718" s="143"/>
      <c r="K718" s="143"/>
    </row>
    <row r="719" spans="7:11">
      <c r="G719" s="143"/>
      <c r="H719" s="143"/>
      <c r="I719" s="143"/>
      <c r="J719" s="143"/>
      <c r="K719" s="143"/>
    </row>
    <row r="720" spans="7:11">
      <c r="G720" s="143"/>
      <c r="H720" s="143"/>
      <c r="I720" s="143"/>
      <c r="J720" s="143"/>
      <c r="K720" s="143"/>
    </row>
    <row r="721" spans="7:11">
      <c r="G721" s="143"/>
      <c r="H721" s="143"/>
      <c r="I721" s="143"/>
      <c r="J721" s="143"/>
      <c r="K721" s="143"/>
    </row>
    <row r="722" spans="7:11">
      <c r="G722" s="143"/>
      <c r="H722" s="143"/>
      <c r="I722" s="143"/>
      <c r="J722" s="143"/>
      <c r="K722" s="143"/>
    </row>
    <row r="723" spans="7:11">
      <c r="G723" s="143"/>
      <c r="H723" s="143"/>
      <c r="I723" s="143"/>
      <c r="J723" s="143"/>
      <c r="K723" s="143"/>
    </row>
    <row r="724" spans="7:11">
      <c r="G724" s="143"/>
      <c r="H724" s="143"/>
      <c r="I724" s="143"/>
      <c r="J724" s="143"/>
      <c r="K724" s="143"/>
    </row>
    <row r="725" spans="7:11">
      <c r="G725" s="143"/>
      <c r="H725" s="143"/>
      <c r="I725" s="143"/>
      <c r="J725" s="143"/>
      <c r="K725" s="143"/>
    </row>
    <row r="726" spans="7:11">
      <c r="G726" s="143"/>
      <c r="H726" s="143"/>
      <c r="I726" s="143"/>
      <c r="J726" s="143"/>
      <c r="K726" s="143"/>
    </row>
    <row r="727" spans="7:11">
      <c r="G727" s="143"/>
      <c r="H727" s="143"/>
      <c r="I727" s="143"/>
      <c r="J727" s="143"/>
      <c r="K727" s="143"/>
    </row>
    <row r="728" spans="7:11">
      <c r="G728" s="143"/>
      <c r="H728" s="143"/>
      <c r="I728" s="143"/>
      <c r="J728" s="143"/>
      <c r="K728" s="143"/>
    </row>
    <row r="729" spans="7:11">
      <c r="G729" s="143"/>
      <c r="H729" s="143"/>
      <c r="I729" s="143"/>
      <c r="J729" s="143"/>
      <c r="K729" s="143"/>
    </row>
    <row r="730" spans="7:11">
      <c r="G730" s="143"/>
      <c r="H730" s="143"/>
      <c r="I730" s="143"/>
      <c r="J730" s="143"/>
      <c r="K730" s="143"/>
    </row>
    <row r="731" spans="7:11">
      <c r="G731" s="143"/>
      <c r="H731" s="143"/>
      <c r="I731" s="143"/>
      <c r="J731" s="143"/>
      <c r="K731" s="143"/>
    </row>
    <row r="732" spans="7:11">
      <c r="G732" s="143"/>
      <c r="H732" s="143"/>
      <c r="I732" s="143"/>
      <c r="J732" s="143"/>
      <c r="K732" s="143"/>
    </row>
    <row r="733" spans="7:11">
      <c r="G733" s="143"/>
      <c r="H733" s="143"/>
      <c r="I733" s="143"/>
      <c r="J733" s="143"/>
      <c r="K733" s="143"/>
    </row>
    <row r="734" spans="7:11">
      <c r="G734" s="143"/>
      <c r="H734" s="143"/>
      <c r="I734" s="143"/>
      <c r="J734" s="143"/>
      <c r="K734" s="143"/>
    </row>
    <row r="735" spans="7:11">
      <c r="G735" s="143"/>
      <c r="H735" s="143"/>
      <c r="I735" s="143"/>
      <c r="J735" s="143"/>
      <c r="K735" s="143"/>
    </row>
    <row r="736" spans="7:11">
      <c r="G736" s="143"/>
      <c r="H736" s="143"/>
      <c r="I736" s="143"/>
      <c r="J736" s="143"/>
      <c r="K736" s="143"/>
    </row>
    <row r="737" spans="7:11">
      <c r="G737" s="143"/>
      <c r="H737" s="143"/>
      <c r="I737" s="143"/>
      <c r="J737" s="143"/>
      <c r="K737" s="143"/>
    </row>
    <row r="738" spans="7:11">
      <c r="G738" s="143"/>
      <c r="H738" s="143"/>
      <c r="I738" s="143"/>
      <c r="J738" s="143"/>
      <c r="K738" s="143"/>
    </row>
    <row r="739" spans="7:11">
      <c r="G739" s="143"/>
      <c r="H739" s="143"/>
      <c r="I739" s="143"/>
      <c r="J739" s="143"/>
      <c r="K739" s="143"/>
    </row>
    <row r="740" spans="7:11">
      <c r="G740" s="143"/>
      <c r="H740" s="143"/>
      <c r="I740" s="143"/>
      <c r="J740" s="143"/>
      <c r="K740" s="143"/>
    </row>
    <row r="741" spans="7:11">
      <c r="G741" s="143"/>
      <c r="H741" s="143"/>
      <c r="I741" s="143"/>
      <c r="J741" s="143"/>
      <c r="K741" s="143"/>
    </row>
    <row r="742" spans="7:11">
      <c r="G742" s="143"/>
      <c r="H742" s="143"/>
      <c r="I742" s="143"/>
      <c r="J742" s="143"/>
      <c r="K742" s="143"/>
    </row>
    <row r="743" spans="7:11">
      <c r="G743" s="143"/>
      <c r="H743" s="143"/>
      <c r="I743" s="143"/>
      <c r="J743" s="143"/>
      <c r="K743" s="143"/>
    </row>
    <row r="744" spans="7:11">
      <c r="I744" s="143"/>
      <c r="J744" s="143"/>
      <c r="K744" s="14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12" customWidth="1"/>
    <col min="2" max="6" width="16.7109375" style="12" customWidth="1"/>
    <col min="7" max="7" width="11.5703125" style="12" customWidth="1"/>
    <col min="8" max="8" width="2.28515625" style="47" customWidth="1"/>
    <col min="9" max="9" width="10.42578125" style="12" bestFit="1" customWidth="1"/>
    <col min="10" max="10" width="12.28515625" style="12" customWidth="1"/>
    <col min="11" max="11" width="10.7109375" style="12" customWidth="1"/>
    <col min="12" max="16384" width="8.85546875" style="12"/>
  </cols>
  <sheetData>
    <row r="1" spans="1:17" s="116" customFormat="1" ht="16.149999999999999" customHeight="1">
      <c r="A1" s="1677" t="e">
        <f>CONCATENATE("PART III C  - HUD INSURED LOAN","  -  ",#REF!," ",#REF!,", ",#REF!,", ",#REF!," County")</f>
        <v>#REF!</v>
      </c>
      <c r="B1" s="1678"/>
      <c r="C1" s="1678"/>
      <c r="D1" s="1678"/>
      <c r="E1" s="1678"/>
      <c r="F1" s="1679"/>
      <c r="G1" s="115"/>
      <c r="H1" s="115"/>
      <c r="I1" s="115"/>
      <c r="J1" s="115"/>
      <c r="K1" s="115"/>
      <c r="L1" s="115"/>
      <c r="M1" s="115"/>
      <c r="N1" s="115"/>
      <c r="O1" s="115"/>
      <c r="P1" s="115"/>
      <c r="Q1" s="115"/>
    </row>
    <row r="2" spans="1:17">
      <c r="A2" s="8"/>
      <c r="B2" s="133"/>
      <c r="C2" s="133"/>
      <c r="D2" s="133"/>
    </row>
    <row r="3" spans="1:17" ht="15.6" customHeight="1">
      <c r="A3" s="1686" t="s">
        <v>613</v>
      </c>
      <c r="B3" s="1686"/>
      <c r="C3" s="1686"/>
      <c r="D3" s="1686"/>
      <c r="E3" s="1686"/>
      <c r="F3" s="1686"/>
      <c r="G3" s="160"/>
      <c r="H3" s="160"/>
    </row>
    <row r="4" spans="1:17">
      <c r="A4" s="8"/>
      <c r="B4" s="133"/>
      <c r="C4" s="133"/>
      <c r="D4" s="133"/>
    </row>
    <row r="5" spans="1:17" ht="13.15" customHeight="1">
      <c r="A5" s="12" t="s">
        <v>614</v>
      </c>
      <c r="D5" s="1385"/>
      <c r="E5" s="1689" t="s">
        <v>636</v>
      </c>
      <c r="F5" s="1690"/>
      <c r="G5" s="112"/>
    </row>
    <row r="6" spans="1:17">
      <c r="E6" s="1690"/>
      <c r="F6" s="1690"/>
      <c r="G6" s="112"/>
    </row>
    <row r="7" spans="1:17">
      <c r="A7" s="12" t="s">
        <v>615</v>
      </c>
      <c r="C7" s="12" t="s">
        <v>637</v>
      </c>
      <c r="D7" s="1386"/>
      <c r="E7" s="1690"/>
      <c r="F7" s="1690"/>
      <c r="G7" s="112"/>
    </row>
    <row r="8" spans="1:17">
      <c r="C8" s="12" t="s">
        <v>638</v>
      </c>
      <c r="D8" s="1386"/>
      <c r="E8" s="1690"/>
      <c r="F8" s="1690"/>
      <c r="G8" s="112"/>
    </row>
    <row r="9" spans="1:17">
      <c r="C9" s="12" t="s">
        <v>639</v>
      </c>
      <c r="D9" s="1386"/>
      <c r="E9" s="1690"/>
      <c r="F9" s="1690"/>
      <c r="G9" s="112"/>
    </row>
    <row r="10" spans="1:17">
      <c r="C10" s="12" t="s">
        <v>618</v>
      </c>
      <c r="D10" s="161">
        <f>D7+D8+D9</f>
        <v>0</v>
      </c>
      <c r="E10" s="1690"/>
      <c r="F10" s="1690"/>
      <c r="G10" s="112"/>
    </row>
    <row r="11" spans="1:17">
      <c r="F11" s="112"/>
      <c r="G11" s="112"/>
    </row>
    <row r="12" spans="1:17">
      <c r="A12" s="12" t="s">
        <v>640</v>
      </c>
      <c r="D12" s="1387"/>
      <c r="E12" s="12" t="s">
        <v>641</v>
      </c>
      <c r="F12" s="112"/>
      <c r="G12" s="112"/>
    </row>
    <row r="13" spans="1:17">
      <c r="D13" s="138"/>
      <c r="F13" s="112"/>
      <c r="G13" s="112"/>
    </row>
    <row r="14" spans="1:17">
      <c r="A14" s="12" t="s">
        <v>642</v>
      </c>
      <c r="D14" s="1388"/>
      <c r="E14" s="12" t="s">
        <v>643</v>
      </c>
      <c r="F14" s="162"/>
    </row>
    <row r="15" spans="1:17">
      <c r="D15" s="154"/>
      <c r="F15" s="162"/>
    </row>
    <row r="16" spans="1:17">
      <c r="A16" s="12" t="s">
        <v>644</v>
      </c>
      <c r="D16" s="1388"/>
      <c r="E16" s="12" t="s">
        <v>643</v>
      </c>
      <c r="F16" s="162"/>
    </row>
    <row r="17" spans="1:10">
      <c r="D17" s="138"/>
      <c r="F17" s="162"/>
    </row>
    <row r="18" spans="1:10">
      <c r="A18" s="12" t="s">
        <v>645</v>
      </c>
      <c r="D18" s="163" t="e">
        <f>PMT(D10/12,D16*12,-D5,0,0)*12</f>
        <v>#NUM!</v>
      </c>
      <c r="E18" s="12" t="s">
        <v>646</v>
      </c>
      <c r="F18" s="162"/>
    </row>
    <row r="19" spans="1:10">
      <c r="D19" s="138"/>
      <c r="F19" s="162"/>
    </row>
    <row r="20" spans="1:10">
      <c r="A20" s="12" t="s">
        <v>647</v>
      </c>
      <c r="D20" s="138" t="e">
        <f>D18/12</f>
        <v>#NUM!</v>
      </c>
      <c r="E20" s="12" t="s">
        <v>646</v>
      </c>
      <c r="F20" s="162"/>
    </row>
    <row r="24" spans="1:10" ht="18" customHeight="1">
      <c r="A24" s="1687" t="s">
        <v>648</v>
      </c>
      <c r="B24" s="1687"/>
      <c r="C24" s="1687"/>
      <c r="D24" s="1687"/>
      <c r="E24" s="1687"/>
      <c r="F24" s="1687"/>
      <c r="J24" s="1288"/>
    </row>
    <row r="25" spans="1:10">
      <c r="C25" s="138"/>
      <c r="J25" s="1288"/>
    </row>
    <row r="26" spans="1:10">
      <c r="A26" s="65"/>
      <c r="B26" s="47"/>
      <c r="C26" s="1691" t="s">
        <v>630</v>
      </c>
      <c r="D26" s="159"/>
      <c r="E26" s="47"/>
      <c r="F26" s="1691" t="s">
        <v>630</v>
      </c>
      <c r="J26" s="1288"/>
    </row>
    <row r="27" spans="1:10">
      <c r="A27" s="164" t="s">
        <v>627</v>
      </c>
      <c r="B27" s="1446" t="s">
        <v>649</v>
      </c>
      <c r="C27" s="1692"/>
      <c r="D27" s="165" t="s">
        <v>627</v>
      </c>
      <c r="E27" s="1446" t="s">
        <v>649</v>
      </c>
      <c r="F27" s="1692"/>
      <c r="J27" s="1288"/>
    </row>
    <row r="28" spans="1:10">
      <c r="A28" s="1004">
        <v>1</v>
      </c>
      <c r="B28" s="1289">
        <f>IF(A28&gt;D14,0,E55*$D$12)</f>
        <v>0</v>
      </c>
      <c r="C28" s="1289">
        <f>IF(A28&gt;$D$14,0,$D$18+B28)</f>
        <v>0</v>
      </c>
      <c r="D28" s="1290">
        <v>21</v>
      </c>
      <c r="E28" s="1289">
        <f>IF(D28&gt;$D$14,0,E295*$D$12)</f>
        <v>0</v>
      </c>
      <c r="F28" s="1289">
        <f>IF(D28&gt;$D$14,0,$D$18+E28)</f>
        <v>0</v>
      </c>
      <c r="J28" s="1288"/>
    </row>
    <row r="29" spans="1:10">
      <c r="A29" s="1004">
        <v>2</v>
      </c>
      <c r="B29" s="1291">
        <f>IF(A29&gt;D14,0,E67*$D$12)</f>
        <v>0</v>
      </c>
      <c r="C29" s="1289">
        <f t="shared" ref="C29:C47" si="0">IF(A29&gt;$D$14,0,$D$18+B29)</f>
        <v>0</v>
      </c>
      <c r="D29" s="1290">
        <v>22</v>
      </c>
      <c r="E29" s="1289">
        <f>IF(D29&gt;$D$14,0,E307*$D$12)</f>
        <v>0</v>
      </c>
      <c r="F29" s="1289">
        <f t="shared" ref="F29:F47" si="1">IF(D29&gt;$D$14,0,$D$18+E29)</f>
        <v>0</v>
      </c>
      <c r="J29" s="1288"/>
    </row>
    <row r="30" spans="1:10">
      <c r="A30" s="1004">
        <v>3</v>
      </c>
      <c r="B30" s="1289">
        <f>IF(A30&gt;D14,0,E79*$D$12)</f>
        <v>0</v>
      </c>
      <c r="C30" s="1289">
        <f t="shared" si="0"/>
        <v>0</v>
      </c>
      <c r="D30" s="1290">
        <v>23</v>
      </c>
      <c r="E30" s="1289">
        <f>IF(D30&gt;$D$14,0,E319*$D$12)</f>
        <v>0</v>
      </c>
      <c r="F30" s="1289">
        <f t="shared" si="1"/>
        <v>0</v>
      </c>
      <c r="J30" s="1288"/>
    </row>
    <row r="31" spans="1:10">
      <c r="A31" s="1004">
        <v>4</v>
      </c>
      <c r="B31" s="1289">
        <f>IF(A31&gt;D14,0,E91*$D$12)</f>
        <v>0</v>
      </c>
      <c r="C31" s="1289">
        <f t="shared" si="0"/>
        <v>0</v>
      </c>
      <c r="D31" s="1290">
        <v>24</v>
      </c>
      <c r="E31" s="1289">
        <f>IF(D31&gt;$D$14,0,E331*$D$12)</f>
        <v>0</v>
      </c>
      <c r="F31" s="1289">
        <f t="shared" si="1"/>
        <v>0</v>
      </c>
      <c r="J31" s="1288"/>
    </row>
    <row r="32" spans="1:10">
      <c r="A32" s="1004">
        <v>5</v>
      </c>
      <c r="B32" s="1289">
        <f>IF(A32&gt;D14,0,E103*$D$12)</f>
        <v>0</v>
      </c>
      <c r="C32" s="1292">
        <f t="shared" si="0"/>
        <v>0</v>
      </c>
      <c r="D32" s="1290">
        <v>25</v>
      </c>
      <c r="E32" s="1289">
        <f>IF(D32&gt;$D$14,0,E343*$D$12)</f>
        <v>0</v>
      </c>
      <c r="F32" s="1292">
        <f t="shared" si="1"/>
        <v>0</v>
      </c>
      <c r="J32" s="1288"/>
    </row>
    <row r="33" spans="1:10">
      <c r="A33" s="1293">
        <v>6</v>
      </c>
      <c r="B33" s="1294">
        <f>IF(A33&gt;D14,0,E115*$D$12)</f>
        <v>0</v>
      </c>
      <c r="C33" s="1289">
        <f t="shared" si="0"/>
        <v>0</v>
      </c>
      <c r="D33" s="1295">
        <v>26</v>
      </c>
      <c r="E33" s="1294">
        <f>IF(D33&gt;$D$14,0,E355*$D$12)</f>
        <v>0</v>
      </c>
      <c r="F33" s="1289">
        <f t="shared" si="1"/>
        <v>0</v>
      </c>
      <c r="J33" s="1288"/>
    </row>
    <row r="34" spans="1:10">
      <c r="A34" s="1448">
        <v>7</v>
      </c>
      <c r="B34" s="1296">
        <f>IF(A34&gt;D14,0,E127*$D$12)</f>
        <v>0</v>
      </c>
      <c r="C34" s="1289">
        <f t="shared" si="0"/>
        <v>0</v>
      </c>
      <c r="D34" s="1290">
        <v>27</v>
      </c>
      <c r="E34" s="1296">
        <f>IF(D34&gt;$D$14,0,E367*$D$12)</f>
        <v>0</v>
      </c>
      <c r="F34" s="1289">
        <f t="shared" si="1"/>
        <v>0</v>
      </c>
      <c r="J34" s="1288"/>
    </row>
    <row r="35" spans="1:10">
      <c r="A35" s="1448">
        <v>8</v>
      </c>
      <c r="B35" s="1296">
        <f>IF(A35&gt;D14,0,E139*$D$12)</f>
        <v>0</v>
      </c>
      <c r="C35" s="1289">
        <f t="shared" si="0"/>
        <v>0</v>
      </c>
      <c r="D35" s="1290">
        <v>28</v>
      </c>
      <c r="E35" s="1296">
        <f>IF(D35&gt;$D$14,0,E379*$D$12)</f>
        <v>0</v>
      </c>
      <c r="F35" s="1289">
        <f t="shared" si="1"/>
        <v>0</v>
      </c>
      <c r="J35" s="1288"/>
    </row>
    <row r="36" spans="1:10">
      <c r="A36" s="1448">
        <v>9</v>
      </c>
      <c r="B36" s="1296">
        <f>IF(A36&gt;D14,0,E151*$D$12)</f>
        <v>0</v>
      </c>
      <c r="C36" s="1289">
        <f t="shared" si="0"/>
        <v>0</v>
      </c>
      <c r="D36" s="1290">
        <v>29</v>
      </c>
      <c r="E36" s="1296">
        <f>IF(D36&gt;$D$14,0,E391*$D$12)</f>
        <v>0</v>
      </c>
      <c r="F36" s="1289">
        <f t="shared" si="1"/>
        <v>0</v>
      </c>
      <c r="J36" s="1288"/>
    </row>
    <row r="37" spans="1:10">
      <c r="A37" s="1297">
        <v>10</v>
      </c>
      <c r="B37" s="1292">
        <f>IF(A37&gt;D14,0,E163*$D$12)</f>
        <v>0</v>
      </c>
      <c r="C37" s="1292">
        <f t="shared" si="0"/>
        <v>0</v>
      </c>
      <c r="D37" s="1298">
        <v>30</v>
      </c>
      <c r="E37" s="1292">
        <f>IF(D37&gt;$D$14,0,E403*$D$12)</f>
        <v>0</v>
      </c>
      <c r="F37" s="1292">
        <f t="shared" si="1"/>
        <v>0</v>
      </c>
      <c r="J37" s="1288"/>
    </row>
    <row r="38" spans="1:10">
      <c r="A38" s="1447">
        <v>11</v>
      </c>
      <c r="B38" s="1289">
        <f>IF(A38&gt;D14,0,E175*$D$12)</f>
        <v>0</v>
      </c>
      <c r="C38" s="1289">
        <f t="shared" si="0"/>
        <v>0</v>
      </c>
      <c r="D38" s="1290">
        <v>31</v>
      </c>
      <c r="E38" s="1289">
        <f>IF(D38&gt;$D$14,0,E415*$D$12)</f>
        <v>0</v>
      </c>
      <c r="F38" s="1289">
        <f t="shared" si="1"/>
        <v>0</v>
      </c>
      <c r="J38" s="1288"/>
    </row>
    <row r="39" spans="1:10">
      <c r="A39" s="1447">
        <v>12</v>
      </c>
      <c r="B39" s="1289">
        <f>IF(A39&gt;D14,0,E187*$D$12)</f>
        <v>0</v>
      </c>
      <c r="C39" s="1289">
        <f t="shared" si="0"/>
        <v>0</v>
      </c>
      <c r="D39" s="1290">
        <v>32</v>
      </c>
      <c r="E39" s="1289">
        <f>IF(D39&gt;$D$14,0,E427*$D$12)</f>
        <v>0</v>
      </c>
      <c r="F39" s="1289">
        <f t="shared" si="1"/>
        <v>0</v>
      </c>
      <c r="J39" s="1288"/>
    </row>
    <row r="40" spans="1:10">
      <c r="A40" s="1447">
        <v>13</v>
      </c>
      <c r="B40" s="1289">
        <f>IF(A40&gt;D14,0,E199*$D$12)</f>
        <v>0</v>
      </c>
      <c r="C40" s="1289">
        <f t="shared" si="0"/>
        <v>0</v>
      </c>
      <c r="D40" s="1290">
        <v>33</v>
      </c>
      <c r="E40" s="1289">
        <f>IF(D40&gt;$D$14,0,E439*$D$12)</f>
        <v>0</v>
      </c>
      <c r="F40" s="1289">
        <f t="shared" si="1"/>
        <v>0</v>
      </c>
      <c r="J40" s="1288"/>
    </row>
    <row r="41" spans="1:10">
      <c r="A41" s="1447">
        <v>14</v>
      </c>
      <c r="B41" s="1289">
        <f>IF(A41&gt;D14,0,E211*$D$12)</f>
        <v>0</v>
      </c>
      <c r="C41" s="1289">
        <f t="shared" si="0"/>
        <v>0</v>
      </c>
      <c r="D41" s="1290">
        <v>34</v>
      </c>
      <c r="E41" s="1289">
        <f>IF(D41&gt;$D$14,0,E451*$D$12)</f>
        <v>0</v>
      </c>
      <c r="F41" s="1289">
        <f t="shared" si="1"/>
        <v>0</v>
      </c>
      <c r="J41" s="1288"/>
    </row>
    <row r="42" spans="1:10">
      <c r="A42" s="1447">
        <v>15</v>
      </c>
      <c r="B42" s="1289">
        <f>IF(A42&gt;D14,0,E223*$D$12)</f>
        <v>0</v>
      </c>
      <c r="C42" s="1292">
        <f t="shared" si="0"/>
        <v>0</v>
      </c>
      <c r="D42" s="1290">
        <v>35</v>
      </c>
      <c r="E42" s="1289">
        <f>IF(D42&gt;$D$14,0,E463*$D$12)</f>
        <v>0</v>
      </c>
      <c r="F42" s="1292">
        <f t="shared" si="1"/>
        <v>0</v>
      </c>
      <c r="J42" s="1288"/>
    </row>
    <row r="43" spans="1:10">
      <c r="A43" s="1299">
        <v>16</v>
      </c>
      <c r="B43" s="1294">
        <f>IF(A43&gt;D14,0,E235*$D$12)</f>
        <v>0</v>
      </c>
      <c r="C43" s="1289">
        <f t="shared" si="0"/>
        <v>0</v>
      </c>
      <c r="D43" s="1295">
        <v>36</v>
      </c>
      <c r="E43" s="1294">
        <f>IF(D43&gt;$D$14,0,E475*$D$12)</f>
        <v>0</v>
      </c>
      <c r="F43" s="1289">
        <f t="shared" si="1"/>
        <v>0</v>
      </c>
      <c r="J43" s="1288"/>
    </row>
    <row r="44" spans="1:10">
      <c r="A44" s="1448">
        <v>17</v>
      </c>
      <c r="B44" s="1296">
        <f>IF(A44&gt;D14,0,E247*$D$12)</f>
        <v>0</v>
      </c>
      <c r="C44" s="1289">
        <f t="shared" si="0"/>
        <v>0</v>
      </c>
      <c r="D44" s="1290">
        <v>37</v>
      </c>
      <c r="E44" s="1296">
        <f>IF(D44&gt;$D$14,0,E487*$D$12)</f>
        <v>0</v>
      </c>
      <c r="F44" s="1289">
        <f t="shared" si="1"/>
        <v>0</v>
      </c>
      <c r="J44" s="1288"/>
    </row>
    <row r="45" spans="1:10">
      <c r="A45" s="1448">
        <v>18</v>
      </c>
      <c r="B45" s="1296">
        <f>IF(A45&gt;D14,0,E259*$D$12)</f>
        <v>0</v>
      </c>
      <c r="C45" s="1289">
        <f t="shared" si="0"/>
        <v>0</v>
      </c>
      <c r="D45" s="1290">
        <v>38</v>
      </c>
      <c r="E45" s="1296">
        <f>IF(D45&gt;$D$14,0,E499*$D$12)</f>
        <v>0</v>
      </c>
      <c r="F45" s="1289">
        <f t="shared" si="1"/>
        <v>0</v>
      </c>
      <c r="J45" s="1288"/>
    </row>
    <row r="46" spans="1:10">
      <c r="A46" s="1448">
        <v>19</v>
      </c>
      <c r="B46" s="1296">
        <f>IF(A46&gt;D14,0,E271*$D$12)</f>
        <v>0</v>
      </c>
      <c r="C46" s="1289">
        <f t="shared" si="0"/>
        <v>0</v>
      </c>
      <c r="D46" s="1290">
        <v>39</v>
      </c>
      <c r="E46" s="1296">
        <f>IF(D46&gt;$D$14,0,E511*$D$12)</f>
        <v>0</v>
      </c>
      <c r="F46" s="1289">
        <f t="shared" si="1"/>
        <v>0</v>
      </c>
      <c r="J46" s="1288"/>
    </row>
    <row r="47" spans="1:10">
      <c r="A47" s="1297">
        <v>20</v>
      </c>
      <c r="B47" s="1292">
        <f>IF(A47&gt;D14,0,E283*$D$12)</f>
        <v>0</v>
      </c>
      <c r="C47" s="1292">
        <f t="shared" si="0"/>
        <v>0</v>
      </c>
      <c r="D47" s="1298">
        <v>40</v>
      </c>
      <c r="E47" s="1292">
        <f>IF(D47&gt;$D$14,0,E523*$D$12)</f>
        <v>0</v>
      </c>
      <c r="F47" s="1292">
        <f t="shared" si="1"/>
        <v>0</v>
      </c>
      <c r="J47" s="1288"/>
    </row>
    <row r="48" spans="1:10">
      <c r="C48" s="138"/>
      <c r="J48" s="1288"/>
    </row>
    <row r="49" spans="1:10">
      <c r="C49" s="138"/>
      <c r="J49" s="1288"/>
    </row>
    <row r="50" spans="1:10" ht="13.9" customHeight="1">
      <c r="A50" s="1684" t="e">
        <f>CONCATENATE(#REF!," ",#REF!,", ",#REF!,", ",#REF!," County")</f>
        <v>#REF!</v>
      </c>
      <c r="B50" s="1684"/>
      <c r="C50" s="1684"/>
      <c r="D50" s="1684"/>
      <c r="E50" s="1684"/>
      <c r="F50" s="1684"/>
      <c r="G50" s="764"/>
      <c r="H50" s="764"/>
    </row>
    <row r="51" spans="1:10" ht="15">
      <c r="A51" s="1685" t="s">
        <v>631</v>
      </c>
      <c r="B51" s="1685"/>
      <c r="C51" s="1685"/>
      <c r="D51" s="1685"/>
      <c r="E51" s="1685"/>
      <c r="F51" s="1685"/>
      <c r="G51" s="166"/>
      <c r="H51" s="166"/>
      <c r="I51" s="166"/>
      <c r="J51" s="166"/>
    </row>
    <row r="52" spans="1:10" ht="5.45" customHeight="1">
      <c r="C52" s="138"/>
      <c r="D52" s="138"/>
      <c r="G52" s="143"/>
      <c r="H52" s="137"/>
      <c r="I52" s="143"/>
    </row>
    <row r="53" spans="1:10">
      <c r="A53" s="141" t="s">
        <v>632</v>
      </c>
      <c r="B53" s="141" t="s">
        <v>633</v>
      </c>
      <c r="C53" s="141" t="s">
        <v>203</v>
      </c>
      <c r="D53" s="141" t="s">
        <v>55</v>
      </c>
      <c r="E53" s="141" t="s">
        <v>634</v>
      </c>
      <c r="F53" s="158" t="s">
        <v>627</v>
      </c>
      <c r="G53" s="167"/>
      <c r="H53" s="167"/>
      <c r="I53" s="167"/>
    </row>
    <row r="54" spans="1:10" ht="3.6" customHeight="1">
      <c r="F54" s="47"/>
      <c r="G54" s="143"/>
      <c r="H54" s="137"/>
      <c r="I54" s="143"/>
    </row>
    <row r="55" spans="1:10">
      <c r="A55" s="12" t="s">
        <v>635</v>
      </c>
      <c r="E55" s="138">
        <f>D5</f>
        <v>0</v>
      </c>
      <c r="F55" s="47"/>
      <c r="G55" s="143"/>
      <c r="H55" s="137"/>
      <c r="I55" s="143"/>
    </row>
    <row r="56" spans="1:10">
      <c r="A56" s="168">
        <v>1</v>
      </c>
      <c r="B56" s="149">
        <f t="shared" ref="B56:B119" si="2">IF(A56&gt;12*$D$14,0,$D$20)</f>
        <v>0</v>
      </c>
      <c r="C56" s="149">
        <f t="shared" ref="C56:C119" si="3">IF(A56&gt;12*$D$14,0,E55*$D$10/12)</f>
        <v>0</v>
      </c>
      <c r="D56" s="149">
        <f t="shared" ref="D56:D119" si="4">IF(A56&gt;12*$D$14,0,B56-C56)</f>
        <v>0</v>
      </c>
      <c r="E56" s="149">
        <f t="shared" ref="E56:E119" si="5">IF(A56&gt;12*$D$14,0,E55-D56)</f>
        <v>0</v>
      </c>
      <c r="F56" s="148"/>
      <c r="G56" s="169"/>
      <c r="H56" s="153"/>
      <c r="I56" s="143"/>
    </row>
    <row r="57" spans="1:10">
      <c r="A57" s="168">
        <v>2</v>
      </c>
      <c r="B57" s="149">
        <f t="shared" si="2"/>
        <v>0</v>
      </c>
      <c r="C57" s="149">
        <f t="shared" si="3"/>
        <v>0</v>
      </c>
      <c r="D57" s="149">
        <f t="shared" si="4"/>
        <v>0</v>
      </c>
      <c r="E57" s="149">
        <f t="shared" si="5"/>
        <v>0</v>
      </c>
      <c r="F57" s="148"/>
      <c r="G57" s="169"/>
      <c r="H57" s="153"/>
      <c r="I57" s="143"/>
    </row>
    <row r="58" spans="1:10">
      <c r="A58" s="168">
        <v>3</v>
      </c>
      <c r="B58" s="149">
        <f t="shared" si="2"/>
        <v>0</v>
      </c>
      <c r="C58" s="149">
        <f t="shared" si="3"/>
        <v>0</v>
      </c>
      <c r="D58" s="149">
        <f t="shared" si="4"/>
        <v>0</v>
      </c>
      <c r="E58" s="149">
        <f t="shared" si="5"/>
        <v>0</v>
      </c>
      <c r="F58" s="148"/>
      <c r="G58" s="169"/>
      <c r="H58" s="153"/>
      <c r="I58" s="143"/>
    </row>
    <row r="59" spans="1:10">
      <c r="A59" s="168">
        <v>4</v>
      </c>
      <c r="B59" s="149">
        <f t="shared" si="2"/>
        <v>0</v>
      </c>
      <c r="C59" s="149">
        <f t="shared" si="3"/>
        <v>0</v>
      </c>
      <c r="D59" s="149">
        <f t="shared" si="4"/>
        <v>0</v>
      </c>
      <c r="E59" s="149">
        <f t="shared" si="5"/>
        <v>0</v>
      </c>
      <c r="F59" s="148"/>
      <c r="G59" s="169"/>
      <c r="H59" s="153"/>
      <c r="I59" s="143"/>
    </row>
    <row r="60" spans="1:10">
      <c r="A60" s="168">
        <v>5</v>
      </c>
      <c r="B60" s="149">
        <f t="shared" si="2"/>
        <v>0</v>
      </c>
      <c r="C60" s="149">
        <f t="shared" si="3"/>
        <v>0</v>
      </c>
      <c r="D60" s="149">
        <f t="shared" si="4"/>
        <v>0</v>
      </c>
      <c r="E60" s="149">
        <f t="shared" si="5"/>
        <v>0</v>
      </c>
      <c r="F60" s="148"/>
      <c r="G60" s="169"/>
      <c r="H60" s="153"/>
      <c r="I60" s="143"/>
    </row>
    <row r="61" spans="1:10">
      <c r="A61" s="168">
        <v>6</v>
      </c>
      <c r="B61" s="149">
        <f t="shared" si="2"/>
        <v>0</v>
      </c>
      <c r="C61" s="149">
        <f t="shared" si="3"/>
        <v>0</v>
      </c>
      <c r="D61" s="149">
        <f t="shared" si="4"/>
        <v>0</v>
      </c>
      <c r="E61" s="149">
        <f t="shared" si="5"/>
        <v>0</v>
      </c>
      <c r="F61" s="148"/>
      <c r="G61" s="169"/>
      <c r="H61" s="153"/>
      <c r="I61" s="143"/>
    </row>
    <row r="62" spans="1:10">
      <c r="A62" s="168">
        <v>7</v>
      </c>
      <c r="B62" s="149">
        <f t="shared" si="2"/>
        <v>0</v>
      </c>
      <c r="C62" s="149">
        <f t="shared" si="3"/>
        <v>0</v>
      </c>
      <c r="D62" s="149">
        <f t="shared" si="4"/>
        <v>0</v>
      </c>
      <c r="E62" s="149">
        <f t="shared" si="5"/>
        <v>0</v>
      </c>
      <c r="F62" s="148"/>
      <c r="G62" s="169"/>
      <c r="H62" s="153"/>
      <c r="I62" s="143"/>
    </row>
    <row r="63" spans="1:10">
      <c r="A63" s="168">
        <v>8</v>
      </c>
      <c r="B63" s="149">
        <f t="shared" si="2"/>
        <v>0</v>
      </c>
      <c r="C63" s="149">
        <f t="shared" si="3"/>
        <v>0</v>
      </c>
      <c r="D63" s="149">
        <f t="shared" si="4"/>
        <v>0</v>
      </c>
      <c r="E63" s="149">
        <f t="shared" si="5"/>
        <v>0</v>
      </c>
      <c r="F63" s="148"/>
      <c r="G63" s="169"/>
      <c r="H63" s="153"/>
      <c r="I63" s="143"/>
    </row>
    <row r="64" spans="1:10">
      <c r="A64" s="168">
        <v>9</v>
      </c>
      <c r="B64" s="149">
        <f t="shared" si="2"/>
        <v>0</v>
      </c>
      <c r="C64" s="149">
        <f t="shared" si="3"/>
        <v>0</v>
      </c>
      <c r="D64" s="149">
        <f t="shared" si="4"/>
        <v>0</v>
      </c>
      <c r="E64" s="149">
        <f t="shared" si="5"/>
        <v>0</v>
      </c>
      <c r="F64" s="148"/>
      <c r="G64" s="169"/>
      <c r="H64" s="153"/>
      <c r="I64" s="143"/>
    </row>
    <row r="65" spans="1:9">
      <c r="A65" s="168">
        <v>10</v>
      </c>
      <c r="B65" s="149">
        <f t="shared" si="2"/>
        <v>0</v>
      </c>
      <c r="C65" s="149">
        <f t="shared" si="3"/>
        <v>0</v>
      </c>
      <c r="D65" s="149">
        <f t="shared" si="4"/>
        <v>0</v>
      </c>
      <c r="E65" s="149">
        <f t="shared" si="5"/>
        <v>0</v>
      </c>
      <c r="F65" s="148"/>
      <c r="G65" s="143"/>
      <c r="H65" s="137"/>
      <c r="I65" s="143"/>
    </row>
    <row r="66" spans="1:9">
      <c r="A66" s="168">
        <v>11</v>
      </c>
      <c r="B66" s="149">
        <f t="shared" si="2"/>
        <v>0</v>
      </c>
      <c r="C66" s="149">
        <f t="shared" si="3"/>
        <v>0</v>
      </c>
      <c r="D66" s="149">
        <f t="shared" si="4"/>
        <v>0</v>
      </c>
      <c r="E66" s="149">
        <f t="shared" si="5"/>
        <v>0</v>
      </c>
      <c r="F66" s="148"/>
      <c r="G66" s="143"/>
      <c r="H66" s="137"/>
      <c r="I66" s="143"/>
    </row>
    <row r="67" spans="1:9">
      <c r="A67" s="168">
        <v>12</v>
      </c>
      <c r="B67" s="149">
        <f t="shared" si="2"/>
        <v>0</v>
      </c>
      <c r="C67" s="149">
        <f t="shared" si="3"/>
        <v>0</v>
      </c>
      <c r="D67" s="149">
        <f t="shared" si="4"/>
        <v>0</v>
      </c>
      <c r="E67" s="149">
        <f t="shared" si="5"/>
        <v>0</v>
      </c>
      <c r="F67" s="148">
        <v>1</v>
      </c>
      <c r="G67" s="169"/>
      <c r="H67" s="153"/>
      <c r="I67" s="169"/>
    </row>
    <row r="68" spans="1:9">
      <c r="A68" s="168">
        <v>13</v>
      </c>
      <c r="B68" s="149">
        <f t="shared" si="2"/>
        <v>0</v>
      </c>
      <c r="C68" s="149">
        <f t="shared" si="3"/>
        <v>0</v>
      </c>
      <c r="D68" s="149">
        <f t="shared" si="4"/>
        <v>0</v>
      </c>
      <c r="E68" s="149">
        <f t="shared" si="5"/>
        <v>0</v>
      </c>
      <c r="F68" s="148"/>
      <c r="G68" s="143"/>
      <c r="H68" s="137"/>
      <c r="I68" s="169"/>
    </row>
    <row r="69" spans="1:9">
      <c r="A69" s="168">
        <v>14</v>
      </c>
      <c r="B69" s="149">
        <f t="shared" si="2"/>
        <v>0</v>
      </c>
      <c r="C69" s="149">
        <f t="shared" si="3"/>
        <v>0</v>
      </c>
      <c r="D69" s="149">
        <f t="shared" si="4"/>
        <v>0</v>
      </c>
      <c r="E69" s="149">
        <f t="shared" si="5"/>
        <v>0</v>
      </c>
      <c r="F69" s="148"/>
      <c r="G69" s="143"/>
      <c r="H69" s="137"/>
      <c r="I69" s="143"/>
    </row>
    <row r="70" spans="1:9">
      <c r="A70" s="168">
        <v>15</v>
      </c>
      <c r="B70" s="149">
        <f t="shared" si="2"/>
        <v>0</v>
      </c>
      <c r="C70" s="149">
        <f t="shared" si="3"/>
        <v>0</v>
      </c>
      <c r="D70" s="149">
        <f t="shared" si="4"/>
        <v>0</v>
      </c>
      <c r="E70" s="149">
        <f t="shared" si="5"/>
        <v>0</v>
      </c>
      <c r="F70" s="148"/>
      <c r="G70" s="143"/>
      <c r="H70" s="137"/>
      <c r="I70" s="143"/>
    </row>
    <row r="71" spans="1:9">
      <c r="A71" s="168">
        <v>16</v>
      </c>
      <c r="B71" s="149">
        <f t="shared" si="2"/>
        <v>0</v>
      </c>
      <c r="C71" s="149">
        <f t="shared" si="3"/>
        <v>0</v>
      </c>
      <c r="D71" s="149">
        <f t="shared" si="4"/>
        <v>0</v>
      </c>
      <c r="E71" s="149">
        <f t="shared" si="5"/>
        <v>0</v>
      </c>
      <c r="F71" s="148"/>
      <c r="G71" s="143"/>
      <c r="H71" s="137"/>
      <c r="I71" s="143"/>
    </row>
    <row r="72" spans="1:9">
      <c r="A72" s="168">
        <v>17</v>
      </c>
      <c r="B72" s="149">
        <f t="shared" si="2"/>
        <v>0</v>
      </c>
      <c r="C72" s="149">
        <f t="shared" si="3"/>
        <v>0</v>
      </c>
      <c r="D72" s="149">
        <f t="shared" si="4"/>
        <v>0</v>
      </c>
      <c r="E72" s="149">
        <f t="shared" si="5"/>
        <v>0</v>
      </c>
      <c r="F72" s="148"/>
      <c r="G72" s="143"/>
      <c r="H72" s="137"/>
      <c r="I72" s="143"/>
    </row>
    <row r="73" spans="1:9">
      <c r="A73" s="168">
        <v>18</v>
      </c>
      <c r="B73" s="149">
        <f t="shared" si="2"/>
        <v>0</v>
      </c>
      <c r="C73" s="149">
        <f t="shared" si="3"/>
        <v>0</v>
      </c>
      <c r="D73" s="149">
        <f t="shared" si="4"/>
        <v>0</v>
      </c>
      <c r="E73" s="149">
        <f t="shared" si="5"/>
        <v>0</v>
      </c>
      <c r="F73" s="148"/>
      <c r="G73" s="169"/>
      <c r="H73" s="153"/>
      <c r="I73" s="143"/>
    </row>
    <row r="74" spans="1:9">
      <c r="A74" s="168">
        <v>19</v>
      </c>
      <c r="B74" s="149">
        <f t="shared" si="2"/>
        <v>0</v>
      </c>
      <c r="C74" s="149">
        <f t="shared" si="3"/>
        <v>0</v>
      </c>
      <c r="D74" s="149">
        <f t="shared" si="4"/>
        <v>0</v>
      </c>
      <c r="E74" s="149">
        <f t="shared" si="5"/>
        <v>0</v>
      </c>
      <c r="F74" s="148"/>
      <c r="G74" s="169"/>
      <c r="H74" s="153"/>
      <c r="I74" s="143"/>
    </row>
    <row r="75" spans="1:9">
      <c r="A75" s="168">
        <v>20</v>
      </c>
      <c r="B75" s="149">
        <f t="shared" si="2"/>
        <v>0</v>
      </c>
      <c r="C75" s="149">
        <f t="shared" si="3"/>
        <v>0</v>
      </c>
      <c r="D75" s="149">
        <f t="shared" si="4"/>
        <v>0</v>
      </c>
      <c r="E75" s="149">
        <f t="shared" si="5"/>
        <v>0</v>
      </c>
      <c r="F75" s="148"/>
      <c r="G75" s="169"/>
      <c r="H75" s="153"/>
      <c r="I75" s="143"/>
    </row>
    <row r="76" spans="1:9">
      <c r="A76" s="168">
        <v>21</v>
      </c>
      <c r="B76" s="149">
        <f t="shared" si="2"/>
        <v>0</v>
      </c>
      <c r="C76" s="149">
        <f t="shared" si="3"/>
        <v>0</v>
      </c>
      <c r="D76" s="149">
        <f t="shared" si="4"/>
        <v>0</v>
      </c>
      <c r="E76" s="149">
        <f t="shared" si="5"/>
        <v>0</v>
      </c>
      <c r="F76" s="148"/>
      <c r="G76" s="169"/>
      <c r="H76" s="153"/>
      <c r="I76" s="143"/>
    </row>
    <row r="77" spans="1:9">
      <c r="A77" s="168">
        <v>22</v>
      </c>
      <c r="B77" s="149">
        <f t="shared" si="2"/>
        <v>0</v>
      </c>
      <c r="C77" s="149">
        <f t="shared" si="3"/>
        <v>0</v>
      </c>
      <c r="D77" s="149">
        <f t="shared" si="4"/>
        <v>0</v>
      </c>
      <c r="E77" s="149">
        <f t="shared" si="5"/>
        <v>0</v>
      </c>
      <c r="F77" s="148"/>
      <c r="G77" s="143"/>
      <c r="H77" s="137"/>
      <c r="I77" s="143"/>
    </row>
    <row r="78" spans="1:9">
      <c r="A78" s="168">
        <v>23</v>
      </c>
      <c r="B78" s="149">
        <f t="shared" si="2"/>
        <v>0</v>
      </c>
      <c r="C78" s="149">
        <f t="shared" si="3"/>
        <v>0</v>
      </c>
      <c r="D78" s="149">
        <f t="shared" si="4"/>
        <v>0</v>
      </c>
      <c r="E78" s="149">
        <f t="shared" si="5"/>
        <v>0</v>
      </c>
      <c r="F78" s="148"/>
      <c r="G78" s="143"/>
      <c r="H78" s="137"/>
      <c r="I78" s="143"/>
    </row>
    <row r="79" spans="1:9">
      <c r="A79" s="168">
        <v>24</v>
      </c>
      <c r="B79" s="149">
        <f t="shared" si="2"/>
        <v>0</v>
      </c>
      <c r="C79" s="149">
        <f t="shared" si="3"/>
        <v>0</v>
      </c>
      <c r="D79" s="149">
        <f t="shared" si="4"/>
        <v>0</v>
      </c>
      <c r="E79" s="149">
        <f t="shared" si="5"/>
        <v>0</v>
      </c>
      <c r="F79" s="148">
        <v>2</v>
      </c>
      <c r="G79" s="169"/>
      <c r="H79" s="153"/>
      <c r="I79" s="169"/>
    </row>
    <row r="80" spans="1:9">
      <c r="A80" s="168">
        <v>25</v>
      </c>
      <c r="B80" s="149">
        <f t="shared" si="2"/>
        <v>0</v>
      </c>
      <c r="C80" s="149">
        <f t="shared" si="3"/>
        <v>0</v>
      </c>
      <c r="D80" s="149">
        <f t="shared" si="4"/>
        <v>0</v>
      </c>
      <c r="E80" s="149">
        <f t="shared" si="5"/>
        <v>0</v>
      </c>
      <c r="F80" s="148"/>
      <c r="G80" s="143"/>
      <c r="H80" s="137"/>
      <c r="I80" s="169"/>
    </row>
    <row r="81" spans="1:9">
      <c r="A81" s="168">
        <v>26</v>
      </c>
      <c r="B81" s="149">
        <f t="shared" si="2"/>
        <v>0</v>
      </c>
      <c r="C81" s="149">
        <f t="shared" si="3"/>
        <v>0</v>
      </c>
      <c r="D81" s="149">
        <f t="shared" si="4"/>
        <v>0</v>
      </c>
      <c r="E81" s="149">
        <f t="shared" si="5"/>
        <v>0</v>
      </c>
      <c r="F81" s="148"/>
      <c r="G81" s="143"/>
      <c r="H81" s="137"/>
      <c r="I81" s="143"/>
    </row>
    <row r="82" spans="1:9">
      <c r="A82" s="168">
        <v>27</v>
      </c>
      <c r="B82" s="149">
        <f t="shared" si="2"/>
        <v>0</v>
      </c>
      <c r="C82" s="149">
        <f t="shared" si="3"/>
        <v>0</v>
      </c>
      <c r="D82" s="149">
        <f t="shared" si="4"/>
        <v>0</v>
      </c>
      <c r="E82" s="149">
        <f t="shared" si="5"/>
        <v>0</v>
      </c>
      <c r="F82" s="148"/>
      <c r="G82" s="143"/>
      <c r="H82" s="137"/>
      <c r="I82" s="143"/>
    </row>
    <row r="83" spans="1:9">
      <c r="A83" s="168">
        <v>28</v>
      </c>
      <c r="B83" s="149">
        <f t="shared" si="2"/>
        <v>0</v>
      </c>
      <c r="C83" s="149">
        <f t="shared" si="3"/>
        <v>0</v>
      </c>
      <c r="D83" s="149">
        <f t="shared" si="4"/>
        <v>0</v>
      </c>
      <c r="E83" s="149">
        <f t="shared" si="5"/>
        <v>0</v>
      </c>
      <c r="F83" s="148"/>
      <c r="G83" s="143"/>
      <c r="H83" s="137"/>
      <c r="I83" s="143"/>
    </row>
    <row r="84" spans="1:9">
      <c r="A84" s="168">
        <v>29</v>
      </c>
      <c r="B84" s="149">
        <f t="shared" si="2"/>
        <v>0</v>
      </c>
      <c r="C84" s="149">
        <f t="shared" si="3"/>
        <v>0</v>
      </c>
      <c r="D84" s="149">
        <f t="shared" si="4"/>
        <v>0</v>
      </c>
      <c r="E84" s="149">
        <f t="shared" si="5"/>
        <v>0</v>
      </c>
      <c r="F84" s="148"/>
      <c r="G84" s="143"/>
      <c r="H84" s="137"/>
      <c r="I84" s="143"/>
    </row>
    <row r="85" spans="1:9">
      <c r="A85" s="168">
        <v>30</v>
      </c>
      <c r="B85" s="149">
        <f t="shared" si="2"/>
        <v>0</v>
      </c>
      <c r="C85" s="149">
        <f t="shared" si="3"/>
        <v>0</v>
      </c>
      <c r="D85" s="149">
        <f t="shared" si="4"/>
        <v>0</v>
      </c>
      <c r="E85" s="149">
        <f t="shared" si="5"/>
        <v>0</v>
      </c>
      <c r="F85" s="148"/>
      <c r="G85" s="169"/>
      <c r="H85" s="153"/>
      <c r="I85" s="143"/>
    </row>
    <row r="86" spans="1:9">
      <c r="A86" s="168">
        <v>31</v>
      </c>
      <c r="B86" s="149">
        <f t="shared" si="2"/>
        <v>0</v>
      </c>
      <c r="C86" s="149">
        <f t="shared" si="3"/>
        <v>0</v>
      </c>
      <c r="D86" s="149">
        <f t="shared" si="4"/>
        <v>0</v>
      </c>
      <c r="E86" s="149">
        <f t="shared" si="5"/>
        <v>0</v>
      </c>
      <c r="F86" s="148"/>
      <c r="G86" s="143"/>
      <c r="H86" s="137"/>
      <c r="I86" s="143"/>
    </row>
    <row r="87" spans="1:9">
      <c r="A87" s="168">
        <v>32</v>
      </c>
      <c r="B87" s="149">
        <f t="shared" si="2"/>
        <v>0</v>
      </c>
      <c r="C87" s="149">
        <f t="shared" si="3"/>
        <v>0</v>
      </c>
      <c r="D87" s="149">
        <f t="shared" si="4"/>
        <v>0</v>
      </c>
      <c r="E87" s="149">
        <f t="shared" si="5"/>
        <v>0</v>
      </c>
      <c r="F87" s="148"/>
      <c r="G87" s="143"/>
      <c r="H87" s="137"/>
      <c r="I87" s="143"/>
    </row>
    <row r="88" spans="1:9">
      <c r="A88" s="168">
        <v>33</v>
      </c>
      <c r="B88" s="149">
        <f t="shared" si="2"/>
        <v>0</v>
      </c>
      <c r="C88" s="149">
        <f t="shared" si="3"/>
        <v>0</v>
      </c>
      <c r="D88" s="149">
        <f t="shared" si="4"/>
        <v>0</v>
      </c>
      <c r="E88" s="149">
        <f t="shared" si="5"/>
        <v>0</v>
      </c>
      <c r="F88" s="148"/>
      <c r="G88" s="143"/>
      <c r="H88" s="137"/>
      <c r="I88" s="143"/>
    </row>
    <row r="89" spans="1:9">
      <c r="A89" s="168">
        <v>34</v>
      </c>
      <c r="B89" s="149">
        <f t="shared" si="2"/>
        <v>0</v>
      </c>
      <c r="C89" s="149">
        <f t="shared" si="3"/>
        <v>0</v>
      </c>
      <c r="D89" s="149">
        <f t="shared" si="4"/>
        <v>0</v>
      </c>
      <c r="E89" s="149">
        <f t="shared" si="5"/>
        <v>0</v>
      </c>
      <c r="F89" s="148"/>
      <c r="G89" s="143"/>
      <c r="H89" s="137"/>
      <c r="I89" s="143"/>
    </row>
    <row r="90" spans="1:9">
      <c r="A90" s="168">
        <v>35</v>
      </c>
      <c r="B90" s="149">
        <f t="shared" si="2"/>
        <v>0</v>
      </c>
      <c r="C90" s="149">
        <f t="shared" si="3"/>
        <v>0</v>
      </c>
      <c r="D90" s="149">
        <f t="shared" si="4"/>
        <v>0</v>
      </c>
      <c r="E90" s="149">
        <f t="shared" si="5"/>
        <v>0</v>
      </c>
      <c r="F90" s="148"/>
      <c r="G90" s="143"/>
      <c r="H90" s="137"/>
      <c r="I90" s="143"/>
    </row>
    <row r="91" spans="1:9">
      <c r="A91" s="168">
        <v>36</v>
      </c>
      <c r="B91" s="149">
        <f t="shared" si="2"/>
        <v>0</v>
      </c>
      <c r="C91" s="149">
        <f t="shared" si="3"/>
        <v>0</v>
      </c>
      <c r="D91" s="149">
        <f t="shared" si="4"/>
        <v>0</v>
      </c>
      <c r="E91" s="149">
        <f t="shared" si="5"/>
        <v>0</v>
      </c>
      <c r="F91" s="148">
        <v>3</v>
      </c>
      <c r="G91" s="169"/>
      <c r="H91" s="153"/>
      <c r="I91" s="169"/>
    </row>
    <row r="92" spans="1:9">
      <c r="A92" s="168">
        <v>37</v>
      </c>
      <c r="B92" s="149">
        <f t="shared" si="2"/>
        <v>0</v>
      </c>
      <c r="C92" s="149">
        <f t="shared" si="3"/>
        <v>0</v>
      </c>
      <c r="D92" s="149">
        <f t="shared" si="4"/>
        <v>0</v>
      </c>
      <c r="E92" s="149">
        <f t="shared" si="5"/>
        <v>0</v>
      </c>
      <c r="F92" s="148"/>
      <c r="G92" s="143"/>
      <c r="H92" s="137"/>
      <c r="I92" s="169"/>
    </row>
    <row r="93" spans="1:9">
      <c r="A93" s="168">
        <v>38</v>
      </c>
      <c r="B93" s="149">
        <f t="shared" si="2"/>
        <v>0</v>
      </c>
      <c r="C93" s="149">
        <f t="shared" si="3"/>
        <v>0</v>
      </c>
      <c r="D93" s="149">
        <f t="shared" si="4"/>
        <v>0</v>
      </c>
      <c r="E93" s="149">
        <f t="shared" si="5"/>
        <v>0</v>
      </c>
      <c r="F93" s="148"/>
      <c r="G93" s="143"/>
      <c r="H93" s="137"/>
      <c r="I93" s="143"/>
    </row>
    <row r="94" spans="1:9">
      <c r="A94" s="168">
        <v>39</v>
      </c>
      <c r="B94" s="149">
        <f t="shared" si="2"/>
        <v>0</v>
      </c>
      <c r="C94" s="149">
        <f t="shared" si="3"/>
        <v>0</v>
      </c>
      <c r="D94" s="149">
        <f t="shared" si="4"/>
        <v>0</v>
      </c>
      <c r="E94" s="149">
        <f t="shared" si="5"/>
        <v>0</v>
      </c>
      <c r="F94" s="148"/>
      <c r="G94" s="143"/>
      <c r="H94" s="137"/>
      <c r="I94" s="143"/>
    </row>
    <row r="95" spans="1:9">
      <c r="A95" s="168">
        <v>40</v>
      </c>
      <c r="B95" s="149">
        <f t="shared" si="2"/>
        <v>0</v>
      </c>
      <c r="C95" s="149">
        <f t="shared" si="3"/>
        <v>0</v>
      </c>
      <c r="D95" s="149">
        <f t="shared" si="4"/>
        <v>0</v>
      </c>
      <c r="E95" s="149">
        <f t="shared" si="5"/>
        <v>0</v>
      </c>
      <c r="F95" s="148"/>
      <c r="G95" s="143"/>
      <c r="H95" s="137"/>
      <c r="I95" s="143"/>
    </row>
    <row r="96" spans="1:9">
      <c r="A96" s="168">
        <v>41</v>
      </c>
      <c r="B96" s="149">
        <f t="shared" si="2"/>
        <v>0</v>
      </c>
      <c r="C96" s="149">
        <f t="shared" si="3"/>
        <v>0</v>
      </c>
      <c r="D96" s="149">
        <f t="shared" si="4"/>
        <v>0</v>
      </c>
      <c r="E96" s="149">
        <f t="shared" si="5"/>
        <v>0</v>
      </c>
      <c r="F96" s="148"/>
      <c r="G96" s="143"/>
      <c r="H96" s="137"/>
      <c r="I96" s="143"/>
    </row>
    <row r="97" spans="1:9">
      <c r="A97" s="168">
        <v>42</v>
      </c>
      <c r="B97" s="149">
        <f t="shared" si="2"/>
        <v>0</v>
      </c>
      <c r="C97" s="149">
        <f t="shared" si="3"/>
        <v>0</v>
      </c>
      <c r="D97" s="149">
        <f t="shared" si="4"/>
        <v>0</v>
      </c>
      <c r="E97" s="149">
        <f t="shared" si="5"/>
        <v>0</v>
      </c>
      <c r="F97" s="148"/>
      <c r="G97" s="169"/>
      <c r="H97" s="153"/>
      <c r="I97" s="143"/>
    </row>
    <row r="98" spans="1:9">
      <c r="A98" s="168">
        <v>43</v>
      </c>
      <c r="B98" s="149">
        <f t="shared" si="2"/>
        <v>0</v>
      </c>
      <c r="C98" s="149">
        <f t="shared" si="3"/>
        <v>0</v>
      </c>
      <c r="D98" s="149">
        <f t="shared" si="4"/>
        <v>0</v>
      </c>
      <c r="E98" s="149">
        <f t="shared" si="5"/>
        <v>0</v>
      </c>
      <c r="F98" s="148"/>
      <c r="G98" s="143"/>
      <c r="H98" s="137"/>
      <c r="I98" s="143"/>
    </row>
    <row r="99" spans="1:9">
      <c r="A99" s="168">
        <v>44</v>
      </c>
      <c r="B99" s="149">
        <f t="shared" si="2"/>
        <v>0</v>
      </c>
      <c r="C99" s="149">
        <f t="shared" si="3"/>
        <v>0</v>
      </c>
      <c r="D99" s="149">
        <f t="shared" si="4"/>
        <v>0</v>
      </c>
      <c r="E99" s="149">
        <f t="shared" si="5"/>
        <v>0</v>
      </c>
      <c r="F99" s="148"/>
      <c r="G99" s="143"/>
      <c r="H99" s="137"/>
      <c r="I99" s="143"/>
    </row>
    <row r="100" spans="1:9">
      <c r="A100" s="168">
        <v>45</v>
      </c>
      <c r="B100" s="149">
        <f t="shared" si="2"/>
        <v>0</v>
      </c>
      <c r="C100" s="149">
        <f t="shared" si="3"/>
        <v>0</v>
      </c>
      <c r="D100" s="149">
        <f t="shared" si="4"/>
        <v>0</v>
      </c>
      <c r="E100" s="149">
        <f t="shared" si="5"/>
        <v>0</v>
      </c>
      <c r="F100" s="148"/>
      <c r="G100" s="143"/>
      <c r="H100" s="137"/>
      <c r="I100" s="143"/>
    </row>
    <row r="101" spans="1:9">
      <c r="A101" s="168">
        <v>46</v>
      </c>
      <c r="B101" s="149">
        <f t="shared" si="2"/>
        <v>0</v>
      </c>
      <c r="C101" s="149">
        <f t="shared" si="3"/>
        <v>0</v>
      </c>
      <c r="D101" s="149">
        <f t="shared" si="4"/>
        <v>0</v>
      </c>
      <c r="E101" s="149">
        <f t="shared" si="5"/>
        <v>0</v>
      </c>
      <c r="F101" s="148"/>
      <c r="G101" s="143"/>
      <c r="H101" s="137"/>
      <c r="I101" s="143"/>
    </row>
    <row r="102" spans="1:9">
      <c r="A102" s="168">
        <v>47</v>
      </c>
      <c r="B102" s="149">
        <f t="shared" si="2"/>
        <v>0</v>
      </c>
      <c r="C102" s="149">
        <f t="shared" si="3"/>
        <v>0</v>
      </c>
      <c r="D102" s="149">
        <f t="shared" si="4"/>
        <v>0</v>
      </c>
      <c r="E102" s="149">
        <f t="shared" si="5"/>
        <v>0</v>
      </c>
      <c r="F102" s="148"/>
      <c r="G102" s="143"/>
      <c r="H102" s="137"/>
      <c r="I102" s="143"/>
    </row>
    <row r="103" spans="1:9">
      <c r="A103" s="168">
        <v>48</v>
      </c>
      <c r="B103" s="149">
        <f t="shared" si="2"/>
        <v>0</v>
      </c>
      <c r="C103" s="149">
        <f t="shared" si="3"/>
        <v>0</v>
      </c>
      <c r="D103" s="149">
        <f t="shared" si="4"/>
        <v>0</v>
      </c>
      <c r="E103" s="149">
        <f t="shared" si="5"/>
        <v>0</v>
      </c>
      <c r="F103" s="148">
        <v>4</v>
      </c>
      <c r="G103" s="169"/>
      <c r="H103" s="153"/>
      <c r="I103" s="169"/>
    </row>
    <row r="104" spans="1:9">
      <c r="A104" s="168">
        <v>49</v>
      </c>
      <c r="B104" s="149">
        <f t="shared" si="2"/>
        <v>0</v>
      </c>
      <c r="C104" s="149">
        <f t="shared" si="3"/>
        <v>0</v>
      </c>
      <c r="D104" s="149">
        <f t="shared" si="4"/>
        <v>0</v>
      </c>
      <c r="E104" s="149">
        <f t="shared" si="5"/>
        <v>0</v>
      </c>
      <c r="F104" s="148"/>
      <c r="G104" s="143"/>
      <c r="H104" s="137"/>
      <c r="I104" s="169"/>
    </row>
    <row r="105" spans="1:9">
      <c r="A105" s="168">
        <v>50</v>
      </c>
      <c r="B105" s="149">
        <f t="shared" si="2"/>
        <v>0</v>
      </c>
      <c r="C105" s="149">
        <f t="shared" si="3"/>
        <v>0</v>
      </c>
      <c r="D105" s="149">
        <f t="shared" si="4"/>
        <v>0</v>
      </c>
      <c r="E105" s="149">
        <f t="shared" si="5"/>
        <v>0</v>
      </c>
      <c r="F105" s="148"/>
      <c r="G105" s="143"/>
      <c r="H105" s="137"/>
      <c r="I105" s="143"/>
    </row>
    <row r="106" spans="1:9">
      <c r="A106" s="168">
        <v>51</v>
      </c>
      <c r="B106" s="149">
        <f t="shared" si="2"/>
        <v>0</v>
      </c>
      <c r="C106" s="149">
        <f t="shared" si="3"/>
        <v>0</v>
      </c>
      <c r="D106" s="149">
        <f t="shared" si="4"/>
        <v>0</v>
      </c>
      <c r="E106" s="149">
        <f t="shared" si="5"/>
        <v>0</v>
      </c>
      <c r="F106" s="148"/>
      <c r="G106" s="143"/>
      <c r="H106" s="137"/>
      <c r="I106" s="143"/>
    </row>
    <row r="107" spans="1:9">
      <c r="A107" s="168">
        <v>52</v>
      </c>
      <c r="B107" s="149">
        <f t="shared" si="2"/>
        <v>0</v>
      </c>
      <c r="C107" s="149">
        <f t="shared" si="3"/>
        <v>0</v>
      </c>
      <c r="D107" s="149">
        <f t="shared" si="4"/>
        <v>0</v>
      </c>
      <c r="E107" s="149">
        <f t="shared" si="5"/>
        <v>0</v>
      </c>
      <c r="F107" s="148"/>
      <c r="G107" s="143"/>
      <c r="H107" s="137"/>
      <c r="I107" s="143"/>
    </row>
    <row r="108" spans="1:9">
      <c r="A108" s="168">
        <v>53</v>
      </c>
      <c r="B108" s="149">
        <f t="shared" si="2"/>
        <v>0</v>
      </c>
      <c r="C108" s="149">
        <f t="shared" si="3"/>
        <v>0</v>
      </c>
      <c r="D108" s="149">
        <f t="shared" si="4"/>
        <v>0</v>
      </c>
      <c r="E108" s="149">
        <f t="shared" si="5"/>
        <v>0</v>
      </c>
      <c r="F108" s="148"/>
      <c r="G108" s="143"/>
      <c r="H108" s="137"/>
      <c r="I108" s="143"/>
    </row>
    <row r="109" spans="1:9">
      <c r="A109" s="168">
        <v>54</v>
      </c>
      <c r="B109" s="149">
        <f t="shared" si="2"/>
        <v>0</v>
      </c>
      <c r="C109" s="149">
        <f t="shared" si="3"/>
        <v>0</v>
      </c>
      <c r="D109" s="149">
        <f t="shared" si="4"/>
        <v>0</v>
      </c>
      <c r="E109" s="149">
        <f t="shared" si="5"/>
        <v>0</v>
      </c>
      <c r="F109" s="148"/>
      <c r="G109" s="169"/>
      <c r="H109" s="153"/>
      <c r="I109" s="143"/>
    </row>
    <row r="110" spans="1:9">
      <c r="A110" s="168">
        <v>55</v>
      </c>
      <c r="B110" s="149">
        <f t="shared" si="2"/>
        <v>0</v>
      </c>
      <c r="C110" s="149">
        <f t="shared" si="3"/>
        <v>0</v>
      </c>
      <c r="D110" s="149">
        <f t="shared" si="4"/>
        <v>0</v>
      </c>
      <c r="E110" s="149">
        <f t="shared" si="5"/>
        <v>0</v>
      </c>
      <c r="F110" s="148"/>
      <c r="G110" s="143"/>
      <c r="H110" s="137"/>
      <c r="I110" s="143"/>
    </row>
    <row r="111" spans="1:9">
      <c r="A111" s="168">
        <v>56</v>
      </c>
      <c r="B111" s="149">
        <f t="shared" si="2"/>
        <v>0</v>
      </c>
      <c r="C111" s="149">
        <f t="shared" si="3"/>
        <v>0</v>
      </c>
      <c r="D111" s="149">
        <f t="shared" si="4"/>
        <v>0</v>
      </c>
      <c r="E111" s="149">
        <f t="shared" si="5"/>
        <v>0</v>
      </c>
      <c r="F111" s="148"/>
      <c r="G111" s="143"/>
      <c r="H111" s="137"/>
      <c r="I111" s="143"/>
    </row>
    <row r="112" spans="1:9">
      <c r="A112" s="168">
        <v>57</v>
      </c>
      <c r="B112" s="149">
        <f t="shared" si="2"/>
        <v>0</v>
      </c>
      <c r="C112" s="149">
        <f t="shared" si="3"/>
        <v>0</v>
      </c>
      <c r="D112" s="149">
        <f t="shared" si="4"/>
        <v>0</v>
      </c>
      <c r="E112" s="149">
        <f t="shared" si="5"/>
        <v>0</v>
      </c>
      <c r="F112" s="148"/>
      <c r="G112" s="143"/>
      <c r="H112" s="137"/>
      <c r="I112" s="143"/>
    </row>
    <row r="113" spans="1:9">
      <c r="A113" s="168">
        <v>58</v>
      </c>
      <c r="B113" s="149">
        <f t="shared" si="2"/>
        <v>0</v>
      </c>
      <c r="C113" s="149">
        <f t="shared" si="3"/>
        <v>0</v>
      </c>
      <c r="D113" s="149">
        <f t="shared" si="4"/>
        <v>0</v>
      </c>
      <c r="E113" s="149">
        <f t="shared" si="5"/>
        <v>0</v>
      </c>
      <c r="F113" s="148"/>
      <c r="G113" s="143"/>
      <c r="H113" s="137"/>
      <c r="I113" s="143"/>
    </row>
    <row r="114" spans="1:9">
      <c r="A114" s="168">
        <v>59</v>
      </c>
      <c r="B114" s="149">
        <f t="shared" si="2"/>
        <v>0</v>
      </c>
      <c r="C114" s="149">
        <f t="shared" si="3"/>
        <v>0</v>
      </c>
      <c r="D114" s="149">
        <f t="shared" si="4"/>
        <v>0</v>
      </c>
      <c r="E114" s="149">
        <f t="shared" si="5"/>
        <v>0</v>
      </c>
      <c r="F114" s="148"/>
      <c r="G114" s="143"/>
      <c r="H114" s="137"/>
      <c r="I114" s="143"/>
    </row>
    <row r="115" spans="1:9">
      <c r="A115" s="168">
        <v>60</v>
      </c>
      <c r="B115" s="149">
        <f t="shared" si="2"/>
        <v>0</v>
      </c>
      <c r="C115" s="149">
        <f t="shared" si="3"/>
        <v>0</v>
      </c>
      <c r="D115" s="149">
        <f t="shared" si="4"/>
        <v>0</v>
      </c>
      <c r="E115" s="149">
        <f t="shared" si="5"/>
        <v>0</v>
      </c>
      <c r="F115" s="148"/>
      <c r="G115" s="169"/>
      <c r="H115" s="153"/>
      <c r="I115" s="169"/>
    </row>
    <row r="116" spans="1:9">
      <c r="A116" s="168">
        <v>61</v>
      </c>
      <c r="B116" s="149">
        <f t="shared" si="2"/>
        <v>0</v>
      </c>
      <c r="C116" s="149">
        <f t="shared" si="3"/>
        <v>0</v>
      </c>
      <c r="D116" s="149">
        <f t="shared" si="4"/>
        <v>0</v>
      </c>
      <c r="E116" s="149">
        <f t="shared" si="5"/>
        <v>0</v>
      </c>
      <c r="F116" s="148"/>
      <c r="G116" s="143"/>
      <c r="H116" s="137"/>
      <c r="I116" s="169"/>
    </row>
    <row r="117" spans="1:9">
      <c r="A117" s="168">
        <v>62</v>
      </c>
      <c r="B117" s="149">
        <f t="shared" si="2"/>
        <v>0</v>
      </c>
      <c r="C117" s="149">
        <f t="shared" si="3"/>
        <v>0</v>
      </c>
      <c r="D117" s="149">
        <f t="shared" si="4"/>
        <v>0</v>
      </c>
      <c r="E117" s="149">
        <f t="shared" si="5"/>
        <v>0</v>
      </c>
      <c r="F117" s="148">
        <v>5</v>
      </c>
      <c r="G117" s="143"/>
      <c r="H117" s="137"/>
      <c r="I117" s="143"/>
    </row>
    <row r="118" spans="1:9">
      <c r="A118" s="168">
        <v>63</v>
      </c>
      <c r="B118" s="149">
        <f t="shared" si="2"/>
        <v>0</v>
      </c>
      <c r="C118" s="149">
        <f t="shared" si="3"/>
        <v>0</v>
      </c>
      <c r="D118" s="149">
        <f t="shared" si="4"/>
        <v>0</v>
      </c>
      <c r="E118" s="149">
        <f t="shared" si="5"/>
        <v>0</v>
      </c>
      <c r="F118" s="148"/>
      <c r="G118" s="143"/>
      <c r="H118" s="137"/>
      <c r="I118" s="143"/>
    </row>
    <row r="119" spans="1:9">
      <c r="A119" s="168">
        <v>64</v>
      </c>
      <c r="B119" s="149">
        <f t="shared" si="2"/>
        <v>0</v>
      </c>
      <c r="C119" s="149">
        <f t="shared" si="3"/>
        <v>0</v>
      </c>
      <c r="D119" s="149">
        <f t="shared" si="4"/>
        <v>0</v>
      </c>
      <c r="E119" s="149">
        <f t="shared" si="5"/>
        <v>0</v>
      </c>
      <c r="F119" s="148"/>
      <c r="G119" s="143"/>
      <c r="H119" s="137"/>
      <c r="I119" s="143"/>
    </row>
    <row r="120" spans="1:9">
      <c r="A120" s="168">
        <v>65</v>
      </c>
      <c r="B120" s="149">
        <f t="shared" ref="B120:B183" si="6">IF(A120&gt;12*$D$14,0,$D$20)</f>
        <v>0</v>
      </c>
      <c r="C120" s="149">
        <f t="shared" ref="C120:C183" si="7">IF(A120&gt;12*$D$14,0,E119*$D$10/12)</f>
        <v>0</v>
      </c>
      <c r="D120" s="149">
        <f t="shared" ref="D120:D183" si="8">IF(A120&gt;12*$D$14,0,B120-C120)</f>
        <v>0</v>
      </c>
      <c r="E120" s="149">
        <f t="shared" ref="E120:E183" si="9">IF(A120&gt;12*$D$14,0,E119-D120)</f>
        <v>0</v>
      </c>
      <c r="F120" s="148"/>
      <c r="G120" s="143"/>
      <c r="H120" s="137"/>
      <c r="I120" s="143"/>
    </row>
    <row r="121" spans="1:9">
      <c r="A121" s="168">
        <v>66</v>
      </c>
      <c r="B121" s="149">
        <f t="shared" si="6"/>
        <v>0</v>
      </c>
      <c r="C121" s="149">
        <f t="shared" si="7"/>
        <v>0</v>
      </c>
      <c r="D121" s="149">
        <f t="shared" si="8"/>
        <v>0</v>
      </c>
      <c r="E121" s="149">
        <f t="shared" si="9"/>
        <v>0</v>
      </c>
      <c r="F121" s="148"/>
      <c r="G121" s="169"/>
      <c r="H121" s="153"/>
      <c r="I121" s="143"/>
    </row>
    <row r="122" spans="1:9">
      <c r="A122" s="168">
        <v>67</v>
      </c>
      <c r="B122" s="149">
        <f t="shared" si="6"/>
        <v>0</v>
      </c>
      <c r="C122" s="149">
        <f t="shared" si="7"/>
        <v>0</v>
      </c>
      <c r="D122" s="149">
        <f t="shared" si="8"/>
        <v>0</v>
      </c>
      <c r="E122" s="149">
        <f t="shared" si="9"/>
        <v>0</v>
      </c>
      <c r="F122" s="148"/>
      <c r="G122" s="143"/>
      <c r="H122" s="137"/>
      <c r="I122" s="143"/>
    </row>
    <row r="123" spans="1:9">
      <c r="A123" s="168">
        <v>68</v>
      </c>
      <c r="B123" s="149">
        <f t="shared" si="6"/>
        <v>0</v>
      </c>
      <c r="C123" s="149">
        <f t="shared" si="7"/>
        <v>0</v>
      </c>
      <c r="D123" s="149">
        <f t="shared" si="8"/>
        <v>0</v>
      </c>
      <c r="E123" s="149">
        <f t="shared" si="9"/>
        <v>0</v>
      </c>
      <c r="F123" s="148"/>
      <c r="G123" s="143"/>
      <c r="H123" s="137"/>
      <c r="I123" s="143"/>
    </row>
    <row r="124" spans="1:9">
      <c r="A124" s="168">
        <v>69</v>
      </c>
      <c r="B124" s="149">
        <f t="shared" si="6"/>
        <v>0</v>
      </c>
      <c r="C124" s="149">
        <f t="shared" si="7"/>
        <v>0</v>
      </c>
      <c r="D124" s="149">
        <f t="shared" si="8"/>
        <v>0</v>
      </c>
      <c r="E124" s="149">
        <f t="shared" si="9"/>
        <v>0</v>
      </c>
      <c r="F124" s="148"/>
      <c r="G124" s="143"/>
      <c r="H124" s="137"/>
      <c r="I124" s="143"/>
    </row>
    <row r="125" spans="1:9">
      <c r="A125" s="168">
        <v>70</v>
      </c>
      <c r="B125" s="149">
        <f t="shared" si="6"/>
        <v>0</v>
      </c>
      <c r="C125" s="149">
        <f t="shared" si="7"/>
        <v>0</v>
      </c>
      <c r="D125" s="149">
        <f t="shared" si="8"/>
        <v>0</v>
      </c>
      <c r="E125" s="149">
        <f t="shared" si="9"/>
        <v>0</v>
      </c>
      <c r="F125" s="148"/>
      <c r="G125" s="143"/>
      <c r="H125" s="137"/>
      <c r="I125" s="143"/>
    </row>
    <row r="126" spans="1:9">
      <c r="A126" s="168">
        <v>71</v>
      </c>
      <c r="B126" s="149">
        <f t="shared" si="6"/>
        <v>0</v>
      </c>
      <c r="C126" s="149">
        <f t="shared" si="7"/>
        <v>0</v>
      </c>
      <c r="D126" s="149">
        <f t="shared" si="8"/>
        <v>0</v>
      </c>
      <c r="E126" s="149">
        <f t="shared" si="9"/>
        <v>0</v>
      </c>
      <c r="F126" s="148"/>
      <c r="G126" s="143"/>
      <c r="H126" s="137"/>
      <c r="I126" s="143"/>
    </row>
    <row r="127" spans="1:9">
      <c r="A127" s="168">
        <v>72</v>
      </c>
      <c r="B127" s="149">
        <f t="shared" si="6"/>
        <v>0</v>
      </c>
      <c r="C127" s="149">
        <f t="shared" si="7"/>
        <v>0</v>
      </c>
      <c r="D127" s="149">
        <f t="shared" si="8"/>
        <v>0</v>
      </c>
      <c r="E127" s="149">
        <f t="shared" si="9"/>
        <v>0</v>
      </c>
      <c r="F127" s="148"/>
      <c r="G127" s="169"/>
      <c r="H127" s="153"/>
      <c r="I127" s="169"/>
    </row>
    <row r="128" spans="1:9">
      <c r="A128" s="168">
        <v>73</v>
      </c>
      <c r="B128" s="149">
        <f t="shared" si="6"/>
        <v>0</v>
      </c>
      <c r="C128" s="149">
        <f t="shared" si="7"/>
        <v>0</v>
      </c>
      <c r="D128" s="149">
        <f t="shared" si="8"/>
        <v>0</v>
      </c>
      <c r="E128" s="149">
        <f t="shared" si="9"/>
        <v>0</v>
      </c>
      <c r="F128" s="148"/>
      <c r="G128" s="143"/>
      <c r="H128" s="137"/>
      <c r="I128" s="169"/>
    </row>
    <row r="129" spans="1:9">
      <c r="A129" s="168">
        <v>74</v>
      </c>
      <c r="B129" s="149">
        <f t="shared" si="6"/>
        <v>0</v>
      </c>
      <c r="C129" s="149">
        <f t="shared" si="7"/>
        <v>0</v>
      </c>
      <c r="D129" s="149">
        <f t="shared" si="8"/>
        <v>0</v>
      </c>
      <c r="E129" s="149">
        <f t="shared" si="9"/>
        <v>0</v>
      </c>
      <c r="F129" s="148">
        <v>6</v>
      </c>
      <c r="G129" s="143"/>
      <c r="H129" s="137"/>
      <c r="I129" s="143"/>
    </row>
    <row r="130" spans="1:9">
      <c r="A130" s="168">
        <v>75</v>
      </c>
      <c r="B130" s="149">
        <f t="shared" si="6"/>
        <v>0</v>
      </c>
      <c r="C130" s="149">
        <f t="shared" si="7"/>
        <v>0</v>
      </c>
      <c r="D130" s="149">
        <f t="shared" si="8"/>
        <v>0</v>
      </c>
      <c r="E130" s="149">
        <f t="shared" si="9"/>
        <v>0</v>
      </c>
      <c r="F130" s="148"/>
      <c r="G130" s="143"/>
      <c r="H130" s="137"/>
      <c r="I130" s="143"/>
    </row>
    <row r="131" spans="1:9">
      <c r="A131" s="168">
        <v>76</v>
      </c>
      <c r="B131" s="149">
        <f t="shared" si="6"/>
        <v>0</v>
      </c>
      <c r="C131" s="149">
        <f t="shared" si="7"/>
        <v>0</v>
      </c>
      <c r="D131" s="149">
        <f t="shared" si="8"/>
        <v>0</v>
      </c>
      <c r="E131" s="149">
        <f t="shared" si="9"/>
        <v>0</v>
      </c>
      <c r="F131" s="148"/>
      <c r="G131" s="143"/>
      <c r="H131" s="137"/>
      <c r="I131" s="143"/>
    </row>
    <row r="132" spans="1:9">
      <c r="A132" s="168">
        <v>77</v>
      </c>
      <c r="B132" s="149">
        <f t="shared" si="6"/>
        <v>0</v>
      </c>
      <c r="C132" s="149">
        <f t="shared" si="7"/>
        <v>0</v>
      </c>
      <c r="D132" s="149">
        <f t="shared" si="8"/>
        <v>0</v>
      </c>
      <c r="E132" s="149">
        <f t="shared" si="9"/>
        <v>0</v>
      </c>
      <c r="F132" s="148"/>
      <c r="G132" s="143"/>
      <c r="H132" s="137"/>
      <c r="I132" s="143"/>
    </row>
    <row r="133" spans="1:9">
      <c r="A133" s="168">
        <v>78</v>
      </c>
      <c r="B133" s="149">
        <f t="shared" si="6"/>
        <v>0</v>
      </c>
      <c r="C133" s="149">
        <f t="shared" si="7"/>
        <v>0</v>
      </c>
      <c r="D133" s="149">
        <f t="shared" si="8"/>
        <v>0</v>
      </c>
      <c r="E133" s="149">
        <f t="shared" si="9"/>
        <v>0</v>
      </c>
      <c r="F133" s="148"/>
      <c r="G133" s="169"/>
      <c r="H133" s="153"/>
      <c r="I133" s="143"/>
    </row>
    <row r="134" spans="1:9">
      <c r="A134" s="168">
        <v>79</v>
      </c>
      <c r="B134" s="149">
        <f t="shared" si="6"/>
        <v>0</v>
      </c>
      <c r="C134" s="149">
        <f t="shared" si="7"/>
        <v>0</v>
      </c>
      <c r="D134" s="149">
        <f t="shared" si="8"/>
        <v>0</v>
      </c>
      <c r="E134" s="149">
        <f t="shared" si="9"/>
        <v>0</v>
      </c>
      <c r="F134" s="148"/>
      <c r="G134" s="143"/>
      <c r="H134" s="137"/>
      <c r="I134" s="143"/>
    </row>
    <row r="135" spans="1:9">
      <c r="A135" s="168">
        <v>80</v>
      </c>
      <c r="B135" s="149">
        <f t="shared" si="6"/>
        <v>0</v>
      </c>
      <c r="C135" s="149">
        <f t="shared" si="7"/>
        <v>0</v>
      </c>
      <c r="D135" s="149">
        <f t="shared" si="8"/>
        <v>0</v>
      </c>
      <c r="E135" s="149">
        <f t="shared" si="9"/>
        <v>0</v>
      </c>
      <c r="F135" s="148"/>
      <c r="G135" s="143"/>
      <c r="H135" s="137"/>
      <c r="I135" s="143"/>
    </row>
    <row r="136" spans="1:9">
      <c r="A136" s="168">
        <v>81</v>
      </c>
      <c r="B136" s="149">
        <f t="shared" si="6"/>
        <v>0</v>
      </c>
      <c r="C136" s="149">
        <f t="shared" si="7"/>
        <v>0</v>
      </c>
      <c r="D136" s="149">
        <f t="shared" si="8"/>
        <v>0</v>
      </c>
      <c r="E136" s="149">
        <f t="shared" si="9"/>
        <v>0</v>
      </c>
      <c r="F136" s="148"/>
      <c r="G136" s="143"/>
      <c r="H136" s="137"/>
      <c r="I136" s="143"/>
    </row>
    <row r="137" spans="1:9">
      <c r="A137" s="168">
        <v>82</v>
      </c>
      <c r="B137" s="149">
        <f t="shared" si="6"/>
        <v>0</v>
      </c>
      <c r="C137" s="149">
        <f t="shared" si="7"/>
        <v>0</v>
      </c>
      <c r="D137" s="149">
        <f t="shared" si="8"/>
        <v>0</v>
      </c>
      <c r="E137" s="149">
        <f t="shared" si="9"/>
        <v>0</v>
      </c>
      <c r="F137" s="148"/>
      <c r="G137" s="143"/>
      <c r="H137" s="137"/>
      <c r="I137" s="143"/>
    </row>
    <row r="138" spans="1:9">
      <c r="A138" s="168">
        <v>83</v>
      </c>
      <c r="B138" s="149">
        <f t="shared" si="6"/>
        <v>0</v>
      </c>
      <c r="C138" s="149">
        <f t="shared" si="7"/>
        <v>0</v>
      </c>
      <c r="D138" s="149">
        <f t="shared" si="8"/>
        <v>0</v>
      </c>
      <c r="E138" s="149">
        <f t="shared" si="9"/>
        <v>0</v>
      </c>
      <c r="F138" s="148"/>
      <c r="G138" s="143"/>
      <c r="H138" s="137"/>
      <c r="I138" s="143"/>
    </row>
    <row r="139" spans="1:9">
      <c r="A139" s="168">
        <v>84</v>
      </c>
      <c r="B139" s="149">
        <f t="shared" si="6"/>
        <v>0</v>
      </c>
      <c r="C139" s="149">
        <f t="shared" si="7"/>
        <v>0</v>
      </c>
      <c r="D139" s="149">
        <f t="shared" si="8"/>
        <v>0</v>
      </c>
      <c r="E139" s="149">
        <f t="shared" si="9"/>
        <v>0</v>
      </c>
      <c r="F139" s="148">
        <v>7</v>
      </c>
      <c r="G139" s="169"/>
      <c r="H139" s="153"/>
      <c r="I139" s="169"/>
    </row>
    <row r="140" spans="1:9">
      <c r="A140" s="168">
        <v>85</v>
      </c>
      <c r="B140" s="149">
        <f t="shared" si="6"/>
        <v>0</v>
      </c>
      <c r="C140" s="149">
        <f t="shared" si="7"/>
        <v>0</v>
      </c>
      <c r="D140" s="149">
        <f t="shared" si="8"/>
        <v>0</v>
      </c>
      <c r="E140" s="149">
        <f t="shared" si="9"/>
        <v>0</v>
      </c>
      <c r="F140" s="148"/>
      <c r="G140" s="143"/>
      <c r="H140" s="137"/>
      <c r="I140" s="169"/>
    </row>
    <row r="141" spans="1:9">
      <c r="A141" s="168">
        <v>86</v>
      </c>
      <c r="B141" s="149">
        <f t="shared" si="6"/>
        <v>0</v>
      </c>
      <c r="C141" s="149">
        <f t="shared" si="7"/>
        <v>0</v>
      </c>
      <c r="D141" s="149">
        <f t="shared" si="8"/>
        <v>0</v>
      </c>
      <c r="E141" s="149">
        <f t="shared" si="9"/>
        <v>0</v>
      </c>
      <c r="F141" s="148"/>
      <c r="G141" s="143"/>
      <c r="H141" s="137"/>
      <c r="I141" s="143"/>
    </row>
    <row r="142" spans="1:9">
      <c r="A142" s="168">
        <v>87</v>
      </c>
      <c r="B142" s="149">
        <f t="shared" si="6"/>
        <v>0</v>
      </c>
      <c r="C142" s="149">
        <f t="shared" si="7"/>
        <v>0</v>
      </c>
      <c r="D142" s="149">
        <f t="shared" si="8"/>
        <v>0</v>
      </c>
      <c r="E142" s="149">
        <f t="shared" si="9"/>
        <v>0</v>
      </c>
      <c r="F142" s="148"/>
      <c r="G142" s="143"/>
      <c r="H142" s="137"/>
      <c r="I142" s="143"/>
    </row>
    <row r="143" spans="1:9">
      <c r="A143" s="168">
        <v>88</v>
      </c>
      <c r="B143" s="149">
        <f t="shared" si="6"/>
        <v>0</v>
      </c>
      <c r="C143" s="149">
        <f t="shared" si="7"/>
        <v>0</v>
      </c>
      <c r="D143" s="149">
        <f t="shared" si="8"/>
        <v>0</v>
      </c>
      <c r="E143" s="149">
        <f t="shared" si="9"/>
        <v>0</v>
      </c>
      <c r="F143" s="148"/>
      <c r="G143" s="143"/>
      <c r="H143" s="137"/>
      <c r="I143" s="143"/>
    </row>
    <row r="144" spans="1:9">
      <c r="A144" s="168">
        <v>89</v>
      </c>
      <c r="B144" s="149">
        <f t="shared" si="6"/>
        <v>0</v>
      </c>
      <c r="C144" s="149">
        <f t="shared" si="7"/>
        <v>0</v>
      </c>
      <c r="D144" s="149">
        <f t="shared" si="8"/>
        <v>0</v>
      </c>
      <c r="E144" s="149">
        <f t="shared" si="9"/>
        <v>0</v>
      </c>
      <c r="F144" s="148"/>
      <c r="G144" s="143"/>
      <c r="H144" s="137"/>
      <c r="I144" s="143"/>
    </row>
    <row r="145" spans="1:9">
      <c r="A145" s="168">
        <v>90</v>
      </c>
      <c r="B145" s="149">
        <f t="shared" si="6"/>
        <v>0</v>
      </c>
      <c r="C145" s="149">
        <f t="shared" si="7"/>
        <v>0</v>
      </c>
      <c r="D145" s="149">
        <f t="shared" si="8"/>
        <v>0</v>
      </c>
      <c r="E145" s="149">
        <f t="shared" si="9"/>
        <v>0</v>
      </c>
      <c r="F145" s="148"/>
      <c r="G145" s="169"/>
      <c r="H145" s="153"/>
      <c r="I145" s="143"/>
    </row>
    <row r="146" spans="1:9">
      <c r="A146" s="168">
        <v>91</v>
      </c>
      <c r="B146" s="149">
        <f t="shared" si="6"/>
        <v>0</v>
      </c>
      <c r="C146" s="149">
        <f t="shared" si="7"/>
        <v>0</v>
      </c>
      <c r="D146" s="149">
        <f t="shared" si="8"/>
        <v>0</v>
      </c>
      <c r="E146" s="149">
        <f t="shared" si="9"/>
        <v>0</v>
      </c>
      <c r="F146" s="148"/>
      <c r="G146" s="143"/>
      <c r="H146" s="137"/>
      <c r="I146" s="143"/>
    </row>
    <row r="147" spans="1:9">
      <c r="A147" s="168">
        <v>92</v>
      </c>
      <c r="B147" s="149">
        <f t="shared" si="6"/>
        <v>0</v>
      </c>
      <c r="C147" s="149">
        <f t="shared" si="7"/>
        <v>0</v>
      </c>
      <c r="D147" s="149">
        <f t="shared" si="8"/>
        <v>0</v>
      </c>
      <c r="E147" s="149">
        <f t="shared" si="9"/>
        <v>0</v>
      </c>
      <c r="F147" s="148"/>
      <c r="G147" s="143"/>
      <c r="H147" s="137"/>
      <c r="I147" s="143"/>
    </row>
    <row r="148" spans="1:9">
      <c r="A148" s="168">
        <v>93</v>
      </c>
      <c r="B148" s="149">
        <f t="shared" si="6"/>
        <v>0</v>
      </c>
      <c r="C148" s="149">
        <f t="shared" si="7"/>
        <v>0</v>
      </c>
      <c r="D148" s="149">
        <f t="shared" si="8"/>
        <v>0</v>
      </c>
      <c r="E148" s="149">
        <f t="shared" si="9"/>
        <v>0</v>
      </c>
      <c r="F148" s="148"/>
      <c r="G148" s="143"/>
      <c r="H148" s="137"/>
      <c r="I148" s="143"/>
    </row>
    <row r="149" spans="1:9">
      <c r="A149" s="168">
        <v>94</v>
      </c>
      <c r="B149" s="149">
        <f t="shared" si="6"/>
        <v>0</v>
      </c>
      <c r="C149" s="149">
        <f t="shared" si="7"/>
        <v>0</v>
      </c>
      <c r="D149" s="149">
        <f t="shared" si="8"/>
        <v>0</v>
      </c>
      <c r="E149" s="149">
        <f t="shared" si="9"/>
        <v>0</v>
      </c>
      <c r="F149" s="148"/>
      <c r="G149" s="143"/>
      <c r="H149" s="137"/>
      <c r="I149" s="143"/>
    </row>
    <row r="150" spans="1:9">
      <c r="A150" s="168">
        <v>95</v>
      </c>
      <c r="B150" s="149">
        <f t="shared" si="6"/>
        <v>0</v>
      </c>
      <c r="C150" s="149">
        <f t="shared" si="7"/>
        <v>0</v>
      </c>
      <c r="D150" s="149">
        <f t="shared" si="8"/>
        <v>0</v>
      </c>
      <c r="E150" s="149">
        <f t="shared" si="9"/>
        <v>0</v>
      </c>
      <c r="F150" s="148"/>
      <c r="G150" s="143"/>
      <c r="H150" s="137"/>
      <c r="I150" s="143"/>
    </row>
    <row r="151" spans="1:9">
      <c r="A151" s="168">
        <v>96</v>
      </c>
      <c r="B151" s="149">
        <f t="shared" si="6"/>
        <v>0</v>
      </c>
      <c r="C151" s="149">
        <f t="shared" si="7"/>
        <v>0</v>
      </c>
      <c r="D151" s="149">
        <f t="shared" si="8"/>
        <v>0</v>
      </c>
      <c r="E151" s="149">
        <f t="shared" si="9"/>
        <v>0</v>
      </c>
      <c r="F151" s="148">
        <v>8</v>
      </c>
      <c r="G151" s="169"/>
      <c r="H151" s="153"/>
      <c r="I151" s="169"/>
    </row>
    <row r="152" spans="1:9">
      <c r="A152" s="168">
        <v>97</v>
      </c>
      <c r="B152" s="149">
        <f t="shared" si="6"/>
        <v>0</v>
      </c>
      <c r="C152" s="149">
        <f t="shared" si="7"/>
        <v>0</v>
      </c>
      <c r="D152" s="149">
        <f t="shared" si="8"/>
        <v>0</v>
      </c>
      <c r="E152" s="149">
        <f t="shared" si="9"/>
        <v>0</v>
      </c>
      <c r="F152" s="148"/>
      <c r="G152" s="143"/>
      <c r="H152" s="137"/>
      <c r="I152" s="169"/>
    </row>
    <row r="153" spans="1:9">
      <c r="A153" s="168">
        <v>98</v>
      </c>
      <c r="B153" s="149">
        <f t="shared" si="6"/>
        <v>0</v>
      </c>
      <c r="C153" s="149">
        <f t="shared" si="7"/>
        <v>0</v>
      </c>
      <c r="D153" s="149">
        <f t="shared" si="8"/>
        <v>0</v>
      </c>
      <c r="E153" s="149">
        <f t="shared" si="9"/>
        <v>0</v>
      </c>
      <c r="F153" s="148"/>
      <c r="G153" s="143"/>
      <c r="H153" s="137"/>
      <c r="I153" s="143"/>
    </row>
    <row r="154" spans="1:9">
      <c r="A154" s="168">
        <v>99</v>
      </c>
      <c r="B154" s="149">
        <f t="shared" si="6"/>
        <v>0</v>
      </c>
      <c r="C154" s="149">
        <f t="shared" si="7"/>
        <v>0</v>
      </c>
      <c r="D154" s="149">
        <f t="shared" si="8"/>
        <v>0</v>
      </c>
      <c r="E154" s="149">
        <f t="shared" si="9"/>
        <v>0</v>
      </c>
      <c r="F154" s="148"/>
      <c r="G154" s="143"/>
      <c r="H154" s="137"/>
      <c r="I154" s="143"/>
    </row>
    <row r="155" spans="1:9">
      <c r="A155" s="168">
        <v>100</v>
      </c>
      <c r="B155" s="149">
        <f t="shared" si="6"/>
        <v>0</v>
      </c>
      <c r="C155" s="149">
        <f t="shared" si="7"/>
        <v>0</v>
      </c>
      <c r="D155" s="149">
        <f t="shared" si="8"/>
        <v>0</v>
      </c>
      <c r="E155" s="149">
        <f t="shared" si="9"/>
        <v>0</v>
      </c>
      <c r="F155" s="148"/>
      <c r="G155" s="143"/>
      <c r="H155" s="137"/>
      <c r="I155" s="143"/>
    </row>
    <row r="156" spans="1:9">
      <c r="A156" s="168">
        <v>101</v>
      </c>
      <c r="B156" s="149">
        <f t="shared" si="6"/>
        <v>0</v>
      </c>
      <c r="C156" s="149">
        <f t="shared" si="7"/>
        <v>0</v>
      </c>
      <c r="D156" s="149">
        <f t="shared" si="8"/>
        <v>0</v>
      </c>
      <c r="E156" s="149">
        <f t="shared" si="9"/>
        <v>0</v>
      </c>
      <c r="F156" s="148"/>
      <c r="G156" s="143"/>
      <c r="H156" s="137"/>
      <c r="I156" s="143"/>
    </row>
    <row r="157" spans="1:9">
      <c r="A157" s="168">
        <v>102</v>
      </c>
      <c r="B157" s="149">
        <f t="shared" si="6"/>
        <v>0</v>
      </c>
      <c r="C157" s="149">
        <f t="shared" si="7"/>
        <v>0</v>
      </c>
      <c r="D157" s="149">
        <f t="shared" si="8"/>
        <v>0</v>
      </c>
      <c r="E157" s="149">
        <f t="shared" si="9"/>
        <v>0</v>
      </c>
      <c r="F157" s="148"/>
      <c r="G157" s="169"/>
      <c r="H157" s="153"/>
      <c r="I157" s="143"/>
    </row>
    <row r="158" spans="1:9">
      <c r="A158" s="168">
        <v>103</v>
      </c>
      <c r="B158" s="149">
        <f t="shared" si="6"/>
        <v>0</v>
      </c>
      <c r="C158" s="149">
        <f t="shared" si="7"/>
        <v>0</v>
      </c>
      <c r="D158" s="149">
        <f t="shared" si="8"/>
        <v>0</v>
      </c>
      <c r="E158" s="149">
        <f t="shared" si="9"/>
        <v>0</v>
      </c>
      <c r="F158" s="148"/>
      <c r="G158" s="143"/>
      <c r="H158" s="137"/>
      <c r="I158" s="143"/>
    </row>
    <row r="159" spans="1:9">
      <c r="A159" s="168">
        <v>104</v>
      </c>
      <c r="B159" s="149">
        <f t="shared" si="6"/>
        <v>0</v>
      </c>
      <c r="C159" s="149">
        <f t="shared" si="7"/>
        <v>0</v>
      </c>
      <c r="D159" s="149">
        <f t="shared" si="8"/>
        <v>0</v>
      </c>
      <c r="E159" s="149">
        <f t="shared" si="9"/>
        <v>0</v>
      </c>
      <c r="F159" s="148"/>
      <c r="G159" s="143"/>
      <c r="H159" s="137"/>
      <c r="I159" s="143"/>
    </row>
    <row r="160" spans="1:9">
      <c r="A160" s="168">
        <v>105</v>
      </c>
      <c r="B160" s="149">
        <f t="shared" si="6"/>
        <v>0</v>
      </c>
      <c r="C160" s="149">
        <f t="shared" si="7"/>
        <v>0</v>
      </c>
      <c r="D160" s="149">
        <f t="shared" si="8"/>
        <v>0</v>
      </c>
      <c r="E160" s="149">
        <f t="shared" si="9"/>
        <v>0</v>
      </c>
      <c r="F160" s="148"/>
      <c r="G160" s="143"/>
      <c r="H160" s="137"/>
      <c r="I160" s="143"/>
    </row>
    <row r="161" spans="1:9">
      <c r="A161" s="168">
        <v>106</v>
      </c>
      <c r="B161" s="149">
        <f t="shared" si="6"/>
        <v>0</v>
      </c>
      <c r="C161" s="149">
        <f t="shared" si="7"/>
        <v>0</v>
      </c>
      <c r="D161" s="149">
        <f t="shared" si="8"/>
        <v>0</v>
      </c>
      <c r="E161" s="149">
        <f t="shared" si="9"/>
        <v>0</v>
      </c>
      <c r="F161" s="148"/>
      <c r="G161" s="143"/>
      <c r="H161" s="137"/>
      <c r="I161" s="143"/>
    </row>
    <row r="162" spans="1:9">
      <c r="A162" s="168">
        <v>107</v>
      </c>
      <c r="B162" s="149">
        <f t="shared" si="6"/>
        <v>0</v>
      </c>
      <c r="C162" s="149">
        <f t="shared" si="7"/>
        <v>0</v>
      </c>
      <c r="D162" s="149">
        <f t="shared" si="8"/>
        <v>0</v>
      </c>
      <c r="E162" s="149">
        <f t="shared" si="9"/>
        <v>0</v>
      </c>
      <c r="F162" s="148"/>
      <c r="G162" s="143"/>
      <c r="H162" s="137"/>
      <c r="I162" s="143"/>
    </row>
    <row r="163" spans="1:9">
      <c r="A163" s="168">
        <v>108</v>
      </c>
      <c r="B163" s="149">
        <f t="shared" si="6"/>
        <v>0</v>
      </c>
      <c r="C163" s="149">
        <f t="shared" si="7"/>
        <v>0</v>
      </c>
      <c r="D163" s="149">
        <f t="shared" si="8"/>
        <v>0</v>
      </c>
      <c r="E163" s="149">
        <f t="shared" si="9"/>
        <v>0</v>
      </c>
      <c r="F163" s="148">
        <v>9</v>
      </c>
      <c r="G163" s="169"/>
      <c r="H163" s="153"/>
      <c r="I163" s="169"/>
    </row>
    <row r="164" spans="1:9">
      <c r="A164" s="168">
        <v>109</v>
      </c>
      <c r="B164" s="149">
        <f t="shared" si="6"/>
        <v>0</v>
      </c>
      <c r="C164" s="149">
        <f t="shared" si="7"/>
        <v>0</v>
      </c>
      <c r="D164" s="149">
        <f t="shared" si="8"/>
        <v>0</v>
      </c>
      <c r="E164" s="149">
        <f t="shared" si="9"/>
        <v>0</v>
      </c>
      <c r="F164" s="148"/>
      <c r="G164" s="143"/>
      <c r="H164" s="137"/>
      <c r="I164" s="169"/>
    </row>
    <row r="165" spans="1:9">
      <c r="A165" s="168">
        <v>110</v>
      </c>
      <c r="B165" s="149">
        <f t="shared" si="6"/>
        <v>0</v>
      </c>
      <c r="C165" s="149">
        <f t="shared" si="7"/>
        <v>0</v>
      </c>
      <c r="D165" s="149">
        <f t="shared" si="8"/>
        <v>0</v>
      </c>
      <c r="E165" s="149">
        <f t="shared" si="9"/>
        <v>0</v>
      </c>
      <c r="F165" s="148"/>
      <c r="G165" s="143"/>
      <c r="H165" s="137"/>
      <c r="I165" s="143"/>
    </row>
    <row r="166" spans="1:9">
      <c r="A166" s="168">
        <v>111</v>
      </c>
      <c r="B166" s="149">
        <f t="shared" si="6"/>
        <v>0</v>
      </c>
      <c r="C166" s="149">
        <f t="shared" si="7"/>
        <v>0</v>
      </c>
      <c r="D166" s="149">
        <f t="shared" si="8"/>
        <v>0</v>
      </c>
      <c r="E166" s="149">
        <f t="shared" si="9"/>
        <v>0</v>
      </c>
      <c r="F166" s="148"/>
      <c r="G166" s="143"/>
      <c r="H166" s="137"/>
      <c r="I166" s="143"/>
    </row>
    <row r="167" spans="1:9">
      <c r="A167" s="168">
        <v>112</v>
      </c>
      <c r="B167" s="149">
        <f t="shared" si="6"/>
        <v>0</v>
      </c>
      <c r="C167" s="149">
        <f t="shared" si="7"/>
        <v>0</v>
      </c>
      <c r="D167" s="149">
        <f t="shared" si="8"/>
        <v>0</v>
      </c>
      <c r="E167" s="149">
        <f t="shared" si="9"/>
        <v>0</v>
      </c>
      <c r="F167" s="148"/>
      <c r="G167" s="143"/>
      <c r="H167" s="137"/>
      <c r="I167" s="143"/>
    </row>
    <row r="168" spans="1:9">
      <c r="A168" s="168">
        <v>113</v>
      </c>
      <c r="B168" s="149">
        <f t="shared" si="6"/>
        <v>0</v>
      </c>
      <c r="C168" s="149">
        <f t="shared" si="7"/>
        <v>0</v>
      </c>
      <c r="D168" s="149">
        <f t="shared" si="8"/>
        <v>0</v>
      </c>
      <c r="E168" s="149">
        <f t="shared" si="9"/>
        <v>0</v>
      </c>
      <c r="F168" s="148"/>
      <c r="G168" s="143"/>
      <c r="H168" s="137"/>
      <c r="I168" s="143"/>
    </row>
    <row r="169" spans="1:9">
      <c r="A169" s="168">
        <v>114</v>
      </c>
      <c r="B169" s="149">
        <f t="shared" si="6"/>
        <v>0</v>
      </c>
      <c r="C169" s="149">
        <f t="shared" si="7"/>
        <v>0</v>
      </c>
      <c r="D169" s="149">
        <f t="shared" si="8"/>
        <v>0</v>
      </c>
      <c r="E169" s="149">
        <f t="shared" si="9"/>
        <v>0</v>
      </c>
      <c r="F169" s="148"/>
      <c r="G169" s="169"/>
      <c r="H169" s="153"/>
      <c r="I169" s="143"/>
    </row>
    <row r="170" spans="1:9">
      <c r="A170" s="168">
        <v>115</v>
      </c>
      <c r="B170" s="149">
        <f t="shared" si="6"/>
        <v>0</v>
      </c>
      <c r="C170" s="149">
        <f t="shared" si="7"/>
        <v>0</v>
      </c>
      <c r="D170" s="149">
        <f t="shared" si="8"/>
        <v>0</v>
      </c>
      <c r="E170" s="149">
        <f t="shared" si="9"/>
        <v>0</v>
      </c>
      <c r="F170" s="148"/>
      <c r="G170" s="143"/>
      <c r="H170" s="137"/>
      <c r="I170" s="143"/>
    </row>
    <row r="171" spans="1:9">
      <c r="A171" s="168">
        <v>116</v>
      </c>
      <c r="B171" s="149">
        <f t="shared" si="6"/>
        <v>0</v>
      </c>
      <c r="C171" s="149">
        <f t="shared" si="7"/>
        <v>0</v>
      </c>
      <c r="D171" s="149">
        <f t="shared" si="8"/>
        <v>0</v>
      </c>
      <c r="E171" s="149">
        <f t="shared" si="9"/>
        <v>0</v>
      </c>
      <c r="F171" s="148"/>
      <c r="G171" s="143"/>
      <c r="H171" s="137"/>
      <c r="I171" s="143"/>
    </row>
    <row r="172" spans="1:9">
      <c r="A172" s="168">
        <v>117</v>
      </c>
      <c r="B172" s="149">
        <f t="shared" si="6"/>
        <v>0</v>
      </c>
      <c r="C172" s="149">
        <f t="shared" si="7"/>
        <v>0</v>
      </c>
      <c r="D172" s="149">
        <f t="shared" si="8"/>
        <v>0</v>
      </c>
      <c r="E172" s="149">
        <f t="shared" si="9"/>
        <v>0</v>
      </c>
      <c r="F172" s="148"/>
      <c r="G172" s="143"/>
      <c r="H172" s="137"/>
      <c r="I172" s="143"/>
    </row>
    <row r="173" spans="1:9">
      <c r="A173" s="168">
        <v>118</v>
      </c>
      <c r="B173" s="149">
        <f t="shared" si="6"/>
        <v>0</v>
      </c>
      <c r="C173" s="149">
        <f t="shared" si="7"/>
        <v>0</v>
      </c>
      <c r="D173" s="149">
        <f t="shared" si="8"/>
        <v>0</v>
      </c>
      <c r="E173" s="149">
        <f t="shared" si="9"/>
        <v>0</v>
      </c>
      <c r="F173" s="148"/>
      <c r="G173" s="143"/>
      <c r="H173" s="137"/>
      <c r="I173" s="143"/>
    </row>
    <row r="174" spans="1:9">
      <c r="A174" s="168">
        <v>119</v>
      </c>
      <c r="B174" s="149">
        <f t="shared" si="6"/>
        <v>0</v>
      </c>
      <c r="C174" s="149">
        <f t="shared" si="7"/>
        <v>0</v>
      </c>
      <c r="D174" s="149">
        <f t="shared" si="8"/>
        <v>0</v>
      </c>
      <c r="E174" s="149">
        <f t="shared" si="9"/>
        <v>0</v>
      </c>
      <c r="F174" s="148"/>
      <c r="G174" s="143"/>
      <c r="H174" s="137"/>
      <c r="I174" s="143"/>
    </row>
    <row r="175" spans="1:9">
      <c r="A175" s="168">
        <v>120</v>
      </c>
      <c r="B175" s="149">
        <f t="shared" si="6"/>
        <v>0</v>
      </c>
      <c r="C175" s="149">
        <f t="shared" si="7"/>
        <v>0</v>
      </c>
      <c r="D175" s="149">
        <f t="shared" si="8"/>
        <v>0</v>
      </c>
      <c r="E175" s="149">
        <f t="shared" si="9"/>
        <v>0</v>
      </c>
      <c r="F175" s="148">
        <v>10</v>
      </c>
      <c r="G175" s="169"/>
      <c r="H175" s="153"/>
      <c r="I175" s="169"/>
    </row>
    <row r="176" spans="1:9">
      <c r="A176" s="168">
        <v>121</v>
      </c>
      <c r="B176" s="149">
        <f t="shared" si="6"/>
        <v>0</v>
      </c>
      <c r="C176" s="149">
        <f t="shared" si="7"/>
        <v>0</v>
      </c>
      <c r="D176" s="149">
        <f t="shared" si="8"/>
        <v>0</v>
      </c>
      <c r="E176" s="149">
        <f t="shared" si="9"/>
        <v>0</v>
      </c>
      <c r="F176" s="148"/>
      <c r="G176" s="143"/>
      <c r="H176" s="137"/>
      <c r="I176" s="169"/>
    </row>
    <row r="177" spans="1:9">
      <c r="A177" s="168">
        <v>122</v>
      </c>
      <c r="B177" s="149">
        <f t="shared" si="6"/>
        <v>0</v>
      </c>
      <c r="C177" s="149">
        <f t="shared" si="7"/>
        <v>0</v>
      </c>
      <c r="D177" s="149">
        <f t="shared" si="8"/>
        <v>0</v>
      </c>
      <c r="E177" s="149">
        <f t="shared" si="9"/>
        <v>0</v>
      </c>
      <c r="F177" s="148"/>
      <c r="G177" s="143"/>
      <c r="H177" s="137"/>
      <c r="I177" s="143"/>
    </row>
    <row r="178" spans="1:9">
      <c r="A178" s="168">
        <v>123</v>
      </c>
      <c r="B178" s="149">
        <f t="shared" si="6"/>
        <v>0</v>
      </c>
      <c r="C178" s="149">
        <f t="shared" si="7"/>
        <v>0</v>
      </c>
      <c r="D178" s="149">
        <f t="shared" si="8"/>
        <v>0</v>
      </c>
      <c r="E178" s="149">
        <f t="shared" si="9"/>
        <v>0</v>
      </c>
      <c r="F178" s="148"/>
      <c r="G178" s="143"/>
      <c r="H178" s="137"/>
      <c r="I178" s="143"/>
    </row>
    <row r="179" spans="1:9">
      <c r="A179" s="168">
        <v>124</v>
      </c>
      <c r="B179" s="149">
        <f t="shared" si="6"/>
        <v>0</v>
      </c>
      <c r="C179" s="149">
        <f t="shared" si="7"/>
        <v>0</v>
      </c>
      <c r="D179" s="149">
        <f t="shared" si="8"/>
        <v>0</v>
      </c>
      <c r="E179" s="149">
        <f t="shared" si="9"/>
        <v>0</v>
      </c>
      <c r="F179" s="148"/>
      <c r="G179" s="143"/>
      <c r="H179" s="137"/>
      <c r="I179" s="143"/>
    </row>
    <row r="180" spans="1:9">
      <c r="A180" s="168">
        <v>125</v>
      </c>
      <c r="B180" s="149">
        <f t="shared" si="6"/>
        <v>0</v>
      </c>
      <c r="C180" s="149">
        <f t="shared" si="7"/>
        <v>0</v>
      </c>
      <c r="D180" s="149">
        <f t="shared" si="8"/>
        <v>0</v>
      </c>
      <c r="E180" s="149">
        <f t="shared" si="9"/>
        <v>0</v>
      </c>
      <c r="F180" s="148"/>
      <c r="G180" s="143"/>
      <c r="H180" s="137"/>
      <c r="I180" s="143"/>
    </row>
    <row r="181" spans="1:9">
      <c r="A181" s="168">
        <v>126</v>
      </c>
      <c r="B181" s="149">
        <f t="shared" si="6"/>
        <v>0</v>
      </c>
      <c r="C181" s="149">
        <f t="shared" si="7"/>
        <v>0</v>
      </c>
      <c r="D181" s="149">
        <f t="shared" si="8"/>
        <v>0</v>
      </c>
      <c r="E181" s="149">
        <f t="shared" si="9"/>
        <v>0</v>
      </c>
      <c r="F181" s="148"/>
      <c r="G181" s="169"/>
      <c r="H181" s="153"/>
      <c r="I181" s="143"/>
    </row>
    <row r="182" spans="1:9">
      <c r="A182" s="168">
        <v>127</v>
      </c>
      <c r="B182" s="149">
        <f t="shared" si="6"/>
        <v>0</v>
      </c>
      <c r="C182" s="149">
        <f t="shared" si="7"/>
        <v>0</v>
      </c>
      <c r="D182" s="149">
        <f t="shared" si="8"/>
        <v>0</v>
      </c>
      <c r="E182" s="149">
        <f t="shared" si="9"/>
        <v>0</v>
      </c>
      <c r="F182" s="148"/>
      <c r="G182" s="143"/>
      <c r="H182" s="137"/>
      <c r="I182" s="143"/>
    </row>
    <row r="183" spans="1:9">
      <c r="A183" s="168">
        <v>128</v>
      </c>
      <c r="B183" s="149">
        <f t="shared" si="6"/>
        <v>0</v>
      </c>
      <c r="C183" s="149">
        <f t="shared" si="7"/>
        <v>0</v>
      </c>
      <c r="D183" s="149">
        <f t="shared" si="8"/>
        <v>0</v>
      </c>
      <c r="E183" s="149">
        <f t="shared" si="9"/>
        <v>0</v>
      </c>
      <c r="F183" s="148"/>
      <c r="G183" s="143"/>
      <c r="H183" s="137"/>
      <c r="I183" s="143"/>
    </row>
    <row r="184" spans="1:9">
      <c r="A184" s="168">
        <v>129</v>
      </c>
      <c r="B184" s="149">
        <f t="shared" ref="B184:B247" si="10">IF(A184&gt;12*$D$14,0,$D$20)</f>
        <v>0</v>
      </c>
      <c r="C184" s="149">
        <f t="shared" ref="C184:C247" si="11">IF(A184&gt;12*$D$14,0,E183*$D$10/12)</f>
        <v>0</v>
      </c>
      <c r="D184" s="149">
        <f t="shared" ref="D184:D247" si="12">IF(A184&gt;12*$D$14,0,B184-C184)</f>
        <v>0</v>
      </c>
      <c r="E184" s="149">
        <f t="shared" ref="E184:E247" si="13">IF(A184&gt;12*$D$14,0,E183-D184)</f>
        <v>0</v>
      </c>
      <c r="F184" s="148"/>
      <c r="G184" s="143"/>
      <c r="H184" s="137"/>
      <c r="I184" s="143"/>
    </row>
    <row r="185" spans="1:9">
      <c r="A185" s="168">
        <v>130</v>
      </c>
      <c r="B185" s="149">
        <f t="shared" si="10"/>
        <v>0</v>
      </c>
      <c r="C185" s="149">
        <f t="shared" si="11"/>
        <v>0</v>
      </c>
      <c r="D185" s="149">
        <f t="shared" si="12"/>
        <v>0</v>
      </c>
      <c r="E185" s="149">
        <f t="shared" si="13"/>
        <v>0</v>
      </c>
      <c r="F185" s="148"/>
      <c r="G185" s="143"/>
      <c r="H185" s="137"/>
      <c r="I185" s="143"/>
    </row>
    <row r="186" spans="1:9">
      <c r="A186" s="168">
        <v>131</v>
      </c>
      <c r="B186" s="149">
        <f t="shared" si="10"/>
        <v>0</v>
      </c>
      <c r="C186" s="149">
        <f t="shared" si="11"/>
        <v>0</v>
      </c>
      <c r="D186" s="149">
        <f t="shared" si="12"/>
        <v>0</v>
      </c>
      <c r="E186" s="149">
        <f t="shared" si="13"/>
        <v>0</v>
      </c>
      <c r="F186" s="148"/>
      <c r="G186" s="143"/>
      <c r="H186" s="137"/>
      <c r="I186" s="143"/>
    </row>
    <row r="187" spans="1:9">
      <c r="A187" s="168">
        <v>132</v>
      </c>
      <c r="B187" s="149">
        <f t="shared" si="10"/>
        <v>0</v>
      </c>
      <c r="C187" s="149">
        <f t="shared" si="11"/>
        <v>0</v>
      </c>
      <c r="D187" s="149">
        <f t="shared" si="12"/>
        <v>0</v>
      </c>
      <c r="E187" s="149">
        <f t="shared" si="13"/>
        <v>0</v>
      </c>
      <c r="F187" s="148">
        <v>11</v>
      </c>
      <c r="G187" s="169"/>
      <c r="H187" s="153"/>
      <c r="I187" s="169"/>
    </row>
    <row r="188" spans="1:9">
      <c r="A188" s="168">
        <v>133</v>
      </c>
      <c r="B188" s="149">
        <f t="shared" si="10"/>
        <v>0</v>
      </c>
      <c r="C188" s="149">
        <f t="shared" si="11"/>
        <v>0</v>
      </c>
      <c r="D188" s="149">
        <f t="shared" si="12"/>
        <v>0</v>
      </c>
      <c r="E188" s="149">
        <f t="shared" si="13"/>
        <v>0</v>
      </c>
      <c r="F188" s="148"/>
      <c r="G188" s="143"/>
      <c r="H188" s="137"/>
      <c r="I188" s="169"/>
    </row>
    <row r="189" spans="1:9">
      <c r="A189" s="168">
        <v>134</v>
      </c>
      <c r="B189" s="149">
        <f t="shared" si="10"/>
        <v>0</v>
      </c>
      <c r="C189" s="149">
        <f t="shared" si="11"/>
        <v>0</v>
      </c>
      <c r="D189" s="149">
        <f t="shared" si="12"/>
        <v>0</v>
      </c>
      <c r="E189" s="149">
        <f t="shared" si="13"/>
        <v>0</v>
      </c>
      <c r="F189" s="148"/>
      <c r="G189" s="143"/>
      <c r="H189" s="137"/>
      <c r="I189" s="143"/>
    </row>
    <row r="190" spans="1:9">
      <c r="A190" s="168">
        <v>135</v>
      </c>
      <c r="B190" s="149">
        <f t="shared" si="10"/>
        <v>0</v>
      </c>
      <c r="C190" s="149">
        <f t="shared" si="11"/>
        <v>0</v>
      </c>
      <c r="D190" s="149">
        <f t="shared" si="12"/>
        <v>0</v>
      </c>
      <c r="E190" s="149">
        <f t="shared" si="13"/>
        <v>0</v>
      </c>
      <c r="F190" s="148"/>
      <c r="G190" s="143"/>
      <c r="H190" s="137"/>
      <c r="I190" s="143"/>
    </row>
    <row r="191" spans="1:9">
      <c r="A191" s="168">
        <v>136</v>
      </c>
      <c r="B191" s="149">
        <f t="shared" si="10"/>
        <v>0</v>
      </c>
      <c r="C191" s="149">
        <f t="shared" si="11"/>
        <v>0</v>
      </c>
      <c r="D191" s="149">
        <f t="shared" si="12"/>
        <v>0</v>
      </c>
      <c r="E191" s="149">
        <f t="shared" si="13"/>
        <v>0</v>
      </c>
      <c r="F191" s="148"/>
      <c r="G191" s="143"/>
      <c r="H191" s="137"/>
      <c r="I191" s="143"/>
    </row>
    <row r="192" spans="1:9">
      <c r="A192" s="168">
        <v>137</v>
      </c>
      <c r="B192" s="149">
        <f t="shared" si="10"/>
        <v>0</v>
      </c>
      <c r="C192" s="149">
        <f t="shared" si="11"/>
        <v>0</v>
      </c>
      <c r="D192" s="149">
        <f t="shared" si="12"/>
        <v>0</v>
      </c>
      <c r="E192" s="149">
        <f t="shared" si="13"/>
        <v>0</v>
      </c>
      <c r="F192" s="148"/>
      <c r="G192" s="143"/>
      <c r="H192" s="137"/>
      <c r="I192" s="143"/>
    </row>
    <row r="193" spans="1:9">
      <c r="A193" s="168">
        <v>138</v>
      </c>
      <c r="B193" s="149">
        <f t="shared" si="10"/>
        <v>0</v>
      </c>
      <c r="C193" s="149">
        <f t="shared" si="11"/>
        <v>0</v>
      </c>
      <c r="D193" s="149">
        <f t="shared" si="12"/>
        <v>0</v>
      </c>
      <c r="E193" s="149">
        <f t="shared" si="13"/>
        <v>0</v>
      </c>
      <c r="F193" s="148"/>
      <c r="G193" s="169"/>
      <c r="H193" s="153"/>
      <c r="I193" s="143"/>
    </row>
    <row r="194" spans="1:9">
      <c r="A194" s="168">
        <v>139</v>
      </c>
      <c r="B194" s="149">
        <f t="shared" si="10"/>
        <v>0</v>
      </c>
      <c r="C194" s="149">
        <f t="shared" si="11"/>
        <v>0</v>
      </c>
      <c r="D194" s="149">
        <f t="shared" si="12"/>
        <v>0</v>
      </c>
      <c r="E194" s="149">
        <f t="shared" si="13"/>
        <v>0</v>
      </c>
      <c r="F194" s="148"/>
      <c r="G194" s="143"/>
      <c r="H194" s="137"/>
      <c r="I194" s="143"/>
    </row>
    <row r="195" spans="1:9">
      <c r="A195" s="168">
        <v>140</v>
      </c>
      <c r="B195" s="149">
        <f t="shared" si="10"/>
        <v>0</v>
      </c>
      <c r="C195" s="149">
        <f t="shared" si="11"/>
        <v>0</v>
      </c>
      <c r="D195" s="149">
        <f t="shared" si="12"/>
        <v>0</v>
      </c>
      <c r="E195" s="149">
        <f t="shared" si="13"/>
        <v>0</v>
      </c>
      <c r="F195" s="148"/>
      <c r="G195" s="143"/>
      <c r="H195" s="137"/>
      <c r="I195" s="143"/>
    </row>
    <row r="196" spans="1:9">
      <c r="A196" s="168">
        <v>141</v>
      </c>
      <c r="B196" s="149">
        <f t="shared" si="10"/>
        <v>0</v>
      </c>
      <c r="C196" s="149">
        <f t="shared" si="11"/>
        <v>0</v>
      </c>
      <c r="D196" s="149">
        <f t="shared" si="12"/>
        <v>0</v>
      </c>
      <c r="E196" s="149">
        <f t="shared" si="13"/>
        <v>0</v>
      </c>
      <c r="F196" s="148"/>
      <c r="G196" s="143"/>
      <c r="H196" s="137"/>
      <c r="I196" s="143"/>
    </row>
    <row r="197" spans="1:9">
      <c r="A197" s="168">
        <v>142</v>
      </c>
      <c r="B197" s="149">
        <f t="shared" si="10"/>
        <v>0</v>
      </c>
      <c r="C197" s="149">
        <f t="shared" si="11"/>
        <v>0</v>
      </c>
      <c r="D197" s="149">
        <f t="shared" si="12"/>
        <v>0</v>
      </c>
      <c r="E197" s="149">
        <f t="shared" si="13"/>
        <v>0</v>
      </c>
      <c r="F197" s="148"/>
      <c r="G197" s="143"/>
      <c r="H197" s="137"/>
      <c r="I197" s="143"/>
    </row>
    <row r="198" spans="1:9">
      <c r="A198" s="168">
        <v>143</v>
      </c>
      <c r="B198" s="149">
        <f t="shared" si="10"/>
        <v>0</v>
      </c>
      <c r="C198" s="149">
        <f t="shared" si="11"/>
        <v>0</v>
      </c>
      <c r="D198" s="149">
        <f t="shared" si="12"/>
        <v>0</v>
      </c>
      <c r="E198" s="149">
        <f t="shared" si="13"/>
        <v>0</v>
      </c>
      <c r="F198" s="148"/>
      <c r="G198" s="143"/>
      <c r="H198" s="137"/>
      <c r="I198" s="143"/>
    </row>
    <row r="199" spans="1:9">
      <c r="A199" s="170">
        <v>144</v>
      </c>
      <c r="B199" s="149">
        <f t="shared" si="10"/>
        <v>0</v>
      </c>
      <c r="C199" s="149">
        <f t="shared" si="11"/>
        <v>0</v>
      </c>
      <c r="D199" s="149">
        <f t="shared" si="12"/>
        <v>0</v>
      </c>
      <c r="E199" s="149">
        <f t="shared" si="13"/>
        <v>0</v>
      </c>
      <c r="F199" s="150">
        <v>12</v>
      </c>
      <c r="G199" s="169"/>
      <c r="H199" s="153"/>
      <c r="I199" s="169"/>
    </row>
    <row r="200" spans="1:9">
      <c r="A200" s="168">
        <v>145</v>
      </c>
      <c r="B200" s="149">
        <f t="shared" si="10"/>
        <v>0</v>
      </c>
      <c r="C200" s="149">
        <f t="shared" si="11"/>
        <v>0</v>
      </c>
      <c r="D200" s="149">
        <f t="shared" si="12"/>
        <v>0</v>
      </c>
      <c r="E200" s="149">
        <f t="shared" si="13"/>
        <v>0</v>
      </c>
      <c r="F200" s="148"/>
      <c r="G200" s="143"/>
      <c r="H200" s="137"/>
      <c r="I200" s="169"/>
    </row>
    <row r="201" spans="1:9">
      <c r="A201" s="168">
        <v>146</v>
      </c>
      <c r="B201" s="149">
        <f t="shared" si="10"/>
        <v>0</v>
      </c>
      <c r="C201" s="149">
        <f t="shared" si="11"/>
        <v>0</v>
      </c>
      <c r="D201" s="149">
        <f t="shared" si="12"/>
        <v>0</v>
      </c>
      <c r="E201" s="149">
        <f t="shared" si="13"/>
        <v>0</v>
      </c>
      <c r="F201" s="148"/>
      <c r="G201" s="143"/>
      <c r="H201" s="137"/>
      <c r="I201" s="143"/>
    </row>
    <row r="202" spans="1:9">
      <c r="A202" s="168">
        <v>147</v>
      </c>
      <c r="B202" s="149">
        <f t="shared" si="10"/>
        <v>0</v>
      </c>
      <c r="C202" s="149">
        <f t="shared" si="11"/>
        <v>0</v>
      </c>
      <c r="D202" s="149">
        <f t="shared" si="12"/>
        <v>0</v>
      </c>
      <c r="E202" s="149">
        <f t="shared" si="13"/>
        <v>0</v>
      </c>
      <c r="F202" s="148"/>
      <c r="G202" s="143"/>
      <c r="H202" s="137"/>
      <c r="I202" s="143"/>
    </row>
    <row r="203" spans="1:9">
      <c r="A203" s="168">
        <v>148</v>
      </c>
      <c r="B203" s="149">
        <f t="shared" si="10"/>
        <v>0</v>
      </c>
      <c r="C203" s="149">
        <f t="shared" si="11"/>
        <v>0</v>
      </c>
      <c r="D203" s="149">
        <f t="shared" si="12"/>
        <v>0</v>
      </c>
      <c r="E203" s="149">
        <f t="shared" si="13"/>
        <v>0</v>
      </c>
      <c r="F203" s="148"/>
      <c r="G203" s="143"/>
      <c r="H203" s="137"/>
      <c r="I203" s="143"/>
    </row>
    <row r="204" spans="1:9">
      <c r="A204" s="168">
        <v>149</v>
      </c>
      <c r="B204" s="149">
        <f t="shared" si="10"/>
        <v>0</v>
      </c>
      <c r="C204" s="149">
        <f t="shared" si="11"/>
        <v>0</v>
      </c>
      <c r="D204" s="149">
        <f t="shared" si="12"/>
        <v>0</v>
      </c>
      <c r="E204" s="149">
        <f t="shared" si="13"/>
        <v>0</v>
      </c>
      <c r="F204" s="148"/>
      <c r="G204" s="143"/>
      <c r="H204" s="137"/>
      <c r="I204" s="143"/>
    </row>
    <row r="205" spans="1:9">
      <c r="A205" s="168">
        <v>150</v>
      </c>
      <c r="B205" s="149">
        <f t="shared" si="10"/>
        <v>0</v>
      </c>
      <c r="C205" s="149">
        <f t="shared" si="11"/>
        <v>0</v>
      </c>
      <c r="D205" s="149">
        <f t="shared" si="12"/>
        <v>0</v>
      </c>
      <c r="E205" s="149">
        <f t="shared" si="13"/>
        <v>0</v>
      </c>
      <c r="F205" s="148"/>
      <c r="G205" s="169"/>
      <c r="H205" s="153"/>
      <c r="I205" s="143"/>
    </row>
    <row r="206" spans="1:9">
      <c r="A206" s="168">
        <v>151</v>
      </c>
      <c r="B206" s="149">
        <f t="shared" si="10"/>
        <v>0</v>
      </c>
      <c r="C206" s="149">
        <f t="shared" si="11"/>
        <v>0</v>
      </c>
      <c r="D206" s="149">
        <f t="shared" si="12"/>
        <v>0</v>
      </c>
      <c r="E206" s="149">
        <f t="shared" si="13"/>
        <v>0</v>
      </c>
      <c r="F206" s="148"/>
      <c r="G206" s="143"/>
      <c r="H206" s="137"/>
      <c r="I206" s="143"/>
    </row>
    <row r="207" spans="1:9">
      <c r="A207" s="168">
        <v>152</v>
      </c>
      <c r="B207" s="149">
        <f t="shared" si="10"/>
        <v>0</v>
      </c>
      <c r="C207" s="149">
        <f t="shared" si="11"/>
        <v>0</v>
      </c>
      <c r="D207" s="149">
        <f t="shared" si="12"/>
        <v>0</v>
      </c>
      <c r="E207" s="149">
        <f t="shared" si="13"/>
        <v>0</v>
      </c>
      <c r="F207" s="148"/>
      <c r="G207" s="143"/>
      <c r="H207" s="137"/>
      <c r="I207" s="143"/>
    </row>
    <row r="208" spans="1:9">
      <c r="A208" s="168">
        <v>153</v>
      </c>
      <c r="B208" s="149">
        <f t="shared" si="10"/>
        <v>0</v>
      </c>
      <c r="C208" s="149">
        <f t="shared" si="11"/>
        <v>0</v>
      </c>
      <c r="D208" s="149">
        <f t="shared" si="12"/>
        <v>0</v>
      </c>
      <c r="E208" s="149">
        <f t="shared" si="13"/>
        <v>0</v>
      </c>
      <c r="F208" s="148"/>
      <c r="G208" s="143"/>
      <c r="H208" s="137"/>
      <c r="I208" s="143"/>
    </row>
    <row r="209" spans="1:9">
      <c r="A209" s="168">
        <v>154</v>
      </c>
      <c r="B209" s="149">
        <f t="shared" si="10"/>
        <v>0</v>
      </c>
      <c r="C209" s="149">
        <f t="shared" si="11"/>
        <v>0</v>
      </c>
      <c r="D209" s="149">
        <f t="shared" si="12"/>
        <v>0</v>
      </c>
      <c r="E209" s="149">
        <f t="shared" si="13"/>
        <v>0</v>
      </c>
      <c r="F209" s="148"/>
      <c r="G209" s="143"/>
      <c r="H209" s="137"/>
      <c r="I209" s="143"/>
    </row>
    <row r="210" spans="1:9">
      <c r="A210" s="168">
        <v>155</v>
      </c>
      <c r="B210" s="149">
        <f t="shared" si="10"/>
        <v>0</v>
      </c>
      <c r="C210" s="149">
        <f t="shared" si="11"/>
        <v>0</v>
      </c>
      <c r="D210" s="149">
        <f t="shared" si="12"/>
        <v>0</v>
      </c>
      <c r="E210" s="149">
        <f t="shared" si="13"/>
        <v>0</v>
      </c>
      <c r="F210" s="148"/>
      <c r="G210" s="143"/>
      <c r="H210" s="137"/>
      <c r="I210" s="143"/>
    </row>
    <row r="211" spans="1:9">
      <c r="A211" s="170">
        <v>156</v>
      </c>
      <c r="B211" s="149">
        <f t="shared" si="10"/>
        <v>0</v>
      </c>
      <c r="C211" s="149">
        <f t="shared" si="11"/>
        <v>0</v>
      </c>
      <c r="D211" s="149">
        <f t="shared" si="12"/>
        <v>0</v>
      </c>
      <c r="E211" s="149">
        <f t="shared" si="13"/>
        <v>0</v>
      </c>
      <c r="F211" s="150">
        <v>13</v>
      </c>
      <c r="G211" s="169"/>
      <c r="H211" s="153"/>
      <c r="I211" s="169"/>
    </row>
    <row r="212" spans="1:9">
      <c r="A212" s="168">
        <v>157</v>
      </c>
      <c r="B212" s="149">
        <f t="shared" si="10"/>
        <v>0</v>
      </c>
      <c r="C212" s="149">
        <f t="shared" si="11"/>
        <v>0</v>
      </c>
      <c r="D212" s="149">
        <f t="shared" si="12"/>
        <v>0</v>
      </c>
      <c r="E212" s="149">
        <f t="shared" si="13"/>
        <v>0</v>
      </c>
      <c r="F212" s="148"/>
      <c r="G212" s="143"/>
      <c r="H212" s="137"/>
      <c r="I212" s="169"/>
    </row>
    <row r="213" spans="1:9">
      <c r="A213" s="168">
        <v>158</v>
      </c>
      <c r="B213" s="149">
        <f t="shared" si="10"/>
        <v>0</v>
      </c>
      <c r="C213" s="149">
        <f t="shared" si="11"/>
        <v>0</v>
      </c>
      <c r="D213" s="149">
        <f t="shared" si="12"/>
        <v>0</v>
      </c>
      <c r="E213" s="149">
        <f t="shared" si="13"/>
        <v>0</v>
      </c>
      <c r="F213" s="148"/>
      <c r="G213" s="143"/>
      <c r="H213" s="137"/>
      <c r="I213" s="143"/>
    </row>
    <row r="214" spans="1:9">
      <c r="A214" s="168">
        <v>159</v>
      </c>
      <c r="B214" s="149">
        <f t="shared" si="10"/>
        <v>0</v>
      </c>
      <c r="C214" s="149">
        <f t="shared" si="11"/>
        <v>0</v>
      </c>
      <c r="D214" s="149">
        <f t="shared" si="12"/>
        <v>0</v>
      </c>
      <c r="E214" s="149">
        <f t="shared" si="13"/>
        <v>0</v>
      </c>
      <c r="F214" s="148"/>
      <c r="G214" s="143"/>
      <c r="H214" s="137"/>
      <c r="I214" s="143"/>
    </row>
    <row r="215" spans="1:9">
      <c r="A215" s="168">
        <v>160</v>
      </c>
      <c r="B215" s="149">
        <f t="shared" si="10"/>
        <v>0</v>
      </c>
      <c r="C215" s="149">
        <f t="shared" si="11"/>
        <v>0</v>
      </c>
      <c r="D215" s="149">
        <f t="shared" si="12"/>
        <v>0</v>
      </c>
      <c r="E215" s="149">
        <f t="shared" si="13"/>
        <v>0</v>
      </c>
      <c r="F215" s="148"/>
      <c r="G215" s="143"/>
      <c r="H215" s="137"/>
      <c r="I215" s="143"/>
    </row>
    <row r="216" spans="1:9">
      <c r="A216" s="168">
        <v>161</v>
      </c>
      <c r="B216" s="149">
        <f t="shared" si="10"/>
        <v>0</v>
      </c>
      <c r="C216" s="149">
        <f t="shared" si="11"/>
        <v>0</v>
      </c>
      <c r="D216" s="149">
        <f t="shared" si="12"/>
        <v>0</v>
      </c>
      <c r="E216" s="149">
        <f t="shared" si="13"/>
        <v>0</v>
      </c>
      <c r="F216" s="148"/>
      <c r="G216" s="143"/>
      <c r="H216" s="137"/>
      <c r="I216" s="143"/>
    </row>
    <row r="217" spans="1:9">
      <c r="A217" s="168">
        <v>162</v>
      </c>
      <c r="B217" s="149">
        <f t="shared" si="10"/>
        <v>0</v>
      </c>
      <c r="C217" s="149">
        <f t="shared" si="11"/>
        <v>0</v>
      </c>
      <c r="D217" s="149">
        <f t="shared" si="12"/>
        <v>0</v>
      </c>
      <c r="E217" s="149">
        <f t="shared" si="13"/>
        <v>0</v>
      </c>
      <c r="F217" s="148"/>
      <c r="G217" s="169"/>
      <c r="H217" s="153"/>
      <c r="I217" s="143"/>
    </row>
    <row r="218" spans="1:9">
      <c r="A218" s="168">
        <v>163</v>
      </c>
      <c r="B218" s="149">
        <f t="shared" si="10"/>
        <v>0</v>
      </c>
      <c r="C218" s="149">
        <f t="shared" si="11"/>
        <v>0</v>
      </c>
      <c r="D218" s="149">
        <f t="shared" si="12"/>
        <v>0</v>
      </c>
      <c r="E218" s="149">
        <f t="shared" si="13"/>
        <v>0</v>
      </c>
      <c r="F218" s="148"/>
      <c r="G218" s="143"/>
      <c r="H218" s="137"/>
      <c r="I218" s="143"/>
    </row>
    <row r="219" spans="1:9">
      <c r="A219" s="168">
        <v>164</v>
      </c>
      <c r="B219" s="149">
        <f t="shared" si="10"/>
        <v>0</v>
      </c>
      <c r="C219" s="149">
        <f t="shared" si="11"/>
        <v>0</v>
      </c>
      <c r="D219" s="149">
        <f t="shared" si="12"/>
        <v>0</v>
      </c>
      <c r="E219" s="149">
        <f t="shared" si="13"/>
        <v>0</v>
      </c>
      <c r="F219" s="148"/>
      <c r="G219" s="143"/>
      <c r="H219" s="137"/>
      <c r="I219" s="143"/>
    </row>
    <row r="220" spans="1:9">
      <c r="A220" s="168">
        <v>165</v>
      </c>
      <c r="B220" s="149">
        <f t="shared" si="10"/>
        <v>0</v>
      </c>
      <c r="C220" s="149">
        <f t="shared" si="11"/>
        <v>0</v>
      </c>
      <c r="D220" s="149">
        <f t="shared" si="12"/>
        <v>0</v>
      </c>
      <c r="E220" s="149">
        <f t="shared" si="13"/>
        <v>0</v>
      </c>
      <c r="F220" s="148"/>
      <c r="G220" s="143"/>
      <c r="H220" s="137"/>
      <c r="I220" s="143"/>
    </row>
    <row r="221" spans="1:9">
      <c r="A221" s="168">
        <v>166</v>
      </c>
      <c r="B221" s="149">
        <f t="shared" si="10"/>
        <v>0</v>
      </c>
      <c r="C221" s="149">
        <f t="shared" si="11"/>
        <v>0</v>
      </c>
      <c r="D221" s="149">
        <f t="shared" si="12"/>
        <v>0</v>
      </c>
      <c r="E221" s="149">
        <f t="shared" si="13"/>
        <v>0</v>
      </c>
      <c r="F221" s="148"/>
      <c r="G221" s="143"/>
      <c r="H221" s="137"/>
      <c r="I221" s="143"/>
    </row>
    <row r="222" spans="1:9">
      <c r="A222" s="168">
        <v>167</v>
      </c>
      <c r="B222" s="149">
        <f t="shared" si="10"/>
        <v>0</v>
      </c>
      <c r="C222" s="149">
        <f t="shared" si="11"/>
        <v>0</v>
      </c>
      <c r="D222" s="149">
        <f t="shared" si="12"/>
        <v>0</v>
      </c>
      <c r="E222" s="149">
        <f t="shared" si="13"/>
        <v>0</v>
      </c>
      <c r="F222" s="148"/>
      <c r="G222" s="143"/>
      <c r="H222" s="137"/>
      <c r="I222" s="143"/>
    </row>
    <row r="223" spans="1:9">
      <c r="A223" s="170">
        <v>168</v>
      </c>
      <c r="B223" s="149">
        <f t="shared" si="10"/>
        <v>0</v>
      </c>
      <c r="C223" s="149">
        <f t="shared" si="11"/>
        <v>0</v>
      </c>
      <c r="D223" s="149">
        <f t="shared" si="12"/>
        <v>0</v>
      </c>
      <c r="E223" s="149">
        <f t="shared" si="13"/>
        <v>0</v>
      </c>
      <c r="F223" s="150">
        <v>14</v>
      </c>
      <c r="G223" s="169"/>
      <c r="H223" s="153"/>
      <c r="I223" s="169"/>
    </row>
    <row r="224" spans="1:9">
      <c r="A224" s="168">
        <v>169</v>
      </c>
      <c r="B224" s="149">
        <f t="shared" si="10"/>
        <v>0</v>
      </c>
      <c r="C224" s="149">
        <f t="shared" si="11"/>
        <v>0</v>
      </c>
      <c r="D224" s="149">
        <f t="shared" si="12"/>
        <v>0</v>
      </c>
      <c r="E224" s="149">
        <f t="shared" si="13"/>
        <v>0</v>
      </c>
      <c r="F224" s="148"/>
      <c r="G224" s="143"/>
      <c r="H224" s="137"/>
      <c r="I224" s="169"/>
    </row>
    <row r="225" spans="1:9">
      <c r="A225" s="168">
        <v>170</v>
      </c>
      <c r="B225" s="149">
        <f t="shared" si="10"/>
        <v>0</v>
      </c>
      <c r="C225" s="149">
        <f t="shared" si="11"/>
        <v>0</v>
      </c>
      <c r="D225" s="149">
        <f t="shared" si="12"/>
        <v>0</v>
      </c>
      <c r="E225" s="149">
        <f t="shared" si="13"/>
        <v>0</v>
      </c>
      <c r="F225" s="148"/>
      <c r="G225" s="143"/>
      <c r="H225" s="137"/>
      <c r="I225" s="143"/>
    </row>
    <row r="226" spans="1:9">
      <c r="A226" s="168">
        <v>171</v>
      </c>
      <c r="B226" s="149">
        <f t="shared" si="10"/>
        <v>0</v>
      </c>
      <c r="C226" s="149">
        <f t="shared" si="11"/>
        <v>0</v>
      </c>
      <c r="D226" s="149">
        <f t="shared" si="12"/>
        <v>0</v>
      </c>
      <c r="E226" s="149">
        <f t="shared" si="13"/>
        <v>0</v>
      </c>
      <c r="F226" s="148"/>
      <c r="G226" s="143"/>
      <c r="H226" s="137"/>
      <c r="I226" s="143"/>
    </row>
    <row r="227" spans="1:9">
      <c r="A227" s="168">
        <v>172</v>
      </c>
      <c r="B227" s="149">
        <f t="shared" si="10"/>
        <v>0</v>
      </c>
      <c r="C227" s="149">
        <f t="shared" si="11"/>
        <v>0</v>
      </c>
      <c r="D227" s="149">
        <f t="shared" si="12"/>
        <v>0</v>
      </c>
      <c r="E227" s="149">
        <f t="shared" si="13"/>
        <v>0</v>
      </c>
      <c r="F227" s="148"/>
      <c r="G227" s="143"/>
      <c r="H227" s="137"/>
      <c r="I227" s="143"/>
    </row>
    <row r="228" spans="1:9">
      <c r="A228" s="168">
        <v>173</v>
      </c>
      <c r="B228" s="149">
        <f t="shared" si="10"/>
        <v>0</v>
      </c>
      <c r="C228" s="149">
        <f t="shared" si="11"/>
        <v>0</v>
      </c>
      <c r="D228" s="149">
        <f t="shared" si="12"/>
        <v>0</v>
      </c>
      <c r="E228" s="149">
        <f t="shared" si="13"/>
        <v>0</v>
      </c>
      <c r="F228" s="148"/>
      <c r="G228" s="143"/>
      <c r="H228" s="137"/>
      <c r="I228" s="143"/>
    </row>
    <row r="229" spans="1:9">
      <c r="A229" s="168">
        <v>174</v>
      </c>
      <c r="B229" s="149">
        <f t="shared" si="10"/>
        <v>0</v>
      </c>
      <c r="C229" s="149">
        <f t="shared" si="11"/>
        <v>0</v>
      </c>
      <c r="D229" s="149">
        <f t="shared" si="12"/>
        <v>0</v>
      </c>
      <c r="E229" s="149">
        <f t="shared" si="13"/>
        <v>0</v>
      </c>
      <c r="F229" s="148"/>
      <c r="G229" s="169"/>
      <c r="H229" s="153"/>
      <c r="I229" s="143"/>
    </row>
    <row r="230" spans="1:9">
      <c r="A230" s="168">
        <v>175</v>
      </c>
      <c r="B230" s="149">
        <f t="shared" si="10"/>
        <v>0</v>
      </c>
      <c r="C230" s="149">
        <f t="shared" si="11"/>
        <v>0</v>
      </c>
      <c r="D230" s="149">
        <f t="shared" si="12"/>
        <v>0</v>
      </c>
      <c r="E230" s="149">
        <f t="shared" si="13"/>
        <v>0</v>
      </c>
      <c r="F230" s="148"/>
      <c r="G230" s="143"/>
      <c r="H230" s="137"/>
      <c r="I230" s="143"/>
    </row>
    <row r="231" spans="1:9">
      <c r="A231" s="168">
        <v>176</v>
      </c>
      <c r="B231" s="149">
        <f t="shared" si="10"/>
        <v>0</v>
      </c>
      <c r="C231" s="149">
        <f t="shared" si="11"/>
        <v>0</v>
      </c>
      <c r="D231" s="149">
        <f t="shared" si="12"/>
        <v>0</v>
      </c>
      <c r="E231" s="149">
        <f t="shared" si="13"/>
        <v>0</v>
      </c>
      <c r="F231" s="148"/>
      <c r="G231" s="143"/>
      <c r="H231" s="137"/>
      <c r="I231" s="143"/>
    </row>
    <row r="232" spans="1:9">
      <c r="A232" s="168">
        <v>177</v>
      </c>
      <c r="B232" s="149">
        <f t="shared" si="10"/>
        <v>0</v>
      </c>
      <c r="C232" s="149">
        <f t="shared" si="11"/>
        <v>0</v>
      </c>
      <c r="D232" s="149">
        <f t="shared" si="12"/>
        <v>0</v>
      </c>
      <c r="E232" s="149">
        <f t="shared" si="13"/>
        <v>0</v>
      </c>
      <c r="F232" s="148"/>
      <c r="G232" s="143"/>
      <c r="H232" s="137"/>
      <c r="I232" s="143"/>
    </row>
    <row r="233" spans="1:9">
      <c r="A233" s="168">
        <v>178</v>
      </c>
      <c r="B233" s="149">
        <f t="shared" si="10"/>
        <v>0</v>
      </c>
      <c r="C233" s="149">
        <f t="shared" si="11"/>
        <v>0</v>
      </c>
      <c r="D233" s="149">
        <f t="shared" si="12"/>
        <v>0</v>
      </c>
      <c r="E233" s="149">
        <f t="shared" si="13"/>
        <v>0</v>
      </c>
      <c r="F233" s="148"/>
      <c r="G233" s="143"/>
      <c r="H233" s="137"/>
      <c r="I233" s="143"/>
    </row>
    <row r="234" spans="1:9">
      <c r="A234" s="168">
        <v>179</v>
      </c>
      <c r="B234" s="149">
        <f t="shared" si="10"/>
        <v>0</v>
      </c>
      <c r="C234" s="149">
        <f t="shared" si="11"/>
        <v>0</v>
      </c>
      <c r="D234" s="149">
        <f t="shared" si="12"/>
        <v>0</v>
      </c>
      <c r="E234" s="149">
        <f t="shared" si="13"/>
        <v>0</v>
      </c>
      <c r="F234" s="148"/>
      <c r="G234" s="143"/>
      <c r="H234" s="137"/>
      <c r="I234" s="143"/>
    </row>
    <row r="235" spans="1:9">
      <c r="A235" s="170">
        <v>180</v>
      </c>
      <c r="B235" s="149">
        <f t="shared" si="10"/>
        <v>0</v>
      </c>
      <c r="C235" s="149">
        <f t="shared" si="11"/>
        <v>0</v>
      </c>
      <c r="D235" s="149">
        <f t="shared" si="12"/>
        <v>0</v>
      </c>
      <c r="E235" s="149">
        <f t="shared" si="13"/>
        <v>0</v>
      </c>
      <c r="F235" s="150">
        <v>15</v>
      </c>
      <c r="G235" s="169"/>
      <c r="H235" s="153"/>
      <c r="I235" s="169"/>
    </row>
    <row r="236" spans="1:9">
      <c r="A236" s="168">
        <v>181</v>
      </c>
      <c r="B236" s="149">
        <f t="shared" si="10"/>
        <v>0</v>
      </c>
      <c r="C236" s="149">
        <f t="shared" si="11"/>
        <v>0</v>
      </c>
      <c r="D236" s="149">
        <f t="shared" si="12"/>
        <v>0</v>
      </c>
      <c r="E236" s="149">
        <f t="shared" si="13"/>
        <v>0</v>
      </c>
      <c r="F236" s="148"/>
      <c r="G236" s="143"/>
      <c r="H236" s="137"/>
      <c r="I236" s="169"/>
    </row>
    <row r="237" spans="1:9">
      <c r="A237" s="170">
        <v>182</v>
      </c>
      <c r="B237" s="149">
        <f t="shared" si="10"/>
        <v>0</v>
      </c>
      <c r="C237" s="149">
        <f t="shared" si="11"/>
        <v>0</v>
      </c>
      <c r="D237" s="149">
        <f t="shared" si="12"/>
        <v>0</v>
      </c>
      <c r="E237" s="149">
        <f t="shared" si="13"/>
        <v>0</v>
      </c>
      <c r="F237" s="148"/>
      <c r="G237" s="143"/>
      <c r="H237" s="137"/>
      <c r="I237" s="143"/>
    </row>
    <row r="238" spans="1:9">
      <c r="A238" s="170">
        <v>183</v>
      </c>
      <c r="B238" s="149">
        <f t="shared" si="10"/>
        <v>0</v>
      </c>
      <c r="C238" s="149">
        <f t="shared" si="11"/>
        <v>0</v>
      </c>
      <c r="D238" s="149">
        <f t="shared" si="12"/>
        <v>0</v>
      </c>
      <c r="E238" s="149">
        <f t="shared" si="13"/>
        <v>0</v>
      </c>
      <c r="F238" s="148"/>
      <c r="G238" s="143"/>
      <c r="H238" s="137"/>
      <c r="I238" s="143"/>
    </row>
    <row r="239" spans="1:9">
      <c r="A239" s="170">
        <v>184</v>
      </c>
      <c r="B239" s="149">
        <f t="shared" si="10"/>
        <v>0</v>
      </c>
      <c r="C239" s="149">
        <f t="shared" si="11"/>
        <v>0</v>
      </c>
      <c r="D239" s="149">
        <f t="shared" si="12"/>
        <v>0</v>
      </c>
      <c r="E239" s="149">
        <f t="shared" si="13"/>
        <v>0</v>
      </c>
      <c r="F239" s="148"/>
      <c r="G239" s="143"/>
      <c r="H239" s="137"/>
      <c r="I239" s="143"/>
    </row>
    <row r="240" spans="1:9">
      <c r="A240" s="170">
        <v>185</v>
      </c>
      <c r="B240" s="149">
        <f t="shared" si="10"/>
        <v>0</v>
      </c>
      <c r="C240" s="149">
        <f t="shared" si="11"/>
        <v>0</v>
      </c>
      <c r="D240" s="149">
        <f t="shared" si="12"/>
        <v>0</v>
      </c>
      <c r="E240" s="149">
        <f t="shared" si="13"/>
        <v>0</v>
      </c>
      <c r="F240" s="148"/>
      <c r="G240" s="143"/>
      <c r="H240" s="137"/>
      <c r="I240" s="143"/>
    </row>
    <row r="241" spans="1:9">
      <c r="A241" s="170">
        <v>186</v>
      </c>
      <c r="B241" s="149">
        <f t="shared" si="10"/>
        <v>0</v>
      </c>
      <c r="C241" s="149">
        <f t="shared" si="11"/>
        <v>0</v>
      </c>
      <c r="D241" s="149">
        <f t="shared" si="12"/>
        <v>0</v>
      </c>
      <c r="E241" s="149">
        <f t="shared" si="13"/>
        <v>0</v>
      </c>
      <c r="F241" s="148"/>
      <c r="G241" s="169"/>
      <c r="H241" s="153"/>
      <c r="I241" s="143"/>
    </row>
    <row r="242" spans="1:9">
      <c r="A242" s="170">
        <v>187</v>
      </c>
      <c r="B242" s="149">
        <f t="shared" si="10"/>
        <v>0</v>
      </c>
      <c r="C242" s="149">
        <f t="shared" si="11"/>
        <v>0</v>
      </c>
      <c r="D242" s="149">
        <f t="shared" si="12"/>
        <v>0</v>
      </c>
      <c r="E242" s="149">
        <f t="shared" si="13"/>
        <v>0</v>
      </c>
      <c r="F242" s="148"/>
      <c r="G242" s="143"/>
      <c r="H242" s="137"/>
      <c r="I242" s="143"/>
    </row>
    <row r="243" spans="1:9">
      <c r="A243" s="170">
        <v>188</v>
      </c>
      <c r="B243" s="149">
        <f t="shared" si="10"/>
        <v>0</v>
      </c>
      <c r="C243" s="149">
        <f t="shared" si="11"/>
        <v>0</v>
      </c>
      <c r="D243" s="149">
        <f t="shared" si="12"/>
        <v>0</v>
      </c>
      <c r="E243" s="149">
        <f t="shared" si="13"/>
        <v>0</v>
      </c>
      <c r="F243" s="148"/>
      <c r="G243" s="143"/>
      <c r="H243" s="137"/>
      <c r="I243" s="143"/>
    </row>
    <row r="244" spans="1:9">
      <c r="A244" s="170">
        <v>189</v>
      </c>
      <c r="B244" s="149">
        <f t="shared" si="10"/>
        <v>0</v>
      </c>
      <c r="C244" s="149">
        <f t="shared" si="11"/>
        <v>0</v>
      </c>
      <c r="D244" s="149">
        <f t="shared" si="12"/>
        <v>0</v>
      </c>
      <c r="E244" s="149">
        <f t="shared" si="13"/>
        <v>0</v>
      </c>
      <c r="F244" s="148"/>
      <c r="G244" s="143"/>
      <c r="H244" s="137"/>
      <c r="I244" s="143"/>
    </row>
    <row r="245" spans="1:9">
      <c r="A245" s="170">
        <v>190</v>
      </c>
      <c r="B245" s="149">
        <f t="shared" si="10"/>
        <v>0</v>
      </c>
      <c r="C245" s="149">
        <f t="shared" si="11"/>
        <v>0</v>
      </c>
      <c r="D245" s="149">
        <f t="shared" si="12"/>
        <v>0</v>
      </c>
      <c r="E245" s="149">
        <f t="shared" si="13"/>
        <v>0</v>
      </c>
      <c r="F245" s="148"/>
      <c r="G245" s="143"/>
      <c r="H245" s="137"/>
      <c r="I245" s="143"/>
    </row>
    <row r="246" spans="1:9">
      <c r="A246" s="170">
        <v>191</v>
      </c>
      <c r="B246" s="149">
        <f t="shared" si="10"/>
        <v>0</v>
      </c>
      <c r="C246" s="149">
        <f t="shared" si="11"/>
        <v>0</v>
      </c>
      <c r="D246" s="149">
        <f t="shared" si="12"/>
        <v>0</v>
      </c>
      <c r="E246" s="149">
        <f t="shared" si="13"/>
        <v>0</v>
      </c>
      <c r="F246" s="148"/>
      <c r="G246" s="143"/>
      <c r="H246" s="137"/>
      <c r="I246" s="143"/>
    </row>
    <row r="247" spans="1:9">
      <c r="A247" s="170">
        <v>192</v>
      </c>
      <c r="B247" s="149">
        <f t="shared" si="10"/>
        <v>0</v>
      </c>
      <c r="C247" s="149">
        <f t="shared" si="11"/>
        <v>0</v>
      </c>
      <c r="D247" s="149">
        <f t="shared" si="12"/>
        <v>0</v>
      </c>
      <c r="E247" s="149">
        <f t="shared" si="13"/>
        <v>0</v>
      </c>
      <c r="F247" s="148">
        <v>16</v>
      </c>
      <c r="G247" s="169"/>
      <c r="H247" s="153"/>
      <c r="I247" s="169"/>
    </row>
    <row r="248" spans="1:9">
      <c r="A248" s="170">
        <v>193</v>
      </c>
      <c r="B248" s="149">
        <f t="shared" ref="B248:B311" si="14">IF(A248&gt;12*$D$14,0,$D$20)</f>
        <v>0</v>
      </c>
      <c r="C248" s="149">
        <f t="shared" ref="C248:C311" si="15">IF(A248&gt;12*$D$14,0,E247*$D$10/12)</f>
        <v>0</v>
      </c>
      <c r="D248" s="149">
        <f t="shared" ref="D248:D311" si="16">IF(A248&gt;12*$D$14,0,B248-C248)</f>
        <v>0</v>
      </c>
      <c r="E248" s="149">
        <f t="shared" ref="E248:E311" si="17">IF(A248&gt;12*$D$14,0,E247-D248)</f>
        <v>0</v>
      </c>
      <c r="F248" s="148"/>
      <c r="G248" s="143"/>
      <c r="H248" s="137"/>
      <c r="I248" s="169"/>
    </row>
    <row r="249" spans="1:9">
      <c r="A249" s="170">
        <v>194</v>
      </c>
      <c r="B249" s="149">
        <f t="shared" si="14"/>
        <v>0</v>
      </c>
      <c r="C249" s="149">
        <f t="shared" si="15"/>
        <v>0</v>
      </c>
      <c r="D249" s="149">
        <f t="shared" si="16"/>
        <v>0</v>
      </c>
      <c r="E249" s="149">
        <f t="shared" si="17"/>
        <v>0</v>
      </c>
      <c r="F249" s="148"/>
      <c r="G249" s="143"/>
      <c r="H249" s="137"/>
      <c r="I249" s="143"/>
    </row>
    <row r="250" spans="1:9">
      <c r="A250" s="170">
        <v>195</v>
      </c>
      <c r="B250" s="149">
        <f t="shared" si="14"/>
        <v>0</v>
      </c>
      <c r="C250" s="149">
        <f t="shared" si="15"/>
        <v>0</v>
      </c>
      <c r="D250" s="149">
        <f t="shared" si="16"/>
        <v>0</v>
      </c>
      <c r="E250" s="149">
        <f t="shared" si="17"/>
        <v>0</v>
      </c>
      <c r="F250" s="148"/>
      <c r="G250" s="143"/>
      <c r="H250" s="137"/>
      <c r="I250" s="143"/>
    </row>
    <row r="251" spans="1:9">
      <c r="A251" s="170">
        <v>196</v>
      </c>
      <c r="B251" s="149">
        <f t="shared" si="14"/>
        <v>0</v>
      </c>
      <c r="C251" s="149">
        <f t="shared" si="15"/>
        <v>0</v>
      </c>
      <c r="D251" s="149">
        <f t="shared" si="16"/>
        <v>0</v>
      </c>
      <c r="E251" s="149">
        <f t="shared" si="17"/>
        <v>0</v>
      </c>
      <c r="F251" s="148"/>
      <c r="G251" s="143"/>
      <c r="H251" s="137"/>
      <c r="I251" s="143"/>
    </row>
    <row r="252" spans="1:9">
      <c r="A252" s="170">
        <v>197</v>
      </c>
      <c r="B252" s="149">
        <f t="shared" si="14"/>
        <v>0</v>
      </c>
      <c r="C252" s="149">
        <f t="shared" si="15"/>
        <v>0</v>
      </c>
      <c r="D252" s="149">
        <f t="shared" si="16"/>
        <v>0</v>
      </c>
      <c r="E252" s="149">
        <f t="shared" si="17"/>
        <v>0</v>
      </c>
      <c r="F252" s="148"/>
      <c r="G252" s="143"/>
      <c r="H252" s="137"/>
      <c r="I252" s="143"/>
    </row>
    <row r="253" spans="1:9">
      <c r="A253" s="170">
        <v>198</v>
      </c>
      <c r="B253" s="149">
        <f t="shared" si="14"/>
        <v>0</v>
      </c>
      <c r="C253" s="149">
        <f t="shared" si="15"/>
        <v>0</v>
      </c>
      <c r="D253" s="149">
        <f t="shared" si="16"/>
        <v>0</v>
      </c>
      <c r="E253" s="149">
        <f t="shared" si="17"/>
        <v>0</v>
      </c>
      <c r="F253" s="148"/>
      <c r="G253" s="169"/>
      <c r="H253" s="153"/>
      <c r="I253" s="143"/>
    </row>
    <row r="254" spans="1:9">
      <c r="A254" s="170">
        <v>199</v>
      </c>
      <c r="B254" s="149">
        <f t="shared" si="14"/>
        <v>0</v>
      </c>
      <c r="C254" s="149">
        <f t="shared" si="15"/>
        <v>0</v>
      </c>
      <c r="D254" s="149">
        <f t="shared" si="16"/>
        <v>0</v>
      </c>
      <c r="E254" s="149">
        <f t="shared" si="17"/>
        <v>0</v>
      </c>
      <c r="F254" s="148"/>
      <c r="G254" s="143"/>
      <c r="H254" s="137"/>
      <c r="I254" s="143"/>
    </row>
    <row r="255" spans="1:9">
      <c r="A255" s="170">
        <v>200</v>
      </c>
      <c r="B255" s="149">
        <f t="shared" si="14"/>
        <v>0</v>
      </c>
      <c r="C255" s="149">
        <f t="shared" si="15"/>
        <v>0</v>
      </c>
      <c r="D255" s="149">
        <f t="shared" si="16"/>
        <v>0</v>
      </c>
      <c r="E255" s="149">
        <f t="shared" si="17"/>
        <v>0</v>
      </c>
      <c r="F255" s="148"/>
      <c r="G255" s="143"/>
      <c r="H255" s="137"/>
      <c r="I255" s="143"/>
    </row>
    <row r="256" spans="1:9">
      <c r="A256" s="170">
        <v>201</v>
      </c>
      <c r="B256" s="149">
        <f t="shared" si="14"/>
        <v>0</v>
      </c>
      <c r="C256" s="149">
        <f t="shared" si="15"/>
        <v>0</v>
      </c>
      <c r="D256" s="149">
        <f t="shared" si="16"/>
        <v>0</v>
      </c>
      <c r="E256" s="149">
        <f t="shared" si="17"/>
        <v>0</v>
      </c>
      <c r="F256" s="148"/>
      <c r="G256" s="143"/>
      <c r="H256" s="137"/>
      <c r="I256" s="143"/>
    </row>
    <row r="257" spans="1:9">
      <c r="A257" s="170">
        <v>202</v>
      </c>
      <c r="B257" s="149">
        <f t="shared" si="14"/>
        <v>0</v>
      </c>
      <c r="C257" s="149">
        <f t="shared" si="15"/>
        <v>0</v>
      </c>
      <c r="D257" s="149">
        <f t="shared" si="16"/>
        <v>0</v>
      </c>
      <c r="E257" s="149">
        <f t="shared" si="17"/>
        <v>0</v>
      </c>
      <c r="F257" s="148"/>
      <c r="G257" s="143"/>
      <c r="H257" s="137"/>
      <c r="I257" s="143"/>
    </row>
    <row r="258" spans="1:9">
      <c r="A258" s="170">
        <v>203</v>
      </c>
      <c r="B258" s="149">
        <f t="shared" si="14"/>
        <v>0</v>
      </c>
      <c r="C258" s="149">
        <f t="shared" si="15"/>
        <v>0</v>
      </c>
      <c r="D258" s="149">
        <f t="shared" si="16"/>
        <v>0</v>
      </c>
      <c r="E258" s="149">
        <f t="shared" si="17"/>
        <v>0</v>
      </c>
      <c r="F258" s="148"/>
      <c r="G258" s="143"/>
      <c r="H258" s="137"/>
      <c r="I258" s="143"/>
    </row>
    <row r="259" spans="1:9">
      <c r="A259" s="170">
        <v>204</v>
      </c>
      <c r="B259" s="149">
        <f t="shared" si="14"/>
        <v>0</v>
      </c>
      <c r="C259" s="149">
        <f t="shared" si="15"/>
        <v>0</v>
      </c>
      <c r="D259" s="149">
        <f t="shared" si="16"/>
        <v>0</v>
      </c>
      <c r="E259" s="149">
        <f t="shared" si="17"/>
        <v>0</v>
      </c>
      <c r="F259" s="148">
        <v>17</v>
      </c>
      <c r="G259" s="169"/>
      <c r="H259" s="153"/>
      <c r="I259" s="169"/>
    </row>
    <row r="260" spans="1:9">
      <c r="A260" s="170">
        <v>205</v>
      </c>
      <c r="B260" s="149">
        <f t="shared" si="14"/>
        <v>0</v>
      </c>
      <c r="C260" s="149">
        <f t="shared" si="15"/>
        <v>0</v>
      </c>
      <c r="D260" s="149">
        <f t="shared" si="16"/>
        <v>0</v>
      </c>
      <c r="E260" s="149">
        <f t="shared" si="17"/>
        <v>0</v>
      </c>
      <c r="F260" s="148"/>
      <c r="G260" s="143"/>
      <c r="H260" s="137"/>
      <c r="I260" s="169"/>
    </row>
    <row r="261" spans="1:9">
      <c r="A261" s="170">
        <v>206</v>
      </c>
      <c r="B261" s="149">
        <f t="shared" si="14"/>
        <v>0</v>
      </c>
      <c r="C261" s="149">
        <f t="shared" si="15"/>
        <v>0</v>
      </c>
      <c r="D261" s="149">
        <f t="shared" si="16"/>
        <v>0</v>
      </c>
      <c r="E261" s="149">
        <f t="shared" si="17"/>
        <v>0</v>
      </c>
      <c r="F261" s="148"/>
      <c r="G261" s="143"/>
      <c r="H261" s="137"/>
      <c r="I261" s="143"/>
    </row>
    <row r="262" spans="1:9">
      <c r="A262" s="170">
        <v>207</v>
      </c>
      <c r="B262" s="149">
        <f t="shared" si="14"/>
        <v>0</v>
      </c>
      <c r="C262" s="149">
        <f t="shared" si="15"/>
        <v>0</v>
      </c>
      <c r="D262" s="149">
        <f t="shared" si="16"/>
        <v>0</v>
      </c>
      <c r="E262" s="149">
        <f t="shared" si="17"/>
        <v>0</v>
      </c>
      <c r="F262" s="148"/>
      <c r="G262" s="143"/>
      <c r="H262" s="137"/>
      <c r="I262" s="143"/>
    </row>
    <row r="263" spans="1:9">
      <c r="A263" s="170">
        <v>208</v>
      </c>
      <c r="B263" s="149">
        <f t="shared" si="14"/>
        <v>0</v>
      </c>
      <c r="C263" s="149">
        <f t="shared" si="15"/>
        <v>0</v>
      </c>
      <c r="D263" s="149">
        <f t="shared" si="16"/>
        <v>0</v>
      </c>
      <c r="E263" s="149">
        <f t="shared" si="17"/>
        <v>0</v>
      </c>
      <c r="F263" s="148"/>
      <c r="G263" s="143"/>
      <c r="H263" s="137"/>
      <c r="I263" s="143"/>
    </row>
    <row r="264" spans="1:9">
      <c r="A264" s="170">
        <v>209</v>
      </c>
      <c r="B264" s="149">
        <f t="shared" si="14"/>
        <v>0</v>
      </c>
      <c r="C264" s="149">
        <f t="shared" si="15"/>
        <v>0</v>
      </c>
      <c r="D264" s="149">
        <f t="shared" si="16"/>
        <v>0</v>
      </c>
      <c r="E264" s="149">
        <f t="shared" si="17"/>
        <v>0</v>
      </c>
      <c r="F264" s="148"/>
      <c r="G264" s="143"/>
      <c r="H264" s="137"/>
      <c r="I264" s="143"/>
    </row>
    <row r="265" spans="1:9">
      <c r="A265" s="170">
        <v>210</v>
      </c>
      <c r="B265" s="149">
        <f t="shared" si="14"/>
        <v>0</v>
      </c>
      <c r="C265" s="149">
        <f t="shared" si="15"/>
        <v>0</v>
      </c>
      <c r="D265" s="149">
        <f t="shared" si="16"/>
        <v>0</v>
      </c>
      <c r="E265" s="149">
        <f t="shared" si="17"/>
        <v>0</v>
      </c>
      <c r="F265" s="148"/>
      <c r="G265" s="169"/>
      <c r="H265" s="153"/>
      <c r="I265" s="143"/>
    </row>
    <row r="266" spans="1:9">
      <c r="A266" s="170">
        <v>211</v>
      </c>
      <c r="B266" s="149">
        <f t="shared" si="14"/>
        <v>0</v>
      </c>
      <c r="C266" s="149">
        <f t="shared" si="15"/>
        <v>0</v>
      </c>
      <c r="D266" s="149">
        <f t="shared" si="16"/>
        <v>0</v>
      </c>
      <c r="E266" s="149">
        <f t="shared" si="17"/>
        <v>0</v>
      </c>
      <c r="F266" s="148"/>
      <c r="G266" s="143"/>
      <c r="H266" s="137"/>
      <c r="I266" s="143"/>
    </row>
    <row r="267" spans="1:9">
      <c r="A267" s="170">
        <v>212</v>
      </c>
      <c r="B267" s="149">
        <f t="shared" si="14"/>
        <v>0</v>
      </c>
      <c r="C267" s="149">
        <f t="shared" si="15"/>
        <v>0</v>
      </c>
      <c r="D267" s="149">
        <f t="shared" si="16"/>
        <v>0</v>
      </c>
      <c r="E267" s="149">
        <f t="shared" si="17"/>
        <v>0</v>
      </c>
      <c r="F267" s="148"/>
      <c r="G267" s="143"/>
      <c r="H267" s="137"/>
      <c r="I267" s="143"/>
    </row>
    <row r="268" spans="1:9">
      <c r="A268" s="170">
        <v>213</v>
      </c>
      <c r="B268" s="149">
        <f t="shared" si="14"/>
        <v>0</v>
      </c>
      <c r="C268" s="149">
        <f t="shared" si="15"/>
        <v>0</v>
      </c>
      <c r="D268" s="149">
        <f t="shared" si="16"/>
        <v>0</v>
      </c>
      <c r="E268" s="149">
        <f t="shared" si="17"/>
        <v>0</v>
      </c>
      <c r="F268" s="148"/>
      <c r="G268" s="143"/>
      <c r="H268" s="137"/>
      <c r="I268" s="143"/>
    </row>
    <row r="269" spans="1:9">
      <c r="A269" s="170">
        <v>214</v>
      </c>
      <c r="B269" s="149">
        <f t="shared" si="14"/>
        <v>0</v>
      </c>
      <c r="C269" s="149">
        <f t="shared" si="15"/>
        <v>0</v>
      </c>
      <c r="D269" s="149">
        <f t="shared" si="16"/>
        <v>0</v>
      </c>
      <c r="E269" s="149">
        <f t="shared" si="17"/>
        <v>0</v>
      </c>
      <c r="F269" s="148"/>
      <c r="G269" s="143"/>
      <c r="H269" s="137"/>
      <c r="I269" s="143"/>
    </row>
    <row r="270" spans="1:9">
      <c r="A270" s="170">
        <v>215</v>
      </c>
      <c r="B270" s="149">
        <f t="shared" si="14"/>
        <v>0</v>
      </c>
      <c r="C270" s="149">
        <f t="shared" si="15"/>
        <v>0</v>
      </c>
      <c r="D270" s="149">
        <f t="shared" si="16"/>
        <v>0</v>
      </c>
      <c r="E270" s="149">
        <f t="shared" si="17"/>
        <v>0</v>
      </c>
      <c r="F270" s="148"/>
      <c r="G270" s="143"/>
      <c r="H270" s="137"/>
      <c r="I270" s="143"/>
    </row>
    <row r="271" spans="1:9">
      <c r="A271" s="170">
        <v>216</v>
      </c>
      <c r="B271" s="149">
        <f t="shared" si="14"/>
        <v>0</v>
      </c>
      <c r="C271" s="149">
        <f t="shared" si="15"/>
        <v>0</v>
      </c>
      <c r="D271" s="149">
        <f t="shared" si="16"/>
        <v>0</v>
      </c>
      <c r="E271" s="149">
        <f t="shared" si="17"/>
        <v>0</v>
      </c>
      <c r="F271" s="148">
        <v>18</v>
      </c>
      <c r="G271" s="169"/>
      <c r="H271" s="153"/>
      <c r="I271" s="169"/>
    </row>
    <row r="272" spans="1:9">
      <c r="A272" s="170">
        <v>217</v>
      </c>
      <c r="B272" s="149">
        <f t="shared" si="14"/>
        <v>0</v>
      </c>
      <c r="C272" s="149">
        <f t="shared" si="15"/>
        <v>0</v>
      </c>
      <c r="D272" s="149">
        <f t="shared" si="16"/>
        <v>0</v>
      </c>
      <c r="E272" s="149">
        <f t="shared" si="17"/>
        <v>0</v>
      </c>
      <c r="F272" s="148"/>
      <c r="G272" s="143"/>
      <c r="H272" s="137"/>
      <c r="I272" s="169"/>
    </row>
    <row r="273" spans="1:9">
      <c r="A273" s="170">
        <v>218</v>
      </c>
      <c r="B273" s="149">
        <f t="shared" si="14"/>
        <v>0</v>
      </c>
      <c r="C273" s="149">
        <f t="shared" si="15"/>
        <v>0</v>
      </c>
      <c r="D273" s="149">
        <f t="shared" si="16"/>
        <v>0</v>
      </c>
      <c r="E273" s="149">
        <f t="shared" si="17"/>
        <v>0</v>
      </c>
      <c r="F273" s="148"/>
      <c r="G273" s="143"/>
      <c r="H273" s="137"/>
      <c r="I273" s="143"/>
    </row>
    <row r="274" spans="1:9">
      <c r="A274" s="170">
        <v>219</v>
      </c>
      <c r="B274" s="149">
        <f t="shared" si="14"/>
        <v>0</v>
      </c>
      <c r="C274" s="149">
        <f t="shared" si="15"/>
        <v>0</v>
      </c>
      <c r="D274" s="149">
        <f t="shared" si="16"/>
        <v>0</v>
      </c>
      <c r="E274" s="149">
        <f t="shared" si="17"/>
        <v>0</v>
      </c>
      <c r="F274" s="148"/>
      <c r="G274" s="143"/>
      <c r="H274" s="137"/>
      <c r="I274" s="143"/>
    </row>
    <row r="275" spans="1:9">
      <c r="A275" s="170">
        <v>220</v>
      </c>
      <c r="B275" s="149">
        <f t="shared" si="14"/>
        <v>0</v>
      </c>
      <c r="C275" s="149">
        <f t="shared" si="15"/>
        <v>0</v>
      </c>
      <c r="D275" s="149">
        <f t="shared" si="16"/>
        <v>0</v>
      </c>
      <c r="E275" s="149">
        <f t="shared" si="17"/>
        <v>0</v>
      </c>
      <c r="F275" s="148"/>
      <c r="G275" s="143"/>
      <c r="H275" s="137"/>
      <c r="I275" s="143"/>
    </row>
    <row r="276" spans="1:9">
      <c r="A276" s="170">
        <v>221</v>
      </c>
      <c r="B276" s="149">
        <f t="shared" si="14"/>
        <v>0</v>
      </c>
      <c r="C276" s="149">
        <f t="shared" si="15"/>
        <v>0</v>
      </c>
      <c r="D276" s="149">
        <f t="shared" si="16"/>
        <v>0</v>
      </c>
      <c r="E276" s="149">
        <f t="shared" si="17"/>
        <v>0</v>
      </c>
      <c r="F276" s="148"/>
      <c r="G276" s="143"/>
      <c r="H276" s="137"/>
      <c r="I276" s="143"/>
    </row>
    <row r="277" spans="1:9">
      <c r="A277" s="170">
        <v>222</v>
      </c>
      <c r="B277" s="149">
        <f t="shared" si="14"/>
        <v>0</v>
      </c>
      <c r="C277" s="149">
        <f t="shared" si="15"/>
        <v>0</v>
      </c>
      <c r="D277" s="149">
        <f t="shared" si="16"/>
        <v>0</v>
      </c>
      <c r="E277" s="149">
        <f t="shared" si="17"/>
        <v>0</v>
      </c>
      <c r="F277" s="148"/>
      <c r="G277" s="169"/>
      <c r="H277" s="153"/>
      <c r="I277" s="143"/>
    </row>
    <row r="278" spans="1:9">
      <c r="A278" s="170">
        <v>223</v>
      </c>
      <c r="B278" s="149">
        <f t="shared" si="14"/>
        <v>0</v>
      </c>
      <c r="C278" s="149">
        <f t="shared" si="15"/>
        <v>0</v>
      </c>
      <c r="D278" s="149">
        <f t="shared" si="16"/>
        <v>0</v>
      </c>
      <c r="E278" s="149">
        <f t="shared" si="17"/>
        <v>0</v>
      </c>
      <c r="F278" s="148"/>
      <c r="G278" s="143"/>
      <c r="H278" s="137"/>
      <c r="I278" s="143"/>
    </row>
    <row r="279" spans="1:9">
      <c r="A279" s="170">
        <v>224</v>
      </c>
      <c r="B279" s="149">
        <f t="shared" si="14"/>
        <v>0</v>
      </c>
      <c r="C279" s="149">
        <f t="shared" si="15"/>
        <v>0</v>
      </c>
      <c r="D279" s="149">
        <f t="shared" si="16"/>
        <v>0</v>
      </c>
      <c r="E279" s="149">
        <f t="shared" si="17"/>
        <v>0</v>
      </c>
      <c r="F279" s="148"/>
      <c r="G279" s="143"/>
      <c r="H279" s="137"/>
      <c r="I279" s="143"/>
    </row>
    <row r="280" spans="1:9">
      <c r="A280" s="170">
        <v>225</v>
      </c>
      <c r="B280" s="149">
        <f t="shared" si="14"/>
        <v>0</v>
      </c>
      <c r="C280" s="149">
        <f t="shared" si="15"/>
        <v>0</v>
      </c>
      <c r="D280" s="149">
        <f t="shared" si="16"/>
        <v>0</v>
      </c>
      <c r="E280" s="149">
        <f t="shared" si="17"/>
        <v>0</v>
      </c>
      <c r="F280" s="148"/>
      <c r="G280" s="143"/>
      <c r="H280" s="137"/>
      <c r="I280" s="143"/>
    </row>
    <row r="281" spans="1:9">
      <c r="A281" s="170">
        <v>226</v>
      </c>
      <c r="B281" s="149">
        <f t="shared" si="14"/>
        <v>0</v>
      </c>
      <c r="C281" s="149">
        <f t="shared" si="15"/>
        <v>0</v>
      </c>
      <c r="D281" s="149">
        <f t="shared" si="16"/>
        <v>0</v>
      </c>
      <c r="E281" s="149">
        <f t="shared" si="17"/>
        <v>0</v>
      </c>
      <c r="F281" s="148"/>
      <c r="G281" s="143"/>
      <c r="H281" s="137"/>
      <c r="I281" s="143"/>
    </row>
    <row r="282" spans="1:9">
      <c r="A282" s="170">
        <v>227</v>
      </c>
      <c r="B282" s="149">
        <f t="shared" si="14"/>
        <v>0</v>
      </c>
      <c r="C282" s="149">
        <f t="shared" si="15"/>
        <v>0</v>
      </c>
      <c r="D282" s="149">
        <f t="shared" si="16"/>
        <v>0</v>
      </c>
      <c r="E282" s="149">
        <f t="shared" si="17"/>
        <v>0</v>
      </c>
      <c r="F282" s="148"/>
      <c r="G282" s="143"/>
      <c r="H282" s="137"/>
      <c r="I282" s="143"/>
    </row>
    <row r="283" spans="1:9">
      <c r="A283" s="170">
        <v>228</v>
      </c>
      <c r="B283" s="149">
        <f t="shared" si="14"/>
        <v>0</v>
      </c>
      <c r="C283" s="149">
        <f t="shared" si="15"/>
        <v>0</v>
      </c>
      <c r="D283" s="149">
        <f t="shared" si="16"/>
        <v>0</v>
      </c>
      <c r="E283" s="149">
        <f t="shared" si="17"/>
        <v>0</v>
      </c>
      <c r="F283" s="148">
        <v>19</v>
      </c>
      <c r="G283" s="169"/>
      <c r="H283" s="153"/>
      <c r="I283" s="169"/>
    </row>
    <row r="284" spans="1:9">
      <c r="A284" s="170">
        <v>229</v>
      </c>
      <c r="B284" s="149">
        <f t="shared" si="14"/>
        <v>0</v>
      </c>
      <c r="C284" s="149">
        <f t="shared" si="15"/>
        <v>0</v>
      </c>
      <c r="D284" s="149">
        <f t="shared" si="16"/>
        <v>0</v>
      </c>
      <c r="E284" s="149">
        <f t="shared" si="17"/>
        <v>0</v>
      </c>
      <c r="F284" s="148"/>
      <c r="G284" s="143"/>
      <c r="H284" s="137"/>
      <c r="I284" s="169"/>
    </row>
    <row r="285" spans="1:9">
      <c r="A285" s="170">
        <v>230</v>
      </c>
      <c r="B285" s="149">
        <f t="shared" si="14"/>
        <v>0</v>
      </c>
      <c r="C285" s="149">
        <f t="shared" si="15"/>
        <v>0</v>
      </c>
      <c r="D285" s="149">
        <f t="shared" si="16"/>
        <v>0</v>
      </c>
      <c r="E285" s="149">
        <f t="shared" si="17"/>
        <v>0</v>
      </c>
      <c r="F285" s="148"/>
      <c r="G285" s="143"/>
      <c r="H285" s="137"/>
      <c r="I285" s="143"/>
    </row>
    <row r="286" spans="1:9">
      <c r="A286" s="170">
        <v>231</v>
      </c>
      <c r="B286" s="149">
        <f t="shared" si="14"/>
        <v>0</v>
      </c>
      <c r="C286" s="149">
        <f t="shared" si="15"/>
        <v>0</v>
      </c>
      <c r="D286" s="149">
        <f t="shared" si="16"/>
        <v>0</v>
      </c>
      <c r="E286" s="149">
        <f t="shared" si="17"/>
        <v>0</v>
      </c>
      <c r="F286" s="148"/>
      <c r="G286" s="143"/>
      <c r="H286" s="137"/>
      <c r="I286" s="143"/>
    </row>
    <row r="287" spans="1:9">
      <c r="A287" s="170">
        <v>232</v>
      </c>
      <c r="B287" s="149">
        <f t="shared" si="14"/>
        <v>0</v>
      </c>
      <c r="C287" s="149">
        <f t="shared" si="15"/>
        <v>0</v>
      </c>
      <c r="D287" s="149">
        <f t="shared" si="16"/>
        <v>0</v>
      </c>
      <c r="E287" s="149">
        <f t="shared" si="17"/>
        <v>0</v>
      </c>
      <c r="F287" s="148"/>
      <c r="G287" s="143"/>
      <c r="H287" s="137"/>
      <c r="I287" s="143"/>
    </row>
    <row r="288" spans="1:9">
      <c r="A288" s="170">
        <v>233</v>
      </c>
      <c r="B288" s="149">
        <f t="shared" si="14"/>
        <v>0</v>
      </c>
      <c r="C288" s="149">
        <f t="shared" si="15"/>
        <v>0</v>
      </c>
      <c r="D288" s="149">
        <f t="shared" si="16"/>
        <v>0</v>
      </c>
      <c r="E288" s="149">
        <f t="shared" si="17"/>
        <v>0</v>
      </c>
      <c r="F288" s="148"/>
      <c r="G288" s="143"/>
      <c r="H288" s="137"/>
      <c r="I288" s="143"/>
    </row>
    <row r="289" spans="1:9">
      <c r="A289" s="170">
        <v>234</v>
      </c>
      <c r="B289" s="149">
        <f t="shared" si="14"/>
        <v>0</v>
      </c>
      <c r="C289" s="149">
        <f t="shared" si="15"/>
        <v>0</v>
      </c>
      <c r="D289" s="149">
        <f t="shared" si="16"/>
        <v>0</v>
      </c>
      <c r="E289" s="149">
        <f t="shared" si="17"/>
        <v>0</v>
      </c>
      <c r="F289" s="148"/>
      <c r="G289" s="169"/>
      <c r="H289" s="153"/>
      <c r="I289" s="143"/>
    </row>
    <row r="290" spans="1:9">
      <c r="A290" s="170">
        <v>235</v>
      </c>
      <c r="B290" s="149">
        <f t="shared" si="14"/>
        <v>0</v>
      </c>
      <c r="C290" s="149">
        <f t="shared" si="15"/>
        <v>0</v>
      </c>
      <c r="D290" s="149">
        <f t="shared" si="16"/>
        <v>0</v>
      </c>
      <c r="E290" s="149">
        <f t="shared" si="17"/>
        <v>0</v>
      </c>
      <c r="F290" s="148"/>
      <c r="G290" s="143"/>
      <c r="H290" s="137"/>
      <c r="I290" s="143"/>
    </row>
    <row r="291" spans="1:9">
      <c r="A291" s="170">
        <v>236</v>
      </c>
      <c r="B291" s="149">
        <f t="shared" si="14"/>
        <v>0</v>
      </c>
      <c r="C291" s="149">
        <f t="shared" si="15"/>
        <v>0</v>
      </c>
      <c r="D291" s="149">
        <f t="shared" si="16"/>
        <v>0</v>
      </c>
      <c r="E291" s="149">
        <f t="shared" si="17"/>
        <v>0</v>
      </c>
      <c r="F291" s="148"/>
      <c r="G291" s="143"/>
      <c r="H291" s="137"/>
      <c r="I291" s="143"/>
    </row>
    <row r="292" spans="1:9">
      <c r="A292" s="170">
        <v>237</v>
      </c>
      <c r="B292" s="149">
        <f t="shared" si="14"/>
        <v>0</v>
      </c>
      <c r="C292" s="149">
        <f t="shared" si="15"/>
        <v>0</v>
      </c>
      <c r="D292" s="149">
        <f t="shared" si="16"/>
        <v>0</v>
      </c>
      <c r="E292" s="149">
        <f t="shared" si="17"/>
        <v>0</v>
      </c>
      <c r="F292" s="148"/>
      <c r="G292" s="143"/>
      <c r="H292" s="137"/>
      <c r="I292" s="143"/>
    </row>
    <row r="293" spans="1:9">
      <c r="A293" s="170">
        <v>238</v>
      </c>
      <c r="B293" s="149">
        <f t="shared" si="14"/>
        <v>0</v>
      </c>
      <c r="C293" s="149">
        <f t="shared" si="15"/>
        <v>0</v>
      </c>
      <c r="D293" s="149">
        <f t="shared" si="16"/>
        <v>0</v>
      </c>
      <c r="E293" s="149">
        <f t="shared" si="17"/>
        <v>0</v>
      </c>
      <c r="F293" s="148"/>
      <c r="G293" s="143"/>
      <c r="H293" s="137"/>
      <c r="I293" s="143"/>
    </row>
    <row r="294" spans="1:9">
      <c r="A294" s="170">
        <v>239</v>
      </c>
      <c r="B294" s="149">
        <f t="shared" si="14"/>
        <v>0</v>
      </c>
      <c r="C294" s="149">
        <f t="shared" si="15"/>
        <v>0</v>
      </c>
      <c r="D294" s="149">
        <f t="shared" si="16"/>
        <v>0</v>
      </c>
      <c r="E294" s="149">
        <f t="shared" si="17"/>
        <v>0</v>
      </c>
      <c r="F294" s="148"/>
      <c r="G294" s="143"/>
      <c r="H294" s="137"/>
      <c r="I294" s="143"/>
    </row>
    <row r="295" spans="1:9">
      <c r="A295" s="170">
        <v>240</v>
      </c>
      <c r="B295" s="149">
        <f t="shared" si="14"/>
        <v>0</v>
      </c>
      <c r="C295" s="149">
        <f t="shared" si="15"/>
        <v>0</v>
      </c>
      <c r="D295" s="149">
        <f t="shared" si="16"/>
        <v>0</v>
      </c>
      <c r="E295" s="149">
        <f t="shared" si="17"/>
        <v>0</v>
      </c>
      <c r="F295" s="148">
        <v>20</v>
      </c>
      <c r="G295" s="169"/>
      <c r="H295" s="153"/>
      <c r="I295" s="169"/>
    </row>
    <row r="296" spans="1:9">
      <c r="A296" s="170">
        <v>241</v>
      </c>
      <c r="B296" s="149">
        <f t="shared" si="14"/>
        <v>0</v>
      </c>
      <c r="C296" s="149">
        <f t="shared" si="15"/>
        <v>0</v>
      </c>
      <c r="D296" s="149">
        <f t="shared" si="16"/>
        <v>0</v>
      </c>
      <c r="E296" s="149">
        <f t="shared" si="17"/>
        <v>0</v>
      </c>
      <c r="F296" s="148"/>
      <c r="G296" s="143"/>
      <c r="H296" s="137"/>
      <c r="I296" s="169"/>
    </row>
    <row r="297" spans="1:9">
      <c r="A297" s="170">
        <v>242</v>
      </c>
      <c r="B297" s="149">
        <f t="shared" si="14"/>
        <v>0</v>
      </c>
      <c r="C297" s="149">
        <f t="shared" si="15"/>
        <v>0</v>
      </c>
      <c r="D297" s="149">
        <f t="shared" si="16"/>
        <v>0</v>
      </c>
      <c r="E297" s="149">
        <f t="shared" si="17"/>
        <v>0</v>
      </c>
      <c r="F297" s="148"/>
      <c r="G297" s="143"/>
      <c r="H297" s="137"/>
      <c r="I297" s="143"/>
    </row>
    <row r="298" spans="1:9">
      <c r="A298" s="170">
        <v>243</v>
      </c>
      <c r="B298" s="149">
        <f t="shared" si="14"/>
        <v>0</v>
      </c>
      <c r="C298" s="149">
        <f t="shared" si="15"/>
        <v>0</v>
      </c>
      <c r="D298" s="149">
        <f t="shared" si="16"/>
        <v>0</v>
      </c>
      <c r="E298" s="149">
        <f t="shared" si="17"/>
        <v>0</v>
      </c>
      <c r="F298" s="148"/>
      <c r="G298" s="143"/>
      <c r="H298" s="137"/>
      <c r="I298" s="143"/>
    </row>
    <row r="299" spans="1:9">
      <c r="A299" s="170">
        <v>244</v>
      </c>
      <c r="B299" s="149">
        <f t="shared" si="14"/>
        <v>0</v>
      </c>
      <c r="C299" s="149">
        <f t="shared" si="15"/>
        <v>0</v>
      </c>
      <c r="D299" s="149">
        <f t="shared" si="16"/>
        <v>0</v>
      </c>
      <c r="E299" s="149">
        <f t="shared" si="17"/>
        <v>0</v>
      </c>
      <c r="F299" s="148"/>
      <c r="G299" s="143"/>
      <c r="H299" s="137"/>
      <c r="I299" s="143"/>
    </row>
    <row r="300" spans="1:9">
      <c r="A300" s="170">
        <v>245</v>
      </c>
      <c r="B300" s="149">
        <f t="shared" si="14"/>
        <v>0</v>
      </c>
      <c r="C300" s="149">
        <f t="shared" si="15"/>
        <v>0</v>
      </c>
      <c r="D300" s="149">
        <f t="shared" si="16"/>
        <v>0</v>
      </c>
      <c r="E300" s="149">
        <f t="shared" si="17"/>
        <v>0</v>
      </c>
      <c r="F300" s="148"/>
      <c r="G300" s="143"/>
      <c r="H300" s="137"/>
      <c r="I300" s="143"/>
    </row>
    <row r="301" spans="1:9">
      <c r="A301" s="170">
        <v>246</v>
      </c>
      <c r="B301" s="149">
        <f t="shared" si="14"/>
        <v>0</v>
      </c>
      <c r="C301" s="149">
        <f t="shared" si="15"/>
        <v>0</v>
      </c>
      <c r="D301" s="149">
        <f t="shared" si="16"/>
        <v>0</v>
      </c>
      <c r="E301" s="149">
        <f t="shared" si="17"/>
        <v>0</v>
      </c>
      <c r="F301" s="148"/>
      <c r="G301" s="169"/>
      <c r="H301" s="153"/>
      <c r="I301" s="143"/>
    </row>
    <row r="302" spans="1:9">
      <c r="A302" s="170">
        <v>247</v>
      </c>
      <c r="B302" s="149">
        <f t="shared" si="14"/>
        <v>0</v>
      </c>
      <c r="C302" s="149">
        <f t="shared" si="15"/>
        <v>0</v>
      </c>
      <c r="D302" s="149">
        <f t="shared" si="16"/>
        <v>0</v>
      </c>
      <c r="E302" s="149">
        <f t="shared" si="17"/>
        <v>0</v>
      </c>
      <c r="F302" s="148"/>
      <c r="G302" s="143"/>
      <c r="H302" s="137"/>
      <c r="I302" s="143"/>
    </row>
    <row r="303" spans="1:9">
      <c r="A303" s="170">
        <v>248</v>
      </c>
      <c r="B303" s="149">
        <f t="shared" si="14"/>
        <v>0</v>
      </c>
      <c r="C303" s="149">
        <f t="shared" si="15"/>
        <v>0</v>
      </c>
      <c r="D303" s="149">
        <f t="shared" si="16"/>
        <v>0</v>
      </c>
      <c r="E303" s="149">
        <f t="shared" si="17"/>
        <v>0</v>
      </c>
      <c r="F303" s="148"/>
      <c r="G303" s="143"/>
      <c r="H303" s="137"/>
      <c r="I303" s="143"/>
    </row>
    <row r="304" spans="1:9">
      <c r="A304" s="170">
        <v>249</v>
      </c>
      <c r="B304" s="149">
        <f t="shared" si="14"/>
        <v>0</v>
      </c>
      <c r="C304" s="149">
        <f t="shared" si="15"/>
        <v>0</v>
      </c>
      <c r="D304" s="149">
        <f t="shared" si="16"/>
        <v>0</v>
      </c>
      <c r="E304" s="149">
        <f t="shared" si="17"/>
        <v>0</v>
      </c>
      <c r="F304" s="148"/>
      <c r="G304" s="143"/>
      <c r="H304" s="137"/>
      <c r="I304" s="143"/>
    </row>
    <row r="305" spans="1:9">
      <c r="A305" s="170">
        <v>250</v>
      </c>
      <c r="B305" s="149">
        <f t="shared" si="14"/>
        <v>0</v>
      </c>
      <c r="C305" s="149">
        <f t="shared" si="15"/>
        <v>0</v>
      </c>
      <c r="D305" s="149">
        <f t="shared" si="16"/>
        <v>0</v>
      </c>
      <c r="E305" s="149">
        <f t="shared" si="17"/>
        <v>0</v>
      </c>
      <c r="F305" s="148"/>
      <c r="G305" s="143"/>
      <c r="H305" s="137"/>
      <c r="I305" s="143"/>
    </row>
    <row r="306" spans="1:9">
      <c r="A306" s="170">
        <v>251</v>
      </c>
      <c r="B306" s="149">
        <f t="shared" si="14"/>
        <v>0</v>
      </c>
      <c r="C306" s="149">
        <f t="shared" si="15"/>
        <v>0</v>
      </c>
      <c r="D306" s="149">
        <f t="shared" si="16"/>
        <v>0</v>
      </c>
      <c r="E306" s="149">
        <f t="shared" si="17"/>
        <v>0</v>
      </c>
      <c r="F306" s="148"/>
      <c r="G306" s="143"/>
      <c r="H306" s="137"/>
      <c r="I306" s="143"/>
    </row>
    <row r="307" spans="1:9">
      <c r="A307" s="170">
        <v>252</v>
      </c>
      <c r="B307" s="149">
        <f t="shared" si="14"/>
        <v>0</v>
      </c>
      <c r="C307" s="149">
        <f t="shared" si="15"/>
        <v>0</v>
      </c>
      <c r="D307" s="149">
        <f t="shared" si="16"/>
        <v>0</v>
      </c>
      <c r="E307" s="149">
        <f t="shared" si="17"/>
        <v>0</v>
      </c>
      <c r="F307" s="148">
        <v>21</v>
      </c>
      <c r="G307" s="169"/>
      <c r="H307" s="153"/>
      <c r="I307" s="169"/>
    </row>
    <row r="308" spans="1:9">
      <c r="A308" s="170">
        <v>253</v>
      </c>
      <c r="B308" s="149">
        <f t="shared" si="14"/>
        <v>0</v>
      </c>
      <c r="C308" s="149">
        <f t="shared" si="15"/>
        <v>0</v>
      </c>
      <c r="D308" s="149">
        <f t="shared" si="16"/>
        <v>0</v>
      </c>
      <c r="E308" s="149">
        <f t="shared" si="17"/>
        <v>0</v>
      </c>
      <c r="F308" s="148"/>
      <c r="G308" s="143"/>
      <c r="H308" s="137"/>
      <c r="I308" s="169"/>
    </row>
    <row r="309" spans="1:9">
      <c r="A309" s="170">
        <v>254</v>
      </c>
      <c r="B309" s="149">
        <f t="shared" si="14"/>
        <v>0</v>
      </c>
      <c r="C309" s="149">
        <f t="shared" si="15"/>
        <v>0</v>
      </c>
      <c r="D309" s="149">
        <f t="shared" si="16"/>
        <v>0</v>
      </c>
      <c r="E309" s="149">
        <f t="shared" si="17"/>
        <v>0</v>
      </c>
      <c r="F309" s="148"/>
      <c r="G309" s="143"/>
      <c r="H309" s="137"/>
      <c r="I309" s="143"/>
    </row>
    <row r="310" spans="1:9">
      <c r="A310" s="170">
        <v>255</v>
      </c>
      <c r="B310" s="149">
        <f t="shared" si="14"/>
        <v>0</v>
      </c>
      <c r="C310" s="149">
        <f t="shared" si="15"/>
        <v>0</v>
      </c>
      <c r="D310" s="149">
        <f t="shared" si="16"/>
        <v>0</v>
      </c>
      <c r="E310" s="149">
        <f t="shared" si="17"/>
        <v>0</v>
      </c>
      <c r="F310" s="148"/>
      <c r="G310" s="143"/>
      <c r="H310" s="137"/>
      <c r="I310" s="143"/>
    </row>
    <row r="311" spans="1:9">
      <c r="A311" s="170">
        <v>256</v>
      </c>
      <c r="B311" s="149">
        <f t="shared" si="14"/>
        <v>0</v>
      </c>
      <c r="C311" s="149">
        <f t="shared" si="15"/>
        <v>0</v>
      </c>
      <c r="D311" s="149">
        <f t="shared" si="16"/>
        <v>0</v>
      </c>
      <c r="E311" s="149">
        <f t="shared" si="17"/>
        <v>0</v>
      </c>
      <c r="F311" s="148"/>
      <c r="G311" s="143"/>
      <c r="H311" s="137"/>
      <c r="I311" s="143"/>
    </row>
    <row r="312" spans="1:9">
      <c r="A312" s="170">
        <v>257</v>
      </c>
      <c r="B312" s="149">
        <f t="shared" ref="B312:B375" si="18">IF(A312&gt;12*$D$14,0,$D$20)</f>
        <v>0</v>
      </c>
      <c r="C312" s="149">
        <f t="shared" ref="C312:C375" si="19">IF(A312&gt;12*$D$14,0,E311*$D$10/12)</f>
        <v>0</v>
      </c>
      <c r="D312" s="149">
        <f t="shared" ref="D312:D375" si="20">IF(A312&gt;12*$D$14,0,B312-C312)</f>
        <v>0</v>
      </c>
      <c r="E312" s="149">
        <f t="shared" ref="E312:E375" si="21">IF(A312&gt;12*$D$14,0,E311-D312)</f>
        <v>0</v>
      </c>
      <c r="F312" s="148"/>
      <c r="G312" s="143"/>
      <c r="H312" s="137"/>
      <c r="I312" s="143"/>
    </row>
    <row r="313" spans="1:9">
      <c r="A313" s="170">
        <v>258</v>
      </c>
      <c r="B313" s="149">
        <f t="shared" si="18"/>
        <v>0</v>
      </c>
      <c r="C313" s="149">
        <f t="shared" si="19"/>
        <v>0</v>
      </c>
      <c r="D313" s="149">
        <f t="shared" si="20"/>
        <v>0</v>
      </c>
      <c r="E313" s="149">
        <f t="shared" si="21"/>
        <v>0</v>
      </c>
      <c r="F313" s="148"/>
      <c r="G313" s="169"/>
      <c r="H313" s="153"/>
      <c r="I313" s="143"/>
    </row>
    <row r="314" spans="1:9">
      <c r="A314" s="170">
        <v>259</v>
      </c>
      <c r="B314" s="149">
        <f t="shared" si="18"/>
        <v>0</v>
      </c>
      <c r="C314" s="149">
        <f t="shared" si="19"/>
        <v>0</v>
      </c>
      <c r="D314" s="149">
        <f t="shared" si="20"/>
        <v>0</v>
      </c>
      <c r="E314" s="149">
        <f t="shared" si="21"/>
        <v>0</v>
      </c>
      <c r="F314" s="148"/>
      <c r="G314" s="143"/>
      <c r="H314" s="137"/>
      <c r="I314" s="143"/>
    </row>
    <row r="315" spans="1:9">
      <c r="A315" s="170">
        <v>260</v>
      </c>
      <c r="B315" s="149">
        <f t="shared" si="18"/>
        <v>0</v>
      </c>
      <c r="C315" s="149">
        <f t="shared" si="19"/>
        <v>0</v>
      </c>
      <c r="D315" s="149">
        <f t="shared" si="20"/>
        <v>0</v>
      </c>
      <c r="E315" s="149">
        <f t="shared" si="21"/>
        <v>0</v>
      </c>
      <c r="F315" s="148"/>
      <c r="G315" s="143"/>
      <c r="H315" s="137"/>
      <c r="I315" s="143"/>
    </row>
    <row r="316" spans="1:9">
      <c r="A316" s="170">
        <v>261</v>
      </c>
      <c r="B316" s="149">
        <f t="shared" si="18"/>
        <v>0</v>
      </c>
      <c r="C316" s="149">
        <f t="shared" si="19"/>
        <v>0</v>
      </c>
      <c r="D316" s="149">
        <f t="shared" si="20"/>
        <v>0</v>
      </c>
      <c r="E316" s="149">
        <f t="shared" si="21"/>
        <v>0</v>
      </c>
      <c r="F316" s="148"/>
      <c r="G316" s="143"/>
      <c r="H316" s="137"/>
      <c r="I316" s="143"/>
    </row>
    <row r="317" spans="1:9">
      <c r="A317" s="170">
        <v>262</v>
      </c>
      <c r="B317" s="149">
        <f t="shared" si="18"/>
        <v>0</v>
      </c>
      <c r="C317" s="149">
        <f t="shared" si="19"/>
        <v>0</v>
      </c>
      <c r="D317" s="149">
        <f t="shared" si="20"/>
        <v>0</v>
      </c>
      <c r="E317" s="149">
        <f t="shared" si="21"/>
        <v>0</v>
      </c>
      <c r="F317" s="148"/>
      <c r="G317" s="143"/>
      <c r="H317" s="137"/>
      <c r="I317" s="143"/>
    </row>
    <row r="318" spans="1:9">
      <c r="A318" s="170">
        <v>263</v>
      </c>
      <c r="B318" s="149">
        <f t="shared" si="18"/>
        <v>0</v>
      </c>
      <c r="C318" s="149">
        <f t="shared" si="19"/>
        <v>0</v>
      </c>
      <c r="D318" s="149">
        <f t="shared" si="20"/>
        <v>0</v>
      </c>
      <c r="E318" s="149">
        <f t="shared" si="21"/>
        <v>0</v>
      </c>
      <c r="F318" s="148"/>
      <c r="G318" s="143"/>
      <c r="H318" s="137"/>
      <c r="I318" s="143"/>
    </row>
    <row r="319" spans="1:9">
      <c r="A319" s="170">
        <v>264</v>
      </c>
      <c r="B319" s="149">
        <f t="shared" si="18"/>
        <v>0</v>
      </c>
      <c r="C319" s="149">
        <f t="shared" si="19"/>
        <v>0</v>
      </c>
      <c r="D319" s="149">
        <f t="shared" si="20"/>
        <v>0</v>
      </c>
      <c r="E319" s="149">
        <f t="shared" si="21"/>
        <v>0</v>
      </c>
      <c r="F319" s="148">
        <v>22</v>
      </c>
      <c r="G319" s="169"/>
      <c r="H319" s="153"/>
      <c r="I319" s="169"/>
    </row>
    <row r="320" spans="1:9">
      <c r="A320" s="170">
        <v>265</v>
      </c>
      <c r="B320" s="149">
        <f t="shared" si="18"/>
        <v>0</v>
      </c>
      <c r="C320" s="149">
        <f t="shared" si="19"/>
        <v>0</v>
      </c>
      <c r="D320" s="149">
        <f t="shared" si="20"/>
        <v>0</v>
      </c>
      <c r="E320" s="149">
        <f t="shared" si="21"/>
        <v>0</v>
      </c>
      <c r="F320" s="148"/>
      <c r="G320" s="143"/>
      <c r="H320" s="137"/>
      <c r="I320" s="169"/>
    </row>
    <row r="321" spans="1:9">
      <c r="A321" s="170">
        <v>266</v>
      </c>
      <c r="B321" s="149">
        <f t="shared" si="18"/>
        <v>0</v>
      </c>
      <c r="C321" s="149">
        <f t="shared" si="19"/>
        <v>0</v>
      </c>
      <c r="D321" s="149">
        <f t="shared" si="20"/>
        <v>0</v>
      </c>
      <c r="E321" s="149">
        <f t="shared" si="21"/>
        <v>0</v>
      </c>
      <c r="F321" s="148"/>
      <c r="G321" s="143"/>
      <c r="H321" s="137"/>
      <c r="I321" s="143"/>
    </row>
    <row r="322" spans="1:9">
      <c r="A322" s="170">
        <v>267</v>
      </c>
      <c r="B322" s="149">
        <f t="shared" si="18"/>
        <v>0</v>
      </c>
      <c r="C322" s="149">
        <f t="shared" si="19"/>
        <v>0</v>
      </c>
      <c r="D322" s="149">
        <f t="shared" si="20"/>
        <v>0</v>
      </c>
      <c r="E322" s="149">
        <f t="shared" si="21"/>
        <v>0</v>
      </c>
      <c r="F322" s="148"/>
      <c r="G322" s="143"/>
      <c r="H322" s="137"/>
      <c r="I322" s="143"/>
    </row>
    <row r="323" spans="1:9">
      <c r="A323" s="170">
        <v>268</v>
      </c>
      <c r="B323" s="149">
        <f t="shared" si="18"/>
        <v>0</v>
      </c>
      <c r="C323" s="149">
        <f t="shared" si="19"/>
        <v>0</v>
      </c>
      <c r="D323" s="149">
        <f t="shared" si="20"/>
        <v>0</v>
      </c>
      <c r="E323" s="149">
        <f t="shared" si="21"/>
        <v>0</v>
      </c>
      <c r="F323" s="148"/>
      <c r="G323" s="143"/>
      <c r="H323" s="137"/>
      <c r="I323" s="143"/>
    </row>
    <row r="324" spans="1:9">
      <c r="A324" s="170">
        <v>269</v>
      </c>
      <c r="B324" s="149">
        <f t="shared" si="18"/>
        <v>0</v>
      </c>
      <c r="C324" s="149">
        <f t="shared" si="19"/>
        <v>0</v>
      </c>
      <c r="D324" s="149">
        <f t="shared" si="20"/>
        <v>0</v>
      </c>
      <c r="E324" s="149">
        <f t="shared" si="21"/>
        <v>0</v>
      </c>
      <c r="F324" s="148"/>
      <c r="G324" s="143"/>
      <c r="H324" s="137"/>
      <c r="I324" s="143"/>
    </row>
    <row r="325" spans="1:9">
      <c r="A325" s="170">
        <v>270</v>
      </c>
      <c r="B325" s="149">
        <f t="shared" si="18"/>
        <v>0</v>
      </c>
      <c r="C325" s="149">
        <f t="shared" si="19"/>
        <v>0</v>
      </c>
      <c r="D325" s="149">
        <f t="shared" si="20"/>
        <v>0</v>
      </c>
      <c r="E325" s="149">
        <f t="shared" si="21"/>
        <v>0</v>
      </c>
      <c r="F325" s="148"/>
      <c r="G325" s="169"/>
      <c r="H325" s="153"/>
      <c r="I325" s="143"/>
    </row>
    <row r="326" spans="1:9">
      <c r="A326" s="170">
        <v>271</v>
      </c>
      <c r="B326" s="149">
        <f t="shared" si="18"/>
        <v>0</v>
      </c>
      <c r="C326" s="149">
        <f t="shared" si="19"/>
        <v>0</v>
      </c>
      <c r="D326" s="149">
        <f t="shared" si="20"/>
        <v>0</v>
      </c>
      <c r="E326" s="149">
        <f t="shared" si="21"/>
        <v>0</v>
      </c>
      <c r="F326" s="148"/>
      <c r="G326" s="143"/>
      <c r="H326" s="137"/>
      <c r="I326" s="143"/>
    </row>
    <row r="327" spans="1:9">
      <c r="A327" s="170">
        <v>272</v>
      </c>
      <c r="B327" s="149">
        <f t="shared" si="18"/>
        <v>0</v>
      </c>
      <c r="C327" s="149">
        <f t="shared" si="19"/>
        <v>0</v>
      </c>
      <c r="D327" s="149">
        <f t="shared" si="20"/>
        <v>0</v>
      </c>
      <c r="E327" s="149">
        <f t="shared" si="21"/>
        <v>0</v>
      </c>
      <c r="F327" s="148"/>
      <c r="G327" s="143"/>
      <c r="H327" s="137"/>
      <c r="I327" s="143"/>
    </row>
    <row r="328" spans="1:9">
      <c r="A328" s="170">
        <v>273</v>
      </c>
      <c r="B328" s="149">
        <f t="shared" si="18"/>
        <v>0</v>
      </c>
      <c r="C328" s="149">
        <f t="shared" si="19"/>
        <v>0</v>
      </c>
      <c r="D328" s="149">
        <f t="shared" si="20"/>
        <v>0</v>
      </c>
      <c r="E328" s="149">
        <f t="shared" si="21"/>
        <v>0</v>
      </c>
      <c r="F328" s="148"/>
      <c r="G328" s="143"/>
      <c r="H328" s="137"/>
      <c r="I328" s="143"/>
    </row>
    <row r="329" spans="1:9">
      <c r="A329" s="170">
        <v>274</v>
      </c>
      <c r="B329" s="149">
        <f t="shared" si="18"/>
        <v>0</v>
      </c>
      <c r="C329" s="149">
        <f t="shared" si="19"/>
        <v>0</v>
      </c>
      <c r="D329" s="149">
        <f t="shared" si="20"/>
        <v>0</v>
      </c>
      <c r="E329" s="149">
        <f t="shared" si="21"/>
        <v>0</v>
      </c>
      <c r="F329" s="148"/>
      <c r="G329" s="143"/>
      <c r="H329" s="137"/>
      <c r="I329" s="143"/>
    </row>
    <row r="330" spans="1:9">
      <c r="A330" s="170">
        <v>275</v>
      </c>
      <c r="B330" s="149">
        <f t="shared" si="18"/>
        <v>0</v>
      </c>
      <c r="C330" s="149">
        <f t="shared" si="19"/>
        <v>0</v>
      </c>
      <c r="D330" s="149">
        <f t="shared" si="20"/>
        <v>0</v>
      </c>
      <c r="E330" s="149">
        <f t="shared" si="21"/>
        <v>0</v>
      </c>
      <c r="F330" s="148"/>
      <c r="G330" s="143"/>
      <c r="H330" s="137"/>
      <c r="I330" s="143"/>
    </row>
    <row r="331" spans="1:9">
      <c r="A331" s="170">
        <v>276</v>
      </c>
      <c r="B331" s="149">
        <f t="shared" si="18"/>
        <v>0</v>
      </c>
      <c r="C331" s="149">
        <f t="shared" si="19"/>
        <v>0</v>
      </c>
      <c r="D331" s="149">
        <f t="shared" si="20"/>
        <v>0</v>
      </c>
      <c r="E331" s="149">
        <f t="shared" si="21"/>
        <v>0</v>
      </c>
      <c r="F331" s="148">
        <v>23</v>
      </c>
      <c r="G331" s="169"/>
      <c r="H331" s="153"/>
      <c r="I331" s="169"/>
    </row>
    <row r="332" spans="1:9">
      <c r="A332" s="170">
        <v>277</v>
      </c>
      <c r="B332" s="149">
        <f t="shared" si="18"/>
        <v>0</v>
      </c>
      <c r="C332" s="149">
        <f t="shared" si="19"/>
        <v>0</v>
      </c>
      <c r="D332" s="149">
        <f t="shared" si="20"/>
        <v>0</v>
      </c>
      <c r="E332" s="149">
        <f t="shared" si="21"/>
        <v>0</v>
      </c>
      <c r="F332" s="148"/>
      <c r="G332" s="143"/>
      <c r="H332" s="137"/>
      <c r="I332" s="169"/>
    </row>
    <row r="333" spans="1:9">
      <c r="A333" s="170">
        <v>278</v>
      </c>
      <c r="B333" s="149">
        <f t="shared" si="18"/>
        <v>0</v>
      </c>
      <c r="C333" s="149">
        <f t="shared" si="19"/>
        <v>0</v>
      </c>
      <c r="D333" s="149">
        <f t="shared" si="20"/>
        <v>0</v>
      </c>
      <c r="E333" s="149">
        <f t="shared" si="21"/>
        <v>0</v>
      </c>
      <c r="F333" s="148"/>
      <c r="G333" s="143"/>
      <c r="H333" s="137"/>
      <c r="I333" s="143"/>
    </row>
    <row r="334" spans="1:9">
      <c r="A334" s="170">
        <v>279</v>
      </c>
      <c r="B334" s="149">
        <f t="shared" si="18"/>
        <v>0</v>
      </c>
      <c r="C334" s="149">
        <f t="shared" si="19"/>
        <v>0</v>
      </c>
      <c r="D334" s="149">
        <f t="shared" si="20"/>
        <v>0</v>
      </c>
      <c r="E334" s="149">
        <f t="shared" si="21"/>
        <v>0</v>
      </c>
      <c r="F334" s="148"/>
      <c r="G334" s="143"/>
      <c r="H334" s="137"/>
      <c r="I334" s="143"/>
    </row>
    <row r="335" spans="1:9">
      <c r="A335" s="170">
        <v>280</v>
      </c>
      <c r="B335" s="149">
        <f t="shared" si="18"/>
        <v>0</v>
      </c>
      <c r="C335" s="149">
        <f t="shared" si="19"/>
        <v>0</v>
      </c>
      <c r="D335" s="149">
        <f t="shared" si="20"/>
        <v>0</v>
      </c>
      <c r="E335" s="149">
        <f t="shared" si="21"/>
        <v>0</v>
      </c>
      <c r="F335" s="148"/>
      <c r="G335" s="143"/>
      <c r="H335" s="137"/>
      <c r="I335" s="143"/>
    </row>
    <row r="336" spans="1:9">
      <c r="A336" s="170">
        <v>281</v>
      </c>
      <c r="B336" s="149">
        <f t="shared" si="18"/>
        <v>0</v>
      </c>
      <c r="C336" s="149">
        <f t="shared" si="19"/>
        <v>0</v>
      </c>
      <c r="D336" s="149">
        <f t="shared" si="20"/>
        <v>0</v>
      </c>
      <c r="E336" s="149">
        <f t="shared" si="21"/>
        <v>0</v>
      </c>
      <c r="F336" s="148"/>
      <c r="G336" s="143"/>
      <c r="H336" s="137"/>
      <c r="I336" s="143"/>
    </row>
    <row r="337" spans="1:9">
      <c r="A337" s="170">
        <v>282</v>
      </c>
      <c r="B337" s="149">
        <f t="shared" si="18"/>
        <v>0</v>
      </c>
      <c r="C337" s="149">
        <f t="shared" si="19"/>
        <v>0</v>
      </c>
      <c r="D337" s="149">
        <f t="shared" si="20"/>
        <v>0</v>
      </c>
      <c r="E337" s="149">
        <f t="shared" si="21"/>
        <v>0</v>
      </c>
      <c r="F337" s="148"/>
      <c r="G337" s="169"/>
      <c r="H337" s="153"/>
      <c r="I337" s="143"/>
    </row>
    <row r="338" spans="1:9">
      <c r="A338" s="170">
        <v>283</v>
      </c>
      <c r="B338" s="149">
        <f t="shared" si="18"/>
        <v>0</v>
      </c>
      <c r="C338" s="149">
        <f t="shared" si="19"/>
        <v>0</v>
      </c>
      <c r="D338" s="149">
        <f t="shared" si="20"/>
        <v>0</v>
      </c>
      <c r="E338" s="149">
        <f t="shared" si="21"/>
        <v>0</v>
      </c>
      <c r="F338" s="148"/>
      <c r="G338" s="143"/>
      <c r="H338" s="137"/>
      <c r="I338" s="143"/>
    </row>
    <row r="339" spans="1:9">
      <c r="A339" s="170">
        <v>284</v>
      </c>
      <c r="B339" s="149">
        <f t="shared" si="18"/>
        <v>0</v>
      </c>
      <c r="C339" s="149">
        <f t="shared" si="19"/>
        <v>0</v>
      </c>
      <c r="D339" s="149">
        <f t="shared" si="20"/>
        <v>0</v>
      </c>
      <c r="E339" s="149">
        <f t="shared" si="21"/>
        <v>0</v>
      </c>
      <c r="F339" s="148"/>
      <c r="G339" s="143"/>
      <c r="H339" s="137"/>
      <c r="I339" s="143"/>
    </row>
    <row r="340" spans="1:9">
      <c r="A340" s="170">
        <v>285</v>
      </c>
      <c r="B340" s="149">
        <f t="shared" si="18"/>
        <v>0</v>
      </c>
      <c r="C340" s="149">
        <f t="shared" si="19"/>
        <v>0</v>
      </c>
      <c r="D340" s="149">
        <f t="shared" si="20"/>
        <v>0</v>
      </c>
      <c r="E340" s="149">
        <f t="shared" si="21"/>
        <v>0</v>
      </c>
      <c r="F340" s="148"/>
      <c r="G340" s="143"/>
      <c r="H340" s="137"/>
      <c r="I340" s="143"/>
    </row>
    <row r="341" spans="1:9">
      <c r="A341" s="170">
        <v>286</v>
      </c>
      <c r="B341" s="149">
        <f t="shared" si="18"/>
        <v>0</v>
      </c>
      <c r="C341" s="149">
        <f t="shared" si="19"/>
        <v>0</v>
      </c>
      <c r="D341" s="149">
        <f t="shared" si="20"/>
        <v>0</v>
      </c>
      <c r="E341" s="149">
        <f t="shared" si="21"/>
        <v>0</v>
      </c>
      <c r="F341" s="148"/>
      <c r="G341" s="143"/>
      <c r="H341" s="137"/>
      <c r="I341" s="143"/>
    </row>
    <row r="342" spans="1:9">
      <c r="A342" s="170">
        <v>287</v>
      </c>
      <c r="B342" s="149">
        <f t="shared" si="18"/>
        <v>0</v>
      </c>
      <c r="C342" s="149">
        <f t="shared" si="19"/>
        <v>0</v>
      </c>
      <c r="D342" s="149">
        <f t="shared" si="20"/>
        <v>0</v>
      </c>
      <c r="E342" s="149">
        <f t="shared" si="21"/>
        <v>0</v>
      </c>
      <c r="F342" s="148"/>
      <c r="G342" s="143"/>
      <c r="H342" s="137"/>
      <c r="I342" s="143"/>
    </row>
    <row r="343" spans="1:9">
      <c r="A343" s="170">
        <v>288</v>
      </c>
      <c r="B343" s="149">
        <f t="shared" si="18"/>
        <v>0</v>
      </c>
      <c r="C343" s="149">
        <f t="shared" si="19"/>
        <v>0</v>
      </c>
      <c r="D343" s="149">
        <f t="shared" si="20"/>
        <v>0</v>
      </c>
      <c r="E343" s="149">
        <f t="shared" si="21"/>
        <v>0</v>
      </c>
      <c r="F343" s="148">
        <v>24</v>
      </c>
      <c r="G343" s="169"/>
      <c r="H343" s="153"/>
      <c r="I343" s="169"/>
    </row>
    <row r="344" spans="1:9">
      <c r="A344" s="170">
        <v>289</v>
      </c>
      <c r="B344" s="149">
        <f t="shared" si="18"/>
        <v>0</v>
      </c>
      <c r="C344" s="149">
        <f t="shared" si="19"/>
        <v>0</v>
      </c>
      <c r="D344" s="149">
        <f t="shared" si="20"/>
        <v>0</v>
      </c>
      <c r="E344" s="149">
        <f t="shared" si="21"/>
        <v>0</v>
      </c>
      <c r="F344" s="148"/>
      <c r="G344" s="143"/>
      <c r="H344" s="137"/>
      <c r="I344" s="169"/>
    </row>
    <row r="345" spans="1:9">
      <c r="A345" s="170">
        <v>290</v>
      </c>
      <c r="B345" s="149">
        <f t="shared" si="18"/>
        <v>0</v>
      </c>
      <c r="C345" s="149">
        <f t="shared" si="19"/>
        <v>0</v>
      </c>
      <c r="D345" s="149">
        <f t="shared" si="20"/>
        <v>0</v>
      </c>
      <c r="E345" s="149">
        <f t="shared" si="21"/>
        <v>0</v>
      </c>
      <c r="F345" s="148"/>
      <c r="G345" s="143"/>
      <c r="H345" s="137"/>
      <c r="I345" s="143"/>
    </row>
    <row r="346" spans="1:9">
      <c r="A346" s="170">
        <v>291</v>
      </c>
      <c r="B346" s="149">
        <f t="shared" si="18"/>
        <v>0</v>
      </c>
      <c r="C346" s="149">
        <f t="shared" si="19"/>
        <v>0</v>
      </c>
      <c r="D346" s="149">
        <f t="shared" si="20"/>
        <v>0</v>
      </c>
      <c r="E346" s="149">
        <f t="shared" si="21"/>
        <v>0</v>
      </c>
      <c r="F346" s="148"/>
      <c r="G346" s="143"/>
      <c r="H346" s="137"/>
      <c r="I346" s="143"/>
    </row>
    <row r="347" spans="1:9">
      <c r="A347" s="170">
        <v>292</v>
      </c>
      <c r="B347" s="149">
        <f t="shared" si="18"/>
        <v>0</v>
      </c>
      <c r="C347" s="149">
        <f t="shared" si="19"/>
        <v>0</v>
      </c>
      <c r="D347" s="149">
        <f t="shared" si="20"/>
        <v>0</v>
      </c>
      <c r="E347" s="149">
        <f t="shared" si="21"/>
        <v>0</v>
      </c>
      <c r="F347" s="148"/>
      <c r="G347" s="143"/>
      <c r="H347" s="137"/>
      <c r="I347" s="143"/>
    </row>
    <row r="348" spans="1:9">
      <c r="A348" s="170">
        <v>293</v>
      </c>
      <c r="B348" s="149">
        <f t="shared" si="18"/>
        <v>0</v>
      </c>
      <c r="C348" s="149">
        <f t="shared" si="19"/>
        <v>0</v>
      </c>
      <c r="D348" s="149">
        <f t="shared" si="20"/>
        <v>0</v>
      </c>
      <c r="E348" s="149">
        <f t="shared" si="21"/>
        <v>0</v>
      </c>
      <c r="F348" s="148"/>
      <c r="G348" s="143"/>
      <c r="H348" s="137"/>
      <c r="I348" s="143"/>
    </row>
    <row r="349" spans="1:9">
      <c r="A349" s="170">
        <v>294</v>
      </c>
      <c r="B349" s="149">
        <f t="shared" si="18"/>
        <v>0</v>
      </c>
      <c r="C349" s="149">
        <f t="shared" si="19"/>
        <v>0</v>
      </c>
      <c r="D349" s="149">
        <f t="shared" si="20"/>
        <v>0</v>
      </c>
      <c r="E349" s="149">
        <f t="shared" si="21"/>
        <v>0</v>
      </c>
      <c r="F349" s="148"/>
      <c r="G349" s="169"/>
      <c r="H349" s="153"/>
      <c r="I349" s="143"/>
    </row>
    <row r="350" spans="1:9">
      <c r="A350" s="170">
        <v>295</v>
      </c>
      <c r="B350" s="149">
        <f t="shared" si="18"/>
        <v>0</v>
      </c>
      <c r="C350" s="149">
        <f t="shared" si="19"/>
        <v>0</v>
      </c>
      <c r="D350" s="149">
        <f t="shared" si="20"/>
        <v>0</v>
      </c>
      <c r="E350" s="149">
        <f t="shared" si="21"/>
        <v>0</v>
      </c>
      <c r="F350" s="148"/>
      <c r="G350" s="143"/>
      <c r="H350" s="137"/>
      <c r="I350" s="143"/>
    </row>
    <row r="351" spans="1:9">
      <c r="A351" s="170">
        <v>296</v>
      </c>
      <c r="B351" s="149">
        <f t="shared" si="18"/>
        <v>0</v>
      </c>
      <c r="C351" s="149">
        <f t="shared" si="19"/>
        <v>0</v>
      </c>
      <c r="D351" s="149">
        <f t="shared" si="20"/>
        <v>0</v>
      </c>
      <c r="E351" s="149">
        <f t="shared" si="21"/>
        <v>0</v>
      </c>
      <c r="F351" s="148"/>
      <c r="G351" s="143"/>
      <c r="H351" s="137"/>
      <c r="I351" s="143"/>
    </row>
    <row r="352" spans="1:9">
      <c r="A352" s="170">
        <v>297</v>
      </c>
      <c r="B352" s="149">
        <f t="shared" si="18"/>
        <v>0</v>
      </c>
      <c r="C352" s="149">
        <f t="shared" si="19"/>
        <v>0</v>
      </c>
      <c r="D352" s="149">
        <f t="shared" si="20"/>
        <v>0</v>
      </c>
      <c r="E352" s="149">
        <f t="shared" si="21"/>
        <v>0</v>
      </c>
      <c r="F352" s="148"/>
      <c r="G352" s="143"/>
      <c r="H352" s="137"/>
      <c r="I352" s="143"/>
    </row>
    <row r="353" spans="1:9">
      <c r="A353" s="170">
        <v>298</v>
      </c>
      <c r="B353" s="149">
        <f t="shared" si="18"/>
        <v>0</v>
      </c>
      <c r="C353" s="149">
        <f t="shared" si="19"/>
        <v>0</v>
      </c>
      <c r="D353" s="149">
        <f t="shared" si="20"/>
        <v>0</v>
      </c>
      <c r="E353" s="149">
        <f t="shared" si="21"/>
        <v>0</v>
      </c>
      <c r="F353" s="148"/>
      <c r="G353" s="143"/>
      <c r="H353" s="137"/>
      <c r="I353" s="143"/>
    </row>
    <row r="354" spans="1:9">
      <c r="A354" s="170">
        <v>299</v>
      </c>
      <c r="B354" s="149">
        <f t="shared" si="18"/>
        <v>0</v>
      </c>
      <c r="C354" s="149">
        <f t="shared" si="19"/>
        <v>0</v>
      </c>
      <c r="D354" s="149">
        <f t="shared" si="20"/>
        <v>0</v>
      </c>
      <c r="E354" s="149">
        <f t="shared" si="21"/>
        <v>0</v>
      </c>
      <c r="F354" s="148"/>
      <c r="G354" s="143"/>
      <c r="H354" s="137"/>
      <c r="I354" s="143"/>
    </row>
    <row r="355" spans="1:9">
      <c r="A355" s="170">
        <v>300</v>
      </c>
      <c r="B355" s="149">
        <f t="shared" si="18"/>
        <v>0</v>
      </c>
      <c r="C355" s="149">
        <f t="shared" si="19"/>
        <v>0</v>
      </c>
      <c r="D355" s="149">
        <f t="shared" si="20"/>
        <v>0</v>
      </c>
      <c r="E355" s="149">
        <f t="shared" si="21"/>
        <v>0</v>
      </c>
      <c r="F355" s="148">
        <v>25</v>
      </c>
      <c r="G355" s="169"/>
      <c r="H355" s="153"/>
      <c r="I355" s="169"/>
    </row>
    <row r="356" spans="1:9">
      <c r="A356" s="170">
        <v>301</v>
      </c>
      <c r="B356" s="149">
        <f t="shared" si="18"/>
        <v>0</v>
      </c>
      <c r="C356" s="149">
        <f t="shared" si="19"/>
        <v>0</v>
      </c>
      <c r="D356" s="149">
        <f t="shared" si="20"/>
        <v>0</v>
      </c>
      <c r="E356" s="149">
        <f t="shared" si="21"/>
        <v>0</v>
      </c>
      <c r="F356" s="148"/>
      <c r="G356" s="143"/>
      <c r="H356" s="137"/>
      <c r="I356" s="169"/>
    </row>
    <row r="357" spans="1:9">
      <c r="A357" s="170">
        <v>302</v>
      </c>
      <c r="B357" s="149">
        <f t="shared" si="18"/>
        <v>0</v>
      </c>
      <c r="C357" s="149">
        <f t="shared" si="19"/>
        <v>0</v>
      </c>
      <c r="D357" s="149">
        <f t="shared" si="20"/>
        <v>0</v>
      </c>
      <c r="E357" s="149">
        <f t="shared" si="21"/>
        <v>0</v>
      </c>
      <c r="F357" s="148"/>
      <c r="G357" s="143"/>
      <c r="H357" s="137"/>
      <c r="I357" s="143"/>
    </row>
    <row r="358" spans="1:9">
      <c r="A358" s="170">
        <v>303</v>
      </c>
      <c r="B358" s="149">
        <f t="shared" si="18"/>
        <v>0</v>
      </c>
      <c r="C358" s="149">
        <f t="shared" si="19"/>
        <v>0</v>
      </c>
      <c r="D358" s="149">
        <f t="shared" si="20"/>
        <v>0</v>
      </c>
      <c r="E358" s="149">
        <f t="shared" si="21"/>
        <v>0</v>
      </c>
      <c r="F358" s="148"/>
      <c r="G358" s="143"/>
      <c r="H358" s="137"/>
      <c r="I358" s="143"/>
    </row>
    <row r="359" spans="1:9">
      <c r="A359" s="170">
        <v>304</v>
      </c>
      <c r="B359" s="149">
        <f t="shared" si="18"/>
        <v>0</v>
      </c>
      <c r="C359" s="149">
        <f t="shared" si="19"/>
        <v>0</v>
      </c>
      <c r="D359" s="149">
        <f t="shared" si="20"/>
        <v>0</v>
      </c>
      <c r="E359" s="149">
        <f t="shared" si="21"/>
        <v>0</v>
      </c>
      <c r="F359" s="148"/>
      <c r="G359" s="143"/>
      <c r="H359" s="137"/>
      <c r="I359" s="143"/>
    </row>
    <row r="360" spans="1:9">
      <c r="A360" s="170">
        <v>305</v>
      </c>
      <c r="B360" s="149">
        <f t="shared" si="18"/>
        <v>0</v>
      </c>
      <c r="C360" s="149">
        <f t="shared" si="19"/>
        <v>0</v>
      </c>
      <c r="D360" s="149">
        <f t="shared" si="20"/>
        <v>0</v>
      </c>
      <c r="E360" s="149">
        <f t="shared" si="21"/>
        <v>0</v>
      </c>
      <c r="F360" s="148"/>
      <c r="G360" s="143"/>
      <c r="H360" s="137"/>
      <c r="I360" s="143"/>
    </row>
    <row r="361" spans="1:9">
      <c r="A361" s="170">
        <v>306</v>
      </c>
      <c r="B361" s="149">
        <f t="shared" si="18"/>
        <v>0</v>
      </c>
      <c r="C361" s="149">
        <f t="shared" si="19"/>
        <v>0</v>
      </c>
      <c r="D361" s="149">
        <f t="shared" si="20"/>
        <v>0</v>
      </c>
      <c r="E361" s="149">
        <f t="shared" si="21"/>
        <v>0</v>
      </c>
      <c r="F361" s="148"/>
      <c r="G361" s="169"/>
      <c r="H361" s="153"/>
      <c r="I361" s="143"/>
    </row>
    <row r="362" spans="1:9">
      <c r="A362" s="170">
        <v>307</v>
      </c>
      <c r="B362" s="149">
        <f t="shared" si="18"/>
        <v>0</v>
      </c>
      <c r="C362" s="149">
        <f t="shared" si="19"/>
        <v>0</v>
      </c>
      <c r="D362" s="149">
        <f t="shared" si="20"/>
        <v>0</v>
      </c>
      <c r="E362" s="149">
        <f t="shared" si="21"/>
        <v>0</v>
      </c>
      <c r="F362" s="148"/>
      <c r="G362" s="143"/>
      <c r="H362" s="137"/>
      <c r="I362" s="143"/>
    </row>
    <row r="363" spans="1:9">
      <c r="A363" s="170">
        <v>308</v>
      </c>
      <c r="B363" s="149">
        <f t="shared" si="18"/>
        <v>0</v>
      </c>
      <c r="C363" s="149">
        <f t="shared" si="19"/>
        <v>0</v>
      </c>
      <c r="D363" s="149">
        <f t="shared" si="20"/>
        <v>0</v>
      </c>
      <c r="E363" s="149">
        <f t="shared" si="21"/>
        <v>0</v>
      </c>
      <c r="F363" s="148"/>
      <c r="G363" s="143"/>
      <c r="H363" s="137"/>
      <c r="I363" s="143"/>
    </row>
    <row r="364" spans="1:9">
      <c r="A364" s="170">
        <v>309</v>
      </c>
      <c r="B364" s="149">
        <f t="shared" si="18"/>
        <v>0</v>
      </c>
      <c r="C364" s="149">
        <f t="shared" si="19"/>
        <v>0</v>
      </c>
      <c r="D364" s="149">
        <f t="shared" si="20"/>
        <v>0</v>
      </c>
      <c r="E364" s="149">
        <f t="shared" si="21"/>
        <v>0</v>
      </c>
      <c r="F364" s="148"/>
      <c r="G364" s="143"/>
      <c r="H364" s="137"/>
      <c r="I364" s="143"/>
    </row>
    <row r="365" spans="1:9">
      <c r="A365" s="170">
        <v>310</v>
      </c>
      <c r="B365" s="149">
        <f t="shared" si="18"/>
        <v>0</v>
      </c>
      <c r="C365" s="149">
        <f t="shared" si="19"/>
        <v>0</v>
      </c>
      <c r="D365" s="149">
        <f t="shared" si="20"/>
        <v>0</v>
      </c>
      <c r="E365" s="149">
        <f t="shared" si="21"/>
        <v>0</v>
      </c>
      <c r="F365" s="148"/>
      <c r="G365" s="143"/>
      <c r="H365" s="137"/>
      <c r="I365" s="143"/>
    </row>
    <row r="366" spans="1:9">
      <c r="A366" s="170">
        <v>311</v>
      </c>
      <c r="B366" s="149">
        <f t="shared" si="18"/>
        <v>0</v>
      </c>
      <c r="C366" s="149">
        <f t="shared" si="19"/>
        <v>0</v>
      </c>
      <c r="D366" s="149">
        <f t="shared" si="20"/>
        <v>0</v>
      </c>
      <c r="E366" s="149">
        <f t="shared" si="21"/>
        <v>0</v>
      </c>
      <c r="F366" s="148"/>
      <c r="G366" s="143"/>
      <c r="H366" s="137"/>
      <c r="I366" s="143"/>
    </row>
    <row r="367" spans="1:9">
      <c r="A367" s="170">
        <v>312</v>
      </c>
      <c r="B367" s="149">
        <f t="shared" si="18"/>
        <v>0</v>
      </c>
      <c r="C367" s="149">
        <f t="shared" si="19"/>
        <v>0</v>
      </c>
      <c r="D367" s="149">
        <f t="shared" si="20"/>
        <v>0</v>
      </c>
      <c r="E367" s="149">
        <f t="shared" si="21"/>
        <v>0</v>
      </c>
      <c r="F367" s="148">
        <v>26</v>
      </c>
      <c r="G367" s="169"/>
      <c r="H367" s="153"/>
      <c r="I367" s="169"/>
    </row>
    <row r="368" spans="1:9">
      <c r="A368" s="170">
        <v>313</v>
      </c>
      <c r="B368" s="149">
        <f t="shared" si="18"/>
        <v>0</v>
      </c>
      <c r="C368" s="149">
        <f t="shared" si="19"/>
        <v>0</v>
      </c>
      <c r="D368" s="149">
        <f t="shared" si="20"/>
        <v>0</v>
      </c>
      <c r="E368" s="149">
        <f t="shared" si="21"/>
        <v>0</v>
      </c>
      <c r="F368" s="148"/>
      <c r="G368" s="143"/>
      <c r="H368" s="137"/>
      <c r="I368" s="169"/>
    </row>
    <row r="369" spans="1:9">
      <c r="A369" s="170">
        <v>314</v>
      </c>
      <c r="B369" s="149">
        <f t="shared" si="18"/>
        <v>0</v>
      </c>
      <c r="C369" s="149">
        <f t="shared" si="19"/>
        <v>0</v>
      </c>
      <c r="D369" s="149">
        <f t="shared" si="20"/>
        <v>0</v>
      </c>
      <c r="E369" s="149">
        <f t="shared" si="21"/>
        <v>0</v>
      </c>
      <c r="F369" s="148"/>
      <c r="G369" s="143"/>
      <c r="H369" s="137"/>
      <c r="I369" s="143"/>
    </row>
    <row r="370" spans="1:9">
      <c r="A370" s="170">
        <v>315</v>
      </c>
      <c r="B370" s="149">
        <f t="shared" si="18"/>
        <v>0</v>
      </c>
      <c r="C370" s="149">
        <f t="shared" si="19"/>
        <v>0</v>
      </c>
      <c r="D370" s="149">
        <f t="shared" si="20"/>
        <v>0</v>
      </c>
      <c r="E370" s="149">
        <f t="shared" si="21"/>
        <v>0</v>
      </c>
      <c r="F370" s="148"/>
      <c r="G370" s="143"/>
      <c r="H370" s="137"/>
      <c r="I370" s="143"/>
    </row>
    <row r="371" spans="1:9">
      <c r="A371" s="170">
        <v>316</v>
      </c>
      <c r="B371" s="149">
        <f t="shared" si="18"/>
        <v>0</v>
      </c>
      <c r="C371" s="149">
        <f t="shared" si="19"/>
        <v>0</v>
      </c>
      <c r="D371" s="149">
        <f t="shared" si="20"/>
        <v>0</v>
      </c>
      <c r="E371" s="149">
        <f t="shared" si="21"/>
        <v>0</v>
      </c>
      <c r="F371" s="148"/>
      <c r="G371" s="143"/>
      <c r="H371" s="137"/>
      <c r="I371" s="143"/>
    </row>
    <row r="372" spans="1:9">
      <c r="A372" s="170">
        <v>317</v>
      </c>
      <c r="B372" s="149">
        <f t="shared" si="18"/>
        <v>0</v>
      </c>
      <c r="C372" s="149">
        <f t="shared" si="19"/>
        <v>0</v>
      </c>
      <c r="D372" s="149">
        <f t="shared" si="20"/>
        <v>0</v>
      </c>
      <c r="E372" s="149">
        <f t="shared" si="21"/>
        <v>0</v>
      </c>
      <c r="F372" s="148"/>
      <c r="G372" s="143"/>
      <c r="H372" s="137"/>
      <c r="I372" s="143"/>
    </row>
    <row r="373" spans="1:9">
      <c r="A373" s="170">
        <v>318</v>
      </c>
      <c r="B373" s="149">
        <f t="shared" si="18"/>
        <v>0</v>
      </c>
      <c r="C373" s="149">
        <f t="shared" si="19"/>
        <v>0</v>
      </c>
      <c r="D373" s="149">
        <f t="shared" si="20"/>
        <v>0</v>
      </c>
      <c r="E373" s="149">
        <f t="shared" si="21"/>
        <v>0</v>
      </c>
      <c r="F373" s="148"/>
      <c r="G373" s="169"/>
      <c r="H373" s="153"/>
      <c r="I373" s="143"/>
    </row>
    <row r="374" spans="1:9">
      <c r="A374" s="170">
        <v>319</v>
      </c>
      <c r="B374" s="149">
        <f t="shared" si="18"/>
        <v>0</v>
      </c>
      <c r="C374" s="149">
        <f t="shared" si="19"/>
        <v>0</v>
      </c>
      <c r="D374" s="149">
        <f t="shared" si="20"/>
        <v>0</v>
      </c>
      <c r="E374" s="149">
        <f t="shared" si="21"/>
        <v>0</v>
      </c>
      <c r="F374" s="148"/>
      <c r="G374" s="143"/>
      <c r="H374" s="137"/>
      <c r="I374" s="143"/>
    </row>
    <row r="375" spans="1:9">
      <c r="A375" s="170">
        <v>320</v>
      </c>
      <c r="B375" s="149">
        <f t="shared" si="18"/>
        <v>0</v>
      </c>
      <c r="C375" s="149">
        <f t="shared" si="19"/>
        <v>0</v>
      </c>
      <c r="D375" s="149">
        <f t="shared" si="20"/>
        <v>0</v>
      </c>
      <c r="E375" s="149">
        <f t="shared" si="21"/>
        <v>0</v>
      </c>
      <c r="F375" s="148"/>
      <c r="G375" s="143"/>
      <c r="H375" s="137"/>
      <c r="I375" s="143"/>
    </row>
    <row r="376" spans="1:9">
      <c r="A376" s="170">
        <v>321</v>
      </c>
      <c r="B376" s="149">
        <f t="shared" ref="B376:B439" si="22">IF(A376&gt;12*$D$14,0,$D$20)</f>
        <v>0</v>
      </c>
      <c r="C376" s="149">
        <f t="shared" ref="C376:C439" si="23">IF(A376&gt;12*$D$14,0,E375*$D$10/12)</f>
        <v>0</v>
      </c>
      <c r="D376" s="149">
        <f t="shared" ref="D376:D439" si="24">IF(A376&gt;12*$D$14,0,B376-C376)</f>
        <v>0</v>
      </c>
      <c r="E376" s="149">
        <f t="shared" ref="E376:E439" si="25">IF(A376&gt;12*$D$14,0,E375-D376)</f>
        <v>0</v>
      </c>
      <c r="F376" s="148"/>
      <c r="G376" s="143"/>
      <c r="H376" s="137"/>
      <c r="I376" s="143"/>
    </row>
    <row r="377" spans="1:9">
      <c r="A377" s="170">
        <v>322</v>
      </c>
      <c r="B377" s="149">
        <f t="shared" si="22"/>
        <v>0</v>
      </c>
      <c r="C377" s="149">
        <f t="shared" si="23"/>
        <v>0</v>
      </c>
      <c r="D377" s="149">
        <f t="shared" si="24"/>
        <v>0</v>
      </c>
      <c r="E377" s="149">
        <f t="shared" si="25"/>
        <v>0</v>
      </c>
      <c r="F377" s="148"/>
      <c r="G377" s="143"/>
      <c r="H377" s="137"/>
      <c r="I377" s="143"/>
    </row>
    <row r="378" spans="1:9">
      <c r="A378" s="170">
        <v>323</v>
      </c>
      <c r="B378" s="149">
        <f t="shared" si="22"/>
        <v>0</v>
      </c>
      <c r="C378" s="149">
        <f t="shared" si="23"/>
        <v>0</v>
      </c>
      <c r="D378" s="149">
        <f t="shared" si="24"/>
        <v>0</v>
      </c>
      <c r="E378" s="149">
        <f t="shared" si="25"/>
        <v>0</v>
      </c>
      <c r="F378" s="148"/>
      <c r="G378" s="143"/>
      <c r="H378" s="137"/>
      <c r="I378" s="143"/>
    </row>
    <row r="379" spans="1:9">
      <c r="A379" s="170">
        <v>324</v>
      </c>
      <c r="B379" s="149">
        <f t="shared" si="22"/>
        <v>0</v>
      </c>
      <c r="C379" s="149">
        <f t="shared" si="23"/>
        <v>0</v>
      </c>
      <c r="D379" s="149">
        <f t="shared" si="24"/>
        <v>0</v>
      </c>
      <c r="E379" s="149">
        <f t="shared" si="25"/>
        <v>0</v>
      </c>
      <c r="F379" s="148">
        <v>27</v>
      </c>
      <c r="G379" s="169"/>
      <c r="H379" s="153"/>
      <c r="I379" s="169"/>
    </row>
    <row r="380" spans="1:9">
      <c r="A380" s="170">
        <v>325</v>
      </c>
      <c r="B380" s="149">
        <f t="shared" si="22"/>
        <v>0</v>
      </c>
      <c r="C380" s="149">
        <f t="shared" si="23"/>
        <v>0</v>
      </c>
      <c r="D380" s="149">
        <f t="shared" si="24"/>
        <v>0</v>
      </c>
      <c r="E380" s="149">
        <f t="shared" si="25"/>
        <v>0</v>
      </c>
      <c r="F380" s="148"/>
      <c r="G380" s="143"/>
      <c r="H380" s="137"/>
      <c r="I380" s="169"/>
    </row>
    <row r="381" spans="1:9">
      <c r="A381" s="170">
        <v>326</v>
      </c>
      <c r="B381" s="149">
        <f t="shared" si="22"/>
        <v>0</v>
      </c>
      <c r="C381" s="149">
        <f t="shared" si="23"/>
        <v>0</v>
      </c>
      <c r="D381" s="149">
        <f t="shared" si="24"/>
        <v>0</v>
      </c>
      <c r="E381" s="149">
        <f t="shared" si="25"/>
        <v>0</v>
      </c>
      <c r="F381" s="148"/>
      <c r="G381" s="143"/>
      <c r="H381" s="137"/>
      <c r="I381" s="143"/>
    </row>
    <row r="382" spans="1:9">
      <c r="A382" s="170">
        <v>327</v>
      </c>
      <c r="B382" s="149">
        <f t="shared" si="22"/>
        <v>0</v>
      </c>
      <c r="C382" s="149">
        <f t="shared" si="23"/>
        <v>0</v>
      </c>
      <c r="D382" s="149">
        <f t="shared" si="24"/>
        <v>0</v>
      </c>
      <c r="E382" s="149">
        <f t="shared" si="25"/>
        <v>0</v>
      </c>
      <c r="F382" s="148"/>
      <c r="G382" s="143"/>
      <c r="H382" s="137"/>
      <c r="I382" s="143"/>
    </row>
    <row r="383" spans="1:9">
      <c r="A383" s="170">
        <v>328</v>
      </c>
      <c r="B383" s="149">
        <f t="shared" si="22"/>
        <v>0</v>
      </c>
      <c r="C383" s="149">
        <f t="shared" si="23"/>
        <v>0</v>
      </c>
      <c r="D383" s="149">
        <f t="shared" si="24"/>
        <v>0</v>
      </c>
      <c r="E383" s="149">
        <f t="shared" si="25"/>
        <v>0</v>
      </c>
      <c r="F383" s="148"/>
      <c r="G383" s="143"/>
      <c r="H383" s="137"/>
      <c r="I383" s="143"/>
    </row>
    <row r="384" spans="1:9">
      <c r="A384" s="170">
        <v>329</v>
      </c>
      <c r="B384" s="149">
        <f t="shared" si="22"/>
        <v>0</v>
      </c>
      <c r="C384" s="149">
        <f t="shared" si="23"/>
        <v>0</v>
      </c>
      <c r="D384" s="149">
        <f t="shared" si="24"/>
        <v>0</v>
      </c>
      <c r="E384" s="149">
        <f t="shared" si="25"/>
        <v>0</v>
      </c>
      <c r="F384" s="148"/>
      <c r="G384" s="143"/>
      <c r="H384" s="137"/>
      <c r="I384" s="143"/>
    </row>
    <row r="385" spans="1:9">
      <c r="A385" s="170">
        <v>330</v>
      </c>
      <c r="B385" s="149">
        <f t="shared" si="22"/>
        <v>0</v>
      </c>
      <c r="C385" s="149">
        <f t="shared" si="23"/>
        <v>0</v>
      </c>
      <c r="D385" s="149">
        <f t="shared" si="24"/>
        <v>0</v>
      </c>
      <c r="E385" s="149">
        <f t="shared" si="25"/>
        <v>0</v>
      </c>
      <c r="F385" s="148"/>
      <c r="G385" s="169"/>
      <c r="H385" s="153"/>
      <c r="I385" s="143"/>
    </row>
    <row r="386" spans="1:9">
      <c r="A386" s="170">
        <v>331</v>
      </c>
      <c r="B386" s="149">
        <f t="shared" si="22"/>
        <v>0</v>
      </c>
      <c r="C386" s="149">
        <f t="shared" si="23"/>
        <v>0</v>
      </c>
      <c r="D386" s="149">
        <f t="shared" si="24"/>
        <v>0</v>
      </c>
      <c r="E386" s="149">
        <f t="shared" si="25"/>
        <v>0</v>
      </c>
      <c r="F386" s="148"/>
      <c r="G386" s="143"/>
      <c r="H386" s="137"/>
      <c r="I386" s="143"/>
    </row>
    <row r="387" spans="1:9">
      <c r="A387" s="170">
        <v>332</v>
      </c>
      <c r="B387" s="149">
        <f t="shared" si="22"/>
        <v>0</v>
      </c>
      <c r="C387" s="149">
        <f t="shared" si="23"/>
        <v>0</v>
      </c>
      <c r="D387" s="149">
        <f t="shared" si="24"/>
        <v>0</v>
      </c>
      <c r="E387" s="149">
        <f t="shared" si="25"/>
        <v>0</v>
      </c>
      <c r="F387" s="148"/>
      <c r="G387" s="143"/>
      <c r="H387" s="137"/>
      <c r="I387" s="143"/>
    </row>
    <row r="388" spans="1:9">
      <c r="A388" s="170">
        <v>333</v>
      </c>
      <c r="B388" s="149">
        <f t="shared" si="22"/>
        <v>0</v>
      </c>
      <c r="C388" s="149">
        <f t="shared" si="23"/>
        <v>0</v>
      </c>
      <c r="D388" s="149">
        <f t="shared" si="24"/>
        <v>0</v>
      </c>
      <c r="E388" s="149">
        <f t="shared" si="25"/>
        <v>0</v>
      </c>
      <c r="F388" s="148"/>
      <c r="G388" s="143"/>
      <c r="H388" s="137"/>
      <c r="I388" s="143"/>
    </row>
    <row r="389" spans="1:9">
      <c r="A389" s="170">
        <v>334</v>
      </c>
      <c r="B389" s="149">
        <f t="shared" si="22"/>
        <v>0</v>
      </c>
      <c r="C389" s="149">
        <f t="shared" si="23"/>
        <v>0</v>
      </c>
      <c r="D389" s="149">
        <f t="shared" si="24"/>
        <v>0</v>
      </c>
      <c r="E389" s="149">
        <f t="shared" si="25"/>
        <v>0</v>
      </c>
      <c r="F389" s="148"/>
      <c r="G389" s="143"/>
      <c r="H389" s="137"/>
      <c r="I389" s="143"/>
    </row>
    <row r="390" spans="1:9">
      <c r="A390" s="170">
        <v>335</v>
      </c>
      <c r="B390" s="149">
        <f t="shared" si="22"/>
        <v>0</v>
      </c>
      <c r="C390" s="149">
        <f t="shared" si="23"/>
        <v>0</v>
      </c>
      <c r="D390" s="149">
        <f t="shared" si="24"/>
        <v>0</v>
      </c>
      <c r="E390" s="149">
        <f t="shared" si="25"/>
        <v>0</v>
      </c>
      <c r="F390" s="148"/>
      <c r="G390" s="143"/>
      <c r="H390" s="137"/>
      <c r="I390" s="143"/>
    </row>
    <row r="391" spans="1:9">
      <c r="A391" s="170">
        <v>336</v>
      </c>
      <c r="B391" s="149">
        <f t="shared" si="22"/>
        <v>0</v>
      </c>
      <c r="C391" s="149">
        <f t="shared" si="23"/>
        <v>0</v>
      </c>
      <c r="D391" s="149">
        <f t="shared" si="24"/>
        <v>0</v>
      </c>
      <c r="E391" s="149">
        <f t="shared" si="25"/>
        <v>0</v>
      </c>
      <c r="F391" s="148">
        <v>28</v>
      </c>
      <c r="G391" s="169"/>
      <c r="H391" s="153"/>
      <c r="I391" s="169"/>
    </row>
    <row r="392" spans="1:9">
      <c r="A392" s="170">
        <v>337</v>
      </c>
      <c r="B392" s="149">
        <f t="shared" si="22"/>
        <v>0</v>
      </c>
      <c r="C392" s="149">
        <f t="shared" si="23"/>
        <v>0</v>
      </c>
      <c r="D392" s="149">
        <f t="shared" si="24"/>
        <v>0</v>
      </c>
      <c r="E392" s="149">
        <f t="shared" si="25"/>
        <v>0</v>
      </c>
      <c r="F392" s="148"/>
      <c r="G392" s="143"/>
      <c r="H392" s="137"/>
      <c r="I392" s="169"/>
    </row>
    <row r="393" spans="1:9">
      <c r="A393" s="170">
        <v>338</v>
      </c>
      <c r="B393" s="149">
        <f t="shared" si="22"/>
        <v>0</v>
      </c>
      <c r="C393" s="149">
        <f t="shared" si="23"/>
        <v>0</v>
      </c>
      <c r="D393" s="149">
        <f t="shared" si="24"/>
        <v>0</v>
      </c>
      <c r="E393" s="149">
        <f t="shared" si="25"/>
        <v>0</v>
      </c>
      <c r="F393" s="148"/>
      <c r="G393" s="143"/>
      <c r="H393" s="137"/>
      <c r="I393" s="143"/>
    </row>
    <row r="394" spans="1:9">
      <c r="A394" s="170">
        <v>339</v>
      </c>
      <c r="B394" s="149">
        <f t="shared" si="22"/>
        <v>0</v>
      </c>
      <c r="C394" s="149">
        <f t="shared" si="23"/>
        <v>0</v>
      </c>
      <c r="D394" s="149">
        <f t="shared" si="24"/>
        <v>0</v>
      </c>
      <c r="E394" s="149">
        <f t="shared" si="25"/>
        <v>0</v>
      </c>
      <c r="F394" s="148"/>
      <c r="G394" s="143"/>
      <c r="H394" s="137"/>
      <c r="I394" s="143"/>
    </row>
    <row r="395" spans="1:9">
      <c r="A395" s="170">
        <v>340</v>
      </c>
      <c r="B395" s="149">
        <f t="shared" si="22"/>
        <v>0</v>
      </c>
      <c r="C395" s="149">
        <f t="shared" si="23"/>
        <v>0</v>
      </c>
      <c r="D395" s="149">
        <f t="shared" si="24"/>
        <v>0</v>
      </c>
      <c r="E395" s="149">
        <f t="shared" si="25"/>
        <v>0</v>
      </c>
      <c r="F395" s="148"/>
      <c r="G395" s="143"/>
      <c r="H395" s="137"/>
      <c r="I395" s="143"/>
    </row>
    <row r="396" spans="1:9">
      <c r="A396" s="170">
        <v>341</v>
      </c>
      <c r="B396" s="149">
        <f t="shared" si="22"/>
        <v>0</v>
      </c>
      <c r="C396" s="149">
        <f t="shared" si="23"/>
        <v>0</v>
      </c>
      <c r="D396" s="149">
        <f t="shared" si="24"/>
        <v>0</v>
      </c>
      <c r="E396" s="149">
        <f t="shared" si="25"/>
        <v>0</v>
      </c>
      <c r="F396" s="148"/>
      <c r="G396" s="143"/>
      <c r="H396" s="137"/>
      <c r="I396" s="143"/>
    </row>
    <row r="397" spans="1:9">
      <c r="A397" s="170">
        <v>342</v>
      </c>
      <c r="B397" s="149">
        <f t="shared" si="22"/>
        <v>0</v>
      </c>
      <c r="C397" s="149">
        <f t="shared" si="23"/>
        <v>0</v>
      </c>
      <c r="D397" s="149">
        <f t="shared" si="24"/>
        <v>0</v>
      </c>
      <c r="E397" s="149">
        <f t="shared" si="25"/>
        <v>0</v>
      </c>
      <c r="F397" s="148"/>
      <c r="G397" s="169"/>
      <c r="H397" s="153"/>
      <c r="I397" s="143"/>
    </row>
    <row r="398" spans="1:9">
      <c r="A398" s="170">
        <v>343</v>
      </c>
      <c r="B398" s="149">
        <f t="shared" si="22"/>
        <v>0</v>
      </c>
      <c r="C398" s="149">
        <f t="shared" si="23"/>
        <v>0</v>
      </c>
      <c r="D398" s="149">
        <f t="shared" si="24"/>
        <v>0</v>
      </c>
      <c r="E398" s="149">
        <f t="shared" si="25"/>
        <v>0</v>
      </c>
      <c r="F398" s="148"/>
      <c r="G398" s="143"/>
      <c r="H398" s="137"/>
      <c r="I398" s="143"/>
    </row>
    <row r="399" spans="1:9">
      <c r="A399" s="170">
        <v>344</v>
      </c>
      <c r="B399" s="149">
        <f t="shared" si="22"/>
        <v>0</v>
      </c>
      <c r="C399" s="149">
        <f t="shared" si="23"/>
        <v>0</v>
      </c>
      <c r="D399" s="149">
        <f t="shared" si="24"/>
        <v>0</v>
      </c>
      <c r="E399" s="149">
        <f t="shared" si="25"/>
        <v>0</v>
      </c>
      <c r="F399" s="148"/>
      <c r="G399" s="143"/>
      <c r="H399" s="137"/>
      <c r="I399" s="143"/>
    </row>
    <row r="400" spans="1:9">
      <c r="A400" s="170">
        <v>345</v>
      </c>
      <c r="B400" s="149">
        <f t="shared" si="22"/>
        <v>0</v>
      </c>
      <c r="C400" s="149">
        <f t="shared" si="23"/>
        <v>0</v>
      </c>
      <c r="D400" s="149">
        <f t="shared" si="24"/>
        <v>0</v>
      </c>
      <c r="E400" s="149">
        <f t="shared" si="25"/>
        <v>0</v>
      </c>
      <c r="F400" s="148"/>
      <c r="G400" s="143"/>
      <c r="H400" s="137"/>
      <c r="I400" s="143"/>
    </row>
    <row r="401" spans="1:9">
      <c r="A401" s="170">
        <v>346</v>
      </c>
      <c r="B401" s="149">
        <f t="shared" si="22"/>
        <v>0</v>
      </c>
      <c r="C401" s="149">
        <f t="shared" si="23"/>
        <v>0</v>
      </c>
      <c r="D401" s="149">
        <f t="shared" si="24"/>
        <v>0</v>
      </c>
      <c r="E401" s="149">
        <f t="shared" si="25"/>
        <v>0</v>
      </c>
      <c r="F401" s="148"/>
      <c r="G401" s="143"/>
      <c r="H401" s="137"/>
      <c r="I401" s="143"/>
    </row>
    <row r="402" spans="1:9">
      <c r="A402" s="170">
        <v>347</v>
      </c>
      <c r="B402" s="149">
        <f t="shared" si="22"/>
        <v>0</v>
      </c>
      <c r="C402" s="149">
        <f t="shared" si="23"/>
        <v>0</v>
      </c>
      <c r="D402" s="149">
        <f t="shared" si="24"/>
        <v>0</v>
      </c>
      <c r="E402" s="149">
        <f t="shared" si="25"/>
        <v>0</v>
      </c>
      <c r="F402" s="148"/>
      <c r="G402" s="143"/>
      <c r="H402" s="137"/>
      <c r="I402" s="143"/>
    </row>
    <row r="403" spans="1:9">
      <c r="A403" s="170">
        <v>348</v>
      </c>
      <c r="B403" s="149">
        <f t="shared" si="22"/>
        <v>0</v>
      </c>
      <c r="C403" s="149">
        <f t="shared" si="23"/>
        <v>0</v>
      </c>
      <c r="D403" s="149">
        <f t="shared" si="24"/>
        <v>0</v>
      </c>
      <c r="E403" s="149">
        <f t="shared" si="25"/>
        <v>0</v>
      </c>
      <c r="F403" s="148">
        <v>29</v>
      </c>
      <c r="G403" s="169"/>
      <c r="H403" s="153"/>
      <c r="I403" s="169"/>
    </row>
    <row r="404" spans="1:9">
      <c r="A404" s="170">
        <v>349</v>
      </c>
      <c r="B404" s="149">
        <f t="shared" si="22"/>
        <v>0</v>
      </c>
      <c r="C404" s="149">
        <f t="shared" si="23"/>
        <v>0</v>
      </c>
      <c r="D404" s="149">
        <f t="shared" si="24"/>
        <v>0</v>
      </c>
      <c r="E404" s="149">
        <f t="shared" si="25"/>
        <v>0</v>
      </c>
      <c r="F404" s="148"/>
      <c r="G404" s="143"/>
      <c r="H404" s="137"/>
      <c r="I404" s="169"/>
    </row>
    <row r="405" spans="1:9">
      <c r="A405" s="170">
        <v>350</v>
      </c>
      <c r="B405" s="149">
        <f t="shared" si="22"/>
        <v>0</v>
      </c>
      <c r="C405" s="149">
        <f t="shared" si="23"/>
        <v>0</v>
      </c>
      <c r="D405" s="149">
        <f t="shared" si="24"/>
        <v>0</v>
      </c>
      <c r="E405" s="149">
        <f t="shared" si="25"/>
        <v>0</v>
      </c>
      <c r="F405" s="148"/>
      <c r="G405" s="143"/>
      <c r="H405" s="137"/>
      <c r="I405" s="143"/>
    </row>
    <row r="406" spans="1:9">
      <c r="A406" s="170">
        <v>351</v>
      </c>
      <c r="B406" s="149">
        <f t="shared" si="22"/>
        <v>0</v>
      </c>
      <c r="C406" s="149">
        <f t="shared" si="23"/>
        <v>0</v>
      </c>
      <c r="D406" s="149">
        <f t="shared" si="24"/>
        <v>0</v>
      </c>
      <c r="E406" s="149">
        <f t="shared" si="25"/>
        <v>0</v>
      </c>
      <c r="F406" s="148"/>
      <c r="G406" s="143"/>
      <c r="H406" s="137"/>
      <c r="I406" s="143"/>
    </row>
    <row r="407" spans="1:9">
      <c r="A407" s="170">
        <v>352</v>
      </c>
      <c r="B407" s="149">
        <f t="shared" si="22"/>
        <v>0</v>
      </c>
      <c r="C407" s="149">
        <f t="shared" si="23"/>
        <v>0</v>
      </c>
      <c r="D407" s="149">
        <f t="shared" si="24"/>
        <v>0</v>
      </c>
      <c r="E407" s="149">
        <f t="shared" si="25"/>
        <v>0</v>
      </c>
      <c r="F407" s="148"/>
      <c r="G407" s="143"/>
      <c r="H407" s="137"/>
      <c r="I407" s="143"/>
    </row>
    <row r="408" spans="1:9">
      <c r="A408" s="170">
        <v>353</v>
      </c>
      <c r="B408" s="149">
        <f t="shared" si="22"/>
        <v>0</v>
      </c>
      <c r="C408" s="149">
        <f t="shared" si="23"/>
        <v>0</v>
      </c>
      <c r="D408" s="149">
        <f t="shared" si="24"/>
        <v>0</v>
      </c>
      <c r="E408" s="149">
        <f t="shared" si="25"/>
        <v>0</v>
      </c>
      <c r="F408" s="148"/>
      <c r="G408" s="143"/>
      <c r="H408" s="137"/>
      <c r="I408" s="143"/>
    </row>
    <row r="409" spans="1:9">
      <c r="A409" s="170">
        <v>354</v>
      </c>
      <c r="B409" s="149">
        <f t="shared" si="22"/>
        <v>0</v>
      </c>
      <c r="C409" s="149">
        <f t="shared" si="23"/>
        <v>0</v>
      </c>
      <c r="D409" s="149">
        <f t="shared" si="24"/>
        <v>0</v>
      </c>
      <c r="E409" s="149">
        <f t="shared" si="25"/>
        <v>0</v>
      </c>
      <c r="F409" s="148"/>
      <c r="G409" s="169"/>
      <c r="H409" s="153"/>
      <c r="I409" s="143"/>
    </row>
    <row r="410" spans="1:9">
      <c r="A410" s="170">
        <v>355</v>
      </c>
      <c r="B410" s="149">
        <f t="shared" si="22"/>
        <v>0</v>
      </c>
      <c r="C410" s="149">
        <f t="shared" si="23"/>
        <v>0</v>
      </c>
      <c r="D410" s="149">
        <f t="shared" si="24"/>
        <v>0</v>
      </c>
      <c r="E410" s="149">
        <f t="shared" si="25"/>
        <v>0</v>
      </c>
      <c r="F410" s="148"/>
      <c r="G410" s="143"/>
      <c r="H410" s="137"/>
      <c r="I410" s="143"/>
    </row>
    <row r="411" spans="1:9">
      <c r="A411" s="170">
        <v>356</v>
      </c>
      <c r="B411" s="149">
        <f t="shared" si="22"/>
        <v>0</v>
      </c>
      <c r="C411" s="149">
        <f t="shared" si="23"/>
        <v>0</v>
      </c>
      <c r="D411" s="149">
        <f t="shared" si="24"/>
        <v>0</v>
      </c>
      <c r="E411" s="149">
        <f t="shared" si="25"/>
        <v>0</v>
      </c>
      <c r="F411" s="148"/>
      <c r="G411" s="143"/>
      <c r="H411" s="137"/>
      <c r="I411" s="143"/>
    </row>
    <row r="412" spans="1:9">
      <c r="A412" s="170">
        <v>357</v>
      </c>
      <c r="B412" s="149">
        <f t="shared" si="22"/>
        <v>0</v>
      </c>
      <c r="C412" s="149">
        <f t="shared" si="23"/>
        <v>0</v>
      </c>
      <c r="D412" s="149">
        <f t="shared" si="24"/>
        <v>0</v>
      </c>
      <c r="E412" s="149">
        <f t="shared" si="25"/>
        <v>0</v>
      </c>
      <c r="F412" s="148"/>
      <c r="G412" s="143"/>
      <c r="H412" s="137"/>
      <c r="I412" s="143"/>
    </row>
    <row r="413" spans="1:9">
      <c r="A413" s="170">
        <v>358</v>
      </c>
      <c r="B413" s="149">
        <f t="shared" si="22"/>
        <v>0</v>
      </c>
      <c r="C413" s="149">
        <f t="shared" si="23"/>
        <v>0</v>
      </c>
      <c r="D413" s="149">
        <f t="shared" si="24"/>
        <v>0</v>
      </c>
      <c r="E413" s="149">
        <f t="shared" si="25"/>
        <v>0</v>
      </c>
      <c r="F413" s="148"/>
      <c r="G413" s="143"/>
      <c r="H413" s="137"/>
      <c r="I413" s="143"/>
    </row>
    <row r="414" spans="1:9">
      <c r="A414" s="170">
        <v>359</v>
      </c>
      <c r="B414" s="149">
        <f t="shared" si="22"/>
        <v>0</v>
      </c>
      <c r="C414" s="149">
        <f t="shared" si="23"/>
        <v>0</v>
      </c>
      <c r="D414" s="149">
        <f t="shared" si="24"/>
        <v>0</v>
      </c>
      <c r="E414" s="149">
        <f t="shared" si="25"/>
        <v>0</v>
      </c>
      <c r="F414" s="148"/>
      <c r="G414" s="143"/>
      <c r="H414" s="137"/>
      <c r="I414" s="143"/>
    </row>
    <row r="415" spans="1:9">
      <c r="A415" s="170">
        <v>360</v>
      </c>
      <c r="B415" s="149">
        <f t="shared" si="22"/>
        <v>0</v>
      </c>
      <c r="C415" s="149">
        <f t="shared" si="23"/>
        <v>0</v>
      </c>
      <c r="D415" s="149">
        <f t="shared" si="24"/>
        <v>0</v>
      </c>
      <c r="E415" s="149">
        <f t="shared" si="25"/>
        <v>0</v>
      </c>
      <c r="F415" s="148">
        <v>30</v>
      </c>
      <c r="G415" s="169"/>
      <c r="H415" s="153"/>
      <c r="I415" s="169"/>
    </row>
    <row r="416" spans="1:9">
      <c r="A416" s="170">
        <v>361</v>
      </c>
      <c r="B416" s="149">
        <f t="shared" si="22"/>
        <v>0</v>
      </c>
      <c r="C416" s="149">
        <f t="shared" si="23"/>
        <v>0</v>
      </c>
      <c r="D416" s="149">
        <f t="shared" si="24"/>
        <v>0</v>
      </c>
      <c r="E416" s="149">
        <f t="shared" si="25"/>
        <v>0</v>
      </c>
      <c r="F416" s="148"/>
      <c r="G416" s="143"/>
      <c r="H416" s="137"/>
      <c r="I416" s="169"/>
    </row>
    <row r="417" spans="1:9">
      <c r="A417" s="170">
        <v>362</v>
      </c>
      <c r="B417" s="149">
        <f t="shared" si="22"/>
        <v>0</v>
      </c>
      <c r="C417" s="149">
        <f t="shared" si="23"/>
        <v>0</v>
      </c>
      <c r="D417" s="149">
        <f t="shared" si="24"/>
        <v>0</v>
      </c>
      <c r="E417" s="149">
        <f t="shared" si="25"/>
        <v>0</v>
      </c>
      <c r="F417" s="148"/>
      <c r="G417" s="143"/>
      <c r="H417" s="137"/>
      <c r="I417" s="143"/>
    </row>
    <row r="418" spans="1:9">
      <c r="A418" s="170">
        <v>363</v>
      </c>
      <c r="B418" s="149">
        <f t="shared" si="22"/>
        <v>0</v>
      </c>
      <c r="C418" s="149">
        <f t="shared" si="23"/>
        <v>0</v>
      </c>
      <c r="D418" s="149">
        <f t="shared" si="24"/>
        <v>0</v>
      </c>
      <c r="E418" s="149">
        <f t="shared" si="25"/>
        <v>0</v>
      </c>
      <c r="F418" s="148"/>
      <c r="G418" s="143"/>
      <c r="H418" s="137"/>
      <c r="I418" s="143"/>
    </row>
    <row r="419" spans="1:9">
      <c r="A419" s="170">
        <v>364</v>
      </c>
      <c r="B419" s="149">
        <f t="shared" si="22"/>
        <v>0</v>
      </c>
      <c r="C419" s="149">
        <f t="shared" si="23"/>
        <v>0</v>
      </c>
      <c r="D419" s="149">
        <f t="shared" si="24"/>
        <v>0</v>
      </c>
      <c r="E419" s="149">
        <f t="shared" si="25"/>
        <v>0</v>
      </c>
      <c r="F419" s="148"/>
      <c r="G419" s="143"/>
      <c r="H419" s="137"/>
      <c r="I419" s="143"/>
    </row>
    <row r="420" spans="1:9">
      <c r="A420" s="170">
        <v>365</v>
      </c>
      <c r="B420" s="149">
        <f t="shared" si="22"/>
        <v>0</v>
      </c>
      <c r="C420" s="149">
        <f t="shared" si="23"/>
        <v>0</v>
      </c>
      <c r="D420" s="149">
        <f t="shared" si="24"/>
        <v>0</v>
      </c>
      <c r="E420" s="149">
        <f t="shared" si="25"/>
        <v>0</v>
      </c>
      <c r="F420" s="148"/>
      <c r="G420" s="143"/>
      <c r="H420" s="137"/>
      <c r="I420" s="143"/>
    </row>
    <row r="421" spans="1:9">
      <c r="A421" s="170">
        <v>366</v>
      </c>
      <c r="B421" s="149">
        <f t="shared" si="22"/>
        <v>0</v>
      </c>
      <c r="C421" s="149">
        <f t="shared" si="23"/>
        <v>0</v>
      </c>
      <c r="D421" s="149">
        <f t="shared" si="24"/>
        <v>0</v>
      </c>
      <c r="E421" s="149">
        <f t="shared" si="25"/>
        <v>0</v>
      </c>
      <c r="F421" s="148"/>
      <c r="G421" s="169"/>
      <c r="H421" s="153"/>
      <c r="I421" s="143"/>
    </row>
    <row r="422" spans="1:9">
      <c r="A422" s="170">
        <v>367</v>
      </c>
      <c r="B422" s="149">
        <f t="shared" si="22"/>
        <v>0</v>
      </c>
      <c r="C422" s="149">
        <f t="shared" si="23"/>
        <v>0</v>
      </c>
      <c r="D422" s="149">
        <f t="shared" si="24"/>
        <v>0</v>
      </c>
      <c r="E422" s="149">
        <f t="shared" si="25"/>
        <v>0</v>
      </c>
      <c r="F422" s="148"/>
      <c r="G422" s="143"/>
      <c r="H422" s="137"/>
      <c r="I422" s="143"/>
    </row>
    <row r="423" spans="1:9">
      <c r="A423" s="170">
        <v>368</v>
      </c>
      <c r="B423" s="149">
        <f t="shared" si="22"/>
        <v>0</v>
      </c>
      <c r="C423" s="149">
        <f t="shared" si="23"/>
        <v>0</v>
      </c>
      <c r="D423" s="149">
        <f t="shared" si="24"/>
        <v>0</v>
      </c>
      <c r="E423" s="149">
        <f t="shared" si="25"/>
        <v>0</v>
      </c>
      <c r="F423" s="148"/>
      <c r="G423" s="143"/>
      <c r="H423" s="137"/>
      <c r="I423" s="143"/>
    </row>
    <row r="424" spans="1:9">
      <c r="A424" s="170">
        <v>369</v>
      </c>
      <c r="B424" s="149">
        <f t="shared" si="22"/>
        <v>0</v>
      </c>
      <c r="C424" s="149">
        <f t="shared" si="23"/>
        <v>0</v>
      </c>
      <c r="D424" s="149">
        <f t="shared" si="24"/>
        <v>0</v>
      </c>
      <c r="E424" s="149">
        <f t="shared" si="25"/>
        <v>0</v>
      </c>
      <c r="F424" s="148"/>
      <c r="G424" s="143"/>
      <c r="H424" s="137"/>
      <c r="I424" s="143"/>
    </row>
    <row r="425" spans="1:9">
      <c r="A425" s="170">
        <v>370</v>
      </c>
      <c r="B425" s="149">
        <f t="shared" si="22"/>
        <v>0</v>
      </c>
      <c r="C425" s="149">
        <f t="shared" si="23"/>
        <v>0</v>
      </c>
      <c r="D425" s="149">
        <f t="shared" si="24"/>
        <v>0</v>
      </c>
      <c r="E425" s="149">
        <f t="shared" si="25"/>
        <v>0</v>
      </c>
      <c r="F425" s="148"/>
      <c r="G425" s="143"/>
      <c r="H425" s="137"/>
      <c r="I425" s="143"/>
    </row>
    <row r="426" spans="1:9">
      <c r="A426" s="170">
        <v>371</v>
      </c>
      <c r="B426" s="149">
        <f t="shared" si="22"/>
        <v>0</v>
      </c>
      <c r="C426" s="149">
        <f t="shared" si="23"/>
        <v>0</v>
      </c>
      <c r="D426" s="149">
        <f t="shared" si="24"/>
        <v>0</v>
      </c>
      <c r="E426" s="149">
        <f t="shared" si="25"/>
        <v>0</v>
      </c>
      <c r="F426" s="148"/>
      <c r="G426" s="143"/>
      <c r="H426" s="137"/>
      <c r="I426" s="143"/>
    </row>
    <row r="427" spans="1:9">
      <c r="A427" s="170">
        <v>372</v>
      </c>
      <c r="B427" s="149">
        <f t="shared" si="22"/>
        <v>0</v>
      </c>
      <c r="C427" s="149">
        <f t="shared" si="23"/>
        <v>0</v>
      </c>
      <c r="D427" s="149">
        <f t="shared" si="24"/>
        <v>0</v>
      </c>
      <c r="E427" s="149">
        <f t="shared" si="25"/>
        <v>0</v>
      </c>
      <c r="F427" s="148">
        <v>31</v>
      </c>
      <c r="G427" s="169"/>
      <c r="H427" s="153"/>
      <c r="I427" s="169"/>
    </row>
    <row r="428" spans="1:9">
      <c r="A428" s="170">
        <v>373</v>
      </c>
      <c r="B428" s="149">
        <f t="shared" si="22"/>
        <v>0</v>
      </c>
      <c r="C428" s="149">
        <f t="shared" si="23"/>
        <v>0</v>
      </c>
      <c r="D428" s="149">
        <f t="shared" si="24"/>
        <v>0</v>
      </c>
      <c r="E428" s="149">
        <f t="shared" si="25"/>
        <v>0</v>
      </c>
      <c r="F428" s="148"/>
      <c r="G428" s="143"/>
      <c r="H428" s="137"/>
      <c r="I428" s="169"/>
    </row>
    <row r="429" spans="1:9">
      <c r="A429" s="170">
        <v>374</v>
      </c>
      <c r="B429" s="149">
        <f t="shared" si="22"/>
        <v>0</v>
      </c>
      <c r="C429" s="149">
        <f t="shared" si="23"/>
        <v>0</v>
      </c>
      <c r="D429" s="149">
        <f t="shared" si="24"/>
        <v>0</v>
      </c>
      <c r="E429" s="149">
        <f t="shared" si="25"/>
        <v>0</v>
      </c>
      <c r="F429" s="148"/>
      <c r="G429" s="143"/>
      <c r="H429" s="137"/>
      <c r="I429" s="143"/>
    </row>
    <row r="430" spans="1:9">
      <c r="A430" s="170">
        <v>375</v>
      </c>
      <c r="B430" s="149">
        <f t="shared" si="22"/>
        <v>0</v>
      </c>
      <c r="C430" s="149">
        <f t="shared" si="23"/>
        <v>0</v>
      </c>
      <c r="D430" s="149">
        <f t="shared" si="24"/>
        <v>0</v>
      </c>
      <c r="E430" s="149">
        <f t="shared" si="25"/>
        <v>0</v>
      </c>
      <c r="F430" s="148"/>
      <c r="G430" s="143"/>
      <c r="H430" s="137"/>
      <c r="I430" s="143"/>
    </row>
    <row r="431" spans="1:9">
      <c r="A431" s="170">
        <v>376</v>
      </c>
      <c r="B431" s="149">
        <f t="shared" si="22"/>
        <v>0</v>
      </c>
      <c r="C431" s="149">
        <f t="shared" si="23"/>
        <v>0</v>
      </c>
      <c r="D431" s="149">
        <f t="shared" si="24"/>
        <v>0</v>
      </c>
      <c r="E431" s="149">
        <f t="shared" si="25"/>
        <v>0</v>
      </c>
      <c r="F431" s="148"/>
      <c r="G431" s="143"/>
      <c r="H431" s="137"/>
      <c r="I431" s="143"/>
    </row>
    <row r="432" spans="1:9">
      <c r="A432" s="170">
        <v>377</v>
      </c>
      <c r="B432" s="149">
        <f t="shared" si="22"/>
        <v>0</v>
      </c>
      <c r="C432" s="149">
        <f t="shared" si="23"/>
        <v>0</v>
      </c>
      <c r="D432" s="149">
        <f t="shared" si="24"/>
        <v>0</v>
      </c>
      <c r="E432" s="149">
        <f t="shared" si="25"/>
        <v>0</v>
      </c>
      <c r="F432" s="148"/>
      <c r="G432" s="143"/>
      <c r="H432" s="137"/>
      <c r="I432" s="143"/>
    </row>
    <row r="433" spans="1:9">
      <c r="A433" s="170">
        <v>378</v>
      </c>
      <c r="B433" s="149">
        <f t="shared" si="22"/>
        <v>0</v>
      </c>
      <c r="C433" s="149">
        <f t="shared" si="23"/>
        <v>0</v>
      </c>
      <c r="D433" s="149">
        <f t="shared" si="24"/>
        <v>0</v>
      </c>
      <c r="E433" s="149">
        <f t="shared" si="25"/>
        <v>0</v>
      </c>
      <c r="F433" s="148"/>
      <c r="G433" s="169"/>
      <c r="H433" s="153"/>
      <c r="I433" s="143"/>
    </row>
    <row r="434" spans="1:9">
      <c r="A434" s="170">
        <v>379</v>
      </c>
      <c r="B434" s="149">
        <f t="shared" si="22"/>
        <v>0</v>
      </c>
      <c r="C434" s="149">
        <f t="shared" si="23"/>
        <v>0</v>
      </c>
      <c r="D434" s="149">
        <f t="shared" si="24"/>
        <v>0</v>
      </c>
      <c r="E434" s="149">
        <f t="shared" si="25"/>
        <v>0</v>
      </c>
      <c r="F434" s="148"/>
      <c r="G434" s="143"/>
      <c r="H434" s="137"/>
      <c r="I434" s="143"/>
    </row>
    <row r="435" spans="1:9">
      <c r="A435" s="170">
        <v>380</v>
      </c>
      <c r="B435" s="149">
        <f t="shared" si="22"/>
        <v>0</v>
      </c>
      <c r="C435" s="149">
        <f t="shared" si="23"/>
        <v>0</v>
      </c>
      <c r="D435" s="149">
        <f t="shared" si="24"/>
        <v>0</v>
      </c>
      <c r="E435" s="149">
        <f t="shared" si="25"/>
        <v>0</v>
      </c>
      <c r="F435" s="148"/>
      <c r="G435" s="143"/>
      <c r="H435" s="137"/>
      <c r="I435" s="143"/>
    </row>
    <row r="436" spans="1:9">
      <c r="A436" s="170">
        <v>381</v>
      </c>
      <c r="B436" s="149">
        <f t="shared" si="22"/>
        <v>0</v>
      </c>
      <c r="C436" s="149">
        <f t="shared" si="23"/>
        <v>0</v>
      </c>
      <c r="D436" s="149">
        <f t="shared" si="24"/>
        <v>0</v>
      </c>
      <c r="E436" s="149">
        <f t="shared" si="25"/>
        <v>0</v>
      </c>
      <c r="F436" s="148"/>
      <c r="G436" s="143"/>
      <c r="H436" s="137"/>
      <c r="I436" s="143"/>
    </row>
    <row r="437" spans="1:9">
      <c r="A437" s="170">
        <v>382</v>
      </c>
      <c r="B437" s="149">
        <f t="shared" si="22"/>
        <v>0</v>
      </c>
      <c r="C437" s="149">
        <f t="shared" si="23"/>
        <v>0</v>
      </c>
      <c r="D437" s="149">
        <f t="shared" si="24"/>
        <v>0</v>
      </c>
      <c r="E437" s="149">
        <f t="shared" si="25"/>
        <v>0</v>
      </c>
      <c r="F437" s="148"/>
      <c r="G437" s="143"/>
      <c r="H437" s="137"/>
      <c r="I437" s="143"/>
    </row>
    <row r="438" spans="1:9">
      <c r="A438" s="170">
        <v>383</v>
      </c>
      <c r="B438" s="149">
        <f t="shared" si="22"/>
        <v>0</v>
      </c>
      <c r="C438" s="149">
        <f t="shared" si="23"/>
        <v>0</v>
      </c>
      <c r="D438" s="149">
        <f t="shared" si="24"/>
        <v>0</v>
      </c>
      <c r="E438" s="149">
        <f t="shared" si="25"/>
        <v>0</v>
      </c>
      <c r="F438" s="148"/>
      <c r="G438" s="143"/>
      <c r="H438" s="137"/>
      <c r="I438" s="143"/>
    </row>
    <row r="439" spans="1:9">
      <c r="A439" s="170">
        <v>384</v>
      </c>
      <c r="B439" s="149">
        <f t="shared" si="22"/>
        <v>0</v>
      </c>
      <c r="C439" s="149">
        <f t="shared" si="23"/>
        <v>0</v>
      </c>
      <c r="D439" s="149">
        <f t="shared" si="24"/>
        <v>0</v>
      </c>
      <c r="E439" s="149">
        <f t="shared" si="25"/>
        <v>0</v>
      </c>
      <c r="F439" s="148">
        <v>32</v>
      </c>
      <c r="G439" s="169"/>
      <c r="H439" s="153"/>
      <c r="I439" s="169"/>
    </row>
    <row r="440" spans="1:9">
      <c r="A440" s="170">
        <v>385</v>
      </c>
      <c r="B440" s="149">
        <f t="shared" ref="B440:B503" si="26">IF(A440&gt;12*$D$14,0,$D$20)</f>
        <v>0</v>
      </c>
      <c r="C440" s="149">
        <f t="shared" ref="C440:C503" si="27">IF(A440&gt;12*$D$14,0,E439*$D$10/12)</f>
        <v>0</v>
      </c>
      <c r="D440" s="149">
        <f t="shared" ref="D440:D503" si="28">IF(A440&gt;12*$D$14,0,B440-C440)</f>
        <v>0</v>
      </c>
      <c r="E440" s="149">
        <f t="shared" ref="E440:E503" si="29">IF(A440&gt;12*$D$14,0,E439-D440)</f>
        <v>0</v>
      </c>
      <c r="F440" s="148"/>
      <c r="G440" s="143"/>
      <c r="H440" s="137"/>
      <c r="I440" s="169"/>
    </row>
    <row r="441" spans="1:9">
      <c r="A441" s="170">
        <v>386</v>
      </c>
      <c r="B441" s="149">
        <f t="shared" si="26"/>
        <v>0</v>
      </c>
      <c r="C441" s="149">
        <f t="shared" si="27"/>
        <v>0</v>
      </c>
      <c r="D441" s="149">
        <f t="shared" si="28"/>
        <v>0</v>
      </c>
      <c r="E441" s="149">
        <f t="shared" si="29"/>
        <v>0</v>
      </c>
      <c r="F441" s="148"/>
      <c r="G441" s="143"/>
      <c r="H441" s="137"/>
      <c r="I441" s="143"/>
    </row>
    <row r="442" spans="1:9">
      <c r="A442" s="170">
        <v>387</v>
      </c>
      <c r="B442" s="149">
        <f t="shared" si="26"/>
        <v>0</v>
      </c>
      <c r="C442" s="149">
        <f t="shared" si="27"/>
        <v>0</v>
      </c>
      <c r="D442" s="149">
        <f t="shared" si="28"/>
        <v>0</v>
      </c>
      <c r="E442" s="149">
        <f t="shared" si="29"/>
        <v>0</v>
      </c>
      <c r="F442" s="148"/>
      <c r="G442" s="143"/>
      <c r="H442" s="137"/>
      <c r="I442" s="143"/>
    </row>
    <row r="443" spans="1:9">
      <c r="A443" s="170">
        <v>388</v>
      </c>
      <c r="B443" s="149">
        <f t="shared" si="26"/>
        <v>0</v>
      </c>
      <c r="C443" s="149">
        <f t="shared" si="27"/>
        <v>0</v>
      </c>
      <c r="D443" s="149">
        <f t="shared" si="28"/>
        <v>0</v>
      </c>
      <c r="E443" s="149">
        <f t="shared" si="29"/>
        <v>0</v>
      </c>
      <c r="F443" s="148"/>
      <c r="G443" s="143"/>
      <c r="H443" s="137"/>
      <c r="I443" s="143"/>
    </row>
    <row r="444" spans="1:9">
      <c r="A444" s="170">
        <v>389</v>
      </c>
      <c r="B444" s="149">
        <f t="shared" si="26"/>
        <v>0</v>
      </c>
      <c r="C444" s="149">
        <f t="shared" si="27"/>
        <v>0</v>
      </c>
      <c r="D444" s="149">
        <f t="shared" si="28"/>
        <v>0</v>
      </c>
      <c r="E444" s="149">
        <f t="shared" si="29"/>
        <v>0</v>
      </c>
      <c r="F444" s="148"/>
      <c r="G444" s="143"/>
      <c r="H444" s="137"/>
      <c r="I444" s="143"/>
    </row>
    <row r="445" spans="1:9">
      <c r="A445" s="170">
        <v>390</v>
      </c>
      <c r="B445" s="149">
        <f t="shared" si="26"/>
        <v>0</v>
      </c>
      <c r="C445" s="149">
        <f t="shared" si="27"/>
        <v>0</v>
      </c>
      <c r="D445" s="149">
        <f t="shared" si="28"/>
        <v>0</v>
      </c>
      <c r="E445" s="149">
        <f t="shared" si="29"/>
        <v>0</v>
      </c>
      <c r="F445" s="148"/>
      <c r="G445" s="169"/>
      <c r="H445" s="153"/>
      <c r="I445" s="143"/>
    </row>
    <row r="446" spans="1:9">
      <c r="A446" s="170">
        <v>391</v>
      </c>
      <c r="B446" s="149">
        <f t="shared" si="26"/>
        <v>0</v>
      </c>
      <c r="C446" s="149">
        <f t="shared" si="27"/>
        <v>0</v>
      </c>
      <c r="D446" s="149">
        <f t="shared" si="28"/>
        <v>0</v>
      </c>
      <c r="E446" s="149">
        <f t="shared" si="29"/>
        <v>0</v>
      </c>
      <c r="F446" s="148"/>
      <c r="G446" s="143"/>
      <c r="H446" s="137"/>
      <c r="I446" s="143"/>
    </row>
    <row r="447" spans="1:9">
      <c r="A447" s="170">
        <v>392</v>
      </c>
      <c r="B447" s="149">
        <f t="shared" si="26"/>
        <v>0</v>
      </c>
      <c r="C447" s="149">
        <f t="shared" si="27"/>
        <v>0</v>
      </c>
      <c r="D447" s="149">
        <f t="shared" si="28"/>
        <v>0</v>
      </c>
      <c r="E447" s="149">
        <f t="shared" si="29"/>
        <v>0</v>
      </c>
      <c r="F447" s="148"/>
      <c r="G447" s="143"/>
      <c r="H447" s="137"/>
      <c r="I447" s="143"/>
    </row>
    <row r="448" spans="1:9">
      <c r="A448" s="170">
        <v>393</v>
      </c>
      <c r="B448" s="149">
        <f t="shared" si="26"/>
        <v>0</v>
      </c>
      <c r="C448" s="149">
        <f t="shared" si="27"/>
        <v>0</v>
      </c>
      <c r="D448" s="149">
        <f t="shared" si="28"/>
        <v>0</v>
      </c>
      <c r="E448" s="149">
        <f t="shared" si="29"/>
        <v>0</v>
      </c>
      <c r="F448" s="148"/>
      <c r="G448" s="143"/>
      <c r="H448" s="137"/>
      <c r="I448" s="143"/>
    </row>
    <row r="449" spans="1:9">
      <c r="A449" s="170">
        <v>394</v>
      </c>
      <c r="B449" s="149">
        <f t="shared" si="26"/>
        <v>0</v>
      </c>
      <c r="C449" s="149">
        <f t="shared" si="27"/>
        <v>0</v>
      </c>
      <c r="D449" s="149">
        <f t="shared" si="28"/>
        <v>0</v>
      </c>
      <c r="E449" s="149">
        <f t="shared" si="29"/>
        <v>0</v>
      </c>
      <c r="F449" s="148"/>
      <c r="G449" s="143"/>
      <c r="H449" s="137"/>
      <c r="I449" s="143"/>
    </row>
    <row r="450" spans="1:9">
      <c r="A450" s="170">
        <v>395</v>
      </c>
      <c r="B450" s="149">
        <f t="shared" si="26"/>
        <v>0</v>
      </c>
      <c r="C450" s="149">
        <f t="shared" si="27"/>
        <v>0</v>
      </c>
      <c r="D450" s="149">
        <f t="shared" si="28"/>
        <v>0</v>
      </c>
      <c r="E450" s="149">
        <f t="shared" si="29"/>
        <v>0</v>
      </c>
      <c r="F450" s="148"/>
      <c r="G450" s="143"/>
      <c r="H450" s="137"/>
      <c r="I450" s="143"/>
    </row>
    <row r="451" spans="1:9">
      <c r="A451" s="170">
        <v>396</v>
      </c>
      <c r="B451" s="149">
        <f t="shared" si="26"/>
        <v>0</v>
      </c>
      <c r="C451" s="149">
        <f t="shared" si="27"/>
        <v>0</v>
      </c>
      <c r="D451" s="149">
        <f t="shared" si="28"/>
        <v>0</v>
      </c>
      <c r="E451" s="149">
        <f t="shared" si="29"/>
        <v>0</v>
      </c>
      <c r="F451" s="148">
        <v>33</v>
      </c>
      <c r="G451" s="169"/>
      <c r="H451" s="153"/>
      <c r="I451" s="169"/>
    </row>
    <row r="452" spans="1:9">
      <c r="A452" s="170">
        <v>397</v>
      </c>
      <c r="B452" s="149">
        <f t="shared" si="26"/>
        <v>0</v>
      </c>
      <c r="C452" s="149">
        <f t="shared" si="27"/>
        <v>0</v>
      </c>
      <c r="D452" s="149">
        <f t="shared" si="28"/>
        <v>0</v>
      </c>
      <c r="E452" s="149">
        <f t="shared" si="29"/>
        <v>0</v>
      </c>
      <c r="F452" s="148"/>
      <c r="G452" s="143"/>
      <c r="H452" s="137"/>
      <c r="I452" s="169"/>
    </row>
    <row r="453" spans="1:9">
      <c r="A453" s="170">
        <v>398</v>
      </c>
      <c r="B453" s="149">
        <f t="shared" si="26"/>
        <v>0</v>
      </c>
      <c r="C453" s="149">
        <f t="shared" si="27"/>
        <v>0</v>
      </c>
      <c r="D453" s="149">
        <f t="shared" si="28"/>
        <v>0</v>
      </c>
      <c r="E453" s="149">
        <f t="shared" si="29"/>
        <v>0</v>
      </c>
      <c r="F453" s="148"/>
      <c r="G453" s="143"/>
      <c r="H453" s="137"/>
      <c r="I453" s="143"/>
    </row>
    <row r="454" spans="1:9">
      <c r="A454" s="170">
        <v>399</v>
      </c>
      <c r="B454" s="149">
        <f t="shared" si="26"/>
        <v>0</v>
      </c>
      <c r="C454" s="149">
        <f t="shared" si="27"/>
        <v>0</v>
      </c>
      <c r="D454" s="149">
        <f t="shared" si="28"/>
        <v>0</v>
      </c>
      <c r="E454" s="149">
        <f t="shared" si="29"/>
        <v>0</v>
      </c>
      <c r="F454" s="148"/>
      <c r="G454" s="143"/>
      <c r="H454" s="137"/>
      <c r="I454" s="143"/>
    </row>
    <row r="455" spans="1:9">
      <c r="A455" s="170">
        <v>400</v>
      </c>
      <c r="B455" s="149">
        <f t="shared" si="26"/>
        <v>0</v>
      </c>
      <c r="C455" s="149">
        <f t="shared" si="27"/>
        <v>0</v>
      </c>
      <c r="D455" s="149">
        <f t="shared" si="28"/>
        <v>0</v>
      </c>
      <c r="E455" s="149">
        <f t="shared" si="29"/>
        <v>0</v>
      </c>
      <c r="F455" s="148"/>
      <c r="G455" s="143"/>
      <c r="H455" s="137"/>
      <c r="I455" s="143"/>
    </row>
    <row r="456" spans="1:9">
      <c r="A456" s="170">
        <v>401</v>
      </c>
      <c r="B456" s="149">
        <f t="shared" si="26"/>
        <v>0</v>
      </c>
      <c r="C456" s="149">
        <f t="shared" si="27"/>
        <v>0</v>
      </c>
      <c r="D456" s="149">
        <f t="shared" si="28"/>
        <v>0</v>
      </c>
      <c r="E456" s="149">
        <f t="shared" si="29"/>
        <v>0</v>
      </c>
      <c r="F456" s="148"/>
      <c r="G456" s="143"/>
      <c r="H456" s="137"/>
      <c r="I456" s="143"/>
    </row>
    <row r="457" spans="1:9">
      <c r="A457" s="170">
        <v>402</v>
      </c>
      <c r="B457" s="149">
        <f t="shared" si="26"/>
        <v>0</v>
      </c>
      <c r="C457" s="149">
        <f t="shared" si="27"/>
        <v>0</v>
      </c>
      <c r="D457" s="149">
        <f t="shared" si="28"/>
        <v>0</v>
      </c>
      <c r="E457" s="149">
        <f t="shared" si="29"/>
        <v>0</v>
      </c>
      <c r="F457" s="148"/>
      <c r="G457" s="169"/>
      <c r="H457" s="153"/>
      <c r="I457" s="143"/>
    </row>
    <row r="458" spans="1:9">
      <c r="A458" s="170">
        <v>403</v>
      </c>
      <c r="B458" s="149">
        <f t="shared" si="26"/>
        <v>0</v>
      </c>
      <c r="C458" s="149">
        <f t="shared" si="27"/>
        <v>0</v>
      </c>
      <c r="D458" s="149">
        <f t="shared" si="28"/>
        <v>0</v>
      </c>
      <c r="E458" s="149">
        <f t="shared" si="29"/>
        <v>0</v>
      </c>
      <c r="F458" s="148"/>
      <c r="G458" s="143"/>
      <c r="H458" s="137"/>
      <c r="I458" s="143"/>
    </row>
    <row r="459" spans="1:9">
      <c r="A459" s="170">
        <v>404</v>
      </c>
      <c r="B459" s="149">
        <f t="shared" si="26"/>
        <v>0</v>
      </c>
      <c r="C459" s="149">
        <f t="shared" si="27"/>
        <v>0</v>
      </c>
      <c r="D459" s="149">
        <f t="shared" si="28"/>
        <v>0</v>
      </c>
      <c r="E459" s="149">
        <f t="shared" si="29"/>
        <v>0</v>
      </c>
      <c r="F459" s="148"/>
      <c r="G459" s="143"/>
      <c r="H459" s="137"/>
      <c r="I459" s="143"/>
    </row>
    <row r="460" spans="1:9">
      <c r="A460" s="170">
        <v>405</v>
      </c>
      <c r="B460" s="149">
        <f t="shared" si="26"/>
        <v>0</v>
      </c>
      <c r="C460" s="149">
        <f t="shared" si="27"/>
        <v>0</v>
      </c>
      <c r="D460" s="149">
        <f t="shared" si="28"/>
        <v>0</v>
      </c>
      <c r="E460" s="149">
        <f t="shared" si="29"/>
        <v>0</v>
      </c>
      <c r="F460" s="148"/>
      <c r="G460" s="143"/>
      <c r="H460" s="137"/>
      <c r="I460" s="143"/>
    </row>
    <row r="461" spans="1:9">
      <c r="A461" s="170">
        <v>406</v>
      </c>
      <c r="B461" s="149">
        <f t="shared" si="26"/>
        <v>0</v>
      </c>
      <c r="C461" s="149">
        <f t="shared" si="27"/>
        <v>0</v>
      </c>
      <c r="D461" s="149">
        <f t="shared" si="28"/>
        <v>0</v>
      </c>
      <c r="E461" s="149">
        <f t="shared" si="29"/>
        <v>0</v>
      </c>
      <c r="F461" s="148"/>
      <c r="G461" s="143"/>
      <c r="H461" s="137"/>
      <c r="I461" s="143"/>
    </row>
    <row r="462" spans="1:9">
      <c r="A462" s="170">
        <v>407</v>
      </c>
      <c r="B462" s="149">
        <f t="shared" si="26"/>
        <v>0</v>
      </c>
      <c r="C462" s="149">
        <f t="shared" si="27"/>
        <v>0</v>
      </c>
      <c r="D462" s="149">
        <f t="shared" si="28"/>
        <v>0</v>
      </c>
      <c r="E462" s="149">
        <f t="shared" si="29"/>
        <v>0</v>
      </c>
      <c r="F462" s="148"/>
      <c r="G462" s="143"/>
      <c r="H462" s="137"/>
      <c r="I462" s="143"/>
    </row>
    <row r="463" spans="1:9">
      <c r="A463" s="170">
        <v>408</v>
      </c>
      <c r="B463" s="149">
        <f t="shared" si="26"/>
        <v>0</v>
      </c>
      <c r="C463" s="149">
        <f t="shared" si="27"/>
        <v>0</v>
      </c>
      <c r="D463" s="149">
        <f t="shared" si="28"/>
        <v>0</v>
      </c>
      <c r="E463" s="149">
        <f t="shared" si="29"/>
        <v>0</v>
      </c>
      <c r="F463" s="148">
        <v>34</v>
      </c>
      <c r="G463" s="169"/>
      <c r="H463" s="153"/>
      <c r="I463" s="169"/>
    </row>
    <row r="464" spans="1:9">
      <c r="A464" s="170">
        <v>409</v>
      </c>
      <c r="B464" s="149">
        <f t="shared" si="26"/>
        <v>0</v>
      </c>
      <c r="C464" s="149">
        <f t="shared" si="27"/>
        <v>0</v>
      </c>
      <c r="D464" s="149">
        <f t="shared" si="28"/>
        <v>0</v>
      </c>
      <c r="E464" s="149">
        <f t="shared" si="29"/>
        <v>0</v>
      </c>
      <c r="F464" s="148"/>
      <c r="G464" s="143"/>
      <c r="H464" s="137"/>
      <c r="I464" s="169"/>
    </row>
    <row r="465" spans="1:9">
      <c r="A465" s="170">
        <v>410</v>
      </c>
      <c r="B465" s="149">
        <f t="shared" si="26"/>
        <v>0</v>
      </c>
      <c r="C465" s="149">
        <f t="shared" si="27"/>
        <v>0</v>
      </c>
      <c r="D465" s="149">
        <f t="shared" si="28"/>
        <v>0</v>
      </c>
      <c r="E465" s="149">
        <f t="shared" si="29"/>
        <v>0</v>
      </c>
      <c r="F465" s="148"/>
      <c r="G465" s="143"/>
      <c r="H465" s="137"/>
      <c r="I465" s="143"/>
    </row>
    <row r="466" spans="1:9">
      <c r="A466" s="170">
        <v>411</v>
      </c>
      <c r="B466" s="149">
        <f t="shared" si="26"/>
        <v>0</v>
      </c>
      <c r="C466" s="149">
        <f t="shared" si="27"/>
        <v>0</v>
      </c>
      <c r="D466" s="149">
        <f t="shared" si="28"/>
        <v>0</v>
      </c>
      <c r="E466" s="149">
        <f t="shared" si="29"/>
        <v>0</v>
      </c>
      <c r="F466" s="148"/>
      <c r="G466" s="143"/>
      <c r="H466" s="137"/>
      <c r="I466" s="143"/>
    </row>
    <row r="467" spans="1:9">
      <c r="A467" s="170">
        <v>412</v>
      </c>
      <c r="B467" s="149">
        <f t="shared" si="26"/>
        <v>0</v>
      </c>
      <c r="C467" s="149">
        <f t="shared" si="27"/>
        <v>0</v>
      </c>
      <c r="D467" s="149">
        <f t="shared" si="28"/>
        <v>0</v>
      </c>
      <c r="E467" s="149">
        <f t="shared" si="29"/>
        <v>0</v>
      </c>
      <c r="F467" s="148"/>
      <c r="G467" s="143"/>
      <c r="H467" s="137"/>
      <c r="I467" s="143"/>
    </row>
    <row r="468" spans="1:9">
      <c r="A468" s="170">
        <v>413</v>
      </c>
      <c r="B468" s="149">
        <f t="shared" si="26"/>
        <v>0</v>
      </c>
      <c r="C468" s="149">
        <f t="shared" si="27"/>
        <v>0</v>
      </c>
      <c r="D468" s="149">
        <f t="shared" si="28"/>
        <v>0</v>
      </c>
      <c r="E468" s="149">
        <f t="shared" si="29"/>
        <v>0</v>
      </c>
      <c r="F468" s="148"/>
      <c r="G468" s="143"/>
      <c r="H468" s="137"/>
      <c r="I468" s="143"/>
    </row>
    <row r="469" spans="1:9">
      <c r="A469" s="170">
        <v>414</v>
      </c>
      <c r="B469" s="149">
        <f t="shared" si="26"/>
        <v>0</v>
      </c>
      <c r="C469" s="149">
        <f t="shared" si="27"/>
        <v>0</v>
      </c>
      <c r="D469" s="149">
        <f t="shared" si="28"/>
        <v>0</v>
      </c>
      <c r="E469" s="149">
        <f t="shared" si="29"/>
        <v>0</v>
      </c>
      <c r="F469" s="148"/>
      <c r="G469" s="169"/>
      <c r="H469" s="153"/>
      <c r="I469" s="143"/>
    </row>
    <row r="470" spans="1:9">
      <c r="A470" s="170">
        <v>415</v>
      </c>
      <c r="B470" s="149">
        <f t="shared" si="26"/>
        <v>0</v>
      </c>
      <c r="C470" s="149">
        <f t="shared" si="27"/>
        <v>0</v>
      </c>
      <c r="D470" s="149">
        <f t="shared" si="28"/>
        <v>0</v>
      </c>
      <c r="E470" s="149">
        <f t="shared" si="29"/>
        <v>0</v>
      </c>
      <c r="F470" s="148"/>
      <c r="G470" s="143"/>
      <c r="H470" s="137"/>
      <c r="I470" s="143"/>
    </row>
    <row r="471" spans="1:9">
      <c r="A471" s="170">
        <v>416</v>
      </c>
      <c r="B471" s="149">
        <f t="shared" si="26"/>
        <v>0</v>
      </c>
      <c r="C471" s="149">
        <f t="shared" si="27"/>
        <v>0</v>
      </c>
      <c r="D471" s="149">
        <f t="shared" si="28"/>
        <v>0</v>
      </c>
      <c r="E471" s="149">
        <f t="shared" si="29"/>
        <v>0</v>
      </c>
      <c r="F471" s="148"/>
      <c r="G471" s="143"/>
      <c r="H471" s="137"/>
      <c r="I471" s="143"/>
    </row>
    <row r="472" spans="1:9">
      <c r="A472" s="170">
        <v>417</v>
      </c>
      <c r="B472" s="149">
        <f t="shared" si="26"/>
        <v>0</v>
      </c>
      <c r="C472" s="149">
        <f t="shared" si="27"/>
        <v>0</v>
      </c>
      <c r="D472" s="149">
        <f t="shared" si="28"/>
        <v>0</v>
      </c>
      <c r="E472" s="149">
        <f t="shared" si="29"/>
        <v>0</v>
      </c>
      <c r="F472" s="148"/>
      <c r="G472" s="143"/>
      <c r="H472" s="137"/>
      <c r="I472" s="143"/>
    </row>
    <row r="473" spans="1:9">
      <c r="A473" s="170">
        <v>418</v>
      </c>
      <c r="B473" s="149">
        <f t="shared" si="26"/>
        <v>0</v>
      </c>
      <c r="C473" s="149">
        <f t="shared" si="27"/>
        <v>0</v>
      </c>
      <c r="D473" s="149">
        <f t="shared" si="28"/>
        <v>0</v>
      </c>
      <c r="E473" s="149">
        <f t="shared" si="29"/>
        <v>0</v>
      </c>
      <c r="F473" s="148"/>
      <c r="G473" s="143"/>
      <c r="H473" s="137"/>
      <c r="I473" s="143"/>
    </row>
    <row r="474" spans="1:9">
      <c r="A474" s="170">
        <v>419</v>
      </c>
      <c r="B474" s="149">
        <f t="shared" si="26"/>
        <v>0</v>
      </c>
      <c r="C474" s="149">
        <f t="shared" si="27"/>
        <v>0</v>
      </c>
      <c r="D474" s="149">
        <f t="shared" si="28"/>
        <v>0</v>
      </c>
      <c r="E474" s="149">
        <f t="shared" si="29"/>
        <v>0</v>
      </c>
      <c r="F474" s="148"/>
      <c r="G474" s="143"/>
      <c r="H474" s="137"/>
      <c r="I474" s="143"/>
    </row>
    <row r="475" spans="1:9">
      <c r="A475" s="170">
        <v>420</v>
      </c>
      <c r="B475" s="149">
        <f t="shared" si="26"/>
        <v>0</v>
      </c>
      <c r="C475" s="149">
        <f t="shared" si="27"/>
        <v>0</v>
      </c>
      <c r="D475" s="149">
        <f t="shared" si="28"/>
        <v>0</v>
      </c>
      <c r="E475" s="149">
        <f t="shared" si="29"/>
        <v>0</v>
      </c>
      <c r="F475" s="148">
        <v>35</v>
      </c>
      <c r="G475" s="169"/>
      <c r="H475" s="153"/>
      <c r="I475" s="169"/>
    </row>
    <row r="476" spans="1:9">
      <c r="A476" s="170">
        <v>421</v>
      </c>
      <c r="B476" s="149">
        <f t="shared" si="26"/>
        <v>0</v>
      </c>
      <c r="C476" s="149">
        <f t="shared" si="27"/>
        <v>0</v>
      </c>
      <c r="D476" s="149">
        <f t="shared" si="28"/>
        <v>0</v>
      </c>
      <c r="E476" s="149">
        <f t="shared" si="29"/>
        <v>0</v>
      </c>
      <c r="F476" s="148"/>
      <c r="G476" s="143"/>
      <c r="H476" s="137"/>
      <c r="I476" s="169"/>
    </row>
    <row r="477" spans="1:9">
      <c r="A477" s="170">
        <v>422</v>
      </c>
      <c r="B477" s="149">
        <f t="shared" si="26"/>
        <v>0</v>
      </c>
      <c r="C477" s="149">
        <f t="shared" si="27"/>
        <v>0</v>
      </c>
      <c r="D477" s="149">
        <f t="shared" si="28"/>
        <v>0</v>
      </c>
      <c r="E477" s="149">
        <f t="shared" si="29"/>
        <v>0</v>
      </c>
      <c r="F477" s="148"/>
      <c r="G477" s="143"/>
      <c r="H477" s="137"/>
      <c r="I477" s="143"/>
    </row>
    <row r="478" spans="1:9">
      <c r="A478" s="170">
        <v>423</v>
      </c>
      <c r="B478" s="149">
        <f t="shared" si="26"/>
        <v>0</v>
      </c>
      <c r="C478" s="149">
        <f t="shared" si="27"/>
        <v>0</v>
      </c>
      <c r="D478" s="149">
        <f t="shared" si="28"/>
        <v>0</v>
      </c>
      <c r="E478" s="149">
        <f t="shared" si="29"/>
        <v>0</v>
      </c>
      <c r="F478" s="148"/>
      <c r="G478" s="143"/>
      <c r="H478" s="137"/>
      <c r="I478" s="143"/>
    </row>
    <row r="479" spans="1:9">
      <c r="A479" s="170">
        <v>424</v>
      </c>
      <c r="B479" s="149">
        <f t="shared" si="26"/>
        <v>0</v>
      </c>
      <c r="C479" s="149">
        <f t="shared" si="27"/>
        <v>0</v>
      </c>
      <c r="D479" s="149">
        <f t="shared" si="28"/>
        <v>0</v>
      </c>
      <c r="E479" s="149">
        <f t="shared" si="29"/>
        <v>0</v>
      </c>
      <c r="F479" s="148"/>
      <c r="G479" s="143"/>
      <c r="H479" s="137"/>
      <c r="I479" s="143"/>
    </row>
    <row r="480" spans="1:9">
      <c r="A480" s="170">
        <v>425</v>
      </c>
      <c r="B480" s="149">
        <f t="shared" si="26"/>
        <v>0</v>
      </c>
      <c r="C480" s="149">
        <f t="shared" si="27"/>
        <v>0</v>
      </c>
      <c r="D480" s="149">
        <f t="shared" si="28"/>
        <v>0</v>
      </c>
      <c r="E480" s="149">
        <f t="shared" si="29"/>
        <v>0</v>
      </c>
      <c r="F480" s="148"/>
      <c r="G480" s="143"/>
      <c r="H480" s="137"/>
      <c r="I480" s="143"/>
    </row>
    <row r="481" spans="1:9">
      <c r="A481" s="170">
        <v>426</v>
      </c>
      <c r="B481" s="149">
        <f t="shared" si="26"/>
        <v>0</v>
      </c>
      <c r="C481" s="149">
        <f t="shared" si="27"/>
        <v>0</v>
      </c>
      <c r="D481" s="149">
        <f t="shared" si="28"/>
        <v>0</v>
      </c>
      <c r="E481" s="149">
        <f t="shared" si="29"/>
        <v>0</v>
      </c>
      <c r="F481" s="148"/>
      <c r="G481" s="169"/>
      <c r="H481" s="153"/>
      <c r="I481" s="143"/>
    </row>
    <row r="482" spans="1:9">
      <c r="A482" s="170">
        <v>427</v>
      </c>
      <c r="B482" s="149">
        <f t="shared" si="26"/>
        <v>0</v>
      </c>
      <c r="C482" s="149">
        <f t="shared" si="27"/>
        <v>0</v>
      </c>
      <c r="D482" s="149">
        <f t="shared" si="28"/>
        <v>0</v>
      </c>
      <c r="E482" s="149">
        <f t="shared" si="29"/>
        <v>0</v>
      </c>
      <c r="F482" s="148"/>
      <c r="G482" s="143"/>
      <c r="H482" s="137"/>
      <c r="I482" s="143"/>
    </row>
    <row r="483" spans="1:9">
      <c r="A483" s="170">
        <v>428</v>
      </c>
      <c r="B483" s="149">
        <f t="shared" si="26"/>
        <v>0</v>
      </c>
      <c r="C483" s="149">
        <f t="shared" si="27"/>
        <v>0</v>
      </c>
      <c r="D483" s="149">
        <f t="shared" si="28"/>
        <v>0</v>
      </c>
      <c r="E483" s="149">
        <f t="shared" si="29"/>
        <v>0</v>
      </c>
      <c r="F483" s="148"/>
      <c r="G483" s="143"/>
      <c r="H483" s="137"/>
      <c r="I483" s="143"/>
    </row>
    <row r="484" spans="1:9">
      <c r="A484" s="170">
        <v>429</v>
      </c>
      <c r="B484" s="149">
        <f t="shared" si="26"/>
        <v>0</v>
      </c>
      <c r="C484" s="149">
        <f t="shared" si="27"/>
        <v>0</v>
      </c>
      <c r="D484" s="149">
        <f t="shared" si="28"/>
        <v>0</v>
      </c>
      <c r="E484" s="149">
        <f t="shared" si="29"/>
        <v>0</v>
      </c>
      <c r="F484" s="148"/>
      <c r="G484" s="143"/>
      <c r="H484" s="137"/>
      <c r="I484" s="143"/>
    </row>
    <row r="485" spans="1:9">
      <c r="A485" s="170">
        <v>430</v>
      </c>
      <c r="B485" s="149">
        <f t="shared" si="26"/>
        <v>0</v>
      </c>
      <c r="C485" s="149">
        <f t="shared" si="27"/>
        <v>0</v>
      </c>
      <c r="D485" s="149">
        <f t="shared" si="28"/>
        <v>0</v>
      </c>
      <c r="E485" s="149">
        <f t="shared" si="29"/>
        <v>0</v>
      </c>
      <c r="F485" s="148"/>
      <c r="G485" s="143"/>
      <c r="H485" s="137"/>
      <c r="I485" s="143"/>
    </row>
    <row r="486" spans="1:9">
      <c r="A486" s="170">
        <v>431</v>
      </c>
      <c r="B486" s="149">
        <f t="shared" si="26"/>
        <v>0</v>
      </c>
      <c r="C486" s="149">
        <f t="shared" si="27"/>
        <v>0</v>
      </c>
      <c r="D486" s="149">
        <f t="shared" si="28"/>
        <v>0</v>
      </c>
      <c r="E486" s="149">
        <f t="shared" si="29"/>
        <v>0</v>
      </c>
      <c r="F486" s="148"/>
      <c r="G486" s="143"/>
      <c r="H486" s="137"/>
      <c r="I486" s="143"/>
    </row>
    <row r="487" spans="1:9">
      <c r="A487" s="170">
        <v>432</v>
      </c>
      <c r="B487" s="149">
        <f t="shared" si="26"/>
        <v>0</v>
      </c>
      <c r="C487" s="149">
        <f t="shared" si="27"/>
        <v>0</v>
      </c>
      <c r="D487" s="149">
        <f t="shared" si="28"/>
        <v>0</v>
      </c>
      <c r="E487" s="149">
        <f t="shared" si="29"/>
        <v>0</v>
      </c>
      <c r="F487" s="148">
        <v>36</v>
      </c>
      <c r="G487" s="169"/>
      <c r="H487" s="153"/>
      <c r="I487" s="169"/>
    </row>
    <row r="488" spans="1:9">
      <c r="A488" s="170">
        <v>433</v>
      </c>
      <c r="B488" s="149">
        <f t="shared" si="26"/>
        <v>0</v>
      </c>
      <c r="C488" s="149">
        <f t="shared" si="27"/>
        <v>0</v>
      </c>
      <c r="D488" s="149">
        <f t="shared" si="28"/>
        <v>0</v>
      </c>
      <c r="E488" s="149">
        <f t="shared" si="29"/>
        <v>0</v>
      </c>
      <c r="F488" s="148"/>
      <c r="G488" s="143"/>
      <c r="H488" s="137"/>
      <c r="I488" s="169"/>
    </row>
    <row r="489" spans="1:9">
      <c r="A489" s="170">
        <v>434</v>
      </c>
      <c r="B489" s="149">
        <f t="shared" si="26"/>
        <v>0</v>
      </c>
      <c r="C489" s="149">
        <f t="shared" si="27"/>
        <v>0</v>
      </c>
      <c r="D489" s="149">
        <f t="shared" si="28"/>
        <v>0</v>
      </c>
      <c r="E489" s="149">
        <f t="shared" si="29"/>
        <v>0</v>
      </c>
      <c r="F489" s="148"/>
      <c r="G489" s="143"/>
      <c r="H489" s="137"/>
      <c r="I489" s="143"/>
    </row>
    <row r="490" spans="1:9">
      <c r="A490" s="170">
        <v>435</v>
      </c>
      <c r="B490" s="149">
        <f t="shared" si="26"/>
        <v>0</v>
      </c>
      <c r="C490" s="149">
        <f t="shared" si="27"/>
        <v>0</v>
      </c>
      <c r="D490" s="149">
        <f t="shared" si="28"/>
        <v>0</v>
      </c>
      <c r="E490" s="149">
        <f t="shared" si="29"/>
        <v>0</v>
      </c>
      <c r="F490" s="148"/>
      <c r="G490" s="143"/>
      <c r="H490" s="137"/>
      <c r="I490" s="143"/>
    </row>
    <row r="491" spans="1:9">
      <c r="A491" s="170">
        <v>436</v>
      </c>
      <c r="B491" s="149">
        <f t="shared" si="26"/>
        <v>0</v>
      </c>
      <c r="C491" s="149">
        <f t="shared" si="27"/>
        <v>0</v>
      </c>
      <c r="D491" s="149">
        <f t="shared" si="28"/>
        <v>0</v>
      </c>
      <c r="E491" s="149">
        <f t="shared" si="29"/>
        <v>0</v>
      </c>
      <c r="F491" s="148"/>
      <c r="G491" s="143"/>
      <c r="H491" s="137"/>
      <c r="I491" s="143"/>
    </row>
    <row r="492" spans="1:9">
      <c r="A492" s="170">
        <v>437</v>
      </c>
      <c r="B492" s="149">
        <f t="shared" si="26"/>
        <v>0</v>
      </c>
      <c r="C492" s="149">
        <f t="shared" si="27"/>
        <v>0</v>
      </c>
      <c r="D492" s="149">
        <f t="shared" si="28"/>
        <v>0</v>
      </c>
      <c r="E492" s="149">
        <f t="shared" si="29"/>
        <v>0</v>
      </c>
      <c r="F492" s="148"/>
      <c r="G492" s="143"/>
      <c r="H492" s="137"/>
      <c r="I492" s="143"/>
    </row>
    <row r="493" spans="1:9">
      <c r="A493" s="170">
        <v>438</v>
      </c>
      <c r="B493" s="149">
        <f t="shared" si="26"/>
        <v>0</v>
      </c>
      <c r="C493" s="149">
        <f t="shared" si="27"/>
        <v>0</v>
      </c>
      <c r="D493" s="149">
        <f t="shared" si="28"/>
        <v>0</v>
      </c>
      <c r="E493" s="149">
        <f t="shared" si="29"/>
        <v>0</v>
      </c>
      <c r="F493" s="148"/>
      <c r="G493" s="169"/>
      <c r="H493" s="153"/>
      <c r="I493" s="143"/>
    </row>
    <row r="494" spans="1:9">
      <c r="A494" s="170">
        <v>439</v>
      </c>
      <c r="B494" s="149">
        <f t="shared" si="26"/>
        <v>0</v>
      </c>
      <c r="C494" s="149">
        <f t="shared" si="27"/>
        <v>0</v>
      </c>
      <c r="D494" s="149">
        <f t="shared" si="28"/>
        <v>0</v>
      </c>
      <c r="E494" s="149">
        <f t="shared" si="29"/>
        <v>0</v>
      </c>
      <c r="F494" s="148"/>
      <c r="G494" s="143"/>
      <c r="H494" s="137"/>
      <c r="I494" s="143"/>
    </row>
    <row r="495" spans="1:9">
      <c r="A495" s="170">
        <v>440</v>
      </c>
      <c r="B495" s="149">
        <f t="shared" si="26"/>
        <v>0</v>
      </c>
      <c r="C495" s="149">
        <f t="shared" si="27"/>
        <v>0</v>
      </c>
      <c r="D495" s="149">
        <f t="shared" si="28"/>
        <v>0</v>
      </c>
      <c r="E495" s="149">
        <f t="shared" si="29"/>
        <v>0</v>
      </c>
      <c r="F495" s="148"/>
      <c r="G495" s="143"/>
      <c r="H495" s="137"/>
      <c r="I495" s="143"/>
    </row>
    <row r="496" spans="1:9">
      <c r="A496" s="170">
        <v>441</v>
      </c>
      <c r="B496" s="149">
        <f t="shared" si="26"/>
        <v>0</v>
      </c>
      <c r="C496" s="149">
        <f t="shared" si="27"/>
        <v>0</v>
      </c>
      <c r="D496" s="149">
        <f t="shared" si="28"/>
        <v>0</v>
      </c>
      <c r="E496" s="149">
        <f t="shared" si="29"/>
        <v>0</v>
      </c>
      <c r="F496" s="148"/>
      <c r="G496" s="143"/>
      <c r="H496" s="137"/>
      <c r="I496" s="143"/>
    </row>
    <row r="497" spans="1:9">
      <c r="A497" s="170">
        <v>442</v>
      </c>
      <c r="B497" s="149">
        <f t="shared" si="26"/>
        <v>0</v>
      </c>
      <c r="C497" s="149">
        <f t="shared" si="27"/>
        <v>0</v>
      </c>
      <c r="D497" s="149">
        <f t="shared" si="28"/>
        <v>0</v>
      </c>
      <c r="E497" s="149">
        <f t="shared" si="29"/>
        <v>0</v>
      </c>
      <c r="F497" s="148"/>
      <c r="G497" s="143"/>
      <c r="H497" s="137"/>
      <c r="I497" s="143"/>
    </row>
    <row r="498" spans="1:9">
      <c r="A498" s="170">
        <v>443</v>
      </c>
      <c r="B498" s="149">
        <f t="shared" si="26"/>
        <v>0</v>
      </c>
      <c r="C498" s="149">
        <f t="shared" si="27"/>
        <v>0</v>
      </c>
      <c r="D498" s="149">
        <f t="shared" si="28"/>
        <v>0</v>
      </c>
      <c r="E498" s="149">
        <f t="shared" si="29"/>
        <v>0</v>
      </c>
      <c r="F498" s="148"/>
      <c r="G498" s="143"/>
      <c r="H498" s="137"/>
      <c r="I498" s="143"/>
    </row>
    <row r="499" spans="1:9">
      <c r="A499" s="170">
        <v>444</v>
      </c>
      <c r="B499" s="149">
        <f t="shared" si="26"/>
        <v>0</v>
      </c>
      <c r="C499" s="149">
        <f t="shared" si="27"/>
        <v>0</v>
      </c>
      <c r="D499" s="149">
        <f t="shared" si="28"/>
        <v>0</v>
      </c>
      <c r="E499" s="149">
        <f t="shared" si="29"/>
        <v>0</v>
      </c>
      <c r="F499" s="148">
        <v>37</v>
      </c>
      <c r="G499" s="169"/>
      <c r="H499" s="153"/>
      <c r="I499" s="169"/>
    </row>
    <row r="500" spans="1:9">
      <c r="A500" s="170">
        <v>445</v>
      </c>
      <c r="B500" s="149">
        <f t="shared" si="26"/>
        <v>0</v>
      </c>
      <c r="C500" s="149">
        <f t="shared" si="27"/>
        <v>0</v>
      </c>
      <c r="D500" s="149">
        <f t="shared" si="28"/>
        <v>0</v>
      </c>
      <c r="E500" s="149">
        <f t="shared" si="29"/>
        <v>0</v>
      </c>
      <c r="F500" s="148"/>
      <c r="G500" s="143"/>
      <c r="H500" s="137"/>
      <c r="I500" s="169"/>
    </row>
    <row r="501" spans="1:9">
      <c r="A501" s="170">
        <v>446</v>
      </c>
      <c r="B501" s="149">
        <f t="shared" si="26"/>
        <v>0</v>
      </c>
      <c r="C501" s="149">
        <f t="shared" si="27"/>
        <v>0</v>
      </c>
      <c r="D501" s="149">
        <f t="shared" si="28"/>
        <v>0</v>
      </c>
      <c r="E501" s="149">
        <f t="shared" si="29"/>
        <v>0</v>
      </c>
      <c r="F501" s="148"/>
      <c r="G501" s="143"/>
      <c r="H501" s="137"/>
      <c r="I501" s="143"/>
    </row>
    <row r="502" spans="1:9">
      <c r="A502" s="170">
        <v>447</v>
      </c>
      <c r="B502" s="149">
        <f t="shared" si="26"/>
        <v>0</v>
      </c>
      <c r="C502" s="149">
        <f t="shared" si="27"/>
        <v>0</v>
      </c>
      <c r="D502" s="149">
        <f t="shared" si="28"/>
        <v>0</v>
      </c>
      <c r="E502" s="149">
        <f t="shared" si="29"/>
        <v>0</v>
      </c>
      <c r="F502" s="148"/>
      <c r="G502" s="143"/>
      <c r="H502" s="137"/>
      <c r="I502" s="143"/>
    </row>
    <row r="503" spans="1:9">
      <c r="A503" s="170">
        <v>448</v>
      </c>
      <c r="B503" s="149">
        <f t="shared" si="26"/>
        <v>0</v>
      </c>
      <c r="C503" s="149">
        <f t="shared" si="27"/>
        <v>0</v>
      </c>
      <c r="D503" s="149">
        <f t="shared" si="28"/>
        <v>0</v>
      </c>
      <c r="E503" s="149">
        <f t="shared" si="29"/>
        <v>0</v>
      </c>
      <c r="F503" s="148"/>
      <c r="G503" s="143"/>
      <c r="H503" s="137"/>
      <c r="I503" s="143"/>
    </row>
    <row r="504" spans="1:9">
      <c r="A504" s="170">
        <v>449</v>
      </c>
      <c r="B504" s="149">
        <f t="shared" ref="B504:B535" si="30">IF(A504&gt;12*$D$14,0,$D$20)</f>
        <v>0</v>
      </c>
      <c r="C504" s="149">
        <f t="shared" ref="C504:C535" si="31">IF(A504&gt;12*$D$14,0,E503*$D$10/12)</f>
        <v>0</v>
      </c>
      <c r="D504" s="149">
        <f t="shared" ref="D504:D535" si="32">IF(A504&gt;12*$D$14,0,B504-C504)</f>
        <v>0</v>
      </c>
      <c r="E504" s="149">
        <f t="shared" ref="E504:E535" si="33">IF(A504&gt;12*$D$14,0,E503-D504)</f>
        <v>0</v>
      </c>
      <c r="F504" s="148"/>
      <c r="G504" s="143"/>
      <c r="H504" s="137"/>
      <c r="I504" s="143"/>
    </row>
    <row r="505" spans="1:9">
      <c r="A505" s="170">
        <v>450</v>
      </c>
      <c r="B505" s="149">
        <f t="shared" si="30"/>
        <v>0</v>
      </c>
      <c r="C505" s="149">
        <f t="shared" si="31"/>
        <v>0</v>
      </c>
      <c r="D505" s="149">
        <f t="shared" si="32"/>
        <v>0</v>
      </c>
      <c r="E505" s="149">
        <f t="shared" si="33"/>
        <v>0</v>
      </c>
      <c r="F505" s="148"/>
      <c r="G505" s="169"/>
      <c r="H505" s="153"/>
      <c r="I505" s="143"/>
    </row>
    <row r="506" spans="1:9">
      <c r="A506" s="170">
        <v>451</v>
      </c>
      <c r="B506" s="149">
        <f t="shared" si="30"/>
        <v>0</v>
      </c>
      <c r="C506" s="149">
        <f t="shared" si="31"/>
        <v>0</v>
      </c>
      <c r="D506" s="149">
        <f t="shared" si="32"/>
        <v>0</v>
      </c>
      <c r="E506" s="149">
        <f t="shared" si="33"/>
        <v>0</v>
      </c>
      <c r="F506" s="148"/>
      <c r="G506" s="143"/>
      <c r="H506" s="137"/>
      <c r="I506" s="143"/>
    </row>
    <row r="507" spans="1:9">
      <c r="A507" s="170">
        <v>452</v>
      </c>
      <c r="B507" s="149">
        <f t="shared" si="30"/>
        <v>0</v>
      </c>
      <c r="C507" s="149">
        <f t="shared" si="31"/>
        <v>0</v>
      </c>
      <c r="D507" s="149">
        <f t="shared" si="32"/>
        <v>0</v>
      </c>
      <c r="E507" s="149">
        <f t="shared" si="33"/>
        <v>0</v>
      </c>
      <c r="F507" s="148"/>
      <c r="G507" s="143"/>
      <c r="H507" s="137"/>
      <c r="I507" s="143"/>
    </row>
    <row r="508" spans="1:9">
      <c r="A508" s="170">
        <v>453</v>
      </c>
      <c r="B508" s="149">
        <f t="shared" si="30"/>
        <v>0</v>
      </c>
      <c r="C508" s="149">
        <f t="shared" si="31"/>
        <v>0</v>
      </c>
      <c r="D508" s="149">
        <f t="shared" si="32"/>
        <v>0</v>
      </c>
      <c r="E508" s="149">
        <f t="shared" si="33"/>
        <v>0</v>
      </c>
      <c r="F508" s="148"/>
      <c r="G508" s="143"/>
      <c r="H508" s="137"/>
      <c r="I508" s="143"/>
    </row>
    <row r="509" spans="1:9">
      <c r="A509" s="170">
        <v>454</v>
      </c>
      <c r="B509" s="149">
        <f t="shared" si="30"/>
        <v>0</v>
      </c>
      <c r="C509" s="149">
        <f t="shared" si="31"/>
        <v>0</v>
      </c>
      <c r="D509" s="149">
        <f t="shared" si="32"/>
        <v>0</v>
      </c>
      <c r="E509" s="149">
        <f t="shared" si="33"/>
        <v>0</v>
      </c>
      <c r="F509" s="148"/>
      <c r="G509" s="143"/>
      <c r="H509" s="137"/>
      <c r="I509" s="143"/>
    </row>
    <row r="510" spans="1:9">
      <c r="A510" s="170">
        <v>455</v>
      </c>
      <c r="B510" s="149">
        <f t="shared" si="30"/>
        <v>0</v>
      </c>
      <c r="C510" s="149">
        <f t="shared" si="31"/>
        <v>0</v>
      </c>
      <c r="D510" s="149">
        <f t="shared" si="32"/>
        <v>0</v>
      </c>
      <c r="E510" s="149">
        <f t="shared" si="33"/>
        <v>0</v>
      </c>
      <c r="F510" s="148"/>
      <c r="G510" s="143"/>
      <c r="H510" s="137"/>
      <c r="I510" s="143"/>
    </row>
    <row r="511" spans="1:9">
      <c r="A511" s="170">
        <v>456</v>
      </c>
      <c r="B511" s="149">
        <f t="shared" si="30"/>
        <v>0</v>
      </c>
      <c r="C511" s="149">
        <f t="shared" si="31"/>
        <v>0</v>
      </c>
      <c r="D511" s="149">
        <f t="shared" si="32"/>
        <v>0</v>
      </c>
      <c r="E511" s="149">
        <f t="shared" si="33"/>
        <v>0</v>
      </c>
      <c r="F511" s="150">
        <v>38</v>
      </c>
      <c r="G511" s="143"/>
      <c r="H511" s="137"/>
      <c r="I511" s="143"/>
    </row>
    <row r="512" spans="1:9">
      <c r="A512" s="170">
        <v>457</v>
      </c>
      <c r="B512" s="149">
        <f t="shared" si="30"/>
        <v>0</v>
      </c>
      <c r="C512" s="149">
        <f t="shared" si="31"/>
        <v>0</v>
      </c>
      <c r="D512" s="149">
        <f t="shared" si="32"/>
        <v>0</v>
      </c>
      <c r="E512" s="149">
        <f t="shared" si="33"/>
        <v>0</v>
      </c>
      <c r="F512" s="148"/>
      <c r="G512" s="143"/>
      <c r="H512" s="137"/>
      <c r="I512" s="143"/>
    </row>
    <row r="513" spans="1:9">
      <c r="A513" s="170">
        <v>458</v>
      </c>
      <c r="B513" s="149">
        <f t="shared" si="30"/>
        <v>0</v>
      </c>
      <c r="C513" s="149">
        <f t="shared" si="31"/>
        <v>0</v>
      </c>
      <c r="D513" s="149">
        <f t="shared" si="32"/>
        <v>0</v>
      </c>
      <c r="E513" s="149">
        <f t="shared" si="33"/>
        <v>0</v>
      </c>
      <c r="F513" s="148"/>
      <c r="G513" s="143"/>
      <c r="H513" s="137"/>
      <c r="I513" s="143"/>
    </row>
    <row r="514" spans="1:9">
      <c r="A514" s="170">
        <v>459</v>
      </c>
      <c r="B514" s="149">
        <f t="shared" si="30"/>
        <v>0</v>
      </c>
      <c r="C514" s="149">
        <f t="shared" si="31"/>
        <v>0</v>
      </c>
      <c r="D514" s="149">
        <f t="shared" si="32"/>
        <v>0</v>
      </c>
      <c r="E514" s="149">
        <f t="shared" si="33"/>
        <v>0</v>
      </c>
      <c r="F514" s="148"/>
      <c r="G514" s="143"/>
      <c r="H514" s="137"/>
      <c r="I514" s="143"/>
    </row>
    <row r="515" spans="1:9">
      <c r="A515" s="170">
        <v>460</v>
      </c>
      <c r="B515" s="149">
        <f t="shared" si="30"/>
        <v>0</v>
      </c>
      <c r="C515" s="149">
        <f t="shared" si="31"/>
        <v>0</v>
      </c>
      <c r="D515" s="149">
        <f t="shared" si="32"/>
        <v>0</v>
      </c>
      <c r="E515" s="149">
        <f t="shared" si="33"/>
        <v>0</v>
      </c>
      <c r="F515" s="148"/>
      <c r="G515" s="143"/>
      <c r="H515" s="137"/>
      <c r="I515" s="143"/>
    </row>
    <row r="516" spans="1:9">
      <c r="A516" s="170">
        <v>461</v>
      </c>
      <c r="B516" s="149">
        <f t="shared" si="30"/>
        <v>0</v>
      </c>
      <c r="C516" s="149">
        <f t="shared" si="31"/>
        <v>0</v>
      </c>
      <c r="D516" s="149">
        <f t="shared" si="32"/>
        <v>0</v>
      </c>
      <c r="E516" s="149">
        <f t="shared" si="33"/>
        <v>0</v>
      </c>
      <c r="F516" s="148"/>
      <c r="G516" s="143"/>
      <c r="H516" s="137"/>
      <c r="I516" s="143"/>
    </row>
    <row r="517" spans="1:9">
      <c r="A517" s="170">
        <v>462</v>
      </c>
      <c r="B517" s="149">
        <f t="shared" si="30"/>
        <v>0</v>
      </c>
      <c r="C517" s="149">
        <f t="shared" si="31"/>
        <v>0</v>
      </c>
      <c r="D517" s="149">
        <f t="shared" si="32"/>
        <v>0</v>
      </c>
      <c r="E517" s="149">
        <f t="shared" si="33"/>
        <v>0</v>
      </c>
      <c r="F517" s="148"/>
      <c r="G517" s="143"/>
      <c r="H517" s="137"/>
      <c r="I517" s="143"/>
    </row>
    <row r="518" spans="1:9">
      <c r="A518" s="170">
        <v>463</v>
      </c>
      <c r="B518" s="149">
        <f t="shared" si="30"/>
        <v>0</v>
      </c>
      <c r="C518" s="149">
        <f t="shared" si="31"/>
        <v>0</v>
      </c>
      <c r="D518" s="149">
        <f t="shared" si="32"/>
        <v>0</v>
      </c>
      <c r="E518" s="149">
        <f t="shared" si="33"/>
        <v>0</v>
      </c>
      <c r="F518" s="148"/>
      <c r="G518" s="143"/>
      <c r="H518" s="137"/>
      <c r="I518" s="143"/>
    </row>
    <row r="519" spans="1:9">
      <c r="A519" s="170">
        <v>464</v>
      </c>
      <c r="B519" s="149">
        <f t="shared" si="30"/>
        <v>0</v>
      </c>
      <c r="C519" s="149">
        <f t="shared" si="31"/>
        <v>0</v>
      </c>
      <c r="D519" s="149">
        <f t="shared" si="32"/>
        <v>0</v>
      </c>
      <c r="E519" s="149">
        <f t="shared" si="33"/>
        <v>0</v>
      </c>
      <c r="F519" s="148"/>
      <c r="G519" s="143"/>
      <c r="H519" s="137"/>
      <c r="I519" s="143"/>
    </row>
    <row r="520" spans="1:9">
      <c r="A520" s="170">
        <v>465</v>
      </c>
      <c r="B520" s="149">
        <f t="shared" si="30"/>
        <v>0</v>
      </c>
      <c r="C520" s="149">
        <f t="shared" si="31"/>
        <v>0</v>
      </c>
      <c r="D520" s="149">
        <f t="shared" si="32"/>
        <v>0</v>
      </c>
      <c r="E520" s="149">
        <f t="shared" si="33"/>
        <v>0</v>
      </c>
      <c r="F520" s="148"/>
      <c r="G520" s="143"/>
      <c r="H520" s="137"/>
      <c r="I520" s="143"/>
    </row>
    <row r="521" spans="1:9">
      <c r="A521" s="170">
        <v>466</v>
      </c>
      <c r="B521" s="149">
        <f t="shared" si="30"/>
        <v>0</v>
      </c>
      <c r="C521" s="149">
        <f t="shared" si="31"/>
        <v>0</v>
      </c>
      <c r="D521" s="149">
        <f t="shared" si="32"/>
        <v>0</v>
      </c>
      <c r="E521" s="149">
        <f t="shared" si="33"/>
        <v>0</v>
      </c>
      <c r="F521" s="148"/>
      <c r="G521" s="143"/>
      <c r="H521" s="137"/>
      <c r="I521" s="143"/>
    </row>
    <row r="522" spans="1:9">
      <c r="A522" s="170">
        <v>467</v>
      </c>
      <c r="B522" s="149">
        <f t="shared" si="30"/>
        <v>0</v>
      </c>
      <c r="C522" s="149">
        <f t="shared" si="31"/>
        <v>0</v>
      </c>
      <c r="D522" s="149">
        <f t="shared" si="32"/>
        <v>0</v>
      </c>
      <c r="E522" s="149">
        <f t="shared" si="33"/>
        <v>0</v>
      </c>
      <c r="F522" s="148"/>
      <c r="G522" s="143"/>
      <c r="H522" s="137"/>
      <c r="I522" s="143"/>
    </row>
    <row r="523" spans="1:9">
      <c r="A523" s="170">
        <v>468</v>
      </c>
      <c r="B523" s="149">
        <f t="shared" si="30"/>
        <v>0</v>
      </c>
      <c r="C523" s="149">
        <f t="shared" si="31"/>
        <v>0</v>
      </c>
      <c r="D523" s="149">
        <f t="shared" si="32"/>
        <v>0</v>
      </c>
      <c r="E523" s="149">
        <f t="shared" si="33"/>
        <v>0</v>
      </c>
      <c r="F523" s="148">
        <v>39</v>
      </c>
      <c r="G523" s="143"/>
      <c r="H523" s="137"/>
      <c r="I523" s="143"/>
    </row>
    <row r="524" spans="1:9">
      <c r="A524" s="170">
        <v>469</v>
      </c>
      <c r="B524" s="149">
        <f t="shared" si="30"/>
        <v>0</v>
      </c>
      <c r="C524" s="149">
        <f t="shared" si="31"/>
        <v>0</v>
      </c>
      <c r="D524" s="149">
        <f t="shared" si="32"/>
        <v>0</v>
      </c>
      <c r="E524" s="149">
        <f t="shared" si="33"/>
        <v>0</v>
      </c>
      <c r="F524" s="148"/>
      <c r="G524" s="143"/>
      <c r="H524" s="137"/>
      <c r="I524" s="143"/>
    </row>
    <row r="525" spans="1:9">
      <c r="A525" s="170">
        <v>470</v>
      </c>
      <c r="B525" s="149">
        <f t="shared" si="30"/>
        <v>0</v>
      </c>
      <c r="C525" s="149">
        <f t="shared" si="31"/>
        <v>0</v>
      </c>
      <c r="D525" s="149">
        <f t="shared" si="32"/>
        <v>0</v>
      </c>
      <c r="E525" s="149">
        <f t="shared" si="33"/>
        <v>0</v>
      </c>
      <c r="F525" s="148"/>
      <c r="G525" s="143"/>
      <c r="H525" s="137"/>
      <c r="I525" s="143"/>
    </row>
    <row r="526" spans="1:9">
      <c r="A526" s="170">
        <v>471</v>
      </c>
      <c r="B526" s="149">
        <f t="shared" si="30"/>
        <v>0</v>
      </c>
      <c r="C526" s="149">
        <f t="shared" si="31"/>
        <v>0</v>
      </c>
      <c r="D526" s="149">
        <f t="shared" si="32"/>
        <v>0</v>
      </c>
      <c r="E526" s="149">
        <f t="shared" si="33"/>
        <v>0</v>
      </c>
      <c r="F526" s="148"/>
      <c r="G526" s="143"/>
      <c r="H526" s="137"/>
      <c r="I526" s="143"/>
    </row>
    <row r="527" spans="1:9">
      <c r="A527" s="170">
        <v>472</v>
      </c>
      <c r="B527" s="149">
        <f t="shared" si="30"/>
        <v>0</v>
      </c>
      <c r="C527" s="149">
        <f t="shared" si="31"/>
        <v>0</v>
      </c>
      <c r="D527" s="149">
        <f t="shared" si="32"/>
        <v>0</v>
      </c>
      <c r="E527" s="149">
        <f t="shared" si="33"/>
        <v>0</v>
      </c>
      <c r="F527" s="148"/>
      <c r="G527" s="143"/>
      <c r="H527" s="137"/>
      <c r="I527" s="143"/>
    </row>
    <row r="528" spans="1:9">
      <c r="A528" s="170">
        <v>473</v>
      </c>
      <c r="B528" s="149">
        <f t="shared" si="30"/>
        <v>0</v>
      </c>
      <c r="C528" s="149">
        <f t="shared" si="31"/>
        <v>0</v>
      </c>
      <c r="D528" s="149">
        <f t="shared" si="32"/>
        <v>0</v>
      </c>
      <c r="E528" s="149">
        <f t="shared" si="33"/>
        <v>0</v>
      </c>
      <c r="F528" s="148"/>
      <c r="G528" s="143"/>
      <c r="H528" s="137"/>
      <c r="I528" s="143"/>
    </row>
    <row r="529" spans="1:9">
      <c r="A529" s="170">
        <v>474</v>
      </c>
      <c r="B529" s="149">
        <f t="shared" si="30"/>
        <v>0</v>
      </c>
      <c r="C529" s="149">
        <f t="shared" si="31"/>
        <v>0</v>
      </c>
      <c r="D529" s="149">
        <f t="shared" si="32"/>
        <v>0</v>
      </c>
      <c r="E529" s="149">
        <f t="shared" si="33"/>
        <v>0</v>
      </c>
      <c r="F529" s="148"/>
      <c r="G529" s="143"/>
      <c r="H529" s="137"/>
      <c r="I529" s="143"/>
    </row>
    <row r="530" spans="1:9">
      <c r="A530" s="170">
        <v>475</v>
      </c>
      <c r="B530" s="149">
        <f t="shared" si="30"/>
        <v>0</v>
      </c>
      <c r="C530" s="149">
        <f t="shared" si="31"/>
        <v>0</v>
      </c>
      <c r="D530" s="149">
        <f t="shared" si="32"/>
        <v>0</v>
      </c>
      <c r="E530" s="149">
        <f t="shared" si="33"/>
        <v>0</v>
      </c>
      <c r="F530" s="148"/>
      <c r="G530" s="143"/>
      <c r="H530" s="137"/>
      <c r="I530" s="143"/>
    </row>
    <row r="531" spans="1:9">
      <c r="A531" s="170">
        <v>476</v>
      </c>
      <c r="B531" s="149">
        <f t="shared" si="30"/>
        <v>0</v>
      </c>
      <c r="C531" s="149">
        <f t="shared" si="31"/>
        <v>0</v>
      </c>
      <c r="D531" s="149">
        <f t="shared" si="32"/>
        <v>0</v>
      </c>
      <c r="E531" s="149">
        <f t="shared" si="33"/>
        <v>0</v>
      </c>
      <c r="F531" s="148"/>
      <c r="G531" s="143"/>
      <c r="H531" s="137"/>
      <c r="I531" s="143"/>
    </row>
    <row r="532" spans="1:9">
      <c r="A532" s="170">
        <v>477</v>
      </c>
      <c r="B532" s="149">
        <f t="shared" si="30"/>
        <v>0</v>
      </c>
      <c r="C532" s="149">
        <f t="shared" si="31"/>
        <v>0</v>
      </c>
      <c r="D532" s="149">
        <f t="shared" si="32"/>
        <v>0</v>
      </c>
      <c r="E532" s="149">
        <f t="shared" si="33"/>
        <v>0</v>
      </c>
      <c r="F532" s="148"/>
      <c r="G532" s="143"/>
      <c r="H532" s="137"/>
      <c r="I532" s="143"/>
    </row>
    <row r="533" spans="1:9">
      <c r="A533" s="170">
        <v>478</v>
      </c>
      <c r="B533" s="149">
        <f t="shared" si="30"/>
        <v>0</v>
      </c>
      <c r="C533" s="149">
        <f t="shared" si="31"/>
        <v>0</v>
      </c>
      <c r="D533" s="149">
        <f t="shared" si="32"/>
        <v>0</v>
      </c>
      <c r="E533" s="149">
        <f t="shared" si="33"/>
        <v>0</v>
      </c>
      <c r="F533" s="148"/>
      <c r="G533" s="143"/>
      <c r="H533" s="137"/>
      <c r="I533" s="143"/>
    </row>
    <row r="534" spans="1:9">
      <c r="A534" s="170">
        <v>479</v>
      </c>
      <c r="B534" s="149">
        <f t="shared" si="30"/>
        <v>0</v>
      </c>
      <c r="C534" s="149">
        <f t="shared" si="31"/>
        <v>0</v>
      </c>
      <c r="D534" s="149">
        <f t="shared" si="32"/>
        <v>0</v>
      </c>
      <c r="E534" s="149">
        <f t="shared" si="33"/>
        <v>0</v>
      </c>
      <c r="F534" s="148"/>
      <c r="G534" s="143"/>
      <c r="H534" s="137"/>
      <c r="I534" s="143"/>
    </row>
    <row r="535" spans="1:9">
      <c r="A535" s="170">
        <v>480</v>
      </c>
      <c r="B535" s="149">
        <f t="shared" si="30"/>
        <v>0</v>
      </c>
      <c r="C535" s="149">
        <f t="shared" si="31"/>
        <v>0</v>
      </c>
      <c r="D535" s="149">
        <f t="shared" si="32"/>
        <v>0</v>
      </c>
      <c r="E535" s="149">
        <f t="shared" si="33"/>
        <v>0</v>
      </c>
      <c r="F535" s="148">
        <v>40</v>
      </c>
      <c r="G535" s="143"/>
      <c r="H535" s="137"/>
      <c r="I535" s="143"/>
    </row>
    <row r="536" spans="1:9">
      <c r="A536" s="133"/>
      <c r="G536" s="143"/>
      <c r="H536" s="137"/>
      <c r="I536" s="143"/>
    </row>
    <row r="537" spans="1:9">
      <c r="A537" s="133"/>
      <c r="G537" s="143"/>
      <c r="H537" s="137"/>
      <c r="I537" s="143"/>
    </row>
    <row r="538" spans="1:9">
      <c r="A538" s="133"/>
      <c r="G538" s="143"/>
      <c r="H538" s="137"/>
      <c r="I538" s="143"/>
    </row>
    <row r="539" spans="1:9">
      <c r="A539" s="133"/>
      <c r="G539" s="143"/>
      <c r="H539" s="137"/>
      <c r="I539" s="143"/>
    </row>
    <row r="540" spans="1:9">
      <c r="A540" s="133"/>
      <c r="G540" s="143"/>
      <c r="H540" s="137"/>
      <c r="I540" s="143"/>
    </row>
    <row r="541" spans="1:9">
      <c r="A541" s="133"/>
      <c r="G541" s="143"/>
      <c r="H541" s="137"/>
      <c r="I541" s="143"/>
    </row>
    <row r="542" spans="1:9">
      <c r="A542" s="133"/>
      <c r="G542" s="143"/>
      <c r="H542" s="137"/>
      <c r="I542" s="143"/>
    </row>
    <row r="543" spans="1:9">
      <c r="G543" s="143"/>
      <c r="H543" s="137"/>
      <c r="I543" s="143"/>
    </row>
    <row r="544" spans="1:9">
      <c r="G544" s="143"/>
      <c r="H544" s="137"/>
      <c r="I544" s="143"/>
    </row>
    <row r="545" spans="7:9">
      <c r="G545" s="143"/>
      <c r="H545" s="137"/>
      <c r="I545" s="143"/>
    </row>
    <row r="546" spans="7:9">
      <c r="G546" s="143"/>
      <c r="H546" s="137"/>
      <c r="I546" s="143"/>
    </row>
    <row r="547" spans="7:9">
      <c r="G547" s="143"/>
      <c r="H547" s="137"/>
      <c r="I547" s="143"/>
    </row>
    <row r="548" spans="7:9">
      <c r="G548" s="143"/>
      <c r="H548" s="137"/>
      <c r="I548" s="143"/>
    </row>
    <row r="549" spans="7:9">
      <c r="G549" s="143"/>
      <c r="H549" s="137"/>
      <c r="I549" s="143"/>
    </row>
    <row r="550" spans="7:9">
      <c r="G550" s="143"/>
      <c r="H550" s="137"/>
      <c r="I550" s="143"/>
    </row>
    <row r="551" spans="7:9">
      <c r="G551" s="143"/>
      <c r="H551" s="137"/>
      <c r="I551" s="143"/>
    </row>
    <row r="552" spans="7:9">
      <c r="G552" s="143"/>
      <c r="H552" s="137"/>
      <c r="I552" s="143"/>
    </row>
    <row r="553" spans="7:9">
      <c r="G553" s="143"/>
      <c r="H553" s="137"/>
      <c r="I553" s="143"/>
    </row>
    <row r="554" spans="7:9">
      <c r="G554" s="143"/>
      <c r="H554" s="137"/>
      <c r="I554" s="143"/>
    </row>
    <row r="555" spans="7:9">
      <c r="G555" s="143"/>
      <c r="H555" s="137"/>
      <c r="I555" s="143"/>
    </row>
    <row r="556" spans="7:9">
      <c r="G556" s="143"/>
      <c r="H556" s="137"/>
      <c r="I556" s="143"/>
    </row>
    <row r="557" spans="7:9">
      <c r="G557" s="143"/>
      <c r="H557" s="137"/>
      <c r="I557" s="143"/>
    </row>
    <row r="558" spans="7:9">
      <c r="G558" s="143"/>
      <c r="H558" s="137"/>
      <c r="I558" s="143"/>
    </row>
    <row r="559" spans="7:9">
      <c r="G559" s="143"/>
      <c r="H559" s="137"/>
      <c r="I559" s="143"/>
    </row>
    <row r="560" spans="7:9">
      <c r="G560" s="143"/>
      <c r="H560" s="137"/>
      <c r="I560" s="143"/>
    </row>
    <row r="561" spans="7:9">
      <c r="G561" s="143"/>
      <c r="H561" s="137"/>
      <c r="I561" s="143"/>
    </row>
    <row r="562" spans="7:9">
      <c r="G562" s="143"/>
      <c r="H562" s="137"/>
      <c r="I562" s="143"/>
    </row>
    <row r="563" spans="7:9">
      <c r="G563" s="143"/>
      <c r="H563" s="137"/>
      <c r="I563" s="143"/>
    </row>
    <row r="564" spans="7:9">
      <c r="G564" s="143"/>
      <c r="H564" s="137"/>
      <c r="I564" s="143"/>
    </row>
    <row r="565" spans="7:9">
      <c r="G565" s="143"/>
      <c r="H565" s="137"/>
      <c r="I565" s="143"/>
    </row>
    <row r="566" spans="7:9">
      <c r="G566" s="143"/>
      <c r="H566" s="137"/>
      <c r="I566" s="143"/>
    </row>
    <row r="567" spans="7:9">
      <c r="G567" s="143"/>
      <c r="H567" s="137"/>
      <c r="I567" s="143"/>
    </row>
    <row r="568" spans="7:9">
      <c r="G568" s="143"/>
      <c r="H568" s="137"/>
      <c r="I568" s="143"/>
    </row>
    <row r="569" spans="7:9">
      <c r="G569" s="143"/>
      <c r="H569" s="137"/>
      <c r="I569" s="143"/>
    </row>
    <row r="570" spans="7:9">
      <c r="G570" s="143"/>
      <c r="H570" s="137"/>
      <c r="I570" s="143"/>
    </row>
    <row r="571" spans="7:9">
      <c r="G571" s="143"/>
      <c r="H571" s="137"/>
      <c r="I571" s="143"/>
    </row>
    <row r="572" spans="7:9">
      <c r="G572" s="143"/>
      <c r="H572" s="137"/>
      <c r="I572" s="143"/>
    </row>
    <row r="573" spans="7:9">
      <c r="G573" s="143"/>
      <c r="H573" s="137"/>
      <c r="I573" s="143"/>
    </row>
    <row r="574" spans="7:9">
      <c r="G574" s="143"/>
      <c r="H574" s="137"/>
      <c r="I574" s="143"/>
    </row>
    <row r="575" spans="7:9">
      <c r="G575" s="143"/>
      <c r="H575" s="137"/>
      <c r="I575" s="143"/>
    </row>
    <row r="576" spans="7:9">
      <c r="G576" s="143"/>
      <c r="H576" s="137"/>
      <c r="I576" s="143"/>
    </row>
    <row r="577" spans="7:9">
      <c r="G577" s="143"/>
      <c r="H577" s="137"/>
      <c r="I577" s="143"/>
    </row>
    <row r="578" spans="7:9">
      <c r="G578" s="143"/>
      <c r="H578" s="137"/>
      <c r="I578" s="143"/>
    </row>
    <row r="579" spans="7:9">
      <c r="G579" s="143"/>
      <c r="H579" s="137"/>
      <c r="I579" s="143"/>
    </row>
    <row r="580" spans="7:9">
      <c r="G580" s="143"/>
      <c r="H580" s="137"/>
      <c r="I580" s="143"/>
    </row>
    <row r="581" spans="7:9">
      <c r="G581" s="143"/>
      <c r="H581" s="137"/>
      <c r="I581" s="143"/>
    </row>
    <row r="582" spans="7:9">
      <c r="G582" s="143"/>
      <c r="H582" s="137"/>
      <c r="I582" s="143"/>
    </row>
    <row r="583" spans="7:9">
      <c r="G583" s="143"/>
      <c r="H583" s="137"/>
      <c r="I583" s="143"/>
    </row>
    <row r="584" spans="7:9">
      <c r="G584" s="143"/>
      <c r="H584" s="137"/>
      <c r="I584" s="143"/>
    </row>
    <row r="585" spans="7:9">
      <c r="G585" s="143"/>
      <c r="H585" s="137"/>
      <c r="I585" s="143"/>
    </row>
    <row r="586" spans="7:9">
      <c r="G586" s="143"/>
      <c r="H586" s="137"/>
      <c r="I586" s="143"/>
    </row>
    <row r="587" spans="7:9">
      <c r="G587" s="143"/>
      <c r="H587" s="137"/>
      <c r="I587" s="143"/>
    </row>
    <row r="588" spans="7:9">
      <c r="G588" s="143"/>
      <c r="H588" s="137"/>
      <c r="I588" s="143"/>
    </row>
    <row r="589" spans="7:9">
      <c r="G589" s="143"/>
      <c r="H589" s="137"/>
      <c r="I589" s="143"/>
    </row>
    <row r="590" spans="7:9">
      <c r="G590" s="143"/>
      <c r="H590" s="137"/>
      <c r="I590" s="143"/>
    </row>
    <row r="591" spans="7:9">
      <c r="G591" s="143"/>
      <c r="H591" s="137"/>
      <c r="I591" s="143"/>
    </row>
    <row r="592" spans="7:9">
      <c r="G592" s="143"/>
      <c r="H592" s="137"/>
      <c r="I592" s="143"/>
    </row>
    <row r="593" spans="7:9">
      <c r="G593" s="143"/>
      <c r="H593" s="137"/>
      <c r="I593" s="143"/>
    </row>
    <row r="594" spans="7:9">
      <c r="G594" s="143"/>
      <c r="H594" s="137"/>
      <c r="I594" s="143"/>
    </row>
    <row r="595" spans="7:9">
      <c r="G595" s="143"/>
      <c r="H595" s="137"/>
      <c r="I595" s="143"/>
    </row>
    <row r="596" spans="7:9">
      <c r="G596" s="143"/>
      <c r="H596" s="137"/>
      <c r="I596" s="143"/>
    </row>
    <row r="597" spans="7:9">
      <c r="G597" s="143"/>
      <c r="H597" s="137"/>
      <c r="I597" s="143"/>
    </row>
    <row r="598" spans="7:9">
      <c r="G598" s="143"/>
      <c r="H598" s="137"/>
      <c r="I598" s="143"/>
    </row>
    <row r="599" spans="7:9">
      <c r="G599" s="143"/>
      <c r="H599" s="137"/>
      <c r="I599" s="143"/>
    </row>
    <row r="600" spans="7:9">
      <c r="G600" s="143"/>
      <c r="H600" s="137"/>
      <c r="I600" s="143"/>
    </row>
    <row r="601" spans="7:9">
      <c r="G601" s="143"/>
      <c r="H601" s="137"/>
      <c r="I601" s="143"/>
    </row>
    <row r="602" spans="7:9">
      <c r="G602" s="143"/>
      <c r="H602" s="137"/>
      <c r="I602" s="143"/>
    </row>
    <row r="603" spans="7:9">
      <c r="G603" s="143"/>
      <c r="H603" s="137"/>
      <c r="I603" s="143"/>
    </row>
    <row r="604" spans="7:9">
      <c r="G604" s="143"/>
      <c r="H604" s="137"/>
      <c r="I604" s="143"/>
    </row>
    <row r="605" spans="7:9">
      <c r="G605" s="143"/>
      <c r="H605" s="137"/>
      <c r="I605" s="143"/>
    </row>
    <row r="606" spans="7:9">
      <c r="G606" s="143"/>
      <c r="H606" s="137"/>
      <c r="I606" s="143"/>
    </row>
    <row r="607" spans="7:9">
      <c r="G607" s="143"/>
      <c r="H607" s="137"/>
      <c r="I607" s="143"/>
    </row>
    <row r="608" spans="7:9">
      <c r="G608" s="143"/>
      <c r="H608" s="137"/>
      <c r="I608" s="143"/>
    </row>
    <row r="609" spans="7:9">
      <c r="G609" s="143"/>
      <c r="H609" s="137"/>
      <c r="I609" s="143"/>
    </row>
    <row r="610" spans="7:9">
      <c r="G610" s="143"/>
      <c r="H610" s="137"/>
      <c r="I610" s="143"/>
    </row>
    <row r="611" spans="7:9">
      <c r="G611" s="143"/>
      <c r="H611" s="137"/>
      <c r="I611" s="143"/>
    </row>
    <row r="612" spans="7:9">
      <c r="G612" s="143"/>
      <c r="H612" s="137"/>
      <c r="I612" s="143"/>
    </row>
    <row r="613" spans="7:9">
      <c r="G613" s="143"/>
      <c r="H613" s="137"/>
      <c r="I613" s="143"/>
    </row>
    <row r="614" spans="7:9">
      <c r="G614" s="143"/>
      <c r="H614" s="137"/>
      <c r="I614" s="143"/>
    </row>
    <row r="615" spans="7:9">
      <c r="G615" s="143"/>
      <c r="H615" s="137"/>
      <c r="I615" s="143"/>
    </row>
    <row r="616" spans="7:9">
      <c r="G616" s="143"/>
      <c r="H616" s="137"/>
      <c r="I616" s="143"/>
    </row>
    <row r="617" spans="7:9">
      <c r="G617" s="143"/>
      <c r="H617" s="137"/>
      <c r="I617" s="143"/>
    </row>
    <row r="618" spans="7:9">
      <c r="G618" s="143"/>
      <c r="H618" s="137"/>
      <c r="I618" s="143"/>
    </row>
    <row r="619" spans="7:9">
      <c r="G619" s="143"/>
      <c r="H619" s="137"/>
      <c r="I619" s="143"/>
    </row>
    <row r="620" spans="7:9">
      <c r="G620" s="143"/>
      <c r="H620" s="137"/>
      <c r="I620" s="143"/>
    </row>
    <row r="621" spans="7:9">
      <c r="G621" s="143"/>
      <c r="H621" s="137"/>
      <c r="I621" s="143"/>
    </row>
    <row r="622" spans="7:9">
      <c r="G622" s="143"/>
      <c r="H622" s="137"/>
      <c r="I622" s="143"/>
    </row>
    <row r="623" spans="7:9">
      <c r="G623" s="143"/>
      <c r="H623" s="137"/>
      <c r="I623" s="143"/>
    </row>
    <row r="624" spans="7:9">
      <c r="G624" s="143"/>
      <c r="H624" s="137"/>
      <c r="I624" s="143"/>
    </row>
    <row r="625" spans="7:9">
      <c r="G625" s="143"/>
      <c r="H625" s="137"/>
      <c r="I625" s="143"/>
    </row>
    <row r="626" spans="7:9">
      <c r="G626" s="143"/>
      <c r="H626" s="137"/>
      <c r="I626" s="143"/>
    </row>
    <row r="627" spans="7:9">
      <c r="G627" s="143"/>
      <c r="H627" s="137"/>
      <c r="I627" s="143"/>
    </row>
    <row r="628" spans="7:9">
      <c r="G628" s="143"/>
      <c r="H628" s="137"/>
      <c r="I628" s="143"/>
    </row>
    <row r="629" spans="7:9">
      <c r="G629" s="143"/>
      <c r="H629" s="137"/>
      <c r="I629" s="143"/>
    </row>
    <row r="630" spans="7:9">
      <c r="G630" s="143"/>
      <c r="H630" s="137"/>
      <c r="I630" s="143"/>
    </row>
    <row r="631" spans="7:9">
      <c r="G631" s="143"/>
      <c r="H631" s="137"/>
      <c r="I631" s="143"/>
    </row>
    <row r="632" spans="7:9">
      <c r="G632" s="143"/>
      <c r="H632" s="137"/>
      <c r="I632" s="143"/>
    </row>
    <row r="633" spans="7:9">
      <c r="G633" s="143"/>
      <c r="H633" s="137"/>
      <c r="I633" s="143"/>
    </row>
    <row r="634" spans="7:9">
      <c r="G634" s="143"/>
      <c r="H634" s="137"/>
      <c r="I634" s="143"/>
    </row>
    <row r="635" spans="7:9">
      <c r="G635" s="143"/>
      <c r="H635" s="137"/>
      <c r="I635" s="143"/>
    </row>
    <row r="636" spans="7:9">
      <c r="G636" s="143"/>
      <c r="H636" s="137"/>
      <c r="I636" s="143"/>
    </row>
    <row r="637" spans="7:9">
      <c r="G637" s="143"/>
      <c r="H637" s="137"/>
      <c r="I637" s="143"/>
    </row>
    <row r="638" spans="7:9">
      <c r="G638" s="143"/>
      <c r="H638" s="137"/>
      <c r="I638" s="143"/>
    </row>
    <row r="639" spans="7:9">
      <c r="G639" s="143"/>
      <c r="H639" s="137"/>
      <c r="I639" s="143"/>
    </row>
    <row r="640" spans="7:9">
      <c r="G640" s="143"/>
      <c r="H640" s="137"/>
      <c r="I640" s="143"/>
    </row>
    <row r="641" spans="7:9">
      <c r="G641" s="143"/>
      <c r="H641" s="137"/>
      <c r="I641" s="143"/>
    </row>
    <row r="642" spans="7:9">
      <c r="G642" s="143"/>
      <c r="H642" s="137"/>
      <c r="I642" s="143"/>
    </row>
    <row r="643" spans="7:9">
      <c r="G643" s="143"/>
      <c r="H643" s="137"/>
      <c r="I643" s="143"/>
    </row>
    <row r="644" spans="7:9">
      <c r="G644" s="143"/>
      <c r="H644" s="137"/>
      <c r="I644" s="143"/>
    </row>
    <row r="645" spans="7:9">
      <c r="G645" s="143"/>
      <c r="H645" s="137"/>
      <c r="I645" s="143"/>
    </row>
    <row r="646" spans="7:9">
      <c r="G646" s="143"/>
      <c r="H646" s="137"/>
      <c r="I646" s="143"/>
    </row>
    <row r="647" spans="7:9">
      <c r="G647" s="143"/>
      <c r="H647" s="137"/>
      <c r="I647" s="143"/>
    </row>
    <row r="648" spans="7:9">
      <c r="G648" s="143"/>
      <c r="H648" s="137"/>
      <c r="I648" s="143"/>
    </row>
    <row r="649" spans="7:9">
      <c r="G649" s="143"/>
      <c r="H649" s="137"/>
      <c r="I649" s="143"/>
    </row>
    <row r="650" spans="7:9">
      <c r="G650" s="143"/>
      <c r="H650" s="137"/>
      <c r="I650" s="143"/>
    </row>
    <row r="651" spans="7:9">
      <c r="G651" s="143"/>
      <c r="H651" s="137"/>
      <c r="I651" s="143"/>
    </row>
    <row r="652" spans="7:9">
      <c r="G652" s="143"/>
      <c r="H652" s="137"/>
      <c r="I652" s="143"/>
    </row>
    <row r="653" spans="7:9">
      <c r="G653" s="143"/>
      <c r="H653" s="137"/>
      <c r="I653" s="143"/>
    </row>
    <row r="654" spans="7:9">
      <c r="G654" s="143"/>
      <c r="H654" s="137"/>
      <c r="I654" s="14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activeCell="A4" sqref="A1:XFD1048576"/>
    </sheetView>
  </sheetViews>
  <sheetFormatPr defaultColWidth="9.140625" defaultRowHeight="12.75"/>
  <cols>
    <col min="1" max="1" width="2.42578125" style="221" customWidth="1"/>
    <col min="2" max="2" width="5.42578125" style="221" customWidth="1"/>
    <col min="3" max="3" width="18" style="221" customWidth="1"/>
    <col min="4" max="4" width="7.28515625" style="221" customWidth="1"/>
    <col min="5" max="5" width="12.5703125" style="221" customWidth="1"/>
    <col min="6" max="6" width="10.42578125" style="221" customWidth="1"/>
    <col min="7" max="8" width="6.42578125" style="221" customWidth="1"/>
    <col min="9" max="9" width="1.7109375" style="221" customWidth="1"/>
    <col min="10" max="11" width="6.42578125" style="221" customWidth="1"/>
    <col min="12" max="12" width="1.7109375" style="221" customWidth="1"/>
    <col min="13" max="14" width="6.42578125" style="221" customWidth="1"/>
    <col min="15" max="15" width="1.7109375" style="221" customWidth="1"/>
    <col min="16" max="17" width="6.42578125" style="221" customWidth="1"/>
    <col min="18" max="18" width="1.7109375" style="221" customWidth="1"/>
    <col min="19" max="20" width="7" style="221" customWidth="1"/>
    <col min="21" max="21" width="5.85546875" style="221" customWidth="1"/>
    <col min="22" max="22" width="13.140625" style="221" customWidth="1"/>
    <col min="23" max="23" width="24.85546875" style="221" customWidth="1"/>
    <col min="24" max="24" width="73.42578125" style="221" customWidth="1"/>
    <col min="25" max="16384" width="9.140625" style="221"/>
  </cols>
  <sheetData>
    <row r="1" spans="1:24" s="204" customFormat="1" ht="13.5" customHeight="1">
      <c r="A1" s="1765" t="str">
        <f>CONCATENATE("PART FOUR -  USES OF FUNDS","  -  ",'Part I-Project Information'!$O$6," ",'Part I-Project Information'!$F$34,", ",'Part I-Project Information'!F38,", ",'Part I-Project Information'!J39," County")</f>
        <v>PART FOUR -  USES OF FUNDS  -  2018-008 Mill at Stone Valley, Ball Ground, Cherokee County</v>
      </c>
      <c r="B1" s="1766"/>
      <c r="C1" s="1766"/>
      <c r="D1" s="1766"/>
      <c r="E1" s="1766"/>
      <c r="F1" s="1766"/>
      <c r="G1" s="1766"/>
      <c r="H1" s="1766"/>
      <c r="I1" s="1766"/>
      <c r="J1" s="1766"/>
      <c r="K1" s="1766"/>
      <c r="L1" s="1766"/>
      <c r="M1" s="1766"/>
      <c r="N1" s="1766"/>
      <c r="O1" s="1766"/>
      <c r="P1" s="1766"/>
      <c r="Q1" s="1766"/>
      <c r="R1" s="1766"/>
      <c r="S1" s="1766"/>
      <c r="T1" s="1766"/>
      <c r="W1" s="1767" t="str">
        <f>A1</f>
        <v>PART FOUR -  USES OF FUNDS  -  2018-008 Mill at Stone Valley, Ball Ground, Cherokee County</v>
      </c>
      <c r="X1" s="1767"/>
    </row>
    <row r="2" spans="1:24" ht="2.25" customHeight="1"/>
    <row r="3" spans="1:24" s="204" customFormat="1" ht="4.5" customHeight="1">
      <c r="A3" s="205"/>
      <c r="B3" s="205"/>
      <c r="C3" s="205"/>
      <c r="D3" s="205"/>
      <c r="E3" s="205"/>
      <c r="F3" s="205"/>
      <c r="G3" s="205"/>
      <c r="H3" s="205"/>
      <c r="I3" s="205"/>
      <c r="J3" s="205"/>
      <c r="K3" s="205"/>
      <c r="L3" s="205"/>
      <c r="M3" s="205"/>
      <c r="N3" s="205"/>
      <c r="O3" s="205"/>
      <c r="P3" s="205"/>
      <c r="Q3" s="205"/>
      <c r="R3" s="205"/>
      <c r="S3" s="205"/>
      <c r="T3" s="205"/>
    </row>
    <row r="4" spans="1:24" s="204" customFormat="1" ht="1.9" customHeight="1" thickBot="1">
      <c r="A4" s="379"/>
      <c r="B4" s="379"/>
      <c r="C4" s="379"/>
      <c r="D4" s="382"/>
      <c r="E4" s="382"/>
      <c r="F4" s="382"/>
      <c r="G4" s="382"/>
      <c r="H4" s="382"/>
      <c r="I4" s="205"/>
      <c r="J4" s="379"/>
      <c r="K4" s="379"/>
      <c r="L4" s="379"/>
      <c r="M4" s="379"/>
      <c r="N4" s="379"/>
      <c r="O4" s="379"/>
      <c r="P4" s="379"/>
      <c r="Q4" s="379"/>
      <c r="R4" s="379"/>
      <c r="S4" s="379"/>
      <c r="T4" s="379"/>
    </row>
    <row r="5" spans="1:24" s="204" customFormat="1" ht="19.5" customHeight="1" thickBot="1">
      <c r="A5" s="318" t="s">
        <v>9</v>
      </c>
      <c r="B5" s="318" t="s">
        <v>650</v>
      </c>
      <c r="H5" s="382"/>
      <c r="I5" s="382"/>
      <c r="J5" s="1734" t="s">
        <v>651</v>
      </c>
      <c r="K5" s="1735"/>
      <c r="L5" s="251"/>
      <c r="M5" s="1743" t="s">
        <v>652</v>
      </c>
      <c r="N5" s="1744"/>
      <c r="P5" s="1734" t="s">
        <v>653</v>
      </c>
      <c r="Q5" s="1735"/>
      <c r="S5" s="1734" t="s">
        <v>654</v>
      </c>
      <c r="T5" s="1735"/>
      <c r="V5" s="319" t="str">
        <f>B5</f>
        <v>DEVELOPMENT BUDGET</v>
      </c>
    </row>
    <row r="6" spans="1:24" s="204" customFormat="1" ht="19.5" customHeight="1" thickBot="1">
      <c r="G6" s="1747" t="s">
        <v>655</v>
      </c>
      <c r="H6" s="1748"/>
      <c r="J6" s="1736"/>
      <c r="K6" s="1737"/>
      <c r="L6" s="251"/>
      <c r="M6" s="1745"/>
      <c r="N6" s="1746"/>
      <c r="P6" s="1736"/>
      <c r="Q6" s="1737"/>
      <c r="S6" s="1736"/>
      <c r="T6" s="1737"/>
      <c r="V6" s="238" t="s">
        <v>530</v>
      </c>
      <c r="X6" s="238"/>
    </row>
    <row r="7" spans="1:24" s="204" customFormat="1" ht="12" customHeight="1">
      <c r="B7" s="205" t="s">
        <v>656</v>
      </c>
      <c r="O7" s="379" t="str">
        <f>B7</f>
        <v>PRE-DEVELOPMENT COSTS</v>
      </c>
      <c r="W7" s="204" t="str">
        <f>B7</f>
        <v>PRE-DEVELOPMENT COSTS</v>
      </c>
    </row>
    <row r="8" spans="1:24" s="204" customFormat="1" ht="12.6" customHeight="1">
      <c r="B8" s="204" t="s">
        <v>657</v>
      </c>
      <c r="G8" s="2725">
        <v>1200</v>
      </c>
      <c r="H8" s="2726"/>
      <c r="J8" s="2725">
        <v>1200</v>
      </c>
      <c r="K8" s="2726"/>
      <c r="L8" s="1520"/>
      <c r="M8" s="2725"/>
      <c r="N8" s="2726"/>
      <c r="P8" s="2725"/>
      <c r="Q8" s="2726"/>
      <c r="S8" s="2725"/>
      <c r="T8" s="2726"/>
      <c r="V8" s="2727"/>
      <c r="W8" s="2728"/>
      <c r="X8" s="2729"/>
    </row>
    <row r="9" spans="1:24" s="204" customFormat="1" ht="12.6" customHeight="1">
      <c r="B9" s="204" t="s">
        <v>658</v>
      </c>
      <c r="G9" s="2730">
        <v>4500</v>
      </c>
      <c r="H9" s="2731"/>
      <c r="J9" s="2730">
        <v>4500</v>
      </c>
      <c r="K9" s="2731"/>
      <c r="L9" s="1520"/>
      <c r="M9" s="2730"/>
      <c r="N9" s="2731"/>
      <c r="P9" s="2730"/>
      <c r="Q9" s="2731"/>
      <c r="S9" s="2730"/>
      <c r="T9" s="2731"/>
      <c r="V9" s="2727"/>
      <c r="W9" s="2728"/>
      <c r="X9" s="2729"/>
    </row>
    <row r="10" spans="1:24" s="204" customFormat="1" ht="12.6" customHeight="1">
      <c r="B10" s="204" t="s">
        <v>659</v>
      </c>
      <c r="G10" s="2730">
        <v>10400</v>
      </c>
      <c r="H10" s="2731"/>
      <c r="J10" s="2730">
        <v>10400</v>
      </c>
      <c r="K10" s="2731"/>
      <c r="L10" s="1520"/>
      <c r="M10" s="2730"/>
      <c r="N10" s="2731"/>
      <c r="P10" s="2730"/>
      <c r="Q10" s="2731"/>
      <c r="S10" s="2730"/>
      <c r="T10" s="2731"/>
      <c r="V10" s="2727"/>
      <c r="W10" s="2728"/>
      <c r="X10" s="2729"/>
    </row>
    <row r="11" spans="1:24" s="204" customFormat="1" ht="12.6" customHeight="1">
      <c r="B11" s="204" t="s">
        <v>660</v>
      </c>
      <c r="G11" s="2730">
        <v>7500</v>
      </c>
      <c r="H11" s="2731"/>
      <c r="J11" s="2730">
        <v>7500</v>
      </c>
      <c r="K11" s="2731"/>
      <c r="L11" s="1520"/>
      <c r="M11" s="2730"/>
      <c r="N11" s="2731"/>
      <c r="P11" s="2730"/>
      <c r="Q11" s="2731"/>
      <c r="S11" s="2730"/>
      <c r="T11" s="2731"/>
      <c r="V11" s="2727"/>
      <c r="W11" s="2728"/>
      <c r="X11" s="2729"/>
    </row>
    <row r="12" spans="1:24" s="204" customFormat="1" ht="12.6" customHeight="1">
      <c r="B12" s="204" t="s">
        <v>661</v>
      </c>
      <c r="G12" s="2730">
        <v>15000</v>
      </c>
      <c r="H12" s="2731"/>
      <c r="J12" s="2730">
        <v>15000</v>
      </c>
      <c r="K12" s="2731"/>
      <c r="L12" s="1520"/>
      <c r="M12" s="2730"/>
      <c r="N12" s="2731"/>
      <c r="P12" s="2730"/>
      <c r="Q12" s="2731"/>
      <c r="S12" s="2730"/>
      <c r="T12" s="2731"/>
      <c r="V12" s="2727"/>
      <c r="W12" s="2728"/>
      <c r="X12" s="2729"/>
    </row>
    <row r="13" spans="1:24" s="204" customFormat="1" ht="12.6" customHeight="1">
      <c r="B13" s="204" t="s">
        <v>662</v>
      </c>
      <c r="G13" s="2730">
        <v>1000</v>
      </c>
      <c r="H13" s="2731"/>
      <c r="J13" s="2730">
        <v>1000</v>
      </c>
      <c r="K13" s="2731"/>
      <c r="L13" s="1520"/>
      <c r="M13" s="2730"/>
      <c r="N13" s="2731"/>
      <c r="P13" s="2730"/>
      <c r="Q13" s="2731"/>
      <c r="S13" s="2730"/>
      <c r="T13" s="2731"/>
      <c r="V13" s="2727"/>
      <c r="W13" s="2728"/>
      <c r="X13" s="2729"/>
    </row>
    <row r="14" spans="1:24" s="204" customFormat="1" ht="12.6" customHeight="1">
      <c r="A14" s="277" t="str">
        <f>IF(AND(G14&gt;0,OR(C14="",C14="&lt;Enter detailed description here; use Comments section if needed&gt;")),"X","")</f>
        <v/>
      </c>
      <c r="B14" s="204" t="s">
        <v>592</v>
      </c>
      <c r="C14" s="2732" t="s">
        <v>663</v>
      </c>
      <c r="D14" s="2732"/>
      <c r="E14" s="2732"/>
      <c r="F14" s="2733"/>
      <c r="G14" s="2730">
        <v>4000</v>
      </c>
      <c r="H14" s="2731"/>
      <c r="J14" s="2730">
        <v>4000</v>
      </c>
      <c r="K14" s="2731"/>
      <c r="L14" s="1520"/>
      <c r="M14" s="2730"/>
      <c r="N14" s="2731"/>
      <c r="P14" s="2730"/>
      <c r="Q14" s="2731"/>
      <c r="S14" s="2730"/>
      <c r="T14" s="2731"/>
      <c r="U14" s="276" t="str">
        <f>IF(AND(G14&gt;0,OR(C14="",C14="&lt;Enter detailed description here; use Comments section if needed&gt;")),"NO DESCRIPTION PROVIDED - please enter detailed description in Other box at left; use Comments section below if needed.","")</f>
        <v/>
      </c>
      <c r="V14" s="2734"/>
      <c r="W14" s="2728"/>
      <c r="X14" s="2729"/>
    </row>
    <row r="15" spans="1:24" s="204" customFormat="1" ht="12.6" customHeight="1">
      <c r="A15" s="277" t="str">
        <f>IF(AND(G15&gt;0,OR(C15="",C15="&lt;Enter detailed description here; use Comments section if needed&gt;")),"X","")</f>
        <v/>
      </c>
      <c r="B15" s="204" t="s">
        <v>592</v>
      </c>
      <c r="C15" s="2732"/>
      <c r="D15" s="2732"/>
      <c r="E15" s="2732"/>
      <c r="F15" s="2733"/>
      <c r="G15" s="2730"/>
      <c r="H15" s="2731"/>
      <c r="J15" s="2730"/>
      <c r="K15" s="2731"/>
      <c r="L15" s="1520"/>
      <c r="M15" s="2730"/>
      <c r="N15" s="2731"/>
      <c r="P15" s="2730"/>
      <c r="Q15" s="2731"/>
      <c r="S15" s="2730"/>
      <c r="T15" s="2731"/>
      <c r="U15" s="276" t="str">
        <f>IF(AND(G15&gt;0,OR(C15="",C15="&lt;Enter detailed description here; use Comments section if needed&gt;")),"NO DESCRIPTION PROVIDED - please enter detailed description in Other box at left; use Comments section below if needed.","")</f>
        <v/>
      </c>
      <c r="V15" s="2734"/>
      <c r="W15" s="2728"/>
      <c r="X15" s="2729"/>
    </row>
    <row r="16" spans="1:24" s="204" customFormat="1" ht="12.6" customHeight="1" thickBot="1">
      <c r="A16" s="277" t="str">
        <f>IF(AND(G16&gt;0,OR(C16="",C16="&lt;Enter detailed description here; use Comments section if needed&gt;")),"X","")</f>
        <v/>
      </c>
      <c r="B16" s="204" t="s">
        <v>592</v>
      </c>
      <c r="C16" s="2732" t="s">
        <v>664</v>
      </c>
      <c r="D16" s="2732"/>
      <c r="E16" s="2732"/>
      <c r="F16" s="2733"/>
      <c r="G16" s="2735"/>
      <c r="H16" s="2736"/>
      <c r="J16" s="2735"/>
      <c r="K16" s="2736"/>
      <c r="L16" s="1520"/>
      <c r="M16" s="2735"/>
      <c r="N16" s="2736"/>
      <c r="P16" s="2735"/>
      <c r="Q16" s="2736"/>
      <c r="S16" s="2735"/>
      <c r="T16" s="2736"/>
      <c r="U16" s="276" t="str">
        <f>IF(AND(G16&gt;0,OR(C16="",C16="&lt;Enter detailed description here; use Comments section if needed&gt;")),"NO DESCRIPTION PROVIDED - please enter detailed description in Other box at left; use Comments section below if needed.","")</f>
        <v/>
      </c>
      <c r="V16" s="2734"/>
      <c r="W16" s="2737"/>
      <c r="X16" s="2738"/>
    </row>
    <row r="17" spans="2:24" s="204" customFormat="1" ht="12.6" customHeight="1" thickTop="1">
      <c r="F17" s="252" t="s">
        <v>665</v>
      </c>
      <c r="G17" s="1738">
        <f>SUM(G8:H16)</f>
        <v>43600</v>
      </c>
      <c r="H17" s="1739"/>
      <c r="J17" s="1738">
        <f>SUM(J8:K16)</f>
        <v>43600</v>
      </c>
      <c r="K17" s="1764"/>
      <c r="L17" s="1520"/>
      <c r="M17" s="1738">
        <f>SUM(M8:N16)</f>
        <v>0</v>
      </c>
      <c r="N17" s="1739"/>
      <c r="P17" s="1738">
        <f>SUM(P8:Q16)</f>
        <v>0</v>
      </c>
      <c r="Q17" s="1739"/>
      <c r="S17" s="1738">
        <f>SUM(S8:T16)</f>
        <v>0</v>
      </c>
      <c r="T17" s="1739"/>
      <c r="V17" s="2739">
        <f>SUM(V8:V16)</f>
        <v>0</v>
      </c>
      <c r="W17" s="2740"/>
      <c r="X17" s="2741"/>
    </row>
    <row r="18" spans="2:24" s="204" customFormat="1" ht="12" customHeight="1">
      <c r="B18" s="205" t="s">
        <v>666</v>
      </c>
      <c r="J18" s="251"/>
      <c r="K18" s="251"/>
      <c r="M18" s="251"/>
      <c r="N18" s="251"/>
      <c r="O18" s="253" t="str">
        <f>B18</f>
        <v>ACQUISITION</v>
      </c>
      <c r="P18" s="251"/>
      <c r="Q18" s="251"/>
      <c r="S18" s="251"/>
      <c r="T18" s="251"/>
      <c r="V18" s="963"/>
      <c r="W18" s="204" t="str">
        <f>B18</f>
        <v>ACQUISITION</v>
      </c>
    </row>
    <row r="19" spans="2:24" s="204" customFormat="1" ht="12.6" customHeight="1">
      <c r="B19" s="204" t="s">
        <v>667</v>
      </c>
      <c r="G19" s="2725">
        <v>950000</v>
      </c>
      <c r="H19" s="2726"/>
      <c r="J19" s="254"/>
      <c r="K19" s="251"/>
      <c r="L19" s="254"/>
      <c r="M19" s="254"/>
      <c r="N19" s="251"/>
      <c r="P19" s="254"/>
      <c r="Q19" s="251"/>
      <c r="S19" s="2725">
        <v>950000</v>
      </c>
      <c r="T19" s="2726"/>
      <c r="V19" s="2727"/>
      <c r="W19" s="2728"/>
      <c r="X19" s="2729"/>
    </row>
    <row r="20" spans="2:24" s="204" customFormat="1" ht="12.6" customHeight="1">
      <c r="B20" s="204" t="s">
        <v>668</v>
      </c>
      <c r="G20" s="2730"/>
      <c r="H20" s="2731"/>
      <c r="J20" s="254"/>
      <c r="K20" s="251"/>
      <c r="L20" s="254"/>
      <c r="M20" s="254"/>
      <c r="N20" s="251"/>
      <c r="P20" s="254"/>
      <c r="Q20" s="251"/>
      <c r="S20" s="2730"/>
      <c r="T20" s="2731"/>
      <c r="V20" s="2727"/>
      <c r="W20" s="2728"/>
      <c r="X20" s="2729"/>
    </row>
    <row r="21" spans="2:24" s="204" customFormat="1" ht="12.6" customHeight="1">
      <c r="B21" s="204" t="s">
        <v>669</v>
      </c>
      <c r="G21" s="2730"/>
      <c r="H21" s="2731"/>
      <c r="J21" s="254"/>
      <c r="K21" s="251"/>
      <c r="L21" s="254"/>
      <c r="M21" s="2725"/>
      <c r="N21" s="2726"/>
      <c r="P21" s="254"/>
      <c r="Q21" s="251"/>
      <c r="S21" s="2730"/>
      <c r="T21" s="2731"/>
      <c r="V21" s="2727"/>
      <c r="W21" s="2728"/>
      <c r="X21" s="2729"/>
    </row>
    <row r="22" spans="2:24" s="204" customFormat="1" ht="12.6" customHeight="1" thickBot="1">
      <c r="B22" s="204" t="s">
        <v>670</v>
      </c>
      <c r="G22" s="2735"/>
      <c r="H22" s="2736"/>
      <c r="J22" s="254"/>
      <c r="K22" s="251"/>
      <c r="L22" s="254"/>
      <c r="M22" s="2735"/>
      <c r="N22" s="2736"/>
      <c r="P22" s="254"/>
      <c r="Q22" s="251"/>
      <c r="S22" s="2735"/>
      <c r="T22" s="2736"/>
      <c r="V22" s="2727"/>
      <c r="W22" s="2737"/>
      <c r="X22" s="2738"/>
    </row>
    <row r="23" spans="2:24" s="204" customFormat="1" ht="12.6" customHeight="1" thickTop="1">
      <c r="F23" s="252" t="s">
        <v>665</v>
      </c>
      <c r="G23" s="1738">
        <f>SUM(G19:H22)</f>
        <v>950000</v>
      </c>
      <c r="H23" s="1739"/>
      <c r="J23" s="254"/>
      <c r="K23" s="251"/>
      <c r="L23" s="254"/>
      <c r="M23" s="1738">
        <f>SUM(M21:N22)</f>
        <v>0</v>
      </c>
      <c r="N23" s="1739"/>
      <c r="P23" s="254"/>
      <c r="Q23" s="251"/>
      <c r="S23" s="1738">
        <f>SUM(S19:T22)</f>
        <v>950000</v>
      </c>
      <c r="T23" s="1739"/>
      <c r="V23" s="2739">
        <f>SUM(V19:V22)</f>
        <v>0</v>
      </c>
      <c r="W23" s="2740"/>
      <c r="X23" s="2741"/>
    </row>
    <row r="24" spans="2:24" s="204" customFormat="1" ht="12" customHeight="1">
      <c r="B24" s="205" t="s">
        <v>671</v>
      </c>
      <c r="J24" s="254"/>
      <c r="K24" s="251"/>
      <c r="M24" s="254"/>
      <c r="N24" s="251"/>
      <c r="O24" s="253" t="str">
        <f>B24</f>
        <v>LAND IMPROVEMENTS</v>
      </c>
      <c r="P24" s="254"/>
      <c r="Q24" s="251"/>
      <c r="S24" s="254"/>
      <c r="T24" s="251"/>
      <c r="V24" s="963"/>
      <c r="W24" s="204" t="str">
        <f>B24</f>
        <v>LAND IMPROVEMENTS</v>
      </c>
    </row>
    <row r="25" spans="2:24" s="204" customFormat="1" ht="12.6" customHeight="1">
      <c r="B25" s="204" t="s">
        <v>672</v>
      </c>
      <c r="E25" s="725" t="s">
        <v>673</v>
      </c>
      <c r="F25" s="360">
        <f>IF('Part I-Project Information'!$O$37="","",G25/'Part I-Project Information'!$O$37)</f>
        <v>145888.59416445624</v>
      </c>
      <c r="G25" s="2725">
        <v>1100000</v>
      </c>
      <c r="H25" s="2726"/>
      <c r="J25" s="2725">
        <v>1100000</v>
      </c>
      <c r="K25" s="2726"/>
      <c r="L25" s="1520"/>
      <c r="M25" s="2742"/>
      <c r="N25" s="2743"/>
      <c r="P25" s="2742"/>
      <c r="Q25" s="2743"/>
      <c r="S25" s="2725"/>
      <c r="T25" s="2726"/>
      <c r="V25" s="2727"/>
      <c r="W25" s="2728"/>
      <c r="X25" s="2729"/>
    </row>
    <row r="26" spans="2:24" s="204" customFormat="1" ht="12.6" customHeight="1" thickBot="1">
      <c r="B26" s="204" t="s">
        <v>674</v>
      </c>
      <c r="G26" s="2735"/>
      <c r="H26" s="2736"/>
      <c r="J26" s="2735"/>
      <c r="K26" s="2736"/>
      <c r="L26" s="255"/>
      <c r="M26" s="1763"/>
      <c r="N26" s="1763"/>
      <c r="P26" s="1763"/>
      <c r="Q26" s="1763"/>
      <c r="S26" s="2735"/>
      <c r="T26" s="2736"/>
      <c r="V26" s="2727"/>
      <c r="W26" s="2737"/>
      <c r="X26" s="2738"/>
    </row>
    <row r="27" spans="2:24" s="204" customFormat="1" ht="12.6" customHeight="1" thickTop="1">
      <c r="F27" s="252" t="s">
        <v>665</v>
      </c>
      <c r="G27" s="1738">
        <f>SUM(G25:H26)</f>
        <v>1100000</v>
      </c>
      <c r="H27" s="1739"/>
      <c r="J27" s="1738">
        <f>SUM(J25:K26)</f>
        <v>1100000</v>
      </c>
      <c r="K27" s="1739"/>
      <c r="L27" s="254"/>
      <c r="M27" s="1738">
        <f>M25</f>
        <v>0</v>
      </c>
      <c r="N27" s="1739"/>
      <c r="P27" s="1738">
        <f>P25</f>
        <v>0</v>
      </c>
      <c r="Q27" s="1739"/>
      <c r="S27" s="1738">
        <f>SUM(S25:T26)</f>
        <v>0</v>
      </c>
      <c r="T27" s="1739"/>
      <c r="V27" s="2739">
        <f>SUM(V25:V26)</f>
        <v>0</v>
      </c>
      <c r="W27" s="2740"/>
      <c r="X27" s="2741"/>
    </row>
    <row r="28" spans="2:24" s="204" customFormat="1" ht="12" customHeight="1">
      <c r="B28" s="205" t="s">
        <v>675</v>
      </c>
      <c r="J28" s="254"/>
      <c r="K28" s="251"/>
      <c r="M28" s="254"/>
      <c r="N28" s="251"/>
      <c r="O28" s="253" t="str">
        <f>B28</f>
        <v>STRUCTURES</v>
      </c>
      <c r="P28" s="254"/>
      <c r="Q28" s="251"/>
      <c r="S28" s="254"/>
      <c r="T28" s="251"/>
      <c r="V28" s="963"/>
      <c r="W28" s="204" t="str">
        <f>B28</f>
        <v>STRUCTURES</v>
      </c>
    </row>
    <row r="29" spans="2:24" s="204" customFormat="1" ht="12.6" customHeight="1">
      <c r="B29" s="204" t="s">
        <v>676</v>
      </c>
      <c r="G29" s="2725">
        <v>6400000</v>
      </c>
      <c r="H29" s="2726"/>
      <c r="J29" s="2725">
        <v>6400000</v>
      </c>
      <c r="K29" s="2726"/>
      <c r="L29" s="1520"/>
      <c r="M29" s="2725"/>
      <c r="N29" s="2726"/>
      <c r="P29" s="2725"/>
      <c r="Q29" s="2726"/>
      <c r="S29" s="2725"/>
      <c r="T29" s="2726"/>
      <c r="V29" s="2727"/>
      <c r="W29" s="2728"/>
      <c r="X29" s="2729"/>
    </row>
    <row r="30" spans="2:24" s="204" customFormat="1" ht="12.6" customHeight="1">
      <c r="B30" s="204" t="s">
        <v>677</v>
      </c>
      <c r="G30" s="2730"/>
      <c r="H30" s="2731"/>
      <c r="J30" s="2730"/>
      <c r="K30" s="2731"/>
      <c r="L30" s="1520"/>
      <c r="M30" s="2730"/>
      <c r="N30" s="2731"/>
      <c r="P30" s="2730"/>
      <c r="Q30" s="2731"/>
      <c r="S30" s="2730"/>
      <c r="T30" s="2731"/>
      <c r="V30" s="2727"/>
      <c r="W30" s="2728"/>
      <c r="X30" s="2729"/>
    </row>
    <row r="31" spans="2:24" s="204" customFormat="1" ht="12.6" customHeight="1">
      <c r="B31" s="204" t="s">
        <v>678</v>
      </c>
      <c r="G31" s="2730">
        <v>235000</v>
      </c>
      <c r="H31" s="2731"/>
      <c r="J31" s="2730">
        <v>235000</v>
      </c>
      <c r="K31" s="2731"/>
      <c r="L31" s="1520"/>
      <c r="M31" s="2730"/>
      <c r="N31" s="2731"/>
      <c r="P31" s="2730"/>
      <c r="Q31" s="2731"/>
      <c r="S31" s="2730"/>
      <c r="T31" s="2731"/>
      <c r="V31" s="2727"/>
      <c r="W31" s="2728"/>
      <c r="X31" s="2729"/>
    </row>
    <row r="32" spans="2:24" ht="12.6" customHeight="1" thickBot="1">
      <c r="B32" s="204" t="s">
        <v>679</v>
      </c>
      <c r="G32" s="2735"/>
      <c r="H32" s="2736"/>
      <c r="I32" s="204"/>
      <c r="J32" s="2735"/>
      <c r="K32" s="2736"/>
      <c r="L32" s="1520"/>
      <c r="M32" s="2735"/>
      <c r="N32" s="2736"/>
      <c r="O32" s="204"/>
      <c r="P32" s="2735"/>
      <c r="Q32" s="2736"/>
      <c r="R32" s="204"/>
      <c r="S32" s="2735"/>
      <c r="T32" s="2736"/>
      <c r="V32" s="2727"/>
      <c r="W32" s="2737"/>
      <c r="X32" s="2738"/>
    </row>
    <row r="33" spans="1:24" s="204" customFormat="1" ht="12.6" customHeight="1" thickTop="1">
      <c r="C33" s="1762"/>
      <c r="D33" s="1762"/>
      <c r="E33" s="1516"/>
      <c r="F33" s="252" t="s">
        <v>665</v>
      </c>
      <c r="G33" s="1738">
        <f>SUM(G29:H32)</f>
        <v>6635000</v>
      </c>
      <c r="H33" s="1739"/>
      <c r="J33" s="1738">
        <f>SUM(J29:K32)</f>
        <v>6635000</v>
      </c>
      <c r="K33" s="1739"/>
      <c r="L33" s="1520"/>
      <c r="M33" s="1738">
        <f>SUM(M29:N32)</f>
        <v>0</v>
      </c>
      <c r="N33" s="1739"/>
      <c r="P33" s="1738">
        <f>SUM(P29:Q32)</f>
        <v>0</v>
      </c>
      <c r="Q33" s="1739"/>
      <c r="S33" s="1738">
        <f>SUM(S29:T32)</f>
        <v>0</v>
      </c>
      <c r="T33" s="1739"/>
      <c r="V33" s="2739">
        <f>SUM(V29:V32)</f>
        <v>0</v>
      </c>
      <c r="W33" s="2740"/>
      <c r="X33" s="2741"/>
    </row>
    <row r="34" spans="1:24" s="204" customFormat="1" ht="12" customHeight="1">
      <c r="B34" s="205" t="s">
        <v>680</v>
      </c>
      <c r="D34" s="1761" t="s">
        <v>681</v>
      </c>
      <c r="E34" s="1761"/>
      <c r="F34" s="844">
        <f>SUM(F35:F37)</f>
        <v>0.14000000000000001</v>
      </c>
      <c r="G34" s="853" t="str">
        <f>IF(G35&gt;E35,"Proposed Builder Profit exceeds DCA Maximum!!!",IF(G36&gt;E36,"Proposed Builder Overhead exceeds DCA Maximum!!!",IF(G37&gt;E37,"Proposed General Requirements exceeds DCA Maximum!!!",IF(G38&gt;E38,"Proposed Contractor Services amount exceeds DCA Maximum!!!",""))))</f>
        <v/>
      </c>
      <c r="H34" s="221"/>
      <c r="I34" s="221"/>
      <c r="J34" s="254"/>
      <c r="K34" s="251"/>
      <c r="M34" s="254"/>
      <c r="N34" s="251"/>
      <c r="O34" s="253" t="str">
        <f>B34</f>
        <v>CONTRACTOR SERVICES</v>
      </c>
      <c r="P34" s="254"/>
      <c r="Q34" s="251"/>
      <c r="S34" s="254"/>
      <c r="T34" s="251"/>
      <c r="V34" s="963"/>
      <c r="W34" s="204" t="str">
        <f>B34</f>
        <v>CONTRACTOR SERVICES</v>
      </c>
    </row>
    <row r="35" spans="1:24" s="204" customFormat="1" ht="12.6" customHeight="1">
      <c r="B35" s="204" t="s">
        <v>682</v>
      </c>
      <c r="D35" s="846">
        <f>'DCA Underwriting Assumptions'!$R$74</f>
        <v>0.06</v>
      </c>
      <c r="E35" s="848">
        <f>D35*(G27+G33)</f>
        <v>464100</v>
      </c>
      <c r="F35" s="845">
        <f>IF(($G$27+$G$33)=0,0,G35/($G$27+$G$33))</f>
        <v>0.06</v>
      </c>
      <c r="G35" s="2725">
        <v>464100</v>
      </c>
      <c r="H35" s="2726"/>
      <c r="I35" s="221"/>
      <c r="J35" s="2725">
        <v>464100</v>
      </c>
      <c r="K35" s="2726"/>
      <c r="L35" s="1520"/>
      <c r="M35" s="2725"/>
      <c r="N35" s="2726"/>
      <c r="P35" s="2725"/>
      <c r="Q35" s="2726"/>
      <c r="S35" s="2725"/>
      <c r="T35" s="2726"/>
      <c r="V35" s="2727"/>
      <c r="W35" s="2728"/>
      <c r="X35" s="2729"/>
    </row>
    <row r="36" spans="1:24" s="204" customFormat="1" ht="12.6" customHeight="1">
      <c r="B36" s="204" t="s">
        <v>683</v>
      </c>
      <c r="D36" s="847">
        <f>'DCA Underwriting Assumptions'!$R$75</f>
        <v>0.02</v>
      </c>
      <c r="E36" s="848">
        <f>D36*(G27+G33)</f>
        <v>154700</v>
      </c>
      <c r="F36" s="845">
        <f>IF(($G$27+$G$33)=0,0,G36/($G$27+$G$33))</f>
        <v>0.02</v>
      </c>
      <c r="G36" s="2730">
        <v>154700</v>
      </c>
      <c r="H36" s="2731"/>
      <c r="I36" s="221"/>
      <c r="J36" s="2730">
        <v>154700</v>
      </c>
      <c r="K36" s="2731"/>
      <c r="L36" s="1520"/>
      <c r="M36" s="2730"/>
      <c r="N36" s="2731"/>
      <c r="P36" s="2730"/>
      <c r="Q36" s="2731"/>
      <c r="S36" s="2730"/>
      <c r="T36" s="2731"/>
      <c r="V36" s="2727"/>
      <c r="W36" s="2728"/>
      <c r="X36" s="2729"/>
    </row>
    <row r="37" spans="1:24" s="204" customFormat="1" ht="12.6" customHeight="1" thickBot="1">
      <c r="B37" s="204" t="s">
        <v>684</v>
      </c>
      <c r="D37" s="851">
        <f>'DCA Underwriting Assumptions'!$R$76</f>
        <v>0.06</v>
      </c>
      <c r="E37" s="852">
        <f>D37*(G27+G33)</f>
        <v>464100</v>
      </c>
      <c r="F37" s="1117">
        <f>IF(($G$27+$G$33)=0,0,G37/($G$27+$G$33))</f>
        <v>0.06</v>
      </c>
      <c r="G37" s="2735">
        <v>464100</v>
      </c>
      <c r="H37" s="2736"/>
      <c r="I37" s="221"/>
      <c r="J37" s="2735">
        <v>464100</v>
      </c>
      <c r="K37" s="2736"/>
      <c r="L37" s="1520"/>
      <c r="M37" s="2735"/>
      <c r="N37" s="2736"/>
      <c r="P37" s="2735"/>
      <c r="Q37" s="2736"/>
      <c r="S37" s="2735"/>
      <c r="T37" s="2736"/>
      <c r="V37" s="2727"/>
      <c r="W37" s="2737"/>
      <c r="X37" s="2738"/>
    </row>
    <row r="38" spans="1:24" s="204" customFormat="1" ht="12.6" customHeight="1" thickTop="1">
      <c r="B38" s="124" t="s">
        <v>685</v>
      </c>
      <c r="D38" s="849">
        <f>SUM(D35:D37)</f>
        <v>0.14000000000000001</v>
      </c>
      <c r="E38" s="850">
        <f>SUM(E35:E37)</f>
        <v>1082900</v>
      </c>
      <c r="F38" s="834" t="s">
        <v>665</v>
      </c>
      <c r="G38" s="1738">
        <f>SUM(G35:H37)</f>
        <v>1082900</v>
      </c>
      <c r="H38" s="1739"/>
      <c r="J38" s="1738">
        <f>SUM(J35:K37)</f>
        <v>1082900</v>
      </c>
      <c r="K38" s="1739"/>
      <c r="L38" s="254"/>
      <c r="M38" s="1738">
        <f>SUM(M35:N37)</f>
        <v>0</v>
      </c>
      <c r="N38" s="1739"/>
      <c r="P38" s="1738">
        <f>SUM(P35:Q37)</f>
        <v>0</v>
      </c>
      <c r="Q38" s="1739"/>
      <c r="S38" s="1738">
        <f>SUM(S35:T37)</f>
        <v>0</v>
      </c>
      <c r="T38" s="1739"/>
      <c r="V38" s="2739">
        <f>SUM(V35:V37)</f>
        <v>0</v>
      </c>
      <c r="W38" s="2740"/>
      <c r="X38" s="2741"/>
    </row>
    <row r="39" spans="1:24" s="204" customFormat="1" ht="3" customHeight="1">
      <c r="A39" s="379"/>
      <c r="B39" s="379"/>
      <c r="C39" s="379"/>
      <c r="D39" s="379"/>
      <c r="E39" s="379"/>
      <c r="F39" s="379"/>
      <c r="G39" s="379"/>
      <c r="H39" s="379"/>
      <c r="I39" s="379"/>
      <c r="J39" s="379"/>
      <c r="K39" s="379"/>
      <c r="L39" s="379"/>
      <c r="M39" s="379"/>
      <c r="N39" s="379"/>
      <c r="O39" s="379"/>
      <c r="P39" s="379"/>
      <c r="Q39" s="379"/>
      <c r="R39" s="379"/>
      <c r="S39" s="379"/>
      <c r="T39" s="379"/>
      <c r="V39" s="963"/>
    </row>
    <row r="40" spans="1:24" s="204" customFormat="1" ht="12" customHeight="1">
      <c r="B40" s="205" t="s">
        <v>686</v>
      </c>
      <c r="J40" s="254"/>
      <c r="K40" s="251"/>
      <c r="M40" s="254"/>
      <c r="N40" s="251"/>
      <c r="O40" s="253" t="str">
        <f>B40</f>
        <v>OTHER CONSTRUCTION HARD COSTS (Non-GC work scope items done by Owner)</v>
      </c>
      <c r="P40" s="254"/>
      <c r="Q40" s="251"/>
      <c r="S40" s="254"/>
      <c r="T40" s="251"/>
      <c r="V40" s="963"/>
      <c r="W40" s="204" t="str">
        <f>B40</f>
        <v>OTHER CONSTRUCTION HARD COSTS (Non-GC work scope items done by Owner)</v>
      </c>
    </row>
    <row r="41" spans="1:24" ht="12.6" customHeight="1">
      <c r="B41" s="204" t="s">
        <v>592</v>
      </c>
      <c r="C41" s="2732" t="s">
        <v>664</v>
      </c>
      <c r="D41" s="2744"/>
      <c r="E41" s="2744"/>
      <c r="F41" s="2745"/>
      <c r="G41" s="2746"/>
      <c r="H41" s="2747"/>
      <c r="I41" s="204"/>
      <c r="J41" s="2746"/>
      <c r="K41" s="2747"/>
      <c r="L41" s="1520"/>
      <c r="M41" s="2746"/>
      <c r="N41" s="2747"/>
      <c r="O41" s="204"/>
      <c r="P41" s="2746"/>
      <c r="Q41" s="2747"/>
      <c r="R41" s="204"/>
      <c r="S41" s="2746"/>
      <c r="T41" s="2747"/>
      <c r="V41" s="2727"/>
      <c r="W41" s="2748"/>
      <c r="X41" s="2749"/>
    </row>
    <row r="42" spans="1:24" s="204" customFormat="1" ht="6" customHeight="1">
      <c r="A42" s="379"/>
      <c r="B42" s="379"/>
      <c r="C42" s="379"/>
      <c r="D42" s="751"/>
      <c r="E42" s="751"/>
      <c r="F42" s="751"/>
      <c r="G42" s="379"/>
      <c r="H42" s="379"/>
      <c r="I42" s="379"/>
      <c r="J42" s="379"/>
      <c r="K42" s="379"/>
      <c r="L42" s="379"/>
      <c r="M42" s="379"/>
      <c r="N42" s="379"/>
      <c r="O42" s="379"/>
      <c r="P42" s="379"/>
      <c r="Q42" s="379"/>
      <c r="R42" s="379"/>
      <c r="S42" s="379"/>
      <c r="T42" s="379"/>
      <c r="V42" s="963"/>
      <c r="W42" s="2750"/>
      <c r="X42" s="2751"/>
    </row>
    <row r="43" spans="1:24" s="204" customFormat="1" ht="12.6" customHeight="1">
      <c r="B43" s="1389" t="s">
        <v>687</v>
      </c>
      <c r="C43" s="1351"/>
      <c r="E43" s="1755" t="s">
        <v>688</v>
      </c>
      <c r="F43" s="1518">
        <f>B44/'Part VI-Revenues &amp; Expenses'!$O$60</f>
        <v>122470.83333333333</v>
      </c>
      <c r="G43" s="1519" t="s">
        <v>689</v>
      </c>
      <c r="H43" s="1508"/>
      <c r="I43" s="1508"/>
      <c r="J43" s="1757">
        <f>B44/'Part VI-Revenues &amp; Expenses'!$O$62</f>
        <v>119160.81081081081</v>
      </c>
      <c r="K43" s="1757"/>
      <c r="L43" s="1508"/>
      <c r="M43" s="1758" t="s">
        <v>690</v>
      </c>
      <c r="N43" s="1758"/>
      <c r="O43" s="1508"/>
      <c r="P43" s="1757">
        <f>B44/'Part I-Project Information'!$P$71</f>
        <v>107.23197781885398</v>
      </c>
      <c r="Q43" s="1757"/>
      <c r="R43" s="1508"/>
      <c r="S43" s="1759" t="s">
        <v>691</v>
      </c>
      <c r="T43" s="1760"/>
      <c r="V43" s="963"/>
      <c r="W43" s="2750"/>
      <c r="X43" s="2751"/>
    </row>
    <row r="44" spans="1:24" s="204" customFormat="1" ht="12.6" customHeight="1">
      <c r="B44" s="1751">
        <f>G27+G33+G38+G41</f>
        <v>8817900</v>
      </c>
      <c r="C44" s="1752"/>
      <c r="E44" s="1756"/>
      <c r="F44" s="1517">
        <f>B44/'Part VI-Revenues &amp; Expenses'!$O$117</f>
        <v>113.50401606425703</v>
      </c>
      <c r="G44" s="402" t="s">
        <v>692</v>
      </c>
      <c r="H44" s="1507"/>
      <c r="I44" s="1507"/>
      <c r="J44" s="1753">
        <f>B44/'Part VI-Revenues &amp; Expenses'!$O$119</f>
        <v>110.04218040233614</v>
      </c>
      <c r="K44" s="1753"/>
      <c r="L44" s="1507"/>
      <c r="M44" s="1754" t="s">
        <v>693</v>
      </c>
      <c r="N44" s="1754"/>
      <c r="O44" s="1507"/>
      <c r="P44" s="1507"/>
      <c r="Q44" s="1507"/>
      <c r="R44" s="1507"/>
      <c r="S44" s="1507"/>
      <c r="T44" s="244"/>
      <c r="V44" s="963"/>
      <c r="W44" s="2752"/>
      <c r="X44" s="2753"/>
    </row>
    <row r="45" spans="1:24" s="204" customFormat="1" ht="3" customHeight="1">
      <c r="A45" s="379"/>
      <c r="B45" s="379"/>
      <c r="C45" s="379"/>
      <c r="D45" s="379"/>
      <c r="E45" s="379"/>
      <c r="F45" s="379"/>
      <c r="G45" s="379"/>
      <c r="H45" s="379"/>
      <c r="I45" s="379"/>
      <c r="J45" s="379"/>
      <c r="K45" s="379"/>
      <c r="L45" s="379"/>
      <c r="M45" s="379"/>
      <c r="N45" s="379"/>
      <c r="O45" s="379"/>
      <c r="P45" s="379"/>
      <c r="Q45" s="379"/>
      <c r="R45" s="379"/>
      <c r="S45" s="379"/>
      <c r="T45" s="379"/>
      <c r="V45" s="963"/>
    </row>
    <row r="46" spans="1:24" s="204" customFormat="1" ht="12" customHeight="1">
      <c r="B46" s="205" t="s">
        <v>694</v>
      </c>
      <c r="F46" s="1116" t="s">
        <v>695</v>
      </c>
      <c r="J46" s="254"/>
      <c r="K46" s="251"/>
      <c r="M46" s="254"/>
      <c r="N46" s="251"/>
      <c r="O46" s="253" t="str">
        <f>B46</f>
        <v>CONSTRUCTION CONTINGENCY</v>
      </c>
      <c r="P46" s="254"/>
      <c r="Q46" s="251"/>
      <c r="S46" s="254"/>
      <c r="T46" s="251"/>
      <c r="V46" s="963"/>
      <c r="W46" s="204" t="str">
        <f>B46</f>
        <v>CONSTRUCTION CONTINGENCY</v>
      </c>
    </row>
    <row r="47" spans="1:24" ht="12.6" customHeight="1">
      <c r="B47" s="204" t="s">
        <v>696</v>
      </c>
      <c r="D47" s="414" t="s">
        <v>697</v>
      </c>
      <c r="E47" s="111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440895</v>
      </c>
      <c r="F47" s="256">
        <f>G47/B44</f>
        <v>4.9898501910885809E-2</v>
      </c>
      <c r="G47" s="2746">
        <v>440000</v>
      </c>
      <c r="H47" s="2747"/>
      <c r="I47" s="204"/>
      <c r="J47" s="2746">
        <v>440000</v>
      </c>
      <c r="K47" s="2747"/>
      <c r="L47" s="1520"/>
      <c r="M47" s="2746"/>
      <c r="N47" s="2747"/>
      <c r="O47" s="204"/>
      <c r="P47" s="2746"/>
      <c r="Q47" s="2747"/>
      <c r="R47" s="204"/>
      <c r="S47" s="2746"/>
      <c r="T47" s="2747"/>
      <c r="V47" s="2727"/>
      <c r="W47" s="2728"/>
      <c r="X47" s="2729"/>
    </row>
    <row r="48" spans="1:24" s="204" customFormat="1" ht="3" customHeight="1" thickBot="1">
      <c r="A48" s="379"/>
      <c r="B48" s="379"/>
      <c r="C48" s="379"/>
      <c r="D48" s="379"/>
      <c r="E48" s="379"/>
      <c r="F48" s="379"/>
      <c r="G48" s="379"/>
      <c r="H48" s="379"/>
      <c r="I48" s="379"/>
      <c r="J48" s="379"/>
      <c r="K48" s="379"/>
      <c r="L48" s="379"/>
      <c r="M48" s="379"/>
      <c r="N48" s="379"/>
      <c r="O48" s="379"/>
      <c r="P48" s="379"/>
      <c r="Q48" s="379"/>
      <c r="R48" s="379"/>
      <c r="S48" s="379"/>
      <c r="T48" s="379"/>
      <c r="V48" s="963"/>
    </row>
    <row r="49" spans="1:24" s="204" customFormat="1" ht="18.75" customHeight="1" thickBot="1">
      <c r="A49" s="318" t="s">
        <v>9</v>
      </c>
      <c r="B49" s="318" t="s">
        <v>698</v>
      </c>
      <c r="H49" s="1510"/>
      <c r="I49" s="1510"/>
      <c r="J49" s="1734" t="s">
        <v>651</v>
      </c>
      <c r="K49" s="1735"/>
      <c r="L49" s="251"/>
      <c r="M49" s="1743" t="s">
        <v>652</v>
      </c>
      <c r="N49" s="1744"/>
      <c r="P49" s="1734" t="s">
        <v>653</v>
      </c>
      <c r="Q49" s="1735"/>
      <c r="S49" s="1734" t="s">
        <v>654</v>
      </c>
      <c r="T49" s="1735"/>
      <c r="V49" s="963"/>
      <c r="W49" s="319" t="str">
        <f>B49</f>
        <v>DEVELOPMENT BUDGET (cont'd)</v>
      </c>
    </row>
    <row r="50" spans="1:24" s="204" customFormat="1" ht="18.75" customHeight="1" thickBot="1">
      <c r="G50" s="1747" t="s">
        <v>655</v>
      </c>
      <c r="H50" s="1748"/>
      <c r="J50" s="1736"/>
      <c r="K50" s="1737"/>
      <c r="L50" s="251"/>
      <c r="M50" s="1745"/>
      <c r="N50" s="1746"/>
      <c r="P50" s="1736"/>
      <c r="Q50" s="1737"/>
      <c r="S50" s="1736"/>
      <c r="T50" s="1737"/>
      <c r="V50" s="963"/>
      <c r="W50" s="1693" t="s">
        <v>530</v>
      </c>
      <c r="X50" s="1693"/>
    </row>
    <row r="51" spans="1:24" s="204" customFormat="1" ht="12" customHeight="1">
      <c r="B51" s="205" t="s">
        <v>699</v>
      </c>
      <c r="J51" s="254"/>
      <c r="K51" s="251"/>
      <c r="M51" s="254"/>
      <c r="N51" s="251"/>
      <c r="O51" s="253" t="str">
        <f>B51</f>
        <v>CONSTRUCTION PERIOD FINANCING</v>
      </c>
      <c r="P51" s="254"/>
      <c r="Q51" s="251"/>
      <c r="S51" s="254"/>
      <c r="T51" s="251"/>
      <c r="V51" s="963"/>
      <c r="W51" s="204" t="str">
        <f>B51</f>
        <v>CONSTRUCTION PERIOD FINANCING</v>
      </c>
    </row>
    <row r="52" spans="1:24" s="204" customFormat="1" ht="12" customHeight="1">
      <c r="B52" s="204" t="s">
        <v>700</v>
      </c>
      <c r="G52" s="2725"/>
      <c r="H52" s="2726"/>
      <c r="J52" s="2725"/>
      <c r="K52" s="2726"/>
      <c r="L52" s="1520"/>
      <c r="M52" s="2725"/>
      <c r="N52" s="2726"/>
      <c r="P52" s="2725"/>
      <c r="Q52" s="2726"/>
      <c r="S52" s="2725"/>
      <c r="T52" s="2726"/>
      <c r="V52" s="2754"/>
      <c r="W52" s="2728"/>
      <c r="X52" s="2729"/>
    </row>
    <row r="53" spans="1:24" s="204" customFormat="1" ht="12" customHeight="1">
      <c r="B53" s="204" t="s">
        <v>701</v>
      </c>
      <c r="G53" s="2730"/>
      <c r="H53" s="2731"/>
      <c r="J53" s="2730"/>
      <c r="K53" s="2731"/>
      <c r="L53" s="1520"/>
      <c r="M53" s="2730"/>
      <c r="N53" s="2731"/>
      <c r="P53" s="2730"/>
      <c r="Q53" s="2731"/>
      <c r="S53" s="2730"/>
      <c r="T53" s="2731"/>
      <c r="V53" s="2754"/>
      <c r="W53" s="2728"/>
      <c r="X53" s="2729"/>
    </row>
    <row r="54" spans="1:24" s="204" customFormat="1" ht="12" customHeight="1">
      <c r="B54" s="204" t="s">
        <v>702</v>
      </c>
      <c r="G54" s="2730">
        <v>23000</v>
      </c>
      <c r="H54" s="2731"/>
      <c r="J54" s="2730">
        <v>23000</v>
      </c>
      <c r="K54" s="2731"/>
      <c r="L54" s="1520"/>
      <c r="M54" s="2730"/>
      <c r="N54" s="2731"/>
      <c r="P54" s="2730"/>
      <c r="Q54" s="2731"/>
      <c r="S54" s="2730"/>
      <c r="T54" s="2731"/>
      <c r="V54" s="2754"/>
      <c r="W54" s="2728"/>
      <c r="X54" s="2729"/>
    </row>
    <row r="55" spans="1:24" s="204" customFormat="1" ht="12" customHeight="1">
      <c r="B55" s="204" t="s">
        <v>703</v>
      </c>
      <c r="G55" s="2730">
        <v>95800</v>
      </c>
      <c r="H55" s="2731"/>
      <c r="J55" s="2730">
        <f>95800*0.25</f>
        <v>23950</v>
      </c>
      <c r="K55" s="2731"/>
      <c r="L55" s="1520"/>
      <c r="M55" s="2730"/>
      <c r="N55" s="2731"/>
      <c r="P55" s="2730"/>
      <c r="Q55" s="2731"/>
      <c r="S55" s="2730">
        <f>95800*0.75</f>
        <v>71850</v>
      </c>
      <c r="T55" s="2731"/>
      <c r="V55" s="2754"/>
      <c r="W55" s="2728"/>
      <c r="X55" s="2729"/>
    </row>
    <row r="56" spans="1:24" s="204" customFormat="1" ht="12" customHeight="1">
      <c r="B56" s="204" t="s">
        <v>704</v>
      </c>
      <c r="G56" s="2730">
        <v>10000</v>
      </c>
      <c r="H56" s="2731"/>
      <c r="J56" s="2730">
        <v>10000</v>
      </c>
      <c r="K56" s="2731"/>
      <c r="L56" s="1520"/>
      <c r="M56" s="2730"/>
      <c r="N56" s="2731"/>
      <c r="P56" s="2730"/>
      <c r="Q56" s="2731"/>
      <c r="S56" s="2730"/>
      <c r="T56" s="2731"/>
      <c r="V56" s="2754"/>
      <c r="W56" s="2728"/>
      <c r="X56" s="2729"/>
    </row>
    <row r="57" spans="1:24" s="204" customFormat="1" ht="12" customHeight="1">
      <c r="B57" s="204" t="s">
        <v>705</v>
      </c>
      <c r="G57" s="2730">
        <v>19500</v>
      </c>
      <c r="H57" s="2731"/>
      <c r="J57" s="2730">
        <v>19500</v>
      </c>
      <c r="K57" s="2731"/>
      <c r="L57" s="1520"/>
      <c r="M57" s="2730"/>
      <c r="N57" s="2731"/>
      <c r="P57" s="2730"/>
      <c r="Q57" s="2731"/>
      <c r="S57" s="2730"/>
      <c r="T57" s="2731"/>
      <c r="V57" s="2754"/>
      <c r="W57" s="2728"/>
      <c r="X57" s="2729"/>
    </row>
    <row r="58" spans="1:24" s="204" customFormat="1" ht="12" customHeight="1">
      <c r="B58" s="204" t="s">
        <v>706</v>
      </c>
      <c r="G58" s="2730">
        <v>6500</v>
      </c>
      <c r="H58" s="2731"/>
      <c r="J58" s="2730">
        <v>6500</v>
      </c>
      <c r="K58" s="2731"/>
      <c r="L58" s="1520"/>
      <c r="M58" s="2730"/>
      <c r="N58" s="2731"/>
      <c r="P58" s="2730"/>
      <c r="Q58" s="2731"/>
      <c r="S58" s="2730"/>
      <c r="T58" s="2731"/>
      <c r="V58" s="2754"/>
      <c r="W58" s="2728"/>
      <c r="X58" s="2729"/>
    </row>
    <row r="59" spans="1:24" s="204" customFormat="1" ht="12" customHeight="1">
      <c r="B59" s="204" t="s">
        <v>707</v>
      </c>
      <c r="G59" s="2730">
        <v>53000</v>
      </c>
      <c r="H59" s="2731"/>
      <c r="J59" s="2730">
        <v>53000</v>
      </c>
      <c r="K59" s="2731"/>
      <c r="L59" s="1520"/>
      <c r="M59" s="2730"/>
      <c r="N59" s="2731"/>
      <c r="P59" s="2730"/>
      <c r="Q59" s="2731"/>
      <c r="S59" s="2730"/>
      <c r="T59" s="2731"/>
      <c r="V59" s="2754"/>
      <c r="W59" s="2728"/>
      <c r="X59" s="2729"/>
    </row>
    <row r="60" spans="1:24" s="204" customFormat="1" ht="12" customHeight="1">
      <c r="B60" s="204" t="s">
        <v>708</v>
      </c>
      <c r="G60" s="2730"/>
      <c r="H60" s="2731"/>
      <c r="J60" s="2730"/>
      <c r="K60" s="2731"/>
      <c r="L60" s="1520"/>
      <c r="M60" s="2730"/>
      <c r="N60" s="2731"/>
      <c r="P60" s="2730"/>
      <c r="Q60" s="2731"/>
      <c r="S60" s="2730"/>
      <c r="T60" s="2731"/>
      <c r="V60" s="2754"/>
      <c r="W60" s="2728"/>
      <c r="X60" s="2729"/>
    </row>
    <row r="61" spans="1:24" s="204" customFormat="1" ht="12" customHeight="1">
      <c r="B61" s="258" t="s">
        <v>709</v>
      </c>
      <c r="D61" s="256"/>
      <c r="E61" s="256"/>
      <c r="F61" s="257"/>
      <c r="G61" s="2730"/>
      <c r="H61" s="2731"/>
      <c r="I61" s="221"/>
      <c r="J61" s="2730"/>
      <c r="K61" s="2731"/>
      <c r="L61" s="1520"/>
      <c r="M61" s="2730"/>
      <c r="N61" s="2731"/>
      <c r="P61" s="2730"/>
      <c r="Q61" s="2731"/>
      <c r="S61" s="2730"/>
      <c r="T61" s="2731"/>
      <c r="V61" s="2754"/>
      <c r="W61" s="2728"/>
      <c r="X61" s="2729"/>
    </row>
    <row r="62" spans="1:24" s="204" customFormat="1" ht="12" customHeight="1">
      <c r="A62" s="277" t="str">
        <f>IF(AND(G62&gt;0,OR(C62="",C62="&lt;Enter detailed description here; use Comments section if needed&gt;")),"X","")</f>
        <v/>
      </c>
      <c r="B62" s="204" t="s">
        <v>592</v>
      </c>
      <c r="C62" s="2755" t="s">
        <v>664</v>
      </c>
      <c r="D62" s="2755"/>
      <c r="E62" s="2755"/>
      <c r="F62" s="2756"/>
      <c r="G62" s="2730"/>
      <c r="H62" s="2731"/>
      <c r="J62" s="2730"/>
      <c r="K62" s="2731"/>
      <c r="L62" s="1520"/>
      <c r="M62" s="2730"/>
      <c r="N62" s="2731"/>
      <c r="P62" s="2730"/>
      <c r="Q62" s="2731"/>
      <c r="S62" s="2730"/>
      <c r="T62" s="2731"/>
      <c r="U62" s="276" t="str">
        <f>IF(AND(G62&gt;0,OR(C62="",C62="&lt;Enter detailed description here; use Comments section if needed&gt;")),"NO DESCRIPTION PROVIDED - please enter detailed description in Other box at left; use Comments section below if needed.","")</f>
        <v/>
      </c>
      <c r="V62" s="2754"/>
      <c r="W62" s="2728"/>
      <c r="X62" s="2729"/>
    </row>
    <row r="63" spans="1:24" s="204" customFormat="1" ht="12" customHeight="1" thickBot="1">
      <c r="A63" s="277" t="str">
        <f>IF(AND(G63&gt;0,OR(C63="",C63="&lt;Enter detailed description here; use Comments section if needed&gt;")),"X","")</f>
        <v/>
      </c>
      <c r="B63" s="204" t="s">
        <v>592</v>
      </c>
      <c r="C63" s="2757" t="s">
        <v>664</v>
      </c>
      <c r="D63" s="2757"/>
      <c r="E63" s="2757"/>
      <c r="F63" s="2758"/>
      <c r="G63" s="2759"/>
      <c r="H63" s="2760"/>
      <c r="J63" s="2759"/>
      <c r="K63" s="2760"/>
      <c r="L63" s="1520"/>
      <c r="M63" s="2759"/>
      <c r="N63" s="2760"/>
      <c r="P63" s="2759"/>
      <c r="Q63" s="2760"/>
      <c r="S63" s="2759"/>
      <c r="T63" s="2760"/>
      <c r="U63" s="276" t="str">
        <f>IF(AND(G63&gt;0,OR(C63="",C63="&lt;Enter detailed description here; use Comments section if needed&gt;")),"NO DESCRIPTION PROVIDED - please enter detailed description in Other box at left; use Comments section below if needed.","")</f>
        <v/>
      </c>
      <c r="V63" s="2754"/>
      <c r="W63" s="2737"/>
      <c r="X63" s="2738"/>
    </row>
    <row r="64" spans="1:24" s="204" customFormat="1" ht="12" customHeight="1" thickTop="1">
      <c r="F64" s="252" t="s">
        <v>665</v>
      </c>
      <c r="G64" s="1738">
        <f>SUM(G52:H63)</f>
        <v>207800</v>
      </c>
      <c r="H64" s="1739"/>
      <c r="J64" s="1738">
        <f>SUM(J52:K63)</f>
        <v>135950</v>
      </c>
      <c r="K64" s="1739"/>
      <c r="L64" s="254"/>
      <c r="M64" s="1738">
        <f>SUM(M52:N63)</f>
        <v>0</v>
      </c>
      <c r="N64" s="1739"/>
      <c r="P64" s="1738">
        <f>SUM(P52:Q63)</f>
        <v>0</v>
      </c>
      <c r="Q64" s="1739"/>
      <c r="S64" s="1738">
        <f>SUM(S52:T63)</f>
        <v>71850</v>
      </c>
      <c r="T64" s="1739"/>
      <c r="V64" s="2761">
        <f>SUM(V52:V63)</f>
        <v>0</v>
      </c>
      <c r="W64" s="2740"/>
      <c r="X64" s="2741"/>
    </row>
    <row r="65" spans="1:24" s="204" customFormat="1" ht="12" customHeight="1">
      <c r="B65" s="205" t="s">
        <v>710</v>
      </c>
      <c r="G65" s="251"/>
      <c r="H65" s="251"/>
      <c r="J65" s="251"/>
      <c r="K65" s="251"/>
      <c r="M65" s="251"/>
      <c r="N65" s="251"/>
      <c r="O65" s="253" t="str">
        <f>B65</f>
        <v>PROFESSIONAL SERVICES</v>
      </c>
      <c r="P65" s="251"/>
      <c r="Q65" s="251"/>
      <c r="S65" s="251"/>
      <c r="T65" s="251"/>
      <c r="V65" s="963"/>
      <c r="W65" s="204" t="str">
        <f>B65</f>
        <v>PROFESSIONAL SERVICES</v>
      </c>
    </row>
    <row r="66" spans="1:24" s="204" customFormat="1" ht="12" customHeight="1">
      <c r="B66" s="204" t="s">
        <v>711</v>
      </c>
      <c r="G66" s="2725">
        <v>219000</v>
      </c>
      <c r="H66" s="2726"/>
      <c r="J66" s="2725">
        <v>219000</v>
      </c>
      <c r="K66" s="2726"/>
      <c r="L66" s="1520"/>
      <c r="M66" s="2725"/>
      <c r="N66" s="2726"/>
      <c r="P66" s="2725"/>
      <c r="Q66" s="2726"/>
      <c r="S66" s="2725"/>
      <c r="T66" s="2726"/>
      <c r="V66" s="2727"/>
      <c r="W66" s="2728"/>
      <c r="X66" s="2729"/>
    </row>
    <row r="67" spans="1:24" s="204" customFormat="1" ht="12" customHeight="1">
      <c r="B67" s="204" t="s">
        <v>712</v>
      </c>
      <c r="G67" s="2730">
        <v>52000</v>
      </c>
      <c r="H67" s="2731"/>
      <c r="J67" s="2730">
        <v>52000</v>
      </c>
      <c r="K67" s="2731"/>
      <c r="L67" s="1520"/>
      <c r="M67" s="2730"/>
      <c r="N67" s="2731"/>
      <c r="P67" s="2730"/>
      <c r="Q67" s="2731"/>
      <c r="S67" s="2730"/>
      <c r="T67" s="2731"/>
      <c r="V67" s="2727"/>
      <c r="W67" s="2728"/>
      <c r="X67" s="2729"/>
    </row>
    <row r="68" spans="1:24" s="204" customFormat="1" ht="12" customHeight="1">
      <c r="B68" s="204" t="s">
        <v>713</v>
      </c>
      <c r="D68" s="215" t="s">
        <v>714</v>
      </c>
      <c r="E68" s="954">
        <f>'DCA Underwriting Assumptions'!R77</f>
        <v>20000</v>
      </c>
      <c r="F68" s="955" t="str">
        <f>IF(G68&gt;E68,"CHECK!!!","")</f>
        <v/>
      </c>
      <c r="G68" s="2730">
        <v>5000</v>
      </c>
      <c r="H68" s="2731"/>
      <c r="J68" s="2730">
        <v>5000</v>
      </c>
      <c r="K68" s="2731"/>
      <c r="L68" s="1520"/>
      <c r="M68" s="2730"/>
      <c r="N68" s="2731"/>
      <c r="P68" s="2730"/>
      <c r="Q68" s="2731"/>
      <c r="S68" s="2730"/>
      <c r="T68" s="2731"/>
      <c r="V68" s="2727"/>
      <c r="W68" s="2728"/>
      <c r="X68" s="2729"/>
    </row>
    <row r="69" spans="1:24" s="204" customFormat="1" ht="12" customHeight="1">
      <c r="B69" s="204" t="s">
        <v>715</v>
      </c>
      <c r="G69" s="2730">
        <v>35000</v>
      </c>
      <c r="H69" s="2731"/>
      <c r="J69" s="2730">
        <v>35000</v>
      </c>
      <c r="K69" s="2731"/>
      <c r="L69" s="1520"/>
      <c r="M69" s="2730"/>
      <c r="N69" s="2731"/>
      <c r="P69" s="2730"/>
      <c r="Q69" s="2731"/>
      <c r="S69" s="2730"/>
      <c r="T69" s="2731"/>
      <c r="V69" s="2727"/>
      <c r="W69" s="2728"/>
      <c r="X69" s="2729"/>
    </row>
    <row r="70" spans="1:24" s="204" customFormat="1" ht="12" customHeight="1">
      <c r="B70" s="204" t="s">
        <v>716</v>
      </c>
      <c r="G70" s="2730">
        <v>2000</v>
      </c>
      <c r="H70" s="2731"/>
      <c r="J70" s="2730">
        <v>2000</v>
      </c>
      <c r="K70" s="2731"/>
      <c r="L70" s="1520"/>
      <c r="M70" s="2730"/>
      <c r="N70" s="2731"/>
      <c r="P70" s="2730"/>
      <c r="Q70" s="2731"/>
      <c r="S70" s="2730"/>
      <c r="T70" s="2731"/>
      <c r="V70" s="2727"/>
      <c r="W70" s="2728"/>
      <c r="X70" s="2729"/>
    </row>
    <row r="71" spans="1:24" s="204" customFormat="1" ht="12" customHeight="1">
      <c r="B71" s="204" t="s">
        <v>717</v>
      </c>
      <c r="G71" s="2730">
        <v>20000</v>
      </c>
      <c r="H71" s="2731"/>
      <c r="J71" s="2730">
        <v>20000</v>
      </c>
      <c r="K71" s="2731"/>
      <c r="L71" s="1520"/>
      <c r="M71" s="2730"/>
      <c r="N71" s="2731"/>
      <c r="P71" s="2730"/>
      <c r="Q71" s="2731"/>
      <c r="S71" s="2730"/>
      <c r="T71" s="2731"/>
      <c r="V71" s="2727"/>
      <c r="W71" s="2728"/>
      <c r="X71" s="2729"/>
    </row>
    <row r="72" spans="1:24" s="204" customFormat="1" ht="12" customHeight="1">
      <c r="B72" s="204" t="s">
        <v>718</v>
      </c>
      <c r="G72" s="2730">
        <v>47885</v>
      </c>
      <c r="H72" s="2731"/>
      <c r="J72" s="2730">
        <v>47885</v>
      </c>
      <c r="K72" s="2731"/>
      <c r="L72" s="1520"/>
      <c r="M72" s="2730"/>
      <c r="N72" s="2731"/>
      <c r="P72" s="2730"/>
      <c r="Q72" s="2731"/>
      <c r="S72" s="2730"/>
      <c r="T72" s="2731"/>
      <c r="V72" s="2727"/>
      <c r="W72" s="2728"/>
      <c r="X72" s="2729"/>
    </row>
    <row r="73" spans="1:24" s="204" customFormat="1" ht="12" customHeight="1">
      <c r="B73" s="204" t="s">
        <v>719</v>
      </c>
      <c r="G73" s="2730">
        <v>85000</v>
      </c>
      <c r="H73" s="2731"/>
      <c r="J73" s="2730">
        <v>85000</v>
      </c>
      <c r="K73" s="2731"/>
      <c r="L73" s="1520"/>
      <c r="M73" s="2730"/>
      <c r="N73" s="2731"/>
      <c r="P73" s="2730"/>
      <c r="Q73" s="2731"/>
      <c r="S73" s="2730"/>
      <c r="T73" s="2731"/>
      <c r="V73" s="2727"/>
      <c r="W73" s="2728"/>
      <c r="X73" s="2729"/>
    </row>
    <row r="74" spans="1:24" s="204" customFormat="1" ht="12" customHeight="1">
      <c r="B74" s="204" t="s">
        <v>720</v>
      </c>
      <c r="G74" s="2730">
        <v>31500</v>
      </c>
      <c r="H74" s="2731"/>
      <c r="J74" s="2730">
        <v>31500</v>
      </c>
      <c r="K74" s="2731"/>
      <c r="L74" s="1520"/>
      <c r="M74" s="2730"/>
      <c r="N74" s="2731"/>
      <c r="P74" s="2730"/>
      <c r="Q74" s="2731"/>
      <c r="S74" s="2730"/>
      <c r="T74" s="2731"/>
      <c r="V74" s="2727"/>
      <c r="W74" s="2728"/>
      <c r="X74" s="2729"/>
    </row>
    <row r="75" spans="1:24" s="204" customFormat="1" ht="12" customHeight="1">
      <c r="B75" s="204" t="s">
        <v>721</v>
      </c>
      <c r="G75" s="2730">
        <v>5000</v>
      </c>
      <c r="H75" s="2731"/>
      <c r="J75" s="2730">
        <v>5000</v>
      </c>
      <c r="K75" s="2731"/>
      <c r="L75" s="1520"/>
      <c r="M75" s="2730"/>
      <c r="N75" s="2731"/>
      <c r="P75" s="2730"/>
      <c r="Q75" s="2731"/>
      <c r="S75" s="2730"/>
      <c r="T75" s="2731"/>
      <c r="V75" s="2727"/>
      <c r="W75" s="2728"/>
      <c r="X75" s="2729"/>
    </row>
    <row r="76" spans="1:24" s="204" customFormat="1" ht="12" customHeight="1" thickBot="1">
      <c r="A76" s="277" t="str">
        <f>IF(AND(G76&gt;0,OR(C76="",C76="&lt;Enter detailed description here; use Comments section if needed&gt;")),"X","")</f>
        <v/>
      </c>
      <c r="B76" s="204" t="s">
        <v>592</v>
      </c>
      <c r="C76" s="2732" t="s">
        <v>664</v>
      </c>
      <c r="D76" s="2732"/>
      <c r="E76" s="2732"/>
      <c r="F76" s="2733"/>
      <c r="G76" s="2759"/>
      <c r="H76" s="2760"/>
      <c r="J76" s="2759"/>
      <c r="K76" s="2760"/>
      <c r="L76" s="1520"/>
      <c r="M76" s="2759"/>
      <c r="N76" s="2760"/>
      <c r="P76" s="2759"/>
      <c r="Q76" s="2760"/>
      <c r="S76" s="2759"/>
      <c r="T76" s="2760"/>
      <c r="U76" s="276" t="str">
        <f>IF(AND(G76&gt;0,OR(C76="",C76="&lt;Enter detailed description here; use Comments section if needed&gt;")),"NO DESCRIPTION PROVIDED - please enter detailed description in Other box at left; use Comments section below if needed.","")</f>
        <v/>
      </c>
      <c r="V76" s="2727"/>
      <c r="W76" s="2737"/>
      <c r="X76" s="2738"/>
    </row>
    <row r="77" spans="1:24" s="204" customFormat="1" ht="12" customHeight="1" thickTop="1">
      <c r="F77" s="252" t="s">
        <v>665</v>
      </c>
      <c r="G77" s="1738">
        <f>SUM(G66:H76)</f>
        <v>502385</v>
      </c>
      <c r="H77" s="1739"/>
      <c r="J77" s="1738">
        <f>SUM(J66:K76)</f>
        <v>502385</v>
      </c>
      <c r="K77" s="1739"/>
      <c r="L77" s="254"/>
      <c r="M77" s="1738">
        <f>SUM(M66:N76)</f>
        <v>0</v>
      </c>
      <c r="N77" s="1739"/>
      <c r="P77" s="1738">
        <f>SUM(P66:Q76)</f>
        <v>0</v>
      </c>
      <c r="Q77" s="1739"/>
      <c r="S77" s="1738">
        <f>SUM(S66:T76)</f>
        <v>0</v>
      </c>
      <c r="T77" s="1739"/>
      <c r="V77" s="2739">
        <f>SUM(V66:V76)</f>
        <v>0</v>
      </c>
      <c r="W77" s="2740"/>
      <c r="X77" s="2741"/>
    </row>
    <row r="78" spans="1:24" ht="12" customHeight="1">
      <c r="A78" s="204"/>
      <c r="B78" s="205" t="s">
        <v>722</v>
      </c>
      <c r="C78" s="204"/>
      <c r="D78" s="785" t="s">
        <v>723</v>
      </c>
      <c r="E78" s="854">
        <f>G83/'Part VI-Revenues &amp; Expenses'!$O$62</f>
        <v>7472.8243243243242</v>
      </c>
      <c r="F78" s="204"/>
      <c r="G78" s="204"/>
      <c r="H78" s="204"/>
      <c r="I78" s="204"/>
      <c r="J78" s="254"/>
      <c r="K78" s="254"/>
      <c r="M78" s="254"/>
      <c r="N78" s="254"/>
      <c r="O78" s="253" t="str">
        <f>B78</f>
        <v>LOCAL GOVERNMENT FEES</v>
      </c>
      <c r="P78" s="254"/>
      <c r="Q78" s="254"/>
      <c r="S78" s="254"/>
      <c r="T78" s="254"/>
      <c r="V78" s="963"/>
      <c r="W78" s="204" t="str">
        <f>B78</f>
        <v>LOCAL GOVERNMENT FEES</v>
      </c>
    </row>
    <row r="79" spans="1:24" s="204" customFormat="1" ht="12" customHeight="1">
      <c r="B79" s="204" t="s">
        <v>724</v>
      </c>
      <c r="G79" s="2725">
        <v>39989</v>
      </c>
      <c r="H79" s="2726"/>
      <c r="J79" s="2725">
        <v>39989</v>
      </c>
      <c r="K79" s="2726"/>
      <c r="L79" s="1520"/>
      <c r="M79" s="2725"/>
      <c r="N79" s="2726"/>
      <c r="P79" s="2725"/>
      <c r="Q79" s="2726"/>
      <c r="S79" s="2725"/>
      <c r="T79" s="2726"/>
      <c r="V79" s="2727"/>
      <c r="W79" s="2728"/>
      <c r="X79" s="2729"/>
    </row>
    <row r="80" spans="1:24" s="204" customFormat="1" ht="12" customHeight="1">
      <c r="B80" s="204" t="s">
        <v>725</v>
      </c>
      <c r="G80" s="2730"/>
      <c r="H80" s="2731"/>
      <c r="J80" s="2730"/>
      <c r="K80" s="2731"/>
      <c r="L80" s="1520"/>
      <c r="M80" s="2730"/>
      <c r="N80" s="2731"/>
      <c r="P80" s="2730"/>
      <c r="Q80" s="2731"/>
      <c r="S80" s="2730"/>
      <c r="T80" s="2731"/>
      <c r="V80" s="2727"/>
      <c r="W80" s="2728"/>
      <c r="X80" s="2729"/>
    </row>
    <row r="81" spans="1:24" s="204" customFormat="1" ht="12" customHeight="1">
      <c r="B81" s="204" t="s">
        <v>726</v>
      </c>
      <c r="D81" s="260" t="s">
        <v>727</v>
      </c>
      <c r="E81" s="2762"/>
      <c r="G81" s="2730">
        <v>133000</v>
      </c>
      <c r="H81" s="2731"/>
      <c r="I81" s="221"/>
      <c r="J81" s="2730">
        <v>133000</v>
      </c>
      <c r="K81" s="2731"/>
      <c r="L81" s="1520"/>
      <c r="M81" s="2730"/>
      <c r="N81" s="2731"/>
      <c r="P81" s="2730"/>
      <c r="Q81" s="2731"/>
      <c r="S81" s="2730"/>
      <c r="T81" s="2731"/>
      <c r="V81" s="2727"/>
      <c r="W81" s="2728"/>
      <c r="X81" s="2729"/>
    </row>
    <row r="82" spans="1:24" s="204" customFormat="1" ht="12" customHeight="1" thickBot="1">
      <c r="B82" s="204" t="s">
        <v>728</v>
      </c>
      <c r="D82" s="260" t="s">
        <v>727</v>
      </c>
      <c r="E82" s="2763"/>
      <c r="G82" s="2759">
        <v>380000</v>
      </c>
      <c r="H82" s="2760"/>
      <c r="I82" s="221"/>
      <c r="J82" s="2759">
        <v>380000</v>
      </c>
      <c r="K82" s="2760"/>
      <c r="L82" s="1520"/>
      <c r="M82" s="2759"/>
      <c r="N82" s="2760"/>
      <c r="P82" s="2759"/>
      <c r="Q82" s="2760"/>
      <c r="S82" s="2759"/>
      <c r="T82" s="2760"/>
      <c r="V82" s="2727"/>
      <c r="W82" s="2737"/>
      <c r="X82" s="2738"/>
    </row>
    <row r="83" spans="1:24" s="204" customFormat="1" ht="12" customHeight="1" thickTop="1">
      <c r="F83" s="252" t="s">
        <v>665</v>
      </c>
      <c r="G83" s="1738">
        <f>SUM(G79:H82)</f>
        <v>552989</v>
      </c>
      <c r="H83" s="1739"/>
      <c r="J83" s="1738">
        <f>SUM(J79:K82)</f>
        <v>552989</v>
      </c>
      <c r="K83" s="1739"/>
      <c r="L83" s="254"/>
      <c r="M83" s="1738">
        <f>SUM(M79:N82)</f>
        <v>0</v>
      </c>
      <c r="N83" s="1739"/>
      <c r="P83" s="1738">
        <f>SUM(P79:Q82)</f>
        <v>0</v>
      </c>
      <c r="Q83" s="1739"/>
      <c r="S83" s="1738">
        <f>SUM(S79:T82)</f>
        <v>0</v>
      </c>
      <c r="T83" s="1739"/>
      <c r="V83" s="2739">
        <f>SUM(V79:V82)</f>
        <v>0</v>
      </c>
      <c r="W83" s="2740"/>
      <c r="X83" s="2741"/>
    </row>
    <row r="84" spans="1:24" s="204" customFormat="1" ht="12" customHeight="1">
      <c r="B84" s="205" t="s">
        <v>729</v>
      </c>
      <c r="J84" s="254"/>
      <c r="K84" s="254"/>
      <c r="M84" s="254"/>
      <c r="N84" s="254"/>
      <c r="O84" s="253" t="str">
        <f>B84</f>
        <v>PERMANENT FINANCING FEES</v>
      </c>
      <c r="P84" s="254"/>
      <c r="Q84" s="254"/>
      <c r="S84" s="254"/>
      <c r="T84" s="254"/>
      <c r="V84" s="963"/>
      <c r="W84" s="204" t="str">
        <f>B84</f>
        <v>PERMANENT FINANCING FEES</v>
      </c>
    </row>
    <row r="85" spans="1:24" s="204" customFormat="1" ht="12" customHeight="1">
      <c r="B85" s="204" t="s">
        <v>730</v>
      </c>
      <c r="G85" s="2725">
        <v>72650</v>
      </c>
      <c r="H85" s="2726"/>
      <c r="J85" s="1742"/>
      <c r="K85" s="1742"/>
      <c r="L85" s="1520"/>
      <c r="M85" s="1742"/>
      <c r="N85" s="1742"/>
      <c r="P85" s="1742"/>
      <c r="Q85" s="1742"/>
      <c r="S85" s="2725">
        <v>72650</v>
      </c>
      <c r="T85" s="2726"/>
      <c r="V85" s="2727"/>
      <c r="W85" s="2728"/>
      <c r="X85" s="2729"/>
    </row>
    <row r="86" spans="1:24" s="204" customFormat="1" ht="12" customHeight="1">
      <c r="B86" s="204" t="s">
        <v>731</v>
      </c>
      <c r="G86" s="2730">
        <v>20000</v>
      </c>
      <c r="H86" s="2731"/>
      <c r="J86" s="1742"/>
      <c r="K86" s="1742"/>
      <c r="L86" s="1520"/>
      <c r="M86" s="1742"/>
      <c r="N86" s="1742"/>
      <c r="P86" s="1742"/>
      <c r="Q86" s="1742"/>
      <c r="S86" s="2730">
        <v>20000</v>
      </c>
      <c r="T86" s="2731"/>
      <c r="V86" s="2727"/>
      <c r="W86" s="2728"/>
      <c r="X86" s="2729"/>
    </row>
    <row r="87" spans="1:24" s="204" customFormat="1" ht="12" customHeight="1">
      <c r="B87" s="204" t="s">
        <v>708</v>
      </c>
      <c r="G87" s="2730">
        <v>52450</v>
      </c>
      <c r="H87" s="2731"/>
      <c r="J87" s="1742"/>
      <c r="K87" s="1742"/>
      <c r="L87" s="1520"/>
      <c r="M87" s="1742"/>
      <c r="N87" s="1742"/>
      <c r="P87" s="1742"/>
      <c r="Q87" s="1742"/>
      <c r="S87" s="2730">
        <v>52450</v>
      </c>
      <c r="T87" s="2731"/>
      <c r="V87" s="2727"/>
      <c r="W87" s="2728"/>
      <c r="X87" s="2729"/>
    </row>
    <row r="88" spans="1:24" s="204" customFormat="1" ht="12" customHeight="1">
      <c r="B88" s="204" t="s">
        <v>732</v>
      </c>
      <c r="G88" s="2730"/>
      <c r="H88" s="2731"/>
      <c r="J88" s="1742"/>
      <c r="K88" s="1742"/>
      <c r="L88" s="1520"/>
      <c r="M88" s="1742"/>
      <c r="N88" s="1742"/>
      <c r="P88" s="1742"/>
      <c r="Q88" s="1742"/>
      <c r="S88" s="2730"/>
      <c r="T88" s="2731"/>
      <c r="V88" s="2727"/>
      <c r="W88" s="2728"/>
      <c r="X88" s="2729"/>
    </row>
    <row r="89" spans="1:24" s="204" customFormat="1" ht="12" customHeight="1">
      <c r="B89" s="204" t="s">
        <v>733</v>
      </c>
      <c r="G89" s="2730"/>
      <c r="H89" s="2731"/>
      <c r="J89" s="1742"/>
      <c r="K89" s="1742"/>
      <c r="L89" s="1520"/>
      <c r="M89" s="1742"/>
      <c r="N89" s="1742"/>
      <c r="P89" s="1742"/>
      <c r="Q89" s="1742"/>
      <c r="S89" s="2730"/>
      <c r="T89" s="2731"/>
      <c r="V89" s="2727"/>
      <c r="W89" s="2728"/>
      <c r="X89" s="2729"/>
    </row>
    <row r="90" spans="1:24" s="204" customFormat="1" ht="12" customHeight="1" thickBot="1">
      <c r="A90" s="277" t="str">
        <f>IF(AND(G90&gt;0,OR(C90="",C90="&lt;Enter detailed description here; use Comments section if needed&gt;")),"X","")</f>
        <v/>
      </c>
      <c r="B90" s="204" t="s">
        <v>592</v>
      </c>
      <c r="C90" s="2732" t="s">
        <v>4617</v>
      </c>
      <c r="D90" s="2732"/>
      <c r="E90" s="2732"/>
      <c r="F90" s="2733"/>
      <c r="G90" s="2759">
        <v>45000</v>
      </c>
      <c r="H90" s="2760"/>
      <c r="J90" s="1742"/>
      <c r="K90" s="1742"/>
      <c r="L90" s="1520"/>
      <c r="M90" s="1742"/>
      <c r="N90" s="1742"/>
      <c r="P90" s="1742"/>
      <c r="Q90" s="1742"/>
      <c r="S90" s="2759">
        <v>45000</v>
      </c>
      <c r="T90" s="2760"/>
      <c r="U90" s="276" t="str">
        <f>IF(AND(G90&gt;0,OR(C90="",C90="&lt;Enter detailed description here; use Comments section if needed&gt;")),"NO DESCRIPTION PROVIDED - please enter detailed description in Other box at left; use Comments section below if needed.","")</f>
        <v/>
      </c>
      <c r="V90" s="2727"/>
      <c r="W90" s="2737"/>
      <c r="X90" s="2738"/>
    </row>
    <row r="91" spans="1:24" s="204" customFormat="1" ht="12" customHeight="1" thickTop="1">
      <c r="F91" s="252" t="s">
        <v>665</v>
      </c>
      <c r="G91" s="1738">
        <f>SUM(G85:H90)</f>
        <v>190100</v>
      </c>
      <c r="H91" s="1739"/>
      <c r="J91" s="1742"/>
      <c r="K91" s="1742"/>
      <c r="L91" s="254"/>
      <c r="M91" s="1742"/>
      <c r="N91" s="1742"/>
      <c r="P91" s="1742"/>
      <c r="Q91" s="1742"/>
      <c r="S91" s="1738">
        <f>SUM(S85:T90)</f>
        <v>190100</v>
      </c>
      <c r="T91" s="1739"/>
      <c r="V91" s="2739">
        <f>SUM(V85:V90)</f>
        <v>0</v>
      </c>
      <c r="W91" s="2740"/>
      <c r="X91" s="2741"/>
    </row>
    <row r="92" spans="1:24" s="204" customFormat="1" ht="6" customHeight="1" thickBot="1">
      <c r="A92" s="379"/>
      <c r="B92" s="379"/>
      <c r="C92" s="379"/>
      <c r="D92" s="379"/>
      <c r="E92" s="379"/>
      <c r="F92" s="379"/>
      <c r="G92" s="379"/>
      <c r="H92" s="379"/>
      <c r="I92" s="379"/>
      <c r="J92" s="379"/>
      <c r="K92" s="379"/>
      <c r="L92" s="379"/>
      <c r="M92" s="379"/>
      <c r="N92" s="379"/>
      <c r="O92" s="379"/>
      <c r="P92" s="379"/>
      <c r="Q92" s="379"/>
      <c r="R92" s="379"/>
      <c r="S92" s="379"/>
      <c r="T92" s="379"/>
      <c r="V92" s="963"/>
    </row>
    <row r="93" spans="1:24" s="204" customFormat="1" ht="18" customHeight="1" thickBot="1">
      <c r="A93" s="318" t="s">
        <v>9</v>
      </c>
      <c r="B93" s="318" t="s">
        <v>735</v>
      </c>
      <c r="H93" s="1510"/>
      <c r="I93" s="1510"/>
      <c r="J93" s="1734" t="s">
        <v>651</v>
      </c>
      <c r="K93" s="1735"/>
      <c r="L93" s="251"/>
      <c r="M93" s="1743" t="s">
        <v>652</v>
      </c>
      <c r="N93" s="1744"/>
      <c r="P93" s="1734" t="s">
        <v>653</v>
      </c>
      <c r="Q93" s="1735"/>
      <c r="S93" s="1734" t="s">
        <v>654</v>
      </c>
      <c r="T93" s="1735"/>
      <c r="V93" s="319" t="str">
        <f>B93</f>
        <v>DEVELOPMENT BUDGET  (cont'd)</v>
      </c>
    </row>
    <row r="94" spans="1:24" s="204" customFormat="1" ht="18" customHeight="1" thickBot="1">
      <c r="G94" s="1747" t="s">
        <v>655</v>
      </c>
      <c r="H94" s="1748"/>
      <c r="J94" s="1736"/>
      <c r="K94" s="1737"/>
      <c r="L94" s="251"/>
      <c r="M94" s="1745"/>
      <c r="N94" s="1746"/>
      <c r="P94" s="1736"/>
      <c r="Q94" s="1737"/>
      <c r="S94" s="1736"/>
      <c r="T94" s="1737"/>
      <c r="V94" s="238" t="s">
        <v>530</v>
      </c>
      <c r="X94" s="238"/>
    </row>
    <row r="95" spans="1:24" s="204" customFormat="1" ht="13.15" customHeight="1">
      <c r="B95" s="205" t="s">
        <v>736</v>
      </c>
      <c r="J95" s="254"/>
      <c r="K95" s="254"/>
      <c r="M95" s="254"/>
      <c r="N95" s="254"/>
      <c r="O95" s="253" t="str">
        <f>B95</f>
        <v>DCA-RELATED COSTS</v>
      </c>
      <c r="P95" s="254"/>
      <c r="Q95" s="254"/>
      <c r="S95" s="254"/>
      <c r="T95" s="254"/>
      <c r="V95" s="963"/>
      <c r="W95" s="204" t="str">
        <f>B95</f>
        <v>DCA-RELATED COSTS</v>
      </c>
    </row>
    <row r="96" spans="1:24" s="204" customFormat="1" ht="12.6" customHeight="1">
      <c r="B96" s="204" t="str">
        <f>CONCATENATE("DCA HOME Loan Consent Pre-Application Fee ($",'DCA Underwriting Assumptions'!$Q$78, " FP/JV, $",'DCA Underwriting Assumptions'!$Q$79, " NP)")</f>
        <v>DCA HOME Loan Consent Pre-Application Fee ($1000 FP/JV, $500 NP)</v>
      </c>
      <c r="G96" s="2725">
        <v>1000</v>
      </c>
      <c r="H96" s="2726"/>
      <c r="J96" s="254"/>
      <c r="K96" s="254"/>
      <c r="L96" s="1520"/>
      <c r="M96" s="254"/>
      <c r="N96" s="254"/>
      <c r="P96" s="254"/>
      <c r="Q96" s="254"/>
      <c r="S96" s="2725">
        <v>1000</v>
      </c>
      <c r="T96" s="2726"/>
      <c r="V96" s="2727"/>
      <c r="W96" s="2728"/>
      <c r="X96" s="2729"/>
    </row>
    <row r="97" spans="1:24" s="204" customFormat="1" ht="12.6" customHeight="1">
      <c r="B97" s="204" t="str">
        <f>CONCATENATE("Tax Credit Application Fee ($",'DCA Underwriting Assumptions'!$Q$84, " ForProf/JntVent, $",'DCA Underwriting Assumptions'!$Q$85, " NonProf)")</f>
        <v>Tax Credit Application Fee ($6500 ForProf/JntVent, $5500 NonProf)</v>
      </c>
      <c r="G97" s="2730">
        <v>6500</v>
      </c>
      <c r="H97" s="2731"/>
      <c r="J97" s="254"/>
      <c r="K97" s="254"/>
      <c r="L97" s="261"/>
      <c r="M97" s="254"/>
      <c r="N97" s="254"/>
      <c r="P97" s="254"/>
      <c r="Q97" s="254"/>
      <c r="S97" s="2730">
        <v>6500</v>
      </c>
      <c r="T97" s="2731"/>
      <c r="V97" s="2727"/>
      <c r="W97" s="2728"/>
      <c r="X97" s="2729"/>
    </row>
    <row r="98" spans="1:24" s="204" customFormat="1" ht="12.6" customHeight="1">
      <c r="B98" s="204" t="s">
        <v>737</v>
      </c>
      <c r="G98" s="2730">
        <v>1000</v>
      </c>
      <c r="H98" s="2731"/>
      <c r="J98" s="254"/>
      <c r="K98" s="254"/>
      <c r="L98" s="261"/>
      <c r="M98" s="254"/>
      <c r="N98" s="254"/>
      <c r="O98" s="1510"/>
      <c r="P98" s="254"/>
      <c r="Q98" s="254"/>
      <c r="S98" s="2730">
        <v>1000</v>
      </c>
      <c r="T98" s="2731"/>
      <c r="V98" s="2727"/>
      <c r="W98" s="2728"/>
      <c r="X98" s="2729"/>
    </row>
    <row r="99" spans="1:24" s="204" customFormat="1" ht="12.6" customHeight="1">
      <c r="B99" s="204" t="s">
        <v>738</v>
      </c>
      <c r="E99" s="1749">
        <f>'DCA Underwriting Assumptions'!$Q$88*J175</f>
        <v>68000</v>
      </c>
      <c r="F99" s="1750"/>
      <c r="G99" s="2730">
        <v>68000</v>
      </c>
      <c r="H99" s="2731"/>
      <c r="J99" s="855" t="str">
        <f>IF(E99&gt;G99,"WARNING!  LIHTC Allocation Fee proposed is below minimum required.","")</f>
        <v/>
      </c>
      <c r="K99" s="254"/>
      <c r="L99" s="1520"/>
      <c r="M99" s="254"/>
      <c r="N99" s="254"/>
      <c r="O99" s="1510"/>
      <c r="P99" s="254"/>
      <c r="Q99" s="254"/>
      <c r="S99" s="2730">
        <v>68000</v>
      </c>
      <c r="T99" s="2731"/>
      <c r="V99" s="2727"/>
      <c r="W99" s="2728"/>
      <c r="X99" s="2729"/>
    </row>
    <row r="100" spans="1:24" s="204" customFormat="1" ht="12.6" customHeight="1">
      <c r="B100" s="204" t="s">
        <v>739</v>
      </c>
      <c r="E100" s="1749">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59200</v>
      </c>
      <c r="F100" s="1750"/>
      <c r="G100" s="2730">
        <v>59200</v>
      </c>
      <c r="H100" s="2731"/>
      <c r="J100" s="855" t="str">
        <f>IF(E100&gt;G100,"WARNING!  LIHTC Compliance Fee proposed is below minimum required.","")</f>
        <v/>
      </c>
      <c r="K100" s="183"/>
      <c r="L100" s="183"/>
      <c r="M100" s="183"/>
      <c r="N100" s="183"/>
      <c r="O100" s="183"/>
      <c r="P100" s="183"/>
      <c r="Q100" s="183"/>
      <c r="S100" s="2730">
        <v>59200</v>
      </c>
      <c r="T100" s="2731"/>
      <c r="V100" s="2727"/>
      <c r="W100" s="2728"/>
      <c r="X100" s="2729"/>
    </row>
    <row r="101" spans="1:24" s="204" customFormat="1" ht="12.6" customHeight="1">
      <c r="B101" s="204" t="s">
        <v>740</v>
      </c>
      <c r="F101" s="1137">
        <f>'DCA Underwriting Assumptions'!$Q$90</f>
        <v>3000</v>
      </c>
      <c r="G101" s="2730">
        <v>3000</v>
      </c>
      <c r="H101" s="2731"/>
      <c r="J101" s="183"/>
      <c r="K101" s="183"/>
      <c r="L101" s="183"/>
      <c r="M101" s="183"/>
      <c r="N101" s="183"/>
      <c r="O101" s="183"/>
      <c r="P101" s="183"/>
      <c r="Q101" s="183"/>
      <c r="S101" s="2730">
        <v>3000</v>
      </c>
      <c r="T101" s="2731"/>
      <c r="V101" s="2727"/>
      <c r="W101" s="2728"/>
      <c r="X101" s="2729"/>
    </row>
    <row r="102" spans="1:24" s="204" customFormat="1" ht="12.6" customHeight="1">
      <c r="B102" s="204" t="s">
        <v>741</v>
      </c>
      <c r="F102" s="1137">
        <f>'DCA Underwriting Assumptions'!$Q$111</f>
        <v>3000</v>
      </c>
      <c r="G102" s="2730">
        <v>3000</v>
      </c>
      <c r="H102" s="2731"/>
      <c r="J102" s="183"/>
      <c r="K102" s="183"/>
      <c r="L102" s="183"/>
      <c r="M102" s="183"/>
      <c r="N102" s="183"/>
      <c r="O102" s="183"/>
      <c r="P102" s="183"/>
      <c r="Q102" s="183"/>
      <c r="S102" s="2730">
        <v>3000</v>
      </c>
      <c r="T102" s="2731"/>
      <c r="V102" s="2727"/>
      <c r="W102" s="2728"/>
      <c r="X102" s="2729"/>
    </row>
    <row r="103" spans="1:24" s="204" customFormat="1" ht="12.6" customHeight="1">
      <c r="A103" s="277" t="str">
        <f>IF(AND(G103&gt;0,OR(C103="",C103="&lt;Enter detailed description here; use Comments section if needed&gt;")),"X","")</f>
        <v/>
      </c>
      <c r="B103" s="204" t="s">
        <v>592</v>
      </c>
      <c r="C103" s="2755" t="s">
        <v>664</v>
      </c>
      <c r="D103" s="2755"/>
      <c r="E103" s="2755"/>
      <c r="F103" s="2756"/>
      <c r="G103" s="2730"/>
      <c r="H103" s="2731"/>
      <c r="J103" s="183"/>
      <c r="K103" s="183"/>
      <c r="L103" s="183"/>
      <c r="M103" s="183"/>
      <c r="N103" s="183"/>
      <c r="O103" s="183"/>
      <c r="P103" s="183"/>
      <c r="Q103" s="183"/>
      <c r="S103" s="2730"/>
      <c r="T103" s="2731"/>
      <c r="U103" s="276" t="str">
        <f>IF(AND(G103&gt;0,OR(C103="",C103="&lt;Enter detailed description here; use Comments section if needed&gt;")),"NO DESCRIPTION PROVIDED - please enter detailed description in Other box at left; use Comments section below if needed.","")</f>
        <v/>
      </c>
      <c r="V103" s="2727"/>
      <c r="W103" s="2728"/>
      <c r="X103" s="2729"/>
    </row>
    <row r="104" spans="1:24" s="204" customFormat="1" ht="12.6" customHeight="1" thickBot="1">
      <c r="A104" s="277" t="str">
        <f>IF(AND(G104&gt;0,OR(C104="",C104="&lt;Enter detailed description here; use Comments section if needed&gt;")),"X","")</f>
        <v/>
      </c>
      <c r="B104" s="204" t="s">
        <v>592</v>
      </c>
      <c r="C104" s="2757" t="s">
        <v>664</v>
      </c>
      <c r="D104" s="2757"/>
      <c r="E104" s="2757"/>
      <c r="F104" s="2758"/>
      <c r="G104" s="2759"/>
      <c r="H104" s="2760"/>
      <c r="J104" s="183"/>
      <c r="K104" s="183"/>
      <c r="L104" s="183"/>
      <c r="M104" s="183"/>
      <c r="N104" s="183"/>
      <c r="O104" s="183"/>
      <c r="P104" s="183"/>
      <c r="Q104" s="183"/>
      <c r="S104" s="2759"/>
      <c r="T104" s="2760"/>
      <c r="U104" s="276" t="str">
        <f>IF(AND(G104&gt;0,OR(C104="",C104="&lt;Enter detailed description here; use Comments section if needed&gt;")),"NO DESCRIPTION PROVIDED - please enter detailed description in Other box at left; use Comments section below if needed.","")</f>
        <v/>
      </c>
      <c r="V104" s="2727"/>
      <c r="W104" s="2737"/>
      <c r="X104" s="2738"/>
    </row>
    <row r="105" spans="1:24" s="204" customFormat="1" ht="12.6" customHeight="1" thickTop="1">
      <c r="F105" s="252" t="s">
        <v>665</v>
      </c>
      <c r="G105" s="1738">
        <f>SUM(G96:H104)</f>
        <v>141700</v>
      </c>
      <c r="H105" s="1739"/>
      <c r="J105" s="254"/>
      <c r="K105" s="254"/>
      <c r="L105" s="1520"/>
      <c r="M105" s="254"/>
      <c r="N105" s="254"/>
      <c r="P105" s="254"/>
      <c r="Q105" s="254"/>
      <c r="S105" s="1738">
        <f>SUM(S96:T104)</f>
        <v>141700</v>
      </c>
      <c r="T105" s="1739"/>
      <c r="V105" s="2739">
        <f>SUM(V96:V104)</f>
        <v>0</v>
      </c>
      <c r="W105" s="2764"/>
      <c r="X105" s="2765"/>
    </row>
    <row r="106" spans="1:24" s="204" customFormat="1" ht="13.15" customHeight="1">
      <c r="B106" s="205" t="s">
        <v>742</v>
      </c>
      <c r="J106" s="254"/>
      <c r="K106" s="254"/>
      <c r="M106" s="254"/>
      <c r="N106" s="254"/>
      <c r="O106" s="253" t="str">
        <f>B106</f>
        <v>EQUITY COSTS</v>
      </c>
      <c r="P106" s="254"/>
      <c r="Q106" s="254"/>
      <c r="S106" s="254"/>
      <c r="T106" s="254"/>
      <c r="V106" s="963"/>
      <c r="W106" s="204" t="str">
        <f>B106</f>
        <v>EQUITY COSTS</v>
      </c>
    </row>
    <row r="107" spans="1:24" s="204" customFormat="1" ht="12.6" customHeight="1">
      <c r="B107" s="204" t="s">
        <v>743</v>
      </c>
      <c r="G107" s="2725">
        <v>2500</v>
      </c>
      <c r="H107" s="2726"/>
      <c r="J107" s="1742"/>
      <c r="K107" s="1742"/>
      <c r="L107" s="1520"/>
      <c r="M107" s="1742"/>
      <c r="N107" s="1742"/>
      <c r="O107" s="1510"/>
      <c r="P107" s="1742"/>
      <c r="Q107" s="1742"/>
      <c r="S107" s="2725">
        <v>2500</v>
      </c>
      <c r="T107" s="2726"/>
      <c r="V107" s="2727"/>
      <c r="W107" s="2728"/>
      <c r="X107" s="2729"/>
    </row>
    <row r="108" spans="1:24" s="204" customFormat="1" ht="12.6" customHeight="1">
      <c r="B108" s="204" t="s">
        <v>744</v>
      </c>
      <c r="G108" s="2730"/>
      <c r="H108" s="2731"/>
      <c r="J108" s="1742"/>
      <c r="K108" s="1742"/>
      <c r="L108" s="1520"/>
      <c r="M108" s="1742"/>
      <c r="N108" s="1742"/>
      <c r="O108" s="1510"/>
      <c r="P108" s="1742"/>
      <c r="Q108" s="1742"/>
      <c r="S108" s="2730"/>
      <c r="T108" s="2731"/>
      <c r="V108" s="2727"/>
      <c r="W108" s="2728"/>
      <c r="X108" s="2729"/>
    </row>
    <row r="109" spans="1:24" s="204" customFormat="1" ht="12.6" customHeight="1">
      <c r="B109" s="204" t="s">
        <v>745</v>
      </c>
      <c r="G109" s="2730">
        <v>15000</v>
      </c>
      <c r="H109" s="2731"/>
      <c r="J109" s="1742"/>
      <c r="K109" s="1742"/>
      <c r="L109" s="1520"/>
      <c r="M109" s="1742"/>
      <c r="N109" s="1742"/>
      <c r="O109" s="1510"/>
      <c r="P109" s="1742"/>
      <c r="Q109" s="1742"/>
      <c r="S109" s="2730">
        <v>15000</v>
      </c>
      <c r="T109" s="2731"/>
      <c r="V109" s="2727"/>
      <c r="W109" s="2728"/>
      <c r="X109" s="2729"/>
    </row>
    <row r="110" spans="1:24" s="204" customFormat="1" ht="12.6" customHeight="1" thickBot="1">
      <c r="A110" s="277" t="str">
        <f>IF(AND(G110&gt;0,OR(C110="",C110="&lt;Enter detailed description here; use Comments section if needed&gt;")),"X","")</f>
        <v/>
      </c>
      <c r="B110" s="204" t="s">
        <v>592</v>
      </c>
      <c r="C110" s="2732" t="s">
        <v>734</v>
      </c>
      <c r="D110" s="2732"/>
      <c r="E110" s="2732"/>
      <c r="F110" s="2733"/>
      <c r="G110" s="2759">
        <v>1500</v>
      </c>
      <c r="H110" s="2760"/>
      <c r="J110" s="1742"/>
      <c r="K110" s="1742"/>
      <c r="L110" s="1520"/>
      <c r="M110" s="1742"/>
      <c r="N110" s="1742"/>
      <c r="O110" s="1510"/>
      <c r="P110" s="1742"/>
      <c r="Q110" s="1742"/>
      <c r="S110" s="2759">
        <v>1500</v>
      </c>
      <c r="T110" s="2760"/>
      <c r="U110" s="276" t="str">
        <f>IF(AND(G110&gt;0,OR(C110="",C110="&lt;Enter detailed description here; use Comments section if needed&gt;")),"NO DESCRIPTION PROVIDED - please enter detailed description in Other box at left; use Comments section below if needed.","")</f>
        <v/>
      </c>
      <c r="V110" s="2727"/>
      <c r="W110" s="2737"/>
      <c r="X110" s="2738"/>
    </row>
    <row r="111" spans="1:24" s="204" customFormat="1" ht="12.6" customHeight="1" thickTop="1">
      <c r="F111" s="252" t="s">
        <v>665</v>
      </c>
      <c r="G111" s="1738">
        <f>SUM(G107:H110)</f>
        <v>19000</v>
      </c>
      <c r="H111" s="1739"/>
      <c r="J111" s="1742"/>
      <c r="K111" s="1742"/>
      <c r="L111" s="1520"/>
      <c r="M111" s="1742"/>
      <c r="N111" s="1742"/>
      <c r="O111" s="1510"/>
      <c r="P111" s="1742"/>
      <c r="Q111" s="1742"/>
      <c r="S111" s="1738">
        <f>SUM(S107:T110)</f>
        <v>19000</v>
      </c>
      <c r="T111" s="1739"/>
      <c r="V111" s="2739">
        <f>SUM(V107:V110)</f>
        <v>0</v>
      </c>
      <c r="W111" s="2740"/>
      <c r="X111" s="2741"/>
    </row>
    <row r="112" spans="1:24" s="204" customFormat="1" ht="13.15" customHeight="1">
      <c r="B112" s="205" t="s">
        <v>746</v>
      </c>
      <c r="J112" s="254"/>
      <c r="K112" s="251"/>
      <c r="M112" s="254"/>
      <c r="N112" s="251"/>
      <c r="O112" s="253" t="str">
        <f>B112</f>
        <v>DEVELOPER'S FEE</v>
      </c>
      <c r="P112" s="254"/>
      <c r="Q112" s="251"/>
      <c r="S112" s="254"/>
      <c r="T112" s="251"/>
      <c r="V112" s="963"/>
      <c r="W112" s="204" t="str">
        <f>B112</f>
        <v>DEVELOPER'S FEE</v>
      </c>
    </row>
    <row r="113" spans="1:24" s="204" customFormat="1" ht="12.6" customHeight="1">
      <c r="B113" s="204" t="s">
        <v>747</v>
      </c>
      <c r="F113" s="299">
        <f>IF($G$118=0,0,G113/$G$118)</f>
        <v>0</v>
      </c>
      <c r="G113" s="2766"/>
      <c r="H113" s="2766"/>
      <c r="J113" s="2746"/>
      <c r="K113" s="2747"/>
      <c r="L113" s="253"/>
      <c r="M113" s="2746"/>
      <c r="N113" s="2747"/>
      <c r="P113" s="2746"/>
      <c r="Q113" s="2747"/>
      <c r="S113" s="2746"/>
      <c r="T113" s="2747"/>
      <c r="V113" s="2727"/>
      <c r="W113" s="2728"/>
      <c r="X113" s="2729"/>
    </row>
    <row r="114" spans="1:24" s="204" customFormat="1" ht="12.6" customHeight="1">
      <c r="B114" s="204" t="s">
        <v>748</v>
      </c>
      <c r="F114" s="2767">
        <v>300000</v>
      </c>
      <c r="V114" s="2727"/>
      <c r="W114" s="2728"/>
      <c r="X114" s="2729"/>
    </row>
    <row r="115" spans="1:24" s="204" customFormat="1" ht="12.6" customHeight="1">
      <c r="B115" s="204" t="s">
        <v>749</v>
      </c>
      <c r="F115" s="299">
        <f>IF($G$118=0,0,G115/$G$118)</f>
        <v>0</v>
      </c>
      <c r="G115" s="2725"/>
      <c r="H115" s="2726"/>
      <c r="J115" s="2725"/>
      <c r="K115" s="2726"/>
      <c r="L115" s="1520"/>
      <c r="M115" s="2725"/>
      <c r="N115" s="2726"/>
      <c r="P115" s="2725"/>
      <c r="Q115" s="2726"/>
      <c r="S115" s="2725"/>
      <c r="T115" s="2726"/>
      <c r="V115" s="2727"/>
      <c r="W115" s="2728"/>
      <c r="X115" s="2729"/>
    </row>
    <row r="116" spans="1:24" s="204" customFormat="1" ht="12.6" customHeight="1">
      <c r="B116" s="204" t="s">
        <v>750</v>
      </c>
      <c r="F116" s="299">
        <f>IF($G$118=0,0,G116/$G$118)</f>
        <v>0</v>
      </c>
      <c r="G116" s="2730"/>
      <c r="H116" s="2731"/>
      <c r="J116" s="2730"/>
      <c r="K116" s="2731"/>
      <c r="L116" s="1520"/>
      <c r="M116" s="2730"/>
      <c r="N116" s="2731"/>
      <c r="P116" s="2730"/>
      <c r="Q116" s="2731"/>
      <c r="S116" s="2730"/>
      <c r="T116" s="2731"/>
      <c r="V116" s="2727"/>
      <c r="W116" s="2728"/>
      <c r="X116" s="2729"/>
    </row>
    <row r="117" spans="1:24" s="204" customFormat="1" ht="12.6" customHeight="1" thickBot="1">
      <c r="B117" s="204" t="s">
        <v>751</v>
      </c>
      <c r="F117" s="299">
        <f>IF($G$118=0,0,G117/$G$118)</f>
        <v>1</v>
      </c>
      <c r="G117" s="2759">
        <v>1565000</v>
      </c>
      <c r="H117" s="2760"/>
      <c r="J117" s="2759">
        <v>1565000</v>
      </c>
      <c r="K117" s="2760"/>
      <c r="L117" s="1520"/>
      <c r="M117" s="2759"/>
      <c r="N117" s="2760"/>
      <c r="P117" s="2768"/>
      <c r="Q117" s="2760"/>
      <c r="S117" s="2759"/>
      <c r="T117" s="2760"/>
      <c r="V117" s="2727"/>
      <c r="W117" s="2737"/>
      <c r="X117" s="2738"/>
    </row>
    <row r="118" spans="1:24" s="204" customFormat="1" ht="12.6" customHeight="1" thickTop="1">
      <c r="C118" s="276"/>
      <c r="F118" s="252" t="s">
        <v>665</v>
      </c>
      <c r="G118" s="1738">
        <f>SUM(G113:H117)</f>
        <v>1565000</v>
      </c>
      <c r="H118" s="1739"/>
      <c r="J118" s="1738">
        <f>SUM(J113:K117)</f>
        <v>1565000</v>
      </c>
      <c r="K118" s="1739"/>
      <c r="L118" s="1520"/>
      <c r="M118" s="1738">
        <f>SUM(M113:N117)</f>
        <v>0</v>
      </c>
      <c r="N118" s="1739"/>
      <c r="P118" s="1738">
        <f>SUM(P113:Q117)</f>
        <v>0</v>
      </c>
      <c r="Q118" s="1739"/>
      <c r="S118" s="1738">
        <f>SUM(S113:T117)</f>
        <v>0</v>
      </c>
      <c r="T118" s="1739"/>
      <c r="V118" s="2739">
        <f>SUM(V113:V117)</f>
        <v>0</v>
      </c>
      <c r="W118" s="2740"/>
      <c r="X118" s="2741"/>
    </row>
    <row r="119" spans="1:24" s="204" customFormat="1" ht="13.15" customHeight="1">
      <c r="B119" s="205" t="s">
        <v>752</v>
      </c>
      <c r="J119" s="251"/>
      <c r="K119" s="251"/>
      <c r="M119" s="251"/>
      <c r="N119" s="251"/>
      <c r="O119" s="253" t="str">
        <f>B119</f>
        <v>START-UP AND RESERVES</v>
      </c>
      <c r="P119" s="251"/>
      <c r="Q119" s="251"/>
      <c r="S119" s="251"/>
      <c r="T119" s="251"/>
      <c r="V119" s="963"/>
      <c r="W119" s="204" t="str">
        <f>B119</f>
        <v>START-UP AND RESERVES</v>
      </c>
    </row>
    <row r="120" spans="1:24" s="204" customFormat="1" ht="12.6" customHeight="1">
      <c r="B120" s="204" t="s">
        <v>753</v>
      </c>
      <c r="G120" s="2725">
        <v>25000</v>
      </c>
      <c r="H120" s="2726"/>
      <c r="J120" s="262"/>
      <c r="K120" s="262"/>
      <c r="L120" s="262"/>
      <c r="M120" s="262"/>
      <c r="N120" s="262"/>
      <c r="P120" s="262"/>
      <c r="Q120" s="262"/>
      <c r="S120" s="2725">
        <v>25000</v>
      </c>
      <c r="T120" s="2726"/>
      <c r="V120" s="2727"/>
      <c r="W120" s="2728"/>
      <c r="X120" s="2729"/>
    </row>
    <row r="121" spans="1:24" s="204" customFormat="1" ht="12.6" customHeight="1">
      <c r="B121" s="204" t="s">
        <v>754</v>
      </c>
      <c r="F121" s="390">
        <f>+'Part VI-Revenues &amp; Expenses'!$P$175*('DCA Underwriting Assumptions'!$Q$110/12)</f>
        <v>95121.25</v>
      </c>
      <c r="G121" s="2730">
        <v>95099</v>
      </c>
      <c r="H121" s="2731"/>
      <c r="J121" s="857" t="str">
        <f>IF(E121&gt;G121,"WARNING! Rent-Up Reserves proposed is below minimum - add comment.","")</f>
        <v/>
      </c>
      <c r="K121" s="857"/>
      <c r="L121" s="1520"/>
      <c r="M121" s="833"/>
      <c r="N121" s="833"/>
      <c r="O121" s="1510"/>
      <c r="P121" s="833"/>
      <c r="Q121" s="833"/>
      <c r="R121" s="1510"/>
      <c r="S121" s="2730">
        <v>95099</v>
      </c>
      <c r="T121" s="2731"/>
      <c r="V121" s="2727"/>
      <c r="W121" s="2728"/>
      <c r="X121" s="2729"/>
    </row>
    <row r="122" spans="1:24" s="204" customFormat="1" ht="12.6" customHeight="1">
      <c r="B122" s="204" t="s">
        <v>755</v>
      </c>
      <c r="F122" s="391">
        <f>'Part VI-Revenues &amp; Expenses'!$P$175*('DCA Underwriting Assumptions'!$Q$109/12)+('Part VII-Pro Forma'!$B$23+'Part VII-Pro Forma'!$B$24+'Part VII-Pro Forma'!$B$25+'Part VII-Pro Forma'!$B$26)*'DCA Underwriting Assumptions'!$Q$108/(-12)</f>
        <v>269562.88362749433</v>
      </c>
      <c r="G122" s="2730">
        <v>269518</v>
      </c>
      <c r="H122" s="2731"/>
      <c r="J122" s="857" t="str">
        <f>IF(E122&gt;G122,"WARNING! ODR proposed is below minimum - add comment.","")</f>
        <v/>
      </c>
      <c r="K122" s="261"/>
      <c r="L122" s="261"/>
      <c r="M122" s="261"/>
      <c r="N122" s="261"/>
      <c r="O122" s="1510"/>
      <c r="P122" s="261"/>
      <c r="Q122" s="261"/>
      <c r="R122" s="1510"/>
      <c r="S122" s="2730">
        <v>269518</v>
      </c>
      <c r="T122" s="2731"/>
      <c r="V122" s="2727"/>
      <c r="W122" s="2728"/>
      <c r="X122" s="2729"/>
    </row>
    <row r="123" spans="1:24" s="204" customFormat="1" ht="12.6" customHeight="1">
      <c r="B123" s="204" t="s">
        <v>756</v>
      </c>
      <c r="G123" s="2730"/>
      <c r="H123" s="2731"/>
      <c r="J123" s="262"/>
      <c r="K123" s="262"/>
      <c r="L123" s="262"/>
      <c r="M123" s="262"/>
      <c r="N123" s="262"/>
      <c r="P123" s="262"/>
      <c r="Q123" s="262"/>
      <c r="S123" s="2730"/>
      <c r="T123" s="2731"/>
      <c r="V123" s="2727"/>
      <c r="W123" s="2728"/>
      <c r="X123" s="2729"/>
    </row>
    <row r="124" spans="1:24" s="204" customFormat="1" ht="12.6" customHeight="1">
      <c r="B124" s="204" t="s">
        <v>757</v>
      </c>
      <c r="E124" s="725" t="s">
        <v>758</v>
      </c>
      <c r="F124" s="360">
        <f>IF('Part VI-Revenues &amp; Expenses'!$O$62=0,0,G124/'Part VI-Revenues &amp; Expenses'!$O$62)</f>
        <v>878.37837837837833</v>
      </c>
      <c r="G124" s="2730">
        <v>65000</v>
      </c>
      <c r="H124" s="2731"/>
      <c r="J124" s="2725">
        <v>65000</v>
      </c>
      <c r="K124" s="2726"/>
      <c r="L124" s="1520"/>
      <c r="M124" s="2725"/>
      <c r="N124" s="2726"/>
      <c r="P124" s="2725"/>
      <c r="Q124" s="2726"/>
      <c r="S124" s="2730"/>
      <c r="T124" s="2731"/>
      <c r="V124" s="2727"/>
      <c r="W124" s="2728"/>
      <c r="X124" s="2729"/>
    </row>
    <row r="125" spans="1:24" s="204" customFormat="1" ht="12.6" customHeight="1" thickBot="1">
      <c r="A125" s="277" t="str">
        <f>IF(AND(G125&gt;0,OR(C125="",C125="&lt;Enter detailed description here; use Comments section if needed&gt;")),"X","")</f>
        <v/>
      </c>
      <c r="B125" s="204" t="s">
        <v>592</v>
      </c>
      <c r="C125" s="2732" t="s">
        <v>664</v>
      </c>
      <c r="D125" s="2732"/>
      <c r="E125" s="2732"/>
      <c r="F125" s="2733"/>
      <c r="G125" s="2759"/>
      <c r="H125" s="2760"/>
      <c r="J125" s="2735"/>
      <c r="K125" s="2736"/>
      <c r="L125" s="1520"/>
      <c r="M125" s="2759"/>
      <c r="N125" s="2760"/>
      <c r="P125" s="2759"/>
      <c r="Q125" s="2760"/>
      <c r="S125" s="2759"/>
      <c r="T125" s="2760"/>
      <c r="U125" s="276" t="str">
        <f>IF(AND(G125&gt;0,OR(C125="",C125="&lt;Enter detailed description here; use Comments section if needed&gt;")),"NO DESCRIPTION PROVIDED - please enter detailed description in Other box at left; use Comments section below if needed.","")</f>
        <v/>
      </c>
      <c r="V125" s="2727"/>
      <c r="W125" s="2737"/>
      <c r="X125" s="2738"/>
    </row>
    <row r="126" spans="1:24" s="204" customFormat="1" ht="12.6" customHeight="1" thickTop="1">
      <c r="B126" s="263"/>
      <c r="F126" s="252" t="s">
        <v>665</v>
      </c>
      <c r="G126" s="1738">
        <f>SUM(G120:H125)</f>
        <v>454617</v>
      </c>
      <c r="H126" s="1739"/>
      <c r="J126" s="1738">
        <f>SUM(J124:K125)</f>
        <v>65000</v>
      </c>
      <c r="K126" s="1739"/>
      <c r="L126" s="1520"/>
      <c r="M126" s="1738">
        <f>SUM(M124:N125)</f>
        <v>0</v>
      </c>
      <c r="N126" s="1739"/>
      <c r="P126" s="1738">
        <f>SUM(P124:Q125)</f>
        <v>0</v>
      </c>
      <c r="Q126" s="1739"/>
      <c r="S126" s="1738">
        <f>SUM(S120:T125)</f>
        <v>389617</v>
      </c>
      <c r="T126" s="1739"/>
      <c r="V126" s="2739">
        <f>SUM(V120:V125)</f>
        <v>0</v>
      </c>
      <c r="W126" s="2740"/>
      <c r="X126" s="2741"/>
    </row>
    <row r="127" spans="1:24" s="204" customFormat="1" ht="13.15" customHeight="1">
      <c r="B127" s="205" t="s">
        <v>759</v>
      </c>
      <c r="C127" s="1499"/>
      <c r="H127" s="259"/>
      <c r="I127" s="259"/>
      <c r="J127" s="251"/>
      <c r="K127" s="251"/>
      <c r="M127" s="251"/>
      <c r="N127" s="251"/>
      <c r="O127" s="253" t="str">
        <f>B127</f>
        <v>OTHER COSTS</v>
      </c>
      <c r="P127" s="251"/>
      <c r="Q127" s="251"/>
      <c r="S127" s="251"/>
      <c r="T127" s="251"/>
      <c r="V127" s="963"/>
      <c r="W127" s="204" t="str">
        <f>B127</f>
        <v>OTHER COSTS</v>
      </c>
    </row>
    <row r="128" spans="1:24" s="204" customFormat="1" ht="12.6" customHeight="1">
      <c r="B128" s="204" t="s">
        <v>760</v>
      </c>
      <c r="C128" s="1499"/>
      <c r="G128" s="2725"/>
      <c r="H128" s="2726"/>
      <c r="J128" s="2725"/>
      <c r="K128" s="2726"/>
      <c r="L128" s="253"/>
      <c r="M128" s="2725"/>
      <c r="N128" s="2726"/>
      <c r="P128" s="2725"/>
      <c r="Q128" s="2726"/>
      <c r="S128" s="2725"/>
      <c r="T128" s="2726"/>
      <c r="V128" s="2727"/>
      <c r="W128" s="2728"/>
      <c r="X128" s="2729"/>
    </row>
    <row r="129" spans="1:24" s="204" customFormat="1" ht="12.6" customHeight="1" thickBot="1">
      <c r="A129" s="277" t="str">
        <f>IF(AND(G129&gt;0,OR(C129="",C129="&lt;Enter detailed description here; use Comments section if needed&gt;")),"X","")</f>
        <v/>
      </c>
      <c r="B129" s="204" t="s">
        <v>592</v>
      </c>
      <c r="C129" s="2732" t="s">
        <v>664</v>
      </c>
      <c r="D129" s="2732"/>
      <c r="E129" s="2732"/>
      <c r="F129" s="2733"/>
      <c r="G129" s="2759"/>
      <c r="H129" s="2760"/>
      <c r="J129" s="2759"/>
      <c r="K129" s="2760"/>
      <c r="L129" s="1520"/>
      <c r="M129" s="2759"/>
      <c r="N129" s="2760"/>
      <c r="P129" s="2759"/>
      <c r="Q129" s="2760"/>
      <c r="S129" s="2759"/>
      <c r="T129" s="2760"/>
      <c r="U129" s="276" t="str">
        <f>IF(AND(G129&gt;0,OR(C129="",C129="&lt;Enter detailed description here; use Comments section if needed&gt;")),"NO DESCRIPTION PROVIDED - please enter detailed description in Other box at left; use Comments section below if needed.","")</f>
        <v/>
      </c>
      <c r="V129" s="2727"/>
      <c r="W129" s="2737"/>
      <c r="X129" s="2738"/>
    </row>
    <row r="130" spans="1:24" s="204" customFormat="1" ht="12.6" customHeight="1" thickTop="1">
      <c r="C130" s="1499"/>
      <c r="F130" s="252" t="s">
        <v>665</v>
      </c>
      <c r="G130" s="1738">
        <f>SUM(G128:H129)</f>
        <v>0</v>
      </c>
      <c r="H130" s="1739"/>
      <c r="J130" s="1738">
        <f>SUM(J128:K129)</f>
        <v>0</v>
      </c>
      <c r="K130" s="1739"/>
      <c r="L130" s="1520"/>
      <c r="M130" s="1738">
        <f>SUM(M128:N129)</f>
        <v>0</v>
      </c>
      <c r="N130" s="1739"/>
      <c r="P130" s="1738">
        <f>SUM(P128:Q129)</f>
        <v>0</v>
      </c>
      <c r="Q130" s="1739"/>
      <c r="S130" s="1738">
        <f>SUM(S128:T129)</f>
        <v>0</v>
      </c>
      <c r="T130" s="1739"/>
      <c r="V130" s="2739">
        <f>SUM(V128:V129)</f>
        <v>0</v>
      </c>
      <c r="W130" s="2740"/>
      <c r="X130" s="2741"/>
    </row>
    <row r="131" spans="1:24" s="204" customFormat="1" ht="3" customHeight="1" thickBot="1">
      <c r="C131" s="1499"/>
      <c r="H131" s="259"/>
      <c r="I131" s="259"/>
      <c r="L131" s="1510"/>
      <c r="V131" s="963"/>
      <c r="W131" s="2769"/>
      <c r="X131" s="2770"/>
    </row>
    <row r="132" spans="1:24" s="204" customFormat="1" ht="13.9" customHeight="1" thickBot="1">
      <c r="B132" s="208" t="s">
        <v>761</v>
      </c>
      <c r="G132" s="1740">
        <f>G17+G23+G27+G33+G38+G41+G47+G64+G77+G83+G91+G105+G111+G118+G126+G130</f>
        <v>13885091</v>
      </c>
      <c r="H132" s="1741"/>
      <c r="J132" s="1740">
        <f>J17+J23+J27+J33+J38+J41+J47+J64+J77+J83+J91+J105+J111+J118+J126+J130</f>
        <v>12122824</v>
      </c>
      <c r="K132" s="1741"/>
      <c r="M132" s="1740">
        <f>M17+M23+M27+M33+M38+M41+M47+M64+M77+M83+M91+M105+M111+M118+M126+M130</f>
        <v>0</v>
      </c>
      <c r="N132" s="1741"/>
      <c r="P132" s="1740">
        <f>P17+P23+P27+P33+P38+P41+P47+P64+P77+P83+P91+P105+P111+P118+P126+P130</f>
        <v>0</v>
      </c>
      <c r="Q132" s="1741"/>
      <c r="S132" s="1740">
        <f>S17+S23+S27+S33+S38+S41+S47+S64+S77+S83+S91+S105+S111+S118+S126+S130</f>
        <v>1762267</v>
      </c>
      <c r="T132" s="1741"/>
      <c r="V132" s="2771">
        <f>V17+V23+V27+V33+V38+V41+V47+V64+V77+V83+V91+V105+V111+V118+V126+V130</f>
        <v>0</v>
      </c>
      <c r="W132" s="2772"/>
      <c r="X132" s="2741"/>
    </row>
    <row r="133" spans="1:24" s="204" customFormat="1" ht="3" customHeight="1">
      <c r="C133" s="1499"/>
      <c r="H133" s="259"/>
      <c r="I133" s="259"/>
      <c r="L133" s="1510"/>
      <c r="V133" s="963"/>
    </row>
    <row r="134" spans="1:24" s="204" customFormat="1" ht="13.9" customHeight="1">
      <c r="B134" s="1482" t="s">
        <v>762</v>
      </c>
      <c r="C134" s="1390"/>
      <c r="D134" s="1731">
        <f>IF('Part VI-Revenues &amp; Expenses'!$O$62=0,0,G132/'Part VI-Revenues &amp; Expenses'!$O$62)</f>
        <v>187636.36486486485</v>
      </c>
      <c r="E134" s="1731"/>
      <c r="F134" s="1391" t="s">
        <v>763</v>
      </c>
      <c r="G134" s="1732">
        <f>IF('Part I-Project Information'!$P$71=0,0,G132/'Part I-Project Information'!$P$71)</f>
        <v>168.8526486039498</v>
      </c>
      <c r="H134" s="1733"/>
      <c r="I134" s="264"/>
      <c r="V134" s="963"/>
    </row>
    <row r="135" spans="1:24" s="204" customFormat="1" ht="3" customHeight="1">
      <c r="I135" s="264"/>
      <c r="L135" s="264"/>
      <c r="V135" s="963"/>
    </row>
    <row r="136" spans="1:24" s="204" customFormat="1" ht="3.6" customHeight="1" thickBot="1">
      <c r="D136" s="1499"/>
      <c r="E136" s="1499"/>
      <c r="I136" s="259"/>
      <c r="J136" s="259"/>
      <c r="K136" s="265"/>
      <c r="L136" s="207"/>
      <c r="P136" s="1510"/>
      <c r="V136" s="963"/>
    </row>
    <row r="137" spans="1:24" s="204" customFormat="1" ht="25.9" customHeight="1">
      <c r="A137" s="318" t="s">
        <v>13</v>
      </c>
      <c r="B137" s="320" t="s">
        <v>764</v>
      </c>
      <c r="C137" s="751"/>
      <c r="D137" s="1520"/>
      <c r="E137" s="1520"/>
      <c r="F137" s="1520"/>
      <c r="G137" s="1510"/>
      <c r="H137" s="1510"/>
      <c r="I137" s="266"/>
      <c r="J137" s="1734" t="s">
        <v>651</v>
      </c>
      <c r="K137" s="1735"/>
      <c r="M137" s="1734" t="s">
        <v>765</v>
      </c>
      <c r="N137" s="1735"/>
      <c r="P137" s="1734" t="s">
        <v>653</v>
      </c>
      <c r="Q137" s="1735"/>
      <c r="V137" s="963"/>
      <c r="W137" s="319" t="str">
        <f>B137</f>
        <v>TAX CREDIT CALCULATION - BASIS METHOD</v>
      </c>
    </row>
    <row r="138" spans="1:24" s="204" customFormat="1" ht="15" customHeight="1" thickBot="1">
      <c r="B138" s="208" t="s">
        <v>766</v>
      </c>
      <c r="D138" s="1520"/>
      <c r="E138" s="1520"/>
      <c r="I138" s="266"/>
      <c r="J138" s="1736"/>
      <c r="K138" s="1737"/>
      <c r="L138" s="751"/>
      <c r="M138" s="1736"/>
      <c r="N138" s="1737"/>
      <c r="P138" s="1736"/>
      <c r="Q138" s="1737"/>
      <c r="V138" s="963"/>
      <c r="W138" s="204" t="str">
        <f>B138</f>
        <v>Subtractions From Eligible Basis</v>
      </c>
      <c r="X138" s="238"/>
    </row>
    <row r="139" spans="1:24" s="204" customFormat="1" ht="6" customHeight="1">
      <c r="D139" s="1499"/>
      <c r="E139" s="1499"/>
      <c r="I139" s="259"/>
      <c r="J139" s="259"/>
      <c r="K139" s="265"/>
      <c r="L139" s="207"/>
      <c r="P139" s="1510"/>
      <c r="V139" s="963"/>
    </row>
    <row r="140" spans="1:24" s="204" customFormat="1" ht="13.9" customHeight="1">
      <c r="B140" s="1499" t="s">
        <v>767</v>
      </c>
      <c r="D140" s="1510"/>
      <c r="E140" s="1510"/>
      <c r="F140" s="1510"/>
      <c r="G140" s="1510"/>
      <c r="H140" s="1510"/>
      <c r="I140" s="266"/>
      <c r="J140" s="2773"/>
      <c r="K140" s="2774"/>
      <c r="P140" s="2773"/>
      <c r="Q140" s="2774"/>
      <c r="V140" s="2727"/>
      <c r="W140" s="2728"/>
      <c r="X140" s="2729"/>
    </row>
    <row r="141" spans="1:24" s="204" customFormat="1" ht="13.9" customHeight="1">
      <c r="B141" s="1510" t="s">
        <v>768</v>
      </c>
      <c r="D141" s="1510"/>
      <c r="E141" s="1510"/>
      <c r="F141" s="1510"/>
      <c r="G141" s="1510"/>
      <c r="H141" s="1510"/>
      <c r="I141" s="266"/>
      <c r="J141" s="2775"/>
      <c r="K141" s="2776"/>
      <c r="P141" s="2775"/>
      <c r="Q141" s="2776"/>
      <c r="V141" s="2727"/>
      <c r="W141" s="2728"/>
      <c r="X141" s="2729"/>
    </row>
    <row r="142" spans="1:24" s="204" customFormat="1" ht="13.9" customHeight="1">
      <c r="B142" s="1510" t="s">
        <v>769</v>
      </c>
      <c r="D142" s="1510"/>
      <c r="E142" s="1510"/>
      <c r="I142" s="266"/>
      <c r="J142" s="2775"/>
      <c r="K142" s="2776"/>
      <c r="P142" s="2775"/>
      <c r="Q142" s="2776"/>
      <c r="V142" s="2727"/>
      <c r="W142" s="2728"/>
      <c r="X142" s="2729"/>
    </row>
    <row r="143" spans="1:24" s="204" customFormat="1" ht="13.9" customHeight="1">
      <c r="B143" s="1510" t="s">
        <v>770</v>
      </c>
      <c r="D143" s="1510"/>
      <c r="E143" s="1510"/>
      <c r="I143" s="266"/>
      <c r="J143" s="2775"/>
      <c r="K143" s="2776"/>
      <c r="P143" s="2775"/>
      <c r="Q143" s="2776"/>
      <c r="V143" s="2727"/>
      <c r="W143" s="2728"/>
      <c r="X143" s="2729"/>
    </row>
    <row r="144" spans="1:24" s="204" customFormat="1" ht="13.9" customHeight="1">
      <c r="B144" s="1510" t="s">
        <v>771</v>
      </c>
      <c r="D144" s="1510"/>
      <c r="E144" s="1510"/>
      <c r="I144" s="266"/>
      <c r="J144" s="2775"/>
      <c r="K144" s="2776"/>
      <c r="P144" s="2775"/>
      <c r="Q144" s="2776"/>
      <c r="V144" s="2727"/>
      <c r="W144" s="2728"/>
      <c r="X144" s="2729"/>
    </row>
    <row r="145" spans="1:24" s="204" customFormat="1" ht="13.9" customHeight="1" thickBot="1">
      <c r="B145" s="1510" t="s">
        <v>772</v>
      </c>
      <c r="C145" s="2777" t="s">
        <v>773</v>
      </c>
      <c r="D145" s="2777"/>
      <c r="E145" s="2777"/>
      <c r="F145" s="2777"/>
      <c r="G145" s="2777"/>
      <c r="H145" s="2777"/>
      <c r="I145" s="2778"/>
      <c r="J145" s="2779"/>
      <c r="K145" s="2780"/>
      <c r="P145" s="2779"/>
      <c r="Q145" s="2780"/>
      <c r="V145" s="2727"/>
      <c r="W145" s="2737"/>
      <c r="X145" s="2738"/>
    </row>
    <row r="146" spans="1:24" s="204" customFormat="1" ht="13.9" customHeight="1" thickBot="1">
      <c r="B146" s="213" t="s">
        <v>774</v>
      </c>
      <c r="C146" s="216"/>
      <c r="J146" s="1644">
        <f>SUM(J140:K145)</f>
        <v>0</v>
      </c>
      <c r="K146" s="1645"/>
      <c r="P146" s="1644">
        <f>SUM(P140:Q145)</f>
        <v>0</v>
      </c>
      <c r="Q146" s="1645"/>
      <c r="V146" s="2739">
        <f>SUM(V140:V145)</f>
        <v>0</v>
      </c>
      <c r="W146" s="2740"/>
      <c r="X146" s="2741"/>
    </row>
    <row r="147" spans="1:24" s="204" customFormat="1" ht="3" customHeight="1">
      <c r="V147" s="963"/>
    </row>
    <row r="148" spans="1:24" s="204" customFormat="1" ht="15" customHeight="1" thickBot="1">
      <c r="B148" s="205" t="s">
        <v>775</v>
      </c>
      <c r="V148" s="963"/>
      <c r="W148" s="204" t="str">
        <f>B148</f>
        <v>Eligible Basis Calculation</v>
      </c>
    </row>
    <row r="149" spans="1:24" s="204" customFormat="1" ht="13.9" customHeight="1">
      <c r="B149" s="204" t="s">
        <v>776</v>
      </c>
      <c r="J149" s="1727">
        <f>J132</f>
        <v>12122824</v>
      </c>
      <c r="K149" s="1728"/>
      <c r="M149" s="1729">
        <f>M132</f>
        <v>0</v>
      </c>
      <c r="N149" s="1730"/>
      <c r="P149" s="1727">
        <f>P132</f>
        <v>0</v>
      </c>
      <c r="Q149" s="1728"/>
      <c r="V149" s="2727"/>
      <c r="W149" s="2728"/>
      <c r="X149" s="2729"/>
    </row>
    <row r="150" spans="1:24" s="204" customFormat="1" ht="13.9" customHeight="1">
      <c r="B150" s="204" t="s">
        <v>777</v>
      </c>
      <c r="J150" s="1702">
        <f>J146</f>
        <v>0</v>
      </c>
      <c r="K150" s="1703"/>
      <c r="M150" s="1711"/>
      <c r="N150" s="1711"/>
      <c r="P150" s="1702">
        <f>P146</f>
        <v>0</v>
      </c>
      <c r="Q150" s="1703"/>
      <c r="V150" s="2727"/>
      <c r="W150" s="2728"/>
      <c r="X150" s="2729"/>
    </row>
    <row r="151" spans="1:24" s="204" customFormat="1" ht="13.9" customHeight="1">
      <c r="B151" s="204" t="s">
        <v>778</v>
      </c>
      <c r="J151" s="1702">
        <f>J149-J150</f>
        <v>12122824</v>
      </c>
      <c r="K151" s="1703"/>
      <c r="M151" s="1702">
        <f>M149</f>
        <v>0</v>
      </c>
      <c r="N151" s="1703"/>
      <c r="P151" s="1702">
        <f>P149-P150</f>
        <v>0</v>
      </c>
      <c r="Q151" s="1703"/>
      <c r="V151" s="2727"/>
      <c r="W151" s="2728"/>
      <c r="X151" s="2729"/>
    </row>
    <row r="152" spans="1:24" s="204" customFormat="1" ht="13.9" customHeight="1">
      <c r="B152" s="204" t="s">
        <v>779</v>
      </c>
      <c r="G152" s="1501" t="s">
        <v>780</v>
      </c>
      <c r="H152" s="2781" t="s">
        <v>781</v>
      </c>
      <c r="I152" s="2782"/>
      <c r="J152" s="2783">
        <v>1</v>
      </c>
      <c r="K152" s="2784"/>
      <c r="M152" s="1722"/>
      <c r="N152" s="1722"/>
      <c r="P152" s="2783"/>
      <c r="Q152" s="2784"/>
      <c r="V152" s="2727"/>
      <c r="W152" s="2728"/>
      <c r="X152" s="2729"/>
    </row>
    <row r="153" spans="1:24" s="204" customFormat="1" ht="13.9" customHeight="1">
      <c r="B153" s="204" t="s">
        <v>782</v>
      </c>
      <c r="J153" s="1702">
        <f>J151*J152</f>
        <v>12122824</v>
      </c>
      <c r="K153" s="1703"/>
      <c r="M153" s="1702">
        <f>+M151</f>
        <v>0</v>
      </c>
      <c r="N153" s="1703"/>
      <c r="P153" s="1702">
        <f>P151*P152</f>
        <v>0</v>
      </c>
      <c r="Q153" s="1703"/>
      <c r="V153" s="2727"/>
      <c r="W153" s="2728"/>
      <c r="X153" s="2729"/>
    </row>
    <row r="154" spans="1:24" s="204" customFormat="1" ht="13.9" customHeight="1">
      <c r="B154" s="204" t="s">
        <v>783</v>
      </c>
      <c r="J154" s="1723">
        <f>MIN('Part VI-Revenues &amp; Expenses'!$O$58/'Part VI-Revenues &amp; Expenses'!$O$60,'Part VI-Revenues &amp; Expenses'!$O$115/'Part VI-Revenues &amp; Expenses'!$O$117)</f>
        <v>0.86754711152301511</v>
      </c>
      <c r="K154" s="1724"/>
      <c r="M154" s="1723">
        <f>MIN('Part VI-Revenues &amp; Expenses'!$O$58/'Part VI-Revenues &amp; Expenses'!$O$60,'Part VI-Revenues &amp; Expenses'!$O$115/'Part VI-Revenues &amp; Expenses'!$O$117)</f>
        <v>0.86754711152301511</v>
      </c>
      <c r="N154" s="1724"/>
      <c r="P154" s="1723">
        <f>MIN('Part VI-Revenues &amp; Expenses'!$O$58/'Part VI-Revenues &amp; Expenses'!$O$60,'Part VI-Revenues &amp; Expenses'!$O$115/'Part VI-Revenues &amp; Expenses'!$O$117)</f>
        <v>0.86754711152301511</v>
      </c>
      <c r="Q154" s="1724"/>
      <c r="V154" s="2727"/>
      <c r="W154" s="2728"/>
      <c r="X154" s="2729"/>
    </row>
    <row r="155" spans="1:24" s="204" customFormat="1" ht="13.9" customHeight="1">
      <c r="B155" s="204" t="s">
        <v>784</v>
      </c>
      <c r="J155" s="1702">
        <f>J153*J154</f>
        <v>10517120.944701884</v>
      </c>
      <c r="K155" s="1703"/>
      <c r="M155" s="1702">
        <f>M153*M154</f>
        <v>0</v>
      </c>
      <c r="N155" s="1703"/>
      <c r="P155" s="1702">
        <f>P153*P154</f>
        <v>0</v>
      </c>
      <c r="Q155" s="1703"/>
      <c r="V155" s="2727"/>
      <c r="W155" s="2728"/>
      <c r="X155" s="2729"/>
    </row>
    <row r="156" spans="1:24" s="204" customFormat="1" ht="13.9" customHeight="1">
      <c r="B156" s="204" t="s">
        <v>785</v>
      </c>
      <c r="J156" s="2783">
        <v>0.09</v>
      </c>
      <c r="K156" s="2784"/>
      <c r="M156" s="2783"/>
      <c r="N156" s="2784"/>
      <c r="P156" s="2783"/>
      <c r="Q156" s="2784"/>
      <c r="V156" s="2727"/>
      <c r="W156" s="2728"/>
      <c r="X156" s="2729"/>
    </row>
    <row r="157" spans="1:24" s="204" customFormat="1" ht="13.9" customHeight="1" thickBot="1">
      <c r="B157" s="204" t="s">
        <v>786</v>
      </c>
      <c r="J157" s="1725">
        <f>J155*J156</f>
        <v>946540.88502316957</v>
      </c>
      <c r="K157" s="1726"/>
      <c r="M157" s="1725">
        <f>M155*M156</f>
        <v>0</v>
      </c>
      <c r="N157" s="1726"/>
      <c r="P157" s="1725">
        <f>P155*P156</f>
        <v>0</v>
      </c>
      <c r="Q157" s="1726"/>
      <c r="V157" s="2785"/>
      <c r="W157" s="2737"/>
      <c r="X157" s="2738"/>
    </row>
    <row r="158" spans="1:24" s="204" customFormat="1" ht="13.9" customHeight="1" thickBot="1">
      <c r="B158" s="205" t="s">
        <v>787</v>
      </c>
      <c r="J158" s="1644">
        <f>J157+M157+P157</f>
        <v>946540.88502316957</v>
      </c>
      <c r="K158" s="1707"/>
      <c r="L158" s="1707"/>
      <c r="M158" s="1707"/>
      <c r="N158" s="1707"/>
      <c r="O158" s="1707"/>
      <c r="P158" s="1707"/>
      <c r="Q158" s="1645"/>
      <c r="V158" s="2739"/>
      <c r="W158" s="2764"/>
      <c r="X158" s="2765"/>
    </row>
    <row r="159" spans="1:24" s="204" customFormat="1" ht="6" customHeight="1">
      <c r="B159" s="267"/>
      <c r="L159" s="268"/>
      <c r="M159" s="268"/>
      <c r="N159" s="268"/>
      <c r="O159" s="268"/>
      <c r="V159" s="963"/>
    </row>
    <row r="160" spans="1:24" s="204" customFormat="1" ht="13.9" customHeight="1">
      <c r="A160" s="319" t="s">
        <v>31</v>
      </c>
      <c r="B160" s="319" t="s">
        <v>788</v>
      </c>
      <c r="H160" s="259"/>
      <c r="I160" s="259"/>
      <c r="L160" s="1510"/>
      <c r="M160" s="375"/>
      <c r="N160" s="1510"/>
      <c r="O160" s="1510"/>
      <c r="P160" s="1510"/>
      <c r="Q160" s="1510"/>
      <c r="R160" s="1510"/>
      <c r="S160" s="1510"/>
      <c r="T160" s="1510"/>
      <c r="V160" s="963"/>
    </row>
    <row r="161" spans="1:24" s="204" customFormat="1" ht="15" customHeight="1" thickBot="1">
      <c r="B161" s="205" t="s">
        <v>789</v>
      </c>
      <c r="H161" s="181"/>
      <c r="M161" s="375"/>
      <c r="N161" s="1510"/>
      <c r="O161" s="1510"/>
      <c r="P161" s="1510"/>
      <c r="Q161" s="1510"/>
      <c r="R161" s="1510"/>
      <c r="S161" s="1510"/>
      <c r="T161" s="1510"/>
      <c r="V161" s="963"/>
      <c r="W161" s="319" t="str">
        <f>B160</f>
        <v>TAX CREDIT CALCULATION - GAP METHOD</v>
      </c>
    </row>
    <row r="162" spans="1:24" s="204" customFormat="1" ht="15" customHeight="1">
      <c r="B162" s="197" t="s">
        <v>790</v>
      </c>
      <c r="G162" s="1694" t="str">
        <f>IF(J163&gt;J162,"TDC exceeds QAP PUCL!","")</f>
        <v/>
      </c>
      <c r="H162" s="1694"/>
      <c r="I162" s="1695"/>
      <c r="J162" s="1719">
        <f>'Part VIII-Threshold Criteria'!$P$63</f>
        <v>15865932</v>
      </c>
      <c r="K162" s="1720"/>
      <c r="L162" s="1721"/>
      <c r="M162" s="1696" t="s">
        <v>791</v>
      </c>
      <c r="N162" s="1697"/>
      <c r="O162" s="1697"/>
      <c r="P162" s="1697"/>
      <c r="Q162" s="1697"/>
      <c r="R162" s="1698"/>
      <c r="S162" s="1696" t="s">
        <v>792</v>
      </c>
      <c r="T162" s="1698"/>
      <c r="V162" s="2727"/>
      <c r="W162" s="2728"/>
      <c r="X162" s="2729"/>
    </row>
    <row r="163" spans="1:24" s="204" customFormat="1" ht="13.9" customHeight="1">
      <c r="B163" s="204" t="s">
        <v>793</v>
      </c>
      <c r="J163" s="2786">
        <f>MIN(G132,J162,(G132-O165))</f>
        <v>13885091</v>
      </c>
      <c r="K163" s="2787"/>
      <c r="L163" s="2787"/>
      <c r="M163" s="1699"/>
      <c r="N163" s="1700"/>
      <c r="O163" s="1700"/>
      <c r="P163" s="1700"/>
      <c r="Q163" s="1700"/>
      <c r="R163" s="1701"/>
      <c r="S163" s="1699"/>
      <c r="T163" s="1701"/>
      <c r="V163" s="2727"/>
      <c r="W163" s="2728"/>
      <c r="X163" s="2729"/>
    </row>
    <row r="164" spans="1:24" s="204" customFormat="1" ht="13.9" customHeight="1">
      <c r="B164" s="204" t="s">
        <v>794</v>
      </c>
      <c r="J164" s="1702">
        <f>'Part III-Sources of Funds'!$I$58-'Part III-Sources of Funds'!$I$41-'Part III-Sources of Funds'!$I$42-'Part III-Sources of Funds'!$I$49-'Part III-Sources of Funds'!$I$50</f>
        <v>2650000</v>
      </c>
      <c r="K164" s="1711"/>
      <c r="L164" s="1711"/>
      <c r="M164" s="1699"/>
      <c r="N164" s="1700"/>
      <c r="O164" s="1700"/>
      <c r="P164" s="1700"/>
      <c r="Q164" s="1700"/>
      <c r="R164" s="1701"/>
      <c r="S164" s="1699"/>
      <c r="T164" s="1701"/>
      <c r="V164" s="2727"/>
      <c r="W164" s="2728"/>
      <c r="X164" s="2729"/>
    </row>
    <row r="165" spans="1:24" s="204" customFormat="1" ht="13.9" customHeight="1" thickBot="1">
      <c r="B165" s="204" t="s">
        <v>795</v>
      </c>
      <c r="J165" s="1702">
        <f>+J163-J164</f>
        <v>11235091</v>
      </c>
      <c r="K165" s="1711"/>
      <c r="L165" s="1711"/>
      <c r="M165" s="1712" t="s">
        <v>796</v>
      </c>
      <c r="N165" s="1713"/>
      <c r="O165" s="1714">
        <f>'Part III-Sources of Funds'!$I$41</f>
        <v>0</v>
      </c>
      <c r="P165" s="1714"/>
      <c r="Q165" s="1714"/>
      <c r="R165" s="1715"/>
      <c r="S165" s="306" t="s">
        <v>797</v>
      </c>
      <c r="T165" s="2788"/>
      <c r="V165" s="2727"/>
      <c r="W165" s="2728"/>
      <c r="X165" s="2729"/>
    </row>
    <row r="166" spans="1:24" s="204" customFormat="1" ht="13.9" customHeight="1">
      <c r="B166" s="204" t="s">
        <v>798</v>
      </c>
      <c r="J166" s="1659" t="str">
        <f>"/ 10"</f>
        <v>/ 10</v>
      </c>
      <c r="K166" s="1659"/>
      <c r="L166" s="1659"/>
      <c r="M166" s="1510"/>
      <c r="N166" s="372"/>
      <c r="O166" s="372"/>
      <c r="P166" s="372"/>
      <c r="Q166" s="372"/>
      <c r="R166" s="372"/>
      <c r="V166" s="963"/>
      <c r="W166" s="2728"/>
      <c r="X166" s="2729"/>
    </row>
    <row r="167" spans="1:24" s="204" customFormat="1" ht="13.9" customHeight="1">
      <c r="B167" s="204" t="s">
        <v>799</v>
      </c>
      <c r="J167" s="1702">
        <f>J165/10</f>
        <v>1123509.1000000001</v>
      </c>
      <c r="K167" s="1711"/>
      <c r="L167" s="1703"/>
      <c r="M167" s="221"/>
      <c r="N167" s="1579" t="s">
        <v>800</v>
      </c>
      <c r="O167" s="1579"/>
      <c r="Q167" s="1579" t="s">
        <v>44</v>
      </c>
      <c r="R167" s="1579"/>
      <c r="V167" s="2727"/>
      <c r="W167" s="2728"/>
      <c r="X167" s="2729"/>
    </row>
    <row r="168" spans="1:24" s="204" customFormat="1" ht="13.9" customHeight="1" thickBot="1">
      <c r="B168" s="204" t="s">
        <v>801</v>
      </c>
      <c r="J168" s="1704">
        <f>N168+Q168</f>
        <v>1.31</v>
      </c>
      <c r="K168" s="1705"/>
      <c r="L168" s="1706"/>
      <c r="M168" s="1501" t="s">
        <v>802</v>
      </c>
      <c r="N168" s="2789">
        <v>0.88</v>
      </c>
      <c r="O168" s="2790"/>
      <c r="P168" s="1501" t="s">
        <v>803</v>
      </c>
      <c r="Q168" s="2789">
        <v>0.43</v>
      </c>
      <c r="R168" s="2790"/>
      <c r="V168" s="2727"/>
      <c r="W168" s="2728"/>
      <c r="X168" s="2729"/>
    </row>
    <row r="169" spans="1:24" s="204" customFormat="1" ht="13.9" customHeight="1" thickBot="1">
      <c r="B169" s="205" t="s">
        <v>804</v>
      </c>
      <c r="J169" s="1644">
        <f>IF(J168=0,"",J167/J168)</f>
        <v>857640.53435114503</v>
      </c>
      <c r="K169" s="1707"/>
      <c r="L169" s="1645"/>
      <c r="M169" s="221"/>
      <c r="N169" s="1510"/>
      <c r="O169" s="1510"/>
      <c r="V169" s="2727"/>
      <c r="W169" s="2728"/>
      <c r="X169" s="2729"/>
    </row>
    <row r="170" spans="1:24" s="204" customFormat="1" ht="6" customHeight="1">
      <c r="J170" s="269"/>
      <c r="K170" s="269"/>
      <c r="L170" s="269"/>
      <c r="M170" s="221"/>
      <c r="N170" s="1511"/>
      <c r="O170" s="1511"/>
      <c r="V170" s="963"/>
      <c r="W170" s="2728"/>
      <c r="X170" s="2729"/>
    </row>
    <row r="171" spans="1:24" s="204" customFormat="1" ht="16.149999999999999" customHeight="1">
      <c r="B171" s="205" t="s">
        <v>805</v>
      </c>
      <c r="J171" s="1708">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850000</v>
      </c>
      <c r="K171" s="1709"/>
      <c r="L171" s="1710"/>
      <c r="M171" s="221"/>
      <c r="N171" s="1511"/>
      <c r="O171" s="1511"/>
      <c r="V171" s="2727"/>
      <c r="W171" s="2728"/>
      <c r="X171" s="2729"/>
    </row>
    <row r="172" spans="1:24" s="204" customFormat="1" ht="3" customHeight="1">
      <c r="J172" s="269"/>
      <c r="K172" s="269"/>
      <c r="L172" s="269"/>
      <c r="M172" s="221"/>
      <c r="N172" s="1511"/>
      <c r="O172" s="1511"/>
      <c r="V172" s="963"/>
      <c r="W172" s="2769"/>
      <c r="X172" s="2770"/>
    </row>
    <row r="173" spans="1:24" s="204" customFormat="1" ht="16.149999999999999" customHeight="1">
      <c r="B173" s="205" t="s">
        <v>806</v>
      </c>
      <c r="J173" s="2791">
        <v>850000</v>
      </c>
      <c r="K173" s="2792"/>
      <c r="L173" s="2793"/>
      <c r="M173" s="270" t="str">
        <f>IF(J171=0,"",IF(J173&gt;J171,"ALLOCATION CANNOT EXCEED MAXIMUM - REVISE REQUEST!",""))</f>
        <v/>
      </c>
      <c r="N173" s="1511"/>
      <c r="O173" s="1511"/>
      <c r="V173" s="2727"/>
      <c r="W173" s="2728"/>
      <c r="X173" s="2729"/>
    </row>
    <row r="174" spans="1:24" s="204" customFormat="1" ht="3" customHeight="1">
      <c r="J174" s="269"/>
      <c r="K174" s="269"/>
      <c r="L174" s="269"/>
      <c r="M174" s="221"/>
      <c r="N174" s="1511"/>
      <c r="O174" s="1511"/>
      <c r="V174" s="963"/>
      <c r="W174" s="2769"/>
      <c r="X174" s="2770"/>
    </row>
    <row r="175" spans="1:24" s="204" customFormat="1" ht="16.149999999999999" customHeight="1">
      <c r="A175" s="319" t="s">
        <v>57</v>
      </c>
      <c r="B175" s="319" t="s">
        <v>807</v>
      </c>
      <c r="D175" s="221"/>
      <c r="E175" s="221"/>
      <c r="F175" s="207"/>
      <c r="J175" s="1716">
        <f>IF(J173="",0,+MIN(J171,J173))</f>
        <v>850000</v>
      </c>
      <c r="K175" s="1717"/>
      <c r="L175" s="1718"/>
      <c r="N175" s="2794"/>
      <c r="O175" s="2794"/>
      <c r="P175" s="2794"/>
      <c r="Q175" s="2794"/>
      <c r="R175" s="2794"/>
      <c r="S175" s="2794"/>
      <c r="T175" s="2794"/>
      <c r="V175" s="2727"/>
      <c r="W175" s="2728"/>
      <c r="X175" s="2729"/>
    </row>
    <row r="176" spans="1:24" ht="3" customHeight="1"/>
    <row r="177" spans="1:24" ht="6" customHeight="1"/>
    <row r="178" spans="1:24" ht="12" customHeight="1">
      <c r="A178" s="205" t="s">
        <v>108</v>
      </c>
      <c r="B178" s="227" t="s">
        <v>259</v>
      </c>
      <c r="N178" s="205" t="s">
        <v>150</v>
      </c>
      <c r="O178" s="205" t="s">
        <v>261</v>
      </c>
    </row>
    <row r="179" spans="1:24" ht="352.5" customHeight="1">
      <c r="A179" s="2686" t="s">
        <v>4726</v>
      </c>
      <c r="B179" s="2686"/>
      <c r="C179" s="2686"/>
      <c r="D179" s="2686"/>
      <c r="E179" s="2686"/>
      <c r="F179" s="2686"/>
      <c r="G179" s="2686"/>
      <c r="H179" s="2686"/>
      <c r="I179" s="2686"/>
      <c r="J179" s="2686"/>
      <c r="K179" s="2686"/>
      <c r="L179" s="2686"/>
      <c r="M179" s="2686"/>
      <c r="N179" s="2795"/>
      <c r="O179" s="2795"/>
      <c r="P179" s="2795"/>
      <c r="Q179" s="2795"/>
      <c r="R179" s="2795"/>
      <c r="S179" s="2795"/>
      <c r="T179" s="2795"/>
      <c r="V179" s="838"/>
      <c r="W179" s="1639" t="s">
        <v>262</v>
      </c>
      <c r="X179" s="1639"/>
    </row>
    <row r="180" spans="1:24" ht="11.25" customHeight="1"/>
    <row r="181" spans="1:24" ht="12" customHeight="1"/>
    <row r="182" spans="1:24" ht="12" customHeight="1"/>
    <row r="183" spans="1:24" ht="14.45" customHeight="1"/>
    <row r="184" spans="1:24" s="204" customFormat="1" ht="14.45" customHeight="1"/>
    <row r="185" spans="1:24" s="204" customFormat="1" ht="14.45" customHeight="1"/>
    <row r="186" spans="1:24" s="204" customFormat="1" ht="14.45" customHeight="1"/>
    <row r="187" spans="1:24" ht="14.45" customHeight="1"/>
    <row r="188" spans="1:24" s="204" customFormat="1" ht="14.45" customHeight="1">
      <c r="A188" s="208"/>
    </row>
    <row r="189" spans="1:24" ht="14.45" customHeight="1"/>
    <row r="190" spans="1:24" s="204" customFormat="1" ht="14.45" customHeight="1"/>
    <row r="191" spans="1:24" s="204" customFormat="1" ht="14.45" customHeight="1">
      <c r="A191" s="208"/>
    </row>
    <row r="192" spans="1:24" s="204" customFormat="1" ht="14.45" customHeight="1">
      <c r="A192" s="379"/>
    </row>
    <row r="193" spans="1:1" s="204" customFormat="1" ht="14.45" customHeight="1"/>
    <row r="194" spans="1:1" s="204" customFormat="1" ht="14.45" customHeight="1">
      <c r="A194" s="239"/>
    </row>
    <row r="195" spans="1:1" s="204" customFormat="1" ht="14.45" customHeight="1">
      <c r="A195" s="239"/>
    </row>
    <row r="196" spans="1:1" s="204" customFormat="1" ht="14.45" customHeight="1">
      <c r="A196" s="239"/>
    </row>
    <row r="197" spans="1:1" s="204" customFormat="1" ht="14.45" customHeight="1"/>
    <row r="198" spans="1:1" s="204"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204"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ZVu/dUw3vl6ULIA3qTiX5xT1/YjVBRgi3RkcEEWfV83C7PhcQUStujys0rfWvRx98fOGTRyXmLvq2yxgjaQ84Q==" saltValue="Ij3cQJ5571U411zKwaEjRQ==" spinCount="100000" sheet="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4294967295" verticalDpi="4294967295"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67" zoomScaleNormal="100" workbookViewId="0">
      <selection activeCell="A4" sqref="A1:XFD1048576"/>
    </sheetView>
  </sheetViews>
  <sheetFormatPr defaultColWidth="9.140625" defaultRowHeight="12.75"/>
  <cols>
    <col min="1" max="1" width="7.140625" style="1220" customWidth="1"/>
    <col min="2" max="2" width="12.7109375" style="1220" customWidth="1"/>
    <col min="3" max="3" width="7.7109375" style="1220" customWidth="1"/>
    <col min="4" max="4" width="12.7109375" style="1220" customWidth="1"/>
    <col min="5" max="5" width="0.7109375" style="1220" customWidth="1"/>
    <col min="6" max="6" width="46.7109375" style="1220" customWidth="1"/>
    <col min="7" max="7" width="0.85546875" style="1220" customWidth="1"/>
    <col min="8" max="8" width="46.7109375" style="1220" customWidth="1"/>
    <col min="9" max="16384" width="9.140625" style="1220"/>
  </cols>
  <sheetData>
    <row r="1" spans="1:14" ht="15.75">
      <c r="A1" s="1777" t="str">
        <f>CONCATENATE("PART FOUR (b) -  OTHER COSTS","  -  ",'Part I-Project Information'!$O$6," - ",'Part I-Project Information'!$F$34,"  -  ",'Part I-Project Information'!$F$38,"  -  ",'Part I-Project Information'!$J$39,",  ","County")</f>
        <v>PART FOUR (b) -  OTHER COSTS  -  2018-008 - Mill at Stone Valley  -  Ball Ground  -  Cherokee,  County</v>
      </c>
      <c r="B1" s="1778"/>
      <c r="C1" s="1778"/>
      <c r="D1" s="1778"/>
      <c r="E1" s="1778"/>
      <c r="F1" s="1778"/>
      <c r="G1" s="1778"/>
      <c r="H1" s="1778"/>
      <c r="I1" s="818"/>
      <c r="J1" s="818"/>
      <c r="K1" s="818"/>
      <c r="L1" s="818"/>
      <c r="M1" s="818"/>
      <c r="N1" s="818"/>
    </row>
    <row r="2" spans="1:14" ht="9" customHeight="1"/>
    <row r="3" spans="1:14" ht="57" customHeight="1">
      <c r="A3" s="2714" t="s">
        <v>808</v>
      </c>
      <c r="B3" s="2715"/>
      <c r="C3" s="2715"/>
      <c r="D3" s="2715"/>
      <c r="E3" s="2715"/>
      <c r="F3" s="2715"/>
      <c r="G3" s="2715"/>
      <c r="H3" s="2716"/>
    </row>
    <row r="4" spans="1:14" ht="6" customHeight="1"/>
    <row r="5" spans="1:14" ht="38.25" customHeight="1">
      <c r="A5" s="1779" t="s">
        <v>809</v>
      </c>
      <c r="B5" s="1779"/>
      <c r="C5" s="1779"/>
      <c r="D5" s="1779"/>
      <c r="F5" s="1472" t="s">
        <v>810</v>
      </c>
      <c r="G5" s="453"/>
      <c r="H5" s="1472" t="s">
        <v>811</v>
      </c>
    </row>
    <row r="6" spans="1:14" ht="6.75" customHeight="1">
      <c r="A6" s="453"/>
      <c r="B6" s="453"/>
      <c r="C6" s="453"/>
      <c r="D6" s="453"/>
    </row>
    <row r="7" spans="1:14" s="2717" customFormat="1" ht="4.5" customHeight="1">
      <c r="A7" s="819"/>
      <c r="B7" s="819"/>
      <c r="C7" s="819"/>
      <c r="D7" s="819"/>
      <c r="E7" s="819"/>
      <c r="F7" s="819"/>
      <c r="G7" s="819"/>
    </row>
    <row r="8" spans="1:14" s="2717" customFormat="1">
      <c r="A8" s="828" t="s">
        <v>656</v>
      </c>
      <c r="B8" s="820"/>
      <c r="C8" s="820"/>
      <c r="D8" s="820"/>
      <c r="E8" s="820"/>
      <c r="F8" s="820"/>
      <c r="G8" s="820"/>
      <c r="H8" s="820"/>
    </row>
    <row r="9" spans="1:14" s="2717" customFormat="1" ht="41.25" customHeight="1">
      <c r="A9" s="1774" t="str">
        <f>'Part IV-A-Uses of Funds'!$C$14</f>
        <v>Front End Analysis</v>
      </c>
      <c r="B9" s="1775"/>
      <c r="C9" s="1775"/>
      <c r="D9" s="1776"/>
      <c r="F9" s="2718" t="s">
        <v>4623</v>
      </c>
      <c r="G9" s="820"/>
      <c r="H9" s="2718" t="s">
        <v>4624</v>
      </c>
    </row>
    <row r="10" spans="1:14" s="2717" customFormat="1" ht="41.25" customHeight="1">
      <c r="A10" s="1771"/>
      <c r="B10" s="1772"/>
      <c r="C10" s="1772"/>
      <c r="D10" s="1773"/>
      <c r="F10" s="2719"/>
      <c r="G10" s="820"/>
      <c r="H10" s="2719"/>
    </row>
    <row r="11" spans="1:14" s="2717" customFormat="1" ht="4.5" customHeight="1">
      <c r="F11" s="2719"/>
      <c r="G11" s="820"/>
      <c r="H11" s="2719"/>
    </row>
    <row r="12" spans="1:14" s="2717" customFormat="1" ht="15" customHeight="1">
      <c r="A12" s="827" t="s">
        <v>812</v>
      </c>
      <c r="B12" s="826">
        <f>'Part IV-A-Uses of Funds'!$G$14</f>
        <v>4000</v>
      </c>
      <c r="C12" s="827" t="s">
        <v>776</v>
      </c>
      <c r="D12" s="826">
        <f>'Part IV-A-Uses of Funds'!$J$14+'Part IV-A-Uses of Funds'!$M$14+'Part IV-A-Uses of Funds'!$P$14</f>
        <v>4000</v>
      </c>
      <c r="F12" s="2719"/>
      <c r="G12" s="820"/>
      <c r="H12" s="2719"/>
    </row>
    <row r="13" spans="1:14" s="2717" customFormat="1" ht="6" customHeight="1">
      <c r="A13" s="820"/>
      <c r="B13" s="821"/>
      <c r="C13" s="820"/>
      <c r="D13" s="820"/>
      <c r="F13" s="2719"/>
      <c r="G13" s="822"/>
      <c r="H13" s="2719"/>
    </row>
    <row r="14" spans="1:14" s="2717" customFormat="1" ht="41.25" customHeight="1">
      <c r="A14" s="1774">
        <f>'Part IV-A-Uses of Funds'!$C$15</f>
        <v>0</v>
      </c>
      <c r="B14" s="1775"/>
      <c r="C14" s="1775"/>
      <c r="D14" s="1776"/>
      <c r="F14" s="2719"/>
      <c r="G14" s="820"/>
      <c r="H14" s="2719"/>
    </row>
    <row r="15" spans="1:14" s="2717" customFormat="1" ht="41.25" customHeight="1">
      <c r="A15" s="1771"/>
      <c r="B15" s="1772"/>
      <c r="C15" s="1772"/>
      <c r="D15" s="1773"/>
      <c r="F15" s="2719"/>
      <c r="G15" s="820"/>
      <c r="H15" s="2719"/>
    </row>
    <row r="16" spans="1:14" s="2717" customFormat="1" ht="4.5" customHeight="1">
      <c r="F16" s="2719"/>
      <c r="G16" s="820"/>
      <c r="H16" s="2719"/>
    </row>
    <row r="17" spans="1:8" s="2717" customFormat="1" ht="15" customHeight="1">
      <c r="A17" s="827" t="s">
        <v>812</v>
      </c>
      <c r="B17" s="826">
        <f>'Part IV-A-Uses of Funds'!$G$15</f>
        <v>0</v>
      </c>
      <c r="C17" s="827" t="s">
        <v>776</v>
      </c>
      <c r="D17" s="826">
        <f>'Part IV-A-Uses of Funds'!$J$15+'Part IV-A-Uses of Funds'!$M$15+'Part IV-A-Uses of Funds'!$P$15</f>
        <v>0</v>
      </c>
      <c r="F17" s="2719"/>
      <c r="G17" s="820"/>
      <c r="H17" s="2719"/>
    </row>
    <row r="18" spans="1:8" s="2717" customFormat="1" ht="6" customHeight="1">
      <c r="A18" s="820"/>
      <c r="B18" s="821"/>
      <c r="C18" s="820"/>
      <c r="D18" s="820"/>
      <c r="F18" s="2719"/>
      <c r="G18" s="822"/>
      <c r="H18" s="2719"/>
    </row>
    <row r="19" spans="1:8" s="2717" customFormat="1" ht="41.25" customHeight="1">
      <c r="A19" s="1774" t="str">
        <f>'Part IV-A-Uses of Funds'!$C$16</f>
        <v>&lt;&lt; Enter description here; provide detail &amp; justification in tab Part IV-b &gt;&gt;</v>
      </c>
      <c r="B19" s="1775"/>
      <c r="C19" s="1775"/>
      <c r="D19" s="1776"/>
      <c r="F19" s="2719"/>
      <c r="G19" s="820"/>
      <c r="H19" s="2719"/>
    </row>
    <row r="20" spans="1:8" s="2717" customFormat="1" ht="41.25" customHeight="1">
      <c r="A20" s="1771"/>
      <c r="B20" s="1772"/>
      <c r="C20" s="1772"/>
      <c r="D20" s="1773"/>
      <c r="F20" s="2719"/>
      <c r="G20" s="820"/>
      <c r="H20" s="2719"/>
    </row>
    <row r="21" spans="1:8" s="2717" customFormat="1" ht="4.5" customHeight="1">
      <c r="F21" s="2719"/>
      <c r="G21" s="820"/>
      <c r="H21" s="2719"/>
    </row>
    <row r="22" spans="1:8" s="2717" customFormat="1" ht="15" customHeight="1">
      <c r="A22" s="827" t="s">
        <v>812</v>
      </c>
      <c r="B22" s="826">
        <f>'Part IV-A-Uses of Funds'!$G$16</f>
        <v>0</v>
      </c>
      <c r="C22" s="827" t="s">
        <v>776</v>
      </c>
      <c r="D22" s="826">
        <f>'Part IV-A-Uses of Funds'!$J$16+'Part IV-A-Uses of Funds'!$M$16+'Part IV-A-Uses of Funds'!$P$16</f>
        <v>0</v>
      </c>
      <c r="F22" s="2719"/>
      <c r="G22" s="820"/>
      <c r="H22" s="2719"/>
    </row>
    <row r="23" spans="1:8" s="2717" customFormat="1" ht="6" customHeight="1">
      <c r="A23" s="820"/>
      <c r="B23" s="821"/>
      <c r="C23" s="820"/>
      <c r="D23" s="820"/>
      <c r="F23" s="2720"/>
      <c r="G23" s="822"/>
      <c r="H23" s="2720"/>
    </row>
    <row r="24" spans="1:8" s="2717" customFormat="1">
      <c r="A24" s="828" t="s">
        <v>813</v>
      </c>
      <c r="B24" s="820"/>
      <c r="C24" s="820"/>
      <c r="D24" s="820"/>
      <c r="E24" s="820"/>
      <c r="F24" s="820"/>
      <c r="G24" s="820"/>
    </row>
    <row r="25" spans="1:8" s="2717" customFormat="1" ht="41.25" customHeight="1">
      <c r="A25" s="1774" t="str">
        <f>'Part IV-A-Uses of Funds'!$C$41</f>
        <v>&lt;&lt; Enter description here; provide detail &amp; justification in tab Part IV-b &gt;&gt;</v>
      </c>
      <c r="B25" s="1775"/>
      <c r="C25" s="1775"/>
      <c r="D25" s="1776"/>
      <c r="E25" s="820"/>
      <c r="F25" s="2721"/>
      <c r="G25" s="820"/>
      <c r="H25" s="2721"/>
    </row>
    <row r="26" spans="1:8" s="2717" customFormat="1" ht="41.25" customHeight="1">
      <c r="A26" s="1771"/>
      <c r="B26" s="1772"/>
      <c r="C26" s="1772"/>
      <c r="D26" s="1773"/>
      <c r="E26" s="820"/>
      <c r="F26" s="2722"/>
      <c r="G26" s="820"/>
      <c r="H26" s="2722"/>
    </row>
    <row r="27" spans="1:8" s="2717" customFormat="1" ht="4.5" customHeight="1">
      <c r="A27" s="820"/>
      <c r="B27" s="820"/>
      <c r="C27" s="820"/>
      <c r="D27" s="820"/>
      <c r="E27" s="820"/>
      <c r="F27" s="2722"/>
      <c r="G27" s="820"/>
      <c r="H27" s="2722"/>
    </row>
    <row r="28" spans="1:8" s="2717" customFormat="1" ht="25.5">
      <c r="A28" s="827" t="s">
        <v>812</v>
      </c>
      <c r="B28" s="826">
        <f>'Part IV-A-Uses of Funds'!$G$41</f>
        <v>0</v>
      </c>
      <c r="C28" s="827" t="s">
        <v>776</v>
      </c>
      <c r="D28" s="826">
        <f>'Part IV-A-Uses of Funds'!$J$41+'Part IV-A-Uses of Funds'!$M$41+'Part IV-A-Uses of Funds'!$P$41</f>
        <v>0</v>
      </c>
      <c r="E28" s="820"/>
      <c r="F28" s="2722"/>
      <c r="G28" s="820"/>
      <c r="H28" s="2722"/>
    </row>
    <row r="29" spans="1:8" s="2717" customFormat="1" ht="6" customHeight="1">
      <c r="A29" s="820"/>
      <c r="B29" s="821"/>
      <c r="C29" s="820"/>
      <c r="D29" s="820"/>
      <c r="E29" s="820"/>
      <c r="F29" s="2723"/>
      <c r="G29" s="822"/>
      <c r="H29" s="2723"/>
    </row>
    <row r="30" spans="1:8" s="2717" customFormat="1">
      <c r="A30" s="828" t="s">
        <v>699</v>
      </c>
      <c r="B30" s="820"/>
      <c r="C30" s="820"/>
      <c r="D30" s="820"/>
      <c r="E30" s="820"/>
      <c r="F30" s="820"/>
      <c r="G30" s="820"/>
    </row>
    <row r="31" spans="1:8" s="2717" customFormat="1" ht="41.25" customHeight="1">
      <c r="A31" s="1768" t="str">
        <f>'Part IV-A-Uses of Funds'!$C$62</f>
        <v>&lt;&lt; Enter description here; provide detail &amp; justification in tab Part IV-b &gt;&gt;</v>
      </c>
      <c r="B31" s="1769"/>
      <c r="C31" s="1769"/>
      <c r="D31" s="1770"/>
      <c r="E31" s="820"/>
      <c r="F31" s="2718"/>
      <c r="G31" s="820"/>
      <c r="H31" s="2718"/>
    </row>
    <row r="32" spans="1:8" s="2717" customFormat="1" ht="41.25" customHeight="1">
      <c r="A32" s="1771"/>
      <c r="B32" s="1772"/>
      <c r="C32" s="1772"/>
      <c r="D32" s="1773"/>
      <c r="E32" s="820"/>
      <c r="F32" s="2719"/>
      <c r="G32" s="820"/>
      <c r="H32" s="2719"/>
    </row>
    <row r="33" spans="1:8" s="2717" customFormat="1" ht="4.5" customHeight="1">
      <c r="A33" s="820"/>
      <c r="B33" s="820"/>
      <c r="C33" s="820"/>
      <c r="D33" s="820"/>
      <c r="E33" s="820"/>
      <c r="F33" s="2719"/>
      <c r="G33" s="820"/>
      <c r="H33" s="2719"/>
    </row>
    <row r="34" spans="1:8" s="2717" customFormat="1" ht="14.25" customHeight="1">
      <c r="A34" s="827" t="s">
        <v>812</v>
      </c>
      <c r="B34" s="826">
        <f>'Part IV-A-Uses of Funds'!$G$62</f>
        <v>0</v>
      </c>
      <c r="C34" s="827" t="s">
        <v>776</v>
      </c>
      <c r="D34" s="826">
        <f>'Part IV-A-Uses of Funds'!$J$62+'Part IV-A-Uses of Funds'!$M$62+'Part IV-A-Uses of Funds'!$P$62</f>
        <v>0</v>
      </c>
      <c r="E34" s="820"/>
      <c r="F34" s="2719"/>
      <c r="G34" s="820"/>
      <c r="H34" s="2719"/>
    </row>
    <row r="35" spans="1:8" s="2717" customFormat="1" ht="6" customHeight="1">
      <c r="D35" s="820"/>
      <c r="E35" s="820"/>
      <c r="F35" s="2719"/>
      <c r="G35" s="822"/>
      <c r="H35" s="2719"/>
    </row>
    <row r="36" spans="1:8" s="2717" customFormat="1" ht="41.25" customHeight="1">
      <c r="A36" s="1768" t="str">
        <f>'Part IV-A-Uses of Funds'!$C$63</f>
        <v>&lt;&lt; Enter description here; provide detail &amp; justification in tab Part IV-b &gt;&gt;</v>
      </c>
      <c r="B36" s="1769"/>
      <c r="C36" s="1769"/>
      <c r="D36" s="1770"/>
      <c r="E36" s="820"/>
      <c r="F36" s="2719"/>
      <c r="G36" s="820"/>
      <c r="H36" s="2719"/>
    </row>
    <row r="37" spans="1:8" s="2717" customFormat="1" ht="41.25" customHeight="1">
      <c r="A37" s="1771"/>
      <c r="B37" s="1772"/>
      <c r="C37" s="1772"/>
      <c r="D37" s="1773"/>
      <c r="E37" s="820"/>
      <c r="F37" s="2719"/>
      <c r="G37" s="820"/>
      <c r="H37" s="2719"/>
    </row>
    <row r="38" spans="1:8" s="2717" customFormat="1" ht="4.5" customHeight="1">
      <c r="A38" s="820"/>
      <c r="B38" s="820"/>
      <c r="C38" s="820"/>
      <c r="D38" s="820"/>
      <c r="E38" s="820"/>
      <c r="F38" s="2719"/>
      <c r="G38" s="820"/>
      <c r="H38" s="2719"/>
    </row>
    <row r="39" spans="1:8" s="2717" customFormat="1" ht="14.25" customHeight="1">
      <c r="A39" s="827" t="s">
        <v>812</v>
      </c>
      <c r="B39" s="826">
        <f>'Part IV-A-Uses of Funds'!$G$63</f>
        <v>0</v>
      </c>
      <c r="C39" s="827" t="s">
        <v>776</v>
      </c>
      <c r="D39" s="826">
        <f>'Part IV-A-Uses of Funds'!$J$63+'Part IV-A-Uses of Funds'!$M$63+'Part IV-A-Uses of Funds'!$P$63</f>
        <v>0</v>
      </c>
      <c r="E39" s="820"/>
      <c r="F39" s="2719"/>
      <c r="G39" s="820"/>
      <c r="H39" s="2719"/>
    </row>
    <row r="40" spans="1:8" s="2717" customFormat="1" ht="6" customHeight="1">
      <c r="D40" s="820"/>
      <c r="E40" s="820"/>
      <c r="F40" s="2720"/>
      <c r="G40" s="822"/>
      <c r="H40" s="2720"/>
    </row>
    <row r="41" spans="1:8" s="2717" customFormat="1">
      <c r="A41" s="828" t="s">
        <v>710</v>
      </c>
      <c r="B41" s="820"/>
      <c r="C41" s="820"/>
      <c r="D41" s="820"/>
      <c r="E41" s="824"/>
      <c r="F41" s="824"/>
      <c r="G41" s="820"/>
    </row>
    <row r="42" spans="1:8" s="2717" customFormat="1" ht="41.25" customHeight="1">
      <c r="A42" s="1768" t="str">
        <f>'Part IV-A-Uses of Funds'!$C$76</f>
        <v>&lt;&lt; Enter description here; provide detail &amp; justification in tab Part IV-b &gt;&gt;</v>
      </c>
      <c r="B42" s="1769"/>
      <c r="C42" s="1769"/>
      <c r="D42" s="1770"/>
      <c r="F42" s="2721"/>
      <c r="G42" s="820"/>
      <c r="H42" s="2721"/>
    </row>
    <row r="43" spans="1:8" s="2717" customFormat="1" ht="41.25" customHeight="1">
      <c r="A43" s="1771"/>
      <c r="B43" s="1772"/>
      <c r="C43" s="1772"/>
      <c r="D43" s="1773"/>
      <c r="E43" s="820"/>
      <c r="F43" s="2722"/>
      <c r="G43" s="820"/>
      <c r="H43" s="2722"/>
    </row>
    <row r="44" spans="1:8" s="2717" customFormat="1" ht="4.5" customHeight="1">
      <c r="A44" s="820"/>
      <c r="B44" s="820"/>
      <c r="C44" s="820"/>
      <c r="D44" s="820"/>
      <c r="E44" s="820"/>
      <c r="F44" s="2722"/>
      <c r="G44" s="820"/>
      <c r="H44" s="2722"/>
    </row>
    <row r="45" spans="1:8" s="2717" customFormat="1" ht="13.5" customHeight="1">
      <c r="A45" s="827" t="s">
        <v>812</v>
      </c>
      <c r="B45" s="826">
        <f>'Part IV-A-Uses of Funds'!$G$76</f>
        <v>0</v>
      </c>
      <c r="C45" s="827" t="s">
        <v>776</v>
      </c>
      <c r="D45" s="826">
        <f>'Part IV-A-Uses of Funds'!$J$76+'Part IV-A-Uses of Funds'!$M$76+'Part IV-A-Uses of Funds'!$P$76</f>
        <v>0</v>
      </c>
      <c r="E45" s="820"/>
      <c r="F45" s="2722"/>
      <c r="G45" s="820"/>
      <c r="H45" s="2722"/>
    </row>
    <row r="46" spans="1:8" s="2717" customFormat="1" ht="6" customHeight="1">
      <c r="A46" s="820"/>
      <c r="B46" s="821"/>
      <c r="C46" s="820"/>
      <c r="D46" s="820"/>
      <c r="E46" s="820"/>
      <c r="F46" s="2723"/>
      <c r="G46" s="822"/>
      <c r="H46" s="2723"/>
    </row>
    <row r="47" spans="1:8" s="2717" customFormat="1">
      <c r="A47" s="828" t="s">
        <v>729</v>
      </c>
      <c r="B47" s="820"/>
      <c r="C47" s="820"/>
      <c r="D47" s="820"/>
      <c r="E47" s="820"/>
      <c r="F47" s="820"/>
      <c r="G47" s="820"/>
    </row>
    <row r="48" spans="1:8" s="2717" customFormat="1" ht="41.25" customHeight="1">
      <c r="A48" s="1768" t="str">
        <f>'Part IV-A-Uses of Funds'!$C$90</f>
        <v>Due Diligence</v>
      </c>
      <c r="B48" s="1769"/>
      <c r="C48" s="1769"/>
      <c r="D48" s="1770"/>
      <c r="F48" s="2721" t="s">
        <v>4720</v>
      </c>
      <c r="G48" s="820"/>
    </row>
    <row r="49" spans="1:7" s="2717" customFormat="1" ht="41.25" customHeight="1">
      <c r="A49" s="1771"/>
      <c r="B49" s="1772"/>
      <c r="C49" s="1772"/>
      <c r="D49" s="1773"/>
      <c r="E49" s="820"/>
      <c r="F49" s="2722"/>
      <c r="G49" s="820"/>
    </row>
    <row r="50" spans="1:7" s="2717" customFormat="1" ht="3" customHeight="1">
      <c r="A50" s="820"/>
      <c r="B50" s="820"/>
      <c r="C50" s="820"/>
      <c r="D50" s="820"/>
      <c r="E50" s="820"/>
      <c r="F50" s="2722"/>
      <c r="G50" s="820"/>
    </row>
    <row r="51" spans="1:7" s="2717" customFormat="1" ht="13.5" customHeight="1">
      <c r="A51" s="827" t="s">
        <v>812</v>
      </c>
      <c r="B51" s="826">
        <f>'Part IV-A-Uses of Funds'!$G$90</f>
        <v>45000</v>
      </c>
      <c r="C51" s="823"/>
      <c r="D51" s="823"/>
      <c r="E51" s="820"/>
      <c r="F51" s="2722"/>
      <c r="G51" s="820"/>
    </row>
    <row r="52" spans="1:7" s="2717" customFormat="1" ht="3.75" customHeight="1">
      <c r="A52" s="820"/>
      <c r="B52" s="820"/>
      <c r="C52" s="820"/>
      <c r="D52" s="820"/>
      <c r="E52" s="820"/>
      <c r="F52" s="2723"/>
      <c r="G52" s="822"/>
    </row>
    <row r="53" spans="1:7" s="2717" customFormat="1">
      <c r="A53" s="828" t="s">
        <v>814</v>
      </c>
      <c r="B53" s="820"/>
      <c r="C53" s="820"/>
      <c r="D53" s="820"/>
      <c r="E53" s="820"/>
      <c r="F53" s="820"/>
      <c r="G53" s="820"/>
    </row>
    <row r="54" spans="1:7" s="2717" customFormat="1" ht="41.25" customHeight="1">
      <c r="A54" s="1768" t="str">
        <f>'Part IV-A-Uses of Funds'!$C$103</f>
        <v>&lt;&lt; Enter description here; provide detail &amp; justification in tab Part IV-b &gt;&gt;</v>
      </c>
      <c r="B54" s="1769"/>
      <c r="C54" s="1769"/>
      <c r="D54" s="1770"/>
      <c r="F54" s="2718"/>
      <c r="G54" s="820"/>
    </row>
    <row r="55" spans="1:7" s="2717" customFormat="1" ht="41.25" customHeight="1">
      <c r="A55" s="1771"/>
      <c r="B55" s="1772"/>
      <c r="C55" s="1772"/>
      <c r="D55" s="1773"/>
      <c r="E55" s="820"/>
      <c r="F55" s="2719"/>
      <c r="G55" s="820"/>
    </row>
    <row r="56" spans="1:7" s="2717" customFormat="1" ht="3" customHeight="1">
      <c r="A56" s="820"/>
      <c r="B56" s="820"/>
      <c r="C56" s="820"/>
      <c r="D56" s="820"/>
      <c r="E56" s="820"/>
      <c r="F56" s="2719"/>
      <c r="G56" s="820"/>
    </row>
    <row r="57" spans="1:7" s="2717" customFormat="1" ht="25.5">
      <c r="A57" s="827" t="s">
        <v>812</v>
      </c>
      <c r="B57" s="826">
        <f>'Part IV-A-Uses of Funds'!$G$103</f>
        <v>0</v>
      </c>
      <c r="C57" s="823"/>
      <c r="D57" s="823"/>
      <c r="E57" s="820"/>
      <c r="F57" s="2719"/>
      <c r="G57" s="820"/>
    </row>
    <row r="58" spans="1:7" s="2717" customFormat="1" ht="3.75" customHeight="1">
      <c r="A58" s="819"/>
      <c r="B58" s="819"/>
      <c r="C58" s="819"/>
      <c r="D58" s="819"/>
      <c r="E58" s="819"/>
      <c r="F58" s="2719"/>
      <c r="G58" s="822"/>
    </row>
    <row r="59" spans="1:7" s="2717" customFormat="1" ht="41.25" customHeight="1">
      <c r="A59" s="1768" t="str">
        <f>'Part IV-A-Uses of Funds'!$C$104</f>
        <v>&lt;&lt; Enter description here; provide detail &amp; justification in tab Part IV-b &gt;&gt;</v>
      </c>
      <c r="B59" s="1769"/>
      <c r="C59" s="1769"/>
      <c r="D59" s="1770"/>
      <c r="F59" s="2719"/>
      <c r="G59" s="820"/>
    </row>
    <row r="60" spans="1:7" s="2717" customFormat="1" ht="41.25" customHeight="1">
      <c r="A60" s="1771"/>
      <c r="B60" s="1772"/>
      <c r="C60" s="1772"/>
      <c r="D60" s="1773"/>
      <c r="E60" s="820"/>
      <c r="F60" s="2719"/>
      <c r="G60" s="820"/>
    </row>
    <row r="61" spans="1:7" s="2717" customFormat="1" ht="3" customHeight="1">
      <c r="A61" s="820"/>
      <c r="B61" s="820"/>
      <c r="C61" s="820"/>
      <c r="D61" s="820"/>
      <c r="E61" s="820"/>
      <c r="F61" s="2719"/>
      <c r="G61" s="820"/>
    </row>
    <row r="62" spans="1:7" s="2717" customFormat="1" ht="25.5">
      <c r="A62" s="827" t="s">
        <v>812</v>
      </c>
      <c r="B62" s="826">
        <f>'Part IV-A-Uses of Funds'!$G$104</f>
        <v>0</v>
      </c>
      <c r="C62" s="823"/>
      <c r="D62" s="823"/>
      <c r="E62" s="820"/>
      <c r="F62" s="2719"/>
      <c r="G62" s="820"/>
    </row>
    <row r="63" spans="1:7" s="2717" customFormat="1" ht="3.75" customHeight="1">
      <c r="A63" s="819"/>
      <c r="B63" s="819"/>
      <c r="C63" s="819"/>
      <c r="D63" s="819"/>
      <c r="E63" s="819"/>
      <c r="F63" s="2720"/>
      <c r="G63" s="822"/>
    </row>
    <row r="64" spans="1:7" s="2717" customFormat="1">
      <c r="A64" s="828" t="s">
        <v>815</v>
      </c>
      <c r="B64" s="820"/>
      <c r="C64" s="820"/>
      <c r="D64" s="820"/>
      <c r="E64" s="820"/>
      <c r="F64" s="820"/>
      <c r="G64" s="820"/>
    </row>
    <row r="65" spans="1:8" s="2717" customFormat="1" ht="41.25" customHeight="1">
      <c r="A65" s="1768" t="str">
        <f>'Part IV-A-Uses of Funds'!$C$110</f>
        <v>Due Diligence Fees</v>
      </c>
      <c r="B65" s="1769"/>
      <c r="C65" s="1769"/>
      <c r="D65" s="1770"/>
      <c r="F65" s="2721" t="s">
        <v>4719</v>
      </c>
      <c r="G65" s="820"/>
    </row>
    <row r="66" spans="1:8" s="2717" customFormat="1" ht="41.25" customHeight="1">
      <c r="A66" s="1771"/>
      <c r="B66" s="1772"/>
      <c r="C66" s="1772"/>
      <c r="D66" s="1773"/>
      <c r="E66" s="820"/>
      <c r="F66" s="2722"/>
      <c r="G66" s="820"/>
    </row>
    <row r="67" spans="1:8" s="2717" customFormat="1" ht="3" customHeight="1">
      <c r="A67" s="820"/>
      <c r="B67" s="820"/>
      <c r="C67" s="820"/>
      <c r="D67" s="820"/>
      <c r="E67" s="820"/>
      <c r="F67" s="2722"/>
      <c r="G67" s="820"/>
    </row>
    <row r="68" spans="1:8" s="2717" customFormat="1" ht="25.5">
      <c r="A68" s="827" t="s">
        <v>812</v>
      </c>
      <c r="B68" s="826">
        <f>'Part IV-A-Uses of Funds'!$G$110</f>
        <v>1500</v>
      </c>
      <c r="C68" s="823"/>
      <c r="D68" s="823"/>
      <c r="E68" s="820"/>
      <c r="F68" s="2722"/>
      <c r="G68" s="820"/>
    </row>
    <row r="69" spans="1:8" s="2717" customFormat="1" ht="3.75" customHeight="1">
      <c r="A69" s="820"/>
      <c r="B69" s="821"/>
      <c r="C69" s="820"/>
      <c r="D69" s="820"/>
      <c r="E69" s="820"/>
      <c r="F69" s="2723"/>
      <c r="G69" s="822"/>
    </row>
    <row r="70" spans="1:8" s="2717" customFormat="1">
      <c r="A70" s="828" t="s">
        <v>752</v>
      </c>
      <c r="B70" s="820"/>
      <c r="C70" s="820"/>
      <c r="D70" s="820"/>
      <c r="E70" s="820"/>
      <c r="F70" s="820"/>
      <c r="G70" s="820"/>
    </row>
    <row r="71" spans="1:8" s="2717" customFormat="1" ht="41.25" customHeight="1">
      <c r="A71" s="1768" t="str">
        <f>'Part IV-A-Uses of Funds'!$C$125</f>
        <v>&lt;&lt; Enter description here; provide detail &amp; justification in tab Part IV-b &gt;&gt;</v>
      </c>
      <c r="B71" s="1769"/>
      <c r="C71" s="1769"/>
      <c r="D71" s="1770"/>
      <c r="F71" s="2721"/>
      <c r="G71" s="820"/>
      <c r="H71" s="2721"/>
    </row>
    <row r="72" spans="1:8" s="2717" customFormat="1" ht="41.25" customHeight="1">
      <c r="A72" s="1771"/>
      <c r="B72" s="1772"/>
      <c r="C72" s="1772"/>
      <c r="D72" s="1773"/>
      <c r="E72" s="820"/>
      <c r="F72" s="2722"/>
      <c r="G72" s="820"/>
      <c r="H72" s="2722"/>
    </row>
    <row r="73" spans="1:8" s="2717" customFormat="1" ht="4.5" customHeight="1">
      <c r="A73" s="820"/>
      <c r="B73" s="820"/>
      <c r="C73" s="820"/>
      <c r="D73" s="820"/>
      <c r="E73" s="820"/>
      <c r="F73" s="2722"/>
      <c r="G73" s="820"/>
      <c r="H73" s="2722"/>
    </row>
    <row r="74" spans="1:8" s="2717" customFormat="1" ht="12.75" customHeight="1">
      <c r="A74" s="827" t="s">
        <v>812</v>
      </c>
      <c r="B74" s="826">
        <f>'Part IV-A-Uses of Funds'!$G$125</f>
        <v>0</v>
      </c>
      <c r="C74" s="827" t="s">
        <v>776</v>
      </c>
      <c r="D74" s="826">
        <f>'Part IV-A-Uses of Funds'!$J$125+'Part IV-A-Uses of Funds'!$M$125+'Part IV-A-Uses of Funds'!$P$125</f>
        <v>0</v>
      </c>
      <c r="E74" s="820"/>
      <c r="F74" s="2722"/>
      <c r="G74" s="820"/>
      <c r="H74" s="2722"/>
    </row>
    <row r="75" spans="1:8" s="2717" customFormat="1" ht="6" customHeight="1">
      <c r="A75" s="820"/>
      <c r="B75" s="821"/>
      <c r="C75" s="820"/>
      <c r="D75" s="820"/>
      <c r="E75" s="820"/>
      <c r="F75" s="2723"/>
      <c r="G75" s="822"/>
      <c r="H75" s="2723"/>
    </row>
    <row r="76" spans="1:8" s="2717" customFormat="1">
      <c r="A76" s="828" t="s">
        <v>816</v>
      </c>
      <c r="B76" s="821"/>
      <c r="C76" s="820"/>
      <c r="D76" s="820"/>
      <c r="E76" s="820"/>
      <c r="F76" s="820"/>
      <c r="G76" s="822"/>
    </row>
    <row r="77" spans="1:8" s="2717" customFormat="1" ht="41.25" customHeight="1">
      <c r="A77" s="1768" t="str">
        <f>'Part IV-A-Uses of Funds'!$C$129</f>
        <v>&lt;&lt; Enter description here; provide detail &amp; justification in tab Part IV-b &gt;&gt;</v>
      </c>
      <c r="B77" s="1769"/>
      <c r="C77" s="1769"/>
      <c r="D77" s="1770"/>
      <c r="F77" s="2721"/>
      <c r="G77" s="820"/>
      <c r="H77" s="2721"/>
    </row>
    <row r="78" spans="1:8" s="2717" customFormat="1" ht="41.25" customHeight="1">
      <c r="A78" s="1771"/>
      <c r="B78" s="1772"/>
      <c r="C78" s="1772"/>
      <c r="D78" s="1773"/>
      <c r="E78" s="820"/>
      <c r="F78" s="2722"/>
      <c r="G78" s="820"/>
      <c r="H78" s="2722"/>
    </row>
    <row r="79" spans="1:8" s="2717" customFormat="1" ht="4.5" customHeight="1">
      <c r="A79" s="820"/>
      <c r="B79" s="820"/>
      <c r="C79" s="820"/>
      <c r="D79" s="820"/>
      <c r="E79" s="820"/>
      <c r="F79" s="2722"/>
      <c r="G79" s="820"/>
      <c r="H79" s="2722"/>
    </row>
    <row r="80" spans="1:8" s="2717" customFormat="1" ht="12.75" customHeight="1">
      <c r="A80" s="827" t="s">
        <v>812</v>
      </c>
      <c r="B80" s="826">
        <f>'Part IV-A-Uses of Funds'!$G$129</f>
        <v>0</v>
      </c>
      <c r="C80" s="827" t="s">
        <v>776</v>
      </c>
      <c r="D80" s="826">
        <f>'Part IV-A-Uses of Funds'!$J$129+'Part IV-A-Uses of Funds'!$M$129+'Part IV-A-Uses of Funds'!$P$129</f>
        <v>0</v>
      </c>
      <c r="E80" s="825"/>
      <c r="F80" s="2722"/>
      <c r="G80" s="820"/>
      <c r="H80" s="2722"/>
    </row>
    <row r="81" spans="4:8" s="2717" customFormat="1" ht="6" customHeight="1">
      <c r="D81" s="1559"/>
      <c r="E81" s="2724"/>
      <c r="F81" s="2723"/>
      <c r="G81" s="822"/>
      <c r="H81" s="2723"/>
    </row>
    <row r="82" spans="4:8" s="2717" customFormat="1"/>
    <row r="83" spans="4:8" s="2717" customFormat="1"/>
    <row r="84" spans="4:8" s="2717" customFormat="1"/>
    <row r="85" spans="4:8" s="2717" customFormat="1"/>
    <row r="86" spans="4:8" s="2717" customFormat="1"/>
    <row r="87" spans="4:8" s="2717" customFormat="1"/>
    <row r="88" spans="4:8" s="2717" customFormat="1"/>
    <row r="89" spans="4:8" s="2717" customFormat="1"/>
    <row r="90" spans="4:8" s="2717" customFormat="1"/>
    <row r="91" spans="4:8" s="2717" customFormat="1"/>
    <row r="92" spans="4:8" s="2717" customFormat="1"/>
  </sheetData>
  <sheetProtection algorithmName="SHA-512" hashValue="D8BQBdamJekn4pOx3gg8Xf59kKDXlyhBid1FaRGlVWmUaPiqHohEYiMBJXVhAvonqKbFph54tdkewgNWtabRzw==" saltValue="gx3d3c/rKDMsqkHz9OZs/g=="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topLeftCell="A22" zoomScale="120" zoomScaleNormal="120" workbookViewId="0">
      <selection activeCell="A4" sqref="A1:XFD1048576"/>
    </sheetView>
  </sheetViews>
  <sheetFormatPr defaultColWidth="8.85546875" defaultRowHeight="12.75"/>
  <cols>
    <col min="1" max="1" width="2.28515625" style="12" customWidth="1"/>
    <col min="2" max="3" width="8.85546875" style="12"/>
    <col min="4" max="4" width="12.85546875" style="12" customWidth="1"/>
    <col min="5" max="5" width="9.42578125" style="12" customWidth="1"/>
    <col min="6" max="7" width="9.7109375" style="12" customWidth="1"/>
    <col min="8" max="8" width="8.28515625" style="12" customWidth="1"/>
    <col min="9" max="13" width="10.7109375" style="12" customWidth="1"/>
    <col min="14" max="14" width="3" style="12" customWidth="1"/>
    <col min="15" max="17" width="8.85546875" style="12"/>
    <col min="18" max="18" width="8.85546875" style="12" customWidth="1"/>
    <col min="19" max="16384" width="8.85546875" style="12"/>
  </cols>
  <sheetData>
    <row r="1" spans="1:20" s="5" customFormat="1" ht="13.9" customHeight="1">
      <c r="A1" s="1783" t="str">
        <f>CONCATENATE("PART FIVE - UTILITY ALLOWANCES","  -  ",'Part I-Project Information'!$O$6," ",'Part I-Project Information'!$F$34,", ",'Part I-Project Information'!F38,", ",'Part I-Project Information'!J39," County")</f>
        <v>PART FIVE - UTILITY ALLOWANCES  -  2018-008 Mill at Stone Valley, Ball Ground, Cherokee County</v>
      </c>
      <c r="B1" s="1784"/>
      <c r="C1" s="1784"/>
      <c r="D1" s="1784"/>
      <c r="E1" s="1784"/>
      <c r="F1" s="1784"/>
      <c r="G1" s="1784"/>
      <c r="H1" s="1784"/>
      <c r="I1" s="1784"/>
      <c r="J1" s="1784"/>
      <c r="K1" s="1784"/>
      <c r="L1" s="1784"/>
      <c r="M1" s="1784"/>
      <c r="N1" s="6"/>
      <c r="O1" s="6"/>
      <c r="P1" s="6"/>
      <c r="Q1" s="6"/>
      <c r="R1" s="366"/>
      <c r="S1" s="366"/>
      <c r="T1" s="366"/>
    </row>
    <row r="2" spans="1:20" s="5" customFormat="1" ht="7.5" customHeight="1">
      <c r="A2" s="102"/>
      <c r="B2" s="102"/>
      <c r="C2" s="102"/>
      <c r="D2" s="102"/>
      <c r="E2" s="102"/>
      <c r="F2" s="102"/>
      <c r="G2" s="102"/>
      <c r="H2" s="102"/>
      <c r="I2" s="102"/>
      <c r="J2" s="102"/>
      <c r="K2" s="102"/>
      <c r="L2" s="102"/>
      <c r="M2" s="102"/>
      <c r="N2" s="102"/>
      <c r="O2" s="102"/>
      <c r="P2" s="102"/>
      <c r="Q2" s="102"/>
      <c r="R2" s="102"/>
      <c r="S2" s="102"/>
      <c r="T2" s="102"/>
    </row>
    <row r="3" spans="1:20" s="5" customFormat="1" ht="12.75" customHeight="1">
      <c r="A3" s="102"/>
      <c r="B3" s="102"/>
      <c r="C3" s="102"/>
      <c r="D3" s="102"/>
      <c r="E3" s="102"/>
      <c r="F3" s="4" t="s">
        <v>817</v>
      </c>
      <c r="G3" s="102"/>
      <c r="H3" s="102"/>
      <c r="I3" s="1526" t="str">
        <f>VLOOKUP('Part I-Project Information'!$J$39,'DCA Underwriting Assumptions'!$G$155:$H$314,2)</f>
        <v>North</v>
      </c>
      <c r="J3" s="102"/>
      <c r="K3" s="102"/>
      <c r="L3" s="102"/>
      <c r="M3" s="102"/>
      <c r="N3" s="102"/>
      <c r="O3" s="102"/>
      <c r="P3" s="102"/>
      <c r="Q3" s="102"/>
      <c r="R3" s="102"/>
      <c r="S3" s="102"/>
      <c r="T3" s="102"/>
    </row>
    <row r="4" spans="1:20" s="5" customFormat="1" ht="6" customHeight="1">
      <c r="A4" s="102"/>
      <c r="B4" s="102"/>
      <c r="C4" s="102"/>
      <c r="D4" s="102"/>
      <c r="E4" s="102"/>
      <c r="F4" s="102"/>
      <c r="G4" s="102"/>
      <c r="H4" s="102"/>
      <c r="I4" s="102"/>
      <c r="J4" s="102"/>
      <c r="K4" s="102"/>
      <c r="L4" s="102"/>
      <c r="M4" s="102"/>
      <c r="N4" s="102"/>
      <c r="O4" s="102"/>
      <c r="P4" s="102"/>
      <c r="Q4" s="102"/>
      <c r="R4" s="102"/>
      <c r="S4" s="102"/>
      <c r="T4" s="102"/>
    </row>
    <row r="5" spans="1:20">
      <c r="A5" s="175" t="s">
        <v>818</v>
      </c>
    </row>
    <row r="6" spans="1:20" ht="6" customHeight="1">
      <c r="A6" s="102"/>
    </row>
    <row r="7" spans="1:20" s="5" customFormat="1">
      <c r="A7" s="8" t="s">
        <v>9</v>
      </c>
      <c r="B7" s="8" t="s">
        <v>819</v>
      </c>
      <c r="C7" s="102"/>
      <c r="D7" s="102"/>
      <c r="E7" s="102"/>
      <c r="F7" s="102" t="s">
        <v>820</v>
      </c>
      <c r="G7" s="102"/>
      <c r="H7" s="102"/>
      <c r="I7" s="2688" t="s">
        <v>821</v>
      </c>
      <c r="J7" s="2689"/>
      <c r="K7" s="2689"/>
      <c r="L7" s="2689"/>
      <c r="M7" s="2690"/>
      <c r="N7" s="102"/>
      <c r="O7" s="102"/>
      <c r="P7" s="102"/>
      <c r="Q7" s="102"/>
      <c r="R7" s="102"/>
      <c r="S7" s="102"/>
      <c r="T7" s="102"/>
    </row>
    <row r="8" spans="1:20" s="5" customFormat="1" ht="13.15" customHeight="1">
      <c r="A8" s="8"/>
      <c r="B8" s="102"/>
      <c r="C8" s="102"/>
      <c r="D8" s="102"/>
      <c r="E8" s="102"/>
      <c r="F8" s="102" t="s">
        <v>822</v>
      </c>
      <c r="G8" s="102"/>
      <c r="H8" s="12"/>
      <c r="I8" s="2691">
        <v>43101</v>
      </c>
      <c r="J8" s="2692"/>
      <c r="K8" s="840" t="s">
        <v>823</v>
      </c>
      <c r="L8" s="2693" t="s">
        <v>824</v>
      </c>
      <c r="M8" s="2694"/>
      <c r="N8" s="102"/>
      <c r="O8" s="102"/>
      <c r="P8" s="102"/>
      <c r="Q8" s="102"/>
      <c r="R8" s="102"/>
      <c r="S8" s="102"/>
      <c r="T8" s="102"/>
    </row>
    <row r="9" spans="1:20" s="5" customFormat="1" ht="4.5" customHeight="1">
      <c r="A9" s="8"/>
      <c r="B9" s="102"/>
      <c r="C9" s="102"/>
      <c r="D9" s="102"/>
      <c r="E9" s="102"/>
      <c r="F9" s="102"/>
      <c r="G9" s="102"/>
      <c r="H9" s="102"/>
      <c r="I9" s="102"/>
      <c r="J9" s="102"/>
      <c r="K9" s="102"/>
      <c r="L9" s="102"/>
      <c r="M9" s="102"/>
      <c r="N9" s="102"/>
      <c r="O9" s="102"/>
      <c r="P9" s="102"/>
      <c r="Q9" s="102"/>
      <c r="R9" s="102"/>
      <c r="S9" s="102"/>
      <c r="T9" s="102"/>
    </row>
    <row r="10" spans="1:20" s="8" customFormat="1">
      <c r="B10" s="171"/>
      <c r="C10" s="171"/>
      <c r="D10" s="171"/>
      <c r="E10" s="171"/>
      <c r="F10" s="1781" t="s">
        <v>825</v>
      </c>
      <c r="G10" s="1781"/>
      <c r="I10" s="1782" t="s">
        <v>826</v>
      </c>
      <c r="J10" s="1782"/>
      <c r="K10" s="1782"/>
      <c r="L10" s="1782"/>
      <c r="M10" s="1782"/>
    </row>
    <row r="11" spans="1:20" s="8" customFormat="1">
      <c r="B11" s="171" t="s">
        <v>827</v>
      </c>
      <c r="D11" s="171" t="s">
        <v>828</v>
      </c>
      <c r="F11" s="1521" t="s">
        <v>829</v>
      </c>
      <c r="G11" s="1521" t="s">
        <v>830</v>
      </c>
      <c r="I11" s="172" t="s">
        <v>831</v>
      </c>
      <c r="J11" s="173">
        <v>1</v>
      </c>
      <c r="K11" s="173">
        <v>2</v>
      </c>
      <c r="L11" s="173">
        <v>3</v>
      </c>
      <c r="M11" s="173">
        <v>4</v>
      </c>
    </row>
    <row r="12" spans="1:20" s="5" customFormat="1" ht="12" customHeight="1">
      <c r="A12" s="102"/>
      <c r="B12" s="1392" t="s">
        <v>832</v>
      </c>
      <c r="C12" s="1352"/>
      <c r="D12" s="2695" t="s">
        <v>833</v>
      </c>
      <c r="E12" s="2696"/>
      <c r="F12" s="2697" t="s">
        <v>834</v>
      </c>
      <c r="G12" s="2697"/>
      <c r="H12" s="1393"/>
      <c r="I12" s="2698"/>
      <c r="J12" s="2698">
        <v>9</v>
      </c>
      <c r="K12" s="2698">
        <v>11</v>
      </c>
      <c r="L12" s="2698">
        <v>16</v>
      </c>
      <c r="M12" s="2698"/>
      <c r="N12" s="102"/>
      <c r="O12" s="1780" t="s">
        <v>835</v>
      </c>
      <c r="P12" s="1780"/>
      <c r="Q12" s="102"/>
      <c r="R12" s="102"/>
      <c r="S12" s="102"/>
      <c r="T12" s="102"/>
    </row>
    <row r="13" spans="1:20" s="5" customFormat="1" ht="12" customHeight="1">
      <c r="A13" s="102"/>
      <c r="B13" s="908" t="s">
        <v>836</v>
      </c>
      <c r="C13" s="1300"/>
      <c r="D13" s="2699" t="s">
        <v>837</v>
      </c>
      <c r="E13" s="2700"/>
      <c r="F13" s="2701" t="s">
        <v>834</v>
      </c>
      <c r="G13" s="2701"/>
      <c r="H13" s="1301"/>
      <c r="I13" s="2702"/>
      <c r="J13" s="2702">
        <v>8</v>
      </c>
      <c r="K13" s="2702">
        <v>10</v>
      </c>
      <c r="L13" s="2703">
        <v>12</v>
      </c>
      <c r="M13" s="2703"/>
      <c r="N13" s="102"/>
      <c r="O13" s="1780"/>
      <c r="P13" s="1780"/>
      <c r="Q13" s="102"/>
      <c r="R13" s="102"/>
      <c r="S13" s="102"/>
      <c r="T13" s="102"/>
    </row>
    <row r="14" spans="1:20" s="5" customFormat="1" ht="12" customHeight="1">
      <c r="A14" s="102"/>
      <c r="B14" s="910" t="s">
        <v>838</v>
      </c>
      <c r="C14" s="1302"/>
      <c r="D14" s="2699" t="s">
        <v>837</v>
      </c>
      <c r="E14" s="2700"/>
      <c r="F14" s="2701" t="s">
        <v>834</v>
      </c>
      <c r="G14" s="2701"/>
      <c r="H14" s="1303"/>
      <c r="I14" s="2702"/>
      <c r="J14" s="2702">
        <v>14</v>
      </c>
      <c r="K14" s="2702">
        <v>19</v>
      </c>
      <c r="L14" s="2703">
        <v>24</v>
      </c>
      <c r="M14" s="2703"/>
      <c r="N14" s="102"/>
      <c r="O14" s="1780"/>
      <c r="P14" s="1780"/>
      <c r="Q14" s="102"/>
      <c r="R14" s="102"/>
      <c r="S14" s="102"/>
      <c r="T14" s="102"/>
    </row>
    <row r="15" spans="1:20" s="5" customFormat="1" ht="12" customHeight="1">
      <c r="A15" s="102"/>
      <c r="B15" s="906" t="s">
        <v>839</v>
      </c>
      <c r="C15" s="1304"/>
      <c r="D15" s="906" t="s">
        <v>837</v>
      </c>
      <c r="E15" s="1304"/>
      <c r="F15" s="2701" t="s">
        <v>834</v>
      </c>
      <c r="G15" s="2701"/>
      <c r="H15" s="1305"/>
      <c r="I15" s="2702"/>
      <c r="J15" s="2702">
        <v>7</v>
      </c>
      <c r="K15" s="2702">
        <v>9</v>
      </c>
      <c r="L15" s="2703">
        <v>12</v>
      </c>
      <c r="M15" s="2703"/>
      <c r="N15" s="102"/>
      <c r="O15" s="1780"/>
      <c r="P15" s="1780"/>
      <c r="Q15" s="102"/>
      <c r="R15" s="102"/>
      <c r="S15" s="102"/>
      <c r="T15" s="102"/>
    </row>
    <row r="16" spans="1:20" s="5" customFormat="1" ht="12" customHeight="1">
      <c r="A16" s="102"/>
      <c r="B16" s="907" t="s">
        <v>840</v>
      </c>
      <c r="C16" s="1300"/>
      <c r="D16" s="908" t="s">
        <v>837</v>
      </c>
      <c r="E16" s="1300"/>
      <c r="F16" s="2701"/>
      <c r="G16" s="2701"/>
      <c r="H16" s="1301"/>
      <c r="I16" s="2702"/>
      <c r="J16" s="2702"/>
      <c r="K16" s="2702"/>
      <c r="L16" s="2703"/>
      <c r="M16" s="2703"/>
      <c r="N16" s="102"/>
      <c r="O16" s="1780"/>
      <c r="P16" s="1780"/>
      <c r="Q16" s="102"/>
      <c r="R16" s="102"/>
      <c r="S16" s="102"/>
      <c r="T16" s="102"/>
    </row>
    <row r="17" spans="1:19" s="5" customFormat="1" ht="12" customHeight="1">
      <c r="A17" s="102"/>
      <c r="B17" s="907" t="s">
        <v>841</v>
      </c>
      <c r="C17" s="1300"/>
      <c r="D17" s="908" t="s">
        <v>837</v>
      </c>
      <c r="E17" s="1300"/>
      <c r="F17" s="2701"/>
      <c r="G17" s="2701"/>
      <c r="H17" s="1301"/>
      <c r="I17" s="2702"/>
      <c r="J17" s="2702"/>
      <c r="K17" s="2702"/>
      <c r="L17" s="2703"/>
      <c r="M17" s="2703"/>
      <c r="N17" s="102"/>
      <c r="O17" s="1780"/>
      <c r="P17" s="1780"/>
      <c r="Q17" s="102"/>
      <c r="R17" s="102"/>
      <c r="S17" s="102"/>
    </row>
    <row r="18" spans="1:19" s="5" customFormat="1" ht="12" customHeight="1">
      <c r="A18" s="102"/>
      <c r="B18" s="909" t="s">
        <v>842</v>
      </c>
      <c r="C18" s="1302"/>
      <c r="D18" s="910" t="s">
        <v>837</v>
      </c>
      <c r="E18" s="1300"/>
      <c r="F18" s="2701" t="s">
        <v>834</v>
      </c>
      <c r="G18" s="2701"/>
      <c r="H18" s="1303"/>
      <c r="I18" s="2702"/>
      <c r="J18" s="2702">
        <v>22</v>
      </c>
      <c r="K18" s="2702">
        <v>28</v>
      </c>
      <c r="L18" s="2703">
        <v>34</v>
      </c>
      <c r="M18" s="2703"/>
      <c r="N18" s="102"/>
      <c r="O18" s="1780"/>
      <c r="P18" s="1780"/>
      <c r="Q18" s="102"/>
      <c r="R18" s="102"/>
      <c r="S18" s="102"/>
    </row>
    <row r="19" spans="1:19" s="5" customFormat="1" ht="12" customHeight="1">
      <c r="A19" s="102"/>
      <c r="B19" s="906" t="s">
        <v>843</v>
      </c>
      <c r="C19" s="1304"/>
      <c r="D19" s="513" t="s">
        <v>844</v>
      </c>
      <c r="E19" s="2704" t="s">
        <v>22</v>
      </c>
      <c r="F19" s="2701" t="s">
        <v>834</v>
      </c>
      <c r="G19" s="2701"/>
      <c r="H19" s="1305"/>
      <c r="I19" s="2702"/>
      <c r="J19" s="2702">
        <v>43</v>
      </c>
      <c r="K19" s="2702">
        <v>51</v>
      </c>
      <c r="L19" s="2703">
        <v>63</v>
      </c>
      <c r="M19" s="2703"/>
      <c r="N19" s="102"/>
      <c r="O19" s="1780"/>
      <c r="P19" s="1780"/>
      <c r="Q19" s="102"/>
      <c r="R19" s="102"/>
      <c r="S19" s="102"/>
    </row>
    <row r="20" spans="1:19" s="5" customFormat="1" ht="12" customHeight="1">
      <c r="A20" s="102"/>
      <c r="B20" s="911" t="s">
        <v>845</v>
      </c>
      <c r="C20" s="1306"/>
      <c r="D20" s="174"/>
      <c r="E20" s="1306"/>
      <c r="F20" s="2705"/>
      <c r="G20" s="2705" t="s">
        <v>834</v>
      </c>
      <c r="H20" s="1307"/>
      <c r="I20" s="2706"/>
      <c r="J20" s="2706"/>
      <c r="K20" s="2706"/>
      <c r="L20" s="2707"/>
      <c r="M20" s="2707"/>
      <c r="N20" s="102"/>
      <c r="O20" s="1780"/>
      <c r="P20" s="1780"/>
      <c r="Q20" s="102"/>
      <c r="R20" s="102"/>
      <c r="S20" s="102"/>
    </row>
    <row r="21" spans="1:19" s="5" customFormat="1">
      <c r="A21" s="102"/>
      <c r="B21" s="171" t="s">
        <v>846</v>
      </c>
      <c r="C21" s="102"/>
      <c r="D21" s="12"/>
      <c r="E21" s="12"/>
      <c r="F21" s="47"/>
      <c r="G21" s="47"/>
      <c r="H21" s="102"/>
      <c r="I21" s="1521">
        <f>IF(SUM(I12:I20)=0,0,IF(OR($D12="&lt;&lt;Select Fuel &gt;&gt;",$D13="&lt;&lt;Select Fuel &gt;&gt;",$D14="&lt;&lt;Select Fuel &gt;&gt;"),"Select Fuel",IF($E19="&lt;Select&gt;","Submeter?",SUM(I12:I20))))</f>
        <v>0</v>
      </c>
      <c r="J21" s="1521">
        <f>IF(SUM(J12:J20)=0,0,IF(OR($D12="&lt;&lt;Select Fuel &gt;&gt;",$D13="&lt;&lt;Select Fuel &gt;&gt;",$D14="&lt;&lt;Select Fuel &gt;&gt;"),"Select Fuel",IF($E19="&lt;Select&gt;","Submeter?",SUM(J12:J20))))</f>
        <v>103</v>
      </c>
      <c r="K21" s="1521">
        <f>IF(SUM(K12:K20)=0,0,IF(OR($D12="&lt;&lt;Select Fuel &gt;&gt;",$D13="&lt;&lt;Select Fuel &gt;&gt;",$D14="&lt;&lt;Select Fuel &gt;&gt;"),"Select Fuel",IF($E19="&lt;Select&gt;","Submeter?",SUM(K12:K20))))</f>
        <v>128</v>
      </c>
      <c r="L21" s="1521">
        <f>IF(SUM(L12:L20)=0,0,IF(OR($D12="&lt;&lt;Select Fuel &gt;&gt;",$D13="&lt;&lt;Select Fuel &gt;&gt;",$D14="&lt;&lt;Select Fuel &gt;&gt;"),"Select Fuel",IF($E19="&lt;Select&gt;","Submeter?",SUM(L12:L20))))</f>
        <v>161</v>
      </c>
      <c r="M21" s="1521">
        <f>IF(SUM(M12:M20)=0,0,IF(OR($D12="&lt;&lt;Select Fuel &gt;&gt;",$D13="&lt;&lt;Select Fuel &gt;&gt;",$D14="&lt;&lt;Select Fuel &gt;&gt;"),"Select Fuel",IF($E19="&lt;Select&gt;","Submeter?",SUM(M12:M20))))</f>
        <v>0</v>
      </c>
      <c r="N21" s="102"/>
      <c r="O21" s="102"/>
      <c r="P21" s="102"/>
      <c r="Q21" s="102"/>
      <c r="R21" s="102"/>
      <c r="S21" s="102"/>
    </row>
    <row r="22" spans="1:19" s="5" customFormat="1" ht="7.5" customHeight="1">
      <c r="A22" s="102"/>
      <c r="B22" s="102"/>
      <c r="C22" s="102"/>
      <c r="D22" s="102"/>
      <c r="E22" s="102"/>
      <c r="F22" s="102"/>
      <c r="G22" s="102"/>
      <c r="H22" s="102"/>
      <c r="I22" s="102"/>
      <c r="J22" s="102"/>
      <c r="K22" s="102"/>
      <c r="L22" s="102"/>
      <c r="M22" s="12"/>
      <c r="N22" s="12"/>
      <c r="O22" s="12"/>
      <c r="P22" s="12"/>
      <c r="Q22" s="12"/>
      <c r="R22" s="12"/>
      <c r="S22" s="12"/>
    </row>
    <row r="23" spans="1:19" s="5" customFormat="1">
      <c r="A23" s="8" t="s">
        <v>13</v>
      </c>
      <c r="B23" s="8" t="s">
        <v>847</v>
      </c>
      <c r="C23" s="102"/>
      <c r="D23" s="102"/>
      <c r="E23" s="102"/>
      <c r="F23" s="102" t="s">
        <v>820</v>
      </c>
      <c r="G23" s="102"/>
      <c r="H23" s="102"/>
      <c r="I23" s="2688"/>
      <c r="J23" s="2689"/>
      <c r="K23" s="2689"/>
      <c r="L23" s="2689"/>
      <c r="M23" s="2690"/>
      <c r="N23" s="102"/>
      <c r="O23" s="102"/>
      <c r="P23" s="102"/>
      <c r="Q23" s="102"/>
      <c r="R23" s="102"/>
      <c r="S23" s="102"/>
    </row>
    <row r="24" spans="1:19" s="5" customFormat="1" ht="13.15" customHeight="1">
      <c r="A24" s="8"/>
      <c r="B24" s="8"/>
      <c r="C24" s="102"/>
      <c r="D24" s="102"/>
      <c r="E24" s="102"/>
      <c r="F24" s="102" t="s">
        <v>822</v>
      </c>
      <c r="G24" s="102"/>
      <c r="H24" s="12"/>
      <c r="I24" s="2691"/>
      <c r="J24" s="2692"/>
      <c r="K24" s="840" t="s">
        <v>823</v>
      </c>
      <c r="L24" s="2693"/>
      <c r="M24" s="2694"/>
      <c r="N24" s="102"/>
      <c r="O24" s="102"/>
      <c r="P24" s="102"/>
      <c r="Q24" s="102"/>
      <c r="R24" s="102"/>
      <c r="S24" s="102"/>
    </row>
    <row r="25" spans="1:19" s="5" customFormat="1" ht="4.5" customHeight="1">
      <c r="A25" s="8"/>
      <c r="B25" s="102"/>
      <c r="C25" s="102"/>
      <c r="D25" s="102"/>
      <c r="E25" s="102"/>
      <c r="F25" s="102"/>
      <c r="G25" s="102"/>
      <c r="H25" s="102"/>
      <c r="I25" s="102"/>
      <c r="J25" s="102"/>
      <c r="K25" s="102"/>
      <c r="L25" s="102"/>
      <c r="M25" s="102"/>
      <c r="N25" s="102"/>
      <c r="O25" s="102"/>
      <c r="P25" s="102"/>
      <c r="Q25" s="102"/>
      <c r="R25" s="102"/>
      <c r="S25" s="102"/>
    </row>
    <row r="26" spans="1:19" s="8" customFormat="1">
      <c r="B26" s="171"/>
      <c r="C26" s="171"/>
      <c r="D26" s="171"/>
      <c r="E26" s="171"/>
      <c r="F26" s="1781" t="s">
        <v>825</v>
      </c>
      <c r="G26" s="1781"/>
      <c r="I26" s="1782" t="s">
        <v>826</v>
      </c>
      <c r="J26" s="1782"/>
      <c r="K26" s="1782"/>
      <c r="L26" s="1782"/>
      <c r="M26" s="1782"/>
    </row>
    <row r="27" spans="1:19" s="8" customFormat="1">
      <c r="B27" s="171" t="s">
        <v>827</v>
      </c>
      <c r="D27" s="171" t="s">
        <v>828</v>
      </c>
      <c r="F27" s="1521" t="s">
        <v>829</v>
      </c>
      <c r="G27" s="1521" t="s">
        <v>830</v>
      </c>
      <c r="I27" s="172" t="s">
        <v>831</v>
      </c>
      <c r="J27" s="173">
        <v>1</v>
      </c>
      <c r="K27" s="173">
        <v>2</v>
      </c>
      <c r="L27" s="173">
        <v>3</v>
      </c>
      <c r="M27" s="173">
        <v>4</v>
      </c>
    </row>
    <row r="28" spans="1:19" s="5" customFormat="1" ht="12" customHeight="1">
      <c r="A28" s="102"/>
      <c r="B28" s="1392" t="s">
        <v>832</v>
      </c>
      <c r="C28" s="1352"/>
      <c r="D28" s="2695" t="s">
        <v>848</v>
      </c>
      <c r="E28" s="2696"/>
      <c r="F28" s="2697"/>
      <c r="G28" s="2697"/>
      <c r="H28" s="1393"/>
      <c r="I28" s="2698"/>
      <c r="J28" s="2698"/>
      <c r="K28" s="2698"/>
      <c r="L28" s="2698"/>
      <c r="M28" s="2698"/>
      <c r="N28" s="102"/>
      <c r="O28" s="1780" t="s">
        <v>835</v>
      </c>
      <c r="P28" s="1780"/>
      <c r="Q28" s="102"/>
      <c r="R28" s="102"/>
      <c r="S28" s="102"/>
    </row>
    <row r="29" spans="1:19" s="5" customFormat="1" ht="12" customHeight="1">
      <c r="A29" s="102"/>
      <c r="B29" s="908" t="s">
        <v>836</v>
      </c>
      <c r="C29" s="1300"/>
      <c r="D29" s="2699" t="s">
        <v>848</v>
      </c>
      <c r="E29" s="2700"/>
      <c r="F29" s="2701"/>
      <c r="G29" s="2701"/>
      <c r="H29" s="1301"/>
      <c r="I29" s="2702"/>
      <c r="J29" s="2702"/>
      <c r="K29" s="2702"/>
      <c r="L29" s="2703"/>
      <c r="M29" s="2703"/>
      <c r="N29" s="102"/>
      <c r="O29" s="1780"/>
      <c r="P29" s="1780"/>
      <c r="Q29" s="102"/>
      <c r="R29" s="102"/>
      <c r="S29" s="102"/>
    </row>
    <row r="30" spans="1:19" s="5" customFormat="1" ht="12" customHeight="1">
      <c r="A30" s="102"/>
      <c r="B30" s="910" t="s">
        <v>838</v>
      </c>
      <c r="C30" s="1302"/>
      <c r="D30" s="2699" t="s">
        <v>848</v>
      </c>
      <c r="E30" s="2700"/>
      <c r="F30" s="2701"/>
      <c r="G30" s="2701"/>
      <c r="H30" s="1303"/>
      <c r="I30" s="2702"/>
      <c r="J30" s="2702"/>
      <c r="K30" s="2702"/>
      <c r="L30" s="2703"/>
      <c r="M30" s="2703"/>
      <c r="N30" s="102"/>
      <c r="O30" s="1780"/>
      <c r="P30" s="1780"/>
      <c r="Q30" s="102"/>
      <c r="R30" s="102"/>
      <c r="S30" s="102"/>
    </row>
    <row r="31" spans="1:19" s="5" customFormat="1" ht="12" customHeight="1">
      <c r="A31" s="102"/>
      <c r="B31" s="906" t="s">
        <v>839</v>
      </c>
      <c r="C31" s="1304"/>
      <c r="D31" s="906" t="s">
        <v>837</v>
      </c>
      <c r="E31" s="1304"/>
      <c r="F31" s="2701"/>
      <c r="G31" s="2701"/>
      <c r="H31" s="1305"/>
      <c r="I31" s="2702"/>
      <c r="J31" s="2702"/>
      <c r="K31" s="2702"/>
      <c r="L31" s="2703"/>
      <c r="M31" s="2703"/>
      <c r="N31" s="102"/>
      <c r="O31" s="1780"/>
      <c r="P31" s="1780"/>
      <c r="Q31" s="102"/>
      <c r="R31" s="102"/>
      <c r="S31" s="102"/>
    </row>
    <row r="32" spans="1:19" s="5" customFormat="1" ht="12" customHeight="1">
      <c r="A32" s="102"/>
      <c r="B32" s="907" t="s">
        <v>840</v>
      </c>
      <c r="C32" s="1300"/>
      <c r="D32" s="908" t="s">
        <v>837</v>
      </c>
      <c r="E32" s="1300"/>
      <c r="F32" s="2701"/>
      <c r="G32" s="2701"/>
      <c r="H32" s="1301"/>
      <c r="I32" s="2702"/>
      <c r="J32" s="2702"/>
      <c r="K32" s="2702"/>
      <c r="L32" s="2703"/>
      <c r="M32" s="2703"/>
      <c r="N32" s="102"/>
      <c r="O32" s="1780"/>
      <c r="P32" s="1780"/>
      <c r="Q32" s="102"/>
      <c r="R32" s="102"/>
      <c r="S32" s="102"/>
    </row>
    <row r="33" spans="1:19" s="5" customFormat="1" ht="12" customHeight="1">
      <c r="A33" s="102"/>
      <c r="B33" s="907" t="s">
        <v>841</v>
      </c>
      <c r="C33" s="1300"/>
      <c r="D33" s="908" t="s">
        <v>837</v>
      </c>
      <c r="E33" s="1300"/>
      <c r="F33" s="2701"/>
      <c r="G33" s="2701"/>
      <c r="H33" s="1301"/>
      <c r="I33" s="2702"/>
      <c r="J33" s="2702"/>
      <c r="K33" s="2702"/>
      <c r="L33" s="2703"/>
      <c r="M33" s="2703"/>
      <c r="N33" s="102"/>
      <c r="O33" s="1780"/>
      <c r="P33" s="1780"/>
      <c r="Q33" s="102"/>
      <c r="R33" s="102"/>
      <c r="S33" s="102"/>
    </row>
    <row r="34" spans="1:19" s="5" customFormat="1" ht="12" customHeight="1">
      <c r="A34" s="102"/>
      <c r="B34" s="909" t="s">
        <v>842</v>
      </c>
      <c r="C34" s="1302"/>
      <c r="D34" s="910" t="s">
        <v>837</v>
      </c>
      <c r="E34" s="1300"/>
      <c r="F34" s="2701"/>
      <c r="G34" s="2701"/>
      <c r="H34" s="1303"/>
      <c r="I34" s="2702"/>
      <c r="J34" s="2702"/>
      <c r="K34" s="2702"/>
      <c r="L34" s="2703"/>
      <c r="M34" s="2703"/>
      <c r="N34" s="102"/>
      <c r="O34" s="1780"/>
      <c r="P34" s="1780"/>
      <c r="Q34" s="102"/>
      <c r="R34" s="102"/>
      <c r="S34" s="102"/>
    </row>
    <row r="35" spans="1:19" s="5" customFormat="1" ht="12" customHeight="1">
      <c r="A35" s="102"/>
      <c r="B35" s="906" t="s">
        <v>843</v>
      </c>
      <c r="C35" s="1304"/>
      <c r="D35" s="513" t="s">
        <v>844</v>
      </c>
      <c r="E35" s="2704" t="s">
        <v>849</v>
      </c>
      <c r="F35" s="2701"/>
      <c r="G35" s="2701"/>
      <c r="H35" s="1305"/>
      <c r="I35" s="2702"/>
      <c r="J35" s="2702"/>
      <c r="K35" s="2702"/>
      <c r="L35" s="2703"/>
      <c r="M35" s="2703"/>
      <c r="N35" s="102"/>
      <c r="O35" s="1780"/>
      <c r="P35" s="1780"/>
      <c r="Q35" s="102"/>
      <c r="R35" s="102"/>
      <c r="S35" s="102"/>
    </row>
    <row r="36" spans="1:19" s="5" customFormat="1" ht="12" customHeight="1">
      <c r="A36" s="102"/>
      <c r="B36" s="911" t="s">
        <v>845</v>
      </c>
      <c r="C36" s="1306"/>
      <c r="D36" s="174"/>
      <c r="E36" s="1306"/>
      <c r="F36" s="2705"/>
      <c r="G36" s="2705"/>
      <c r="H36" s="1307"/>
      <c r="I36" s="2706"/>
      <c r="J36" s="2706"/>
      <c r="K36" s="2706"/>
      <c r="L36" s="2707"/>
      <c r="M36" s="2707"/>
      <c r="N36" s="102"/>
      <c r="O36" s="1780"/>
      <c r="P36" s="1780"/>
      <c r="Q36" s="102"/>
      <c r="R36" s="102"/>
      <c r="S36" s="102"/>
    </row>
    <row r="37" spans="1:19" s="5" customFormat="1">
      <c r="A37" s="102"/>
      <c r="B37" s="171" t="s">
        <v>846</v>
      </c>
      <c r="C37" s="102"/>
      <c r="D37" s="12"/>
      <c r="E37" s="12"/>
      <c r="F37" s="47"/>
      <c r="G37" s="47"/>
      <c r="H37" s="102"/>
      <c r="I37" s="1521">
        <f>IF(SUM(I28:I36)=0,0,IF(OR($D28="&lt;&lt;Select Fuel &gt;&gt;",$D30="&lt;&lt;Select Fuel &gt;&gt;",$D31="&lt;&lt;Select Fuel &gt;&gt;"),"Select Fuel",IF($E35="&lt;Select&gt;","Submeter?",SUM(I28:I36))))</f>
        <v>0</v>
      </c>
      <c r="J37" s="1521">
        <f>IF(SUM(J28:J36)=0,0,IF(OR($D28="&lt;&lt;Select Fuel &gt;&gt;",$D30="&lt;&lt;Select Fuel &gt;&gt;",$D31="&lt;&lt;Select Fuel &gt;&gt;"),"Select Fuel",IF($E35="&lt;Select&gt;","Submeter?",SUM(J28:J36))))</f>
        <v>0</v>
      </c>
      <c r="K37" s="1521">
        <f>IF(SUM(K28:K36)=0,0,IF(OR($D28="&lt;&lt;Select Fuel &gt;&gt;",$D30="&lt;&lt;Select Fuel &gt;&gt;",$D31="&lt;&lt;Select Fuel &gt;&gt;"),"Select Fuel",IF($E35="&lt;Select&gt;","Submeter?",SUM(K28:K36))))</f>
        <v>0</v>
      </c>
      <c r="L37" s="1521">
        <f>IF(SUM(L28:L36)=0,0,IF(OR($D28="&lt;&lt;Select Fuel &gt;&gt;",$D30="&lt;&lt;Select Fuel &gt;&gt;",$D31="&lt;&lt;Select Fuel &gt;&gt;"),"Select Fuel",IF($E35="&lt;Select&gt;","Submeter?",SUM(L28:L36))))</f>
        <v>0</v>
      </c>
      <c r="M37" s="1521">
        <f>IF(SUM(M28:M36)=0,0,IF(OR($D28="&lt;&lt;Select Fuel &gt;&gt;",$D30="&lt;&lt;Select Fuel &gt;&gt;",$D31="&lt;&lt;Select Fuel &gt;&gt;"),"Select Fuel",IF($E35="&lt;Select&gt;","Submeter?",SUM(M28:M36))))</f>
        <v>0</v>
      </c>
      <c r="N37" s="102"/>
      <c r="O37" s="102"/>
      <c r="P37" s="102"/>
      <c r="Q37" s="102"/>
      <c r="R37" s="102"/>
      <c r="S37" s="102"/>
    </row>
    <row r="38" spans="1:19" ht="6" customHeight="1">
      <c r="A38" s="102"/>
    </row>
    <row r="39" spans="1:19" s="5" customFormat="1">
      <c r="A39" s="102"/>
      <c r="B39" s="326" t="s">
        <v>850</v>
      </c>
      <c r="C39" s="102"/>
      <c r="D39" s="12"/>
      <c r="E39" s="12"/>
      <c r="F39" s="47"/>
      <c r="G39" s="47"/>
      <c r="H39" s="102"/>
      <c r="I39" s="1521"/>
      <c r="J39" s="1521"/>
      <c r="K39" s="1521"/>
      <c r="L39" s="1521"/>
      <c r="M39" s="1521"/>
      <c r="N39" s="102"/>
      <c r="O39" s="102"/>
      <c r="P39" s="102"/>
      <c r="Q39" s="102"/>
      <c r="R39" s="102"/>
      <c r="S39" s="102"/>
    </row>
    <row r="40" spans="1:19" s="5" customFormat="1" ht="12" customHeight="1">
      <c r="A40" s="8"/>
      <c r="B40" s="8" t="s">
        <v>259</v>
      </c>
      <c r="C40" s="102"/>
      <c r="D40" s="102"/>
      <c r="E40" s="102"/>
      <c r="F40" s="102"/>
      <c r="G40" s="102"/>
      <c r="H40" s="102"/>
      <c r="I40" s="102"/>
      <c r="J40" s="102"/>
      <c r="K40" s="102"/>
      <c r="L40" s="102"/>
      <c r="M40" s="12"/>
      <c r="N40" s="12"/>
      <c r="O40" s="12"/>
      <c r="P40" s="12"/>
      <c r="Q40" s="12"/>
      <c r="R40" s="12"/>
      <c r="S40" s="12"/>
    </row>
    <row r="41" spans="1:19" s="5" customFormat="1" ht="24.75" customHeight="1">
      <c r="A41" s="102"/>
      <c r="B41" s="2708" t="s">
        <v>4721</v>
      </c>
      <c r="C41" s="2709"/>
      <c r="D41" s="2709"/>
      <c r="E41" s="2709"/>
      <c r="F41" s="2709"/>
      <c r="G41" s="2709"/>
      <c r="H41" s="2709"/>
      <c r="I41" s="2709"/>
      <c r="J41" s="2709"/>
      <c r="K41" s="2709"/>
      <c r="L41" s="2709"/>
      <c r="M41" s="2710"/>
      <c r="N41" s="12"/>
      <c r="O41" s="1561" t="s">
        <v>262</v>
      </c>
      <c r="P41" s="1561"/>
      <c r="Q41" s="1561"/>
      <c r="R41" s="1561"/>
      <c r="S41" s="1561"/>
    </row>
    <row r="42" spans="1:19" s="5" customFormat="1" ht="3" customHeight="1">
      <c r="A42" s="102"/>
      <c r="B42" s="102"/>
      <c r="C42" s="102"/>
      <c r="D42" s="102"/>
      <c r="E42" s="102"/>
      <c r="F42" s="102"/>
      <c r="G42" s="102"/>
      <c r="H42" s="102"/>
      <c r="I42" s="102"/>
      <c r="J42" s="102"/>
      <c r="K42" s="102"/>
      <c r="L42" s="102"/>
      <c r="M42" s="12"/>
      <c r="N42" s="12"/>
      <c r="O42" s="1561"/>
      <c r="P42" s="1561"/>
      <c r="Q42" s="1561"/>
      <c r="R42" s="1561"/>
      <c r="S42" s="1561"/>
    </row>
    <row r="43" spans="1:19" s="5" customFormat="1" ht="12" customHeight="1">
      <c r="A43" s="8"/>
      <c r="B43" s="8" t="s">
        <v>851</v>
      </c>
      <c r="C43" s="102"/>
      <c r="D43" s="102"/>
      <c r="E43" s="102"/>
      <c r="F43" s="102"/>
      <c r="G43" s="102"/>
      <c r="H43" s="102"/>
      <c r="I43" s="102"/>
      <c r="J43" s="102"/>
      <c r="K43" s="102"/>
      <c r="L43" s="102"/>
      <c r="M43" s="12"/>
      <c r="N43" s="12"/>
      <c r="O43" s="1561"/>
      <c r="P43" s="1561"/>
      <c r="Q43" s="1561"/>
      <c r="R43" s="1561"/>
      <c r="S43" s="1561"/>
    </row>
    <row r="44" spans="1:19" s="5" customFormat="1" ht="24.75" customHeight="1">
      <c r="A44" s="102"/>
      <c r="B44" s="2711"/>
      <c r="C44" s="2712"/>
      <c r="D44" s="2712"/>
      <c r="E44" s="2712"/>
      <c r="F44" s="2712"/>
      <c r="G44" s="2712"/>
      <c r="H44" s="2712"/>
      <c r="I44" s="2712"/>
      <c r="J44" s="2712"/>
      <c r="K44" s="2712"/>
      <c r="L44" s="2712"/>
      <c r="M44" s="2713"/>
      <c r="N44" s="12"/>
      <c r="O44" s="1561"/>
      <c r="P44" s="1561"/>
      <c r="Q44" s="1561"/>
      <c r="R44" s="1561"/>
      <c r="S44" s="1561"/>
    </row>
  </sheetData>
  <sheetProtection algorithmName="SHA-512" hashValue="Qt7Z53rDnz/nMXoLp4kkJy2Q+o4xTQidDmdQO8Bhy0zAtCYDCONp2nLyG3r1Dr98tgIS04z3EJxT6C62rXQvsA==" saltValue="M2jwx+jLqT/IIJHu9mLeEA=="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Stephen Barrett</cp:lastModifiedBy>
  <cp:revision/>
  <cp:lastPrinted>2018-05-21T19:02:04Z</cp:lastPrinted>
  <dcterms:created xsi:type="dcterms:W3CDTF">2005-09-15T20:51:37Z</dcterms:created>
  <dcterms:modified xsi:type="dcterms:W3CDTF">2018-08-28T19:53:37Z</dcterms:modified>
  <cp:category/>
  <cp:contentStatus/>
</cp:coreProperties>
</file>